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autoCompressPictures="0"/>
  <bookViews>
    <workbookView xWindow="3585" yWindow="1440" windowWidth="28920" windowHeight="16320" tabRatio="670" activeTab="10"/>
  </bookViews>
  <sheets>
    <sheet name="SYNTHESE" sheetId="1" r:id="rId1"/>
    <sheet name="RECETTES" sheetId="2" r:id="rId2"/>
    <sheet name="DCH" sheetId="3" r:id="rId3"/>
    <sheet name="CHAPEAU" sheetId="4" r:id="rId4"/>
    <sheet name="TS" sheetId="5" r:id="rId5"/>
    <sheet name="ECARTS" sheetId="7" r:id="rId6"/>
    <sheet name="Synthese DS" sheetId="8" r:id="rId7"/>
    <sheet name="MO Qte" sheetId="58" r:id="rId8"/>
    <sheet name="BETON Qte" sheetId="59" r:id="rId9"/>
    <sheet name="ACIER Qte" sheetId="60" r:id="rId10"/>
    <sheet name="DETAILS" sheetId="12" r:id="rId11"/>
    <sheet name="RECAP IND" sheetId="13" r:id="rId12"/>
    <sheet name="Transfert" sheetId="14" r:id="rId13"/>
    <sheet name="Ecart PP" sheetId="15" r:id="rId14"/>
    <sheet name="Ecart Indirects" sheetId="16" r:id="rId15"/>
    <sheet name="Ecart STGO" sheetId="18" r:id="rId16"/>
    <sheet name="Ecart STCEA" sheetId="19" r:id="rId17"/>
    <sheet name="Ecart STCET" sheetId="21" r:id="rId18"/>
    <sheet name="Risques" sheetId="22" r:id="rId19"/>
    <sheet name="OPP" sheetId="23" r:id="rId20"/>
    <sheet name="PAM" sheetId="24" r:id="rId21"/>
  </sheets>
  <definedNames>
    <definedName name="_Key2" localSheetId="16" hidden="1">#REF!</definedName>
    <definedName name="_Key2" localSheetId="17" hidden="1">#REF!</definedName>
    <definedName name="_Key2" localSheetId="15" hidden="1">#REF!</definedName>
    <definedName name="_Key2" hidden="1">#REF!</definedName>
    <definedName name="_Order2" hidden="1">255</definedName>
    <definedName name="_Sort" localSheetId="16" hidden="1">#REF!</definedName>
    <definedName name="_Sort" localSheetId="17" hidden="1">#REF!</definedName>
    <definedName name="_Sort" localSheetId="15" hidden="1">#REF!</definedName>
    <definedName name="_Sort" hidden="1">#REF!</definedName>
    <definedName name="k" localSheetId="16" hidden="1">#REF!</definedName>
    <definedName name="k" localSheetId="17" hidden="1">#REF!</definedName>
    <definedName name="k" localSheetId="15" hidden="1">#REF!</definedName>
    <definedName name="k" hidden="1">#REF!</definedName>
    <definedName name="ss" localSheetId="16" hidden="1">#REF!</definedName>
    <definedName name="ss" localSheetId="17" hidden="1">#REF!</definedName>
    <definedName name="ss" localSheetId="15" hidden="1">#REF!</definedName>
    <definedName name="ss" hidden="1">#REF!</definedName>
  </definedNames>
  <calcPr calcId="14562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0" i="8" l="1"/>
  <c r="N20" i="8"/>
  <c r="P20" i="8"/>
  <c r="H122" i="60"/>
  <c r="K122" i="60"/>
  <c r="J122" i="60"/>
  <c r="O122" i="60"/>
  <c r="R122" i="60"/>
  <c r="P122" i="60"/>
  <c r="L122" i="60"/>
  <c r="M122" i="60"/>
  <c r="H121" i="60"/>
  <c r="K121" i="60"/>
  <c r="J121" i="60"/>
  <c r="O121" i="60"/>
  <c r="R121" i="60"/>
  <c r="P121" i="60"/>
  <c r="L121" i="60"/>
  <c r="M121" i="60"/>
  <c r="H120" i="60"/>
  <c r="K120" i="60"/>
  <c r="J120" i="60"/>
  <c r="O120" i="60"/>
  <c r="R120" i="60"/>
  <c r="P120" i="60"/>
  <c r="L120" i="60"/>
  <c r="M120" i="60"/>
  <c r="W119" i="60"/>
  <c r="V119" i="60"/>
  <c r="T119" i="60"/>
  <c r="R119" i="60"/>
  <c r="Q119" i="60"/>
  <c r="O119" i="60"/>
  <c r="H119" i="60"/>
  <c r="P119" i="60"/>
  <c r="M119" i="60"/>
  <c r="L119" i="60"/>
  <c r="J119" i="60"/>
  <c r="K119" i="60"/>
  <c r="G119" i="60"/>
  <c r="F119" i="60"/>
  <c r="E119" i="60"/>
  <c r="H112" i="60"/>
  <c r="L112" i="60"/>
  <c r="V112" i="60"/>
  <c r="W112" i="60"/>
  <c r="K112" i="60"/>
  <c r="J112" i="60"/>
  <c r="O112" i="60"/>
  <c r="R112" i="60"/>
  <c r="P112" i="60"/>
  <c r="M112" i="60"/>
  <c r="H111" i="60"/>
  <c r="L111" i="60"/>
  <c r="V111" i="60"/>
  <c r="W111" i="60"/>
  <c r="K111" i="60"/>
  <c r="J111" i="60"/>
  <c r="O111" i="60"/>
  <c r="R111" i="60"/>
  <c r="P111" i="60"/>
  <c r="M111" i="60"/>
  <c r="H110" i="60"/>
  <c r="L110" i="60"/>
  <c r="V110" i="60"/>
  <c r="W110" i="60"/>
  <c r="K110" i="60"/>
  <c r="J110" i="60"/>
  <c r="O110" i="60"/>
  <c r="R110" i="60"/>
  <c r="P110" i="60"/>
  <c r="M110" i="60"/>
  <c r="W109" i="60"/>
  <c r="V109" i="60"/>
  <c r="T109" i="60"/>
  <c r="R109" i="60"/>
  <c r="Q109" i="60"/>
  <c r="O109" i="60"/>
  <c r="H109" i="60"/>
  <c r="P109" i="60"/>
  <c r="M109" i="60"/>
  <c r="L109" i="60"/>
  <c r="J109" i="60"/>
  <c r="K109" i="60"/>
  <c r="G109" i="60"/>
  <c r="F109" i="60"/>
  <c r="E109" i="60"/>
  <c r="H108" i="60"/>
  <c r="L108" i="60"/>
  <c r="V108" i="60"/>
  <c r="W108" i="60"/>
  <c r="K108" i="60"/>
  <c r="J108" i="60"/>
  <c r="O108" i="60"/>
  <c r="R108" i="60"/>
  <c r="P108" i="60"/>
  <c r="M108" i="60"/>
  <c r="H107" i="60"/>
  <c r="L107" i="60"/>
  <c r="V107" i="60"/>
  <c r="W107" i="60"/>
  <c r="K107" i="60"/>
  <c r="J107" i="60"/>
  <c r="O107" i="60"/>
  <c r="R107" i="60"/>
  <c r="P107" i="60"/>
  <c r="M107" i="60"/>
  <c r="H106" i="60"/>
  <c r="L106" i="60"/>
  <c r="V106" i="60"/>
  <c r="W106" i="60"/>
  <c r="K106" i="60"/>
  <c r="J106" i="60"/>
  <c r="O106" i="60"/>
  <c r="R106" i="60"/>
  <c r="P106" i="60"/>
  <c r="M106" i="60"/>
  <c r="H105" i="60"/>
  <c r="L105" i="60"/>
  <c r="V105" i="60"/>
  <c r="W105" i="60"/>
  <c r="K105" i="60"/>
  <c r="J105" i="60"/>
  <c r="O105" i="60"/>
  <c r="R105" i="60"/>
  <c r="P105" i="60"/>
  <c r="M105" i="60"/>
  <c r="H104" i="60"/>
  <c r="L104" i="60"/>
  <c r="V104" i="60"/>
  <c r="W104" i="60"/>
  <c r="K104" i="60"/>
  <c r="J104" i="60"/>
  <c r="O104" i="60"/>
  <c r="R104" i="60"/>
  <c r="P104" i="60"/>
  <c r="M104" i="60"/>
  <c r="H103" i="60"/>
  <c r="L103" i="60"/>
  <c r="V103" i="60"/>
  <c r="W103" i="60"/>
  <c r="K103" i="60"/>
  <c r="J103" i="60"/>
  <c r="O103" i="60"/>
  <c r="R103" i="60"/>
  <c r="P103" i="60"/>
  <c r="M103" i="60"/>
  <c r="H102" i="60"/>
  <c r="L102" i="60"/>
  <c r="V102" i="60"/>
  <c r="W102" i="60"/>
  <c r="K102" i="60"/>
  <c r="J102" i="60"/>
  <c r="O102" i="60"/>
  <c r="R102" i="60"/>
  <c r="P102" i="60"/>
  <c r="M102" i="60"/>
  <c r="H101" i="60"/>
  <c r="L101" i="60"/>
  <c r="V101" i="60"/>
  <c r="W101" i="60"/>
  <c r="K101" i="60"/>
  <c r="J101" i="60"/>
  <c r="O101" i="60"/>
  <c r="R101" i="60"/>
  <c r="P101" i="60"/>
  <c r="M101" i="60"/>
  <c r="H100" i="60"/>
  <c r="L100" i="60"/>
  <c r="V100" i="60"/>
  <c r="W100" i="60"/>
  <c r="K100" i="60"/>
  <c r="J100" i="60"/>
  <c r="O100" i="60"/>
  <c r="R100" i="60"/>
  <c r="P100" i="60"/>
  <c r="M100" i="60"/>
  <c r="H99" i="60"/>
  <c r="L99" i="60"/>
  <c r="V99" i="60"/>
  <c r="W99" i="60"/>
  <c r="K99" i="60"/>
  <c r="J99" i="60"/>
  <c r="O99" i="60"/>
  <c r="R99" i="60"/>
  <c r="P99" i="60"/>
  <c r="M99" i="60"/>
  <c r="H98" i="60"/>
  <c r="L98" i="60"/>
  <c r="V98" i="60"/>
  <c r="W98" i="60"/>
  <c r="K98" i="60"/>
  <c r="J98" i="60"/>
  <c r="O98" i="60"/>
  <c r="R98" i="60"/>
  <c r="P98" i="60"/>
  <c r="M98" i="60"/>
  <c r="H97" i="60"/>
  <c r="L97" i="60"/>
  <c r="V97" i="60"/>
  <c r="W97" i="60"/>
  <c r="K97" i="60"/>
  <c r="J97" i="60"/>
  <c r="O97" i="60"/>
  <c r="R97" i="60"/>
  <c r="P97" i="60"/>
  <c r="M97" i="60"/>
  <c r="H96" i="60"/>
  <c r="L96" i="60"/>
  <c r="V96" i="60"/>
  <c r="W96" i="60"/>
  <c r="K96" i="60"/>
  <c r="J96" i="60"/>
  <c r="O96" i="60"/>
  <c r="R96" i="60"/>
  <c r="P96" i="60"/>
  <c r="M96" i="60"/>
  <c r="H95" i="60"/>
  <c r="L95" i="60"/>
  <c r="V95" i="60"/>
  <c r="W95" i="60"/>
  <c r="K95" i="60"/>
  <c r="J95" i="60"/>
  <c r="O95" i="60"/>
  <c r="R95" i="60"/>
  <c r="P95" i="60"/>
  <c r="M95" i="60"/>
  <c r="H94" i="60"/>
  <c r="L94" i="60"/>
  <c r="V94" i="60"/>
  <c r="W94" i="60"/>
  <c r="K94" i="60"/>
  <c r="J94" i="60"/>
  <c r="O94" i="60"/>
  <c r="R94" i="60"/>
  <c r="P94" i="60"/>
  <c r="M94" i="60"/>
  <c r="W93" i="60"/>
  <c r="V93" i="60"/>
  <c r="T93" i="60"/>
  <c r="R93" i="60"/>
  <c r="Q93" i="60"/>
  <c r="O93" i="60"/>
  <c r="H93" i="60"/>
  <c r="P93" i="60"/>
  <c r="M93" i="60"/>
  <c r="L93" i="60"/>
  <c r="J93" i="60"/>
  <c r="K93" i="60"/>
  <c r="G93" i="60"/>
  <c r="F93" i="60"/>
  <c r="E93" i="60"/>
  <c r="H92" i="60"/>
  <c r="L92" i="60"/>
  <c r="V92" i="60"/>
  <c r="W92" i="60"/>
  <c r="K92" i="60"/>
  <c r="J92" i="60"/>
  <c r="O92" i="60"/>
  <c r="R92" i="60"/>
  <c r="P92" i="60"/>
  <c r="M92" i="60"/>
  <c r="H91" i="60"/>
  <c r="L91" i="60"/>
  <c r="V91" i="60"/>
  <c r="W91" i="60"/>
  <c r="K91" i="60"/>
  <c r="J91" i="60"/>
  <c r="O91" i="60"/>
  <c r="R91" i="60"/>
  <c r="P91" i="60"/>
  <c r="M91" i="60"/>
  <c r="W90" i="60"/>
  <c r="V90" i="60"/>
  <c r="T90" i="60"/>
  <c r="R90" i="60"/>
  <c r="Q90" i="60"/>
  <c r="O90" i="60"/>
  <c r="H90" i="60"/>
  <c r="P90" i="60"/>
  <c r="M90" i="60"/>
  <c r="L90" i="60"/>
  <c r="J90" i="60"/>
  <c r="K90" i="60"/>
  <c r="G90" i="60"/>
  <c r="F90" i="60"/>
  <c r="E90" i="60"/>
  <c r="H89" i="60"/>
  <c r="L89" i="60"/>
  <c r="V89" i="60"/>
  <c r="W89" i="60"/>
  <c r="K89" i="60"/>
  <c r="J89" i="60"/>
  <c r="O89" i="60"/>
  <c r="R89" i="60"/>
  <c r="P89" i="60"/>
  <c r="M89" i="60"/>
  <c r="H88" i="60"/>
  <c r="L88" i="60"/>
  <c r="V88" i="60"/>
  <c r="W88" i="60"/>
  <c r="K88" i="60"/>
  <c r="J88" i="60"/>
  <c r="O88" i="60"/>
  <c r="R88" i="60"/>
  <c r="P88" i="60"/>
  <c r="M88" i="60"/>
  <c r="W87" i="60"/>
  <c r="V87" i="60"/>
  <c r="T87" i="60"/>
  <c r="R87" i="60"/>
  <c r="Q87" i="60"/>
  <c r="O87" i="60"/>
  <c r="H87" i="60"/>
  <c r="P87" i="60"/>
  <c r="M87" i="60"/>
  <c r="L87" i="60"/>
  <c r="J87" i="60"/>
  <c r="K87" i="60"/>
  <c r="G87" i="60"/>
  <c r="F87" i="60"/>
  <c r="E87" i="60"/>
  <c r="H86" i="60"/>
  <c r="L86" i="60"/>
  <c r="V86" i="60"/>
  <c r="W86" i="60"/>
  <c r="K86" i="60"/>
  <c r="J86" i="60"/>
  <c r="O86" i="60"/>
  <c r="R86" i="60"/>
  <c r="P86" i="60"/>
  <c r="M86" i="60"/>
  <c r="H85" i="60"/>
  <c r="L85" i="60"/>
  <c r="V85" i="60"/>
  <c r="W85" i="60"/>
  <c r="K85" i="60"/>
  <c r="J85" i="60"/>
  <c r="O85" i="60"/>
  <c r="R85" i="60"/>
  <c r="P85" i="60"/>
  <c r="M85" i="60"/>
  <c r="H84" i="60"/>
  <c r="L84" i="60"/>
  <c r="V84" i="60"/>
  <c r="W84" i="60"/>
  <c r="K84" i="60"/>
  <c r="J84" i="60"/>
  <c r="O84" i="60"/>
  <c r="R84" i="60"/>
  <c r="P84" i="60"/>
  <c r="M84" i="60"/>
  <c r="H83" i="60"/>
  <c r="L83" i="60"/>
  <c r="V83" i="60"/>
  <c r="W83" i="60"/>
  <c r="K83" i="60"/>
  <c r="J83" i="60"/>
  <c r="O83" i="60"/>
  <c r="R83" i="60"/>
  <c r="P83" i="60"/>
  <c r="M83" i="60"/>
  <c r="H82" i="60"/>
  <c r="L82" i="60"/>
  <c r="V82" i="60"/>
  <c r="W82" i="60"/>
  <c r="K82" i="60"/>
  <c r="J82" i="60"/>
  <c r="O82" i="60"/>
  <c r="R82" i="60"/>
  <c r="P82" i="60"/>
  <c r="M82" i="60"/>
  <c r="H81" i="60"/>
  <c r="L81" i="60"/>
  <c r="V81" i="60"/>
  <c r="W81" i="60"/>
  <c r="K81" i="60"/>
  <c r="J81" i="60"/>
  <c r="O81" i="60"/>
  <c r="R81" i="60"/>
  <c r="P81" i="60"/>
  <c r="M81" i="60"/>
  <c r="H80" i="60"/>
  <c r="L80" i="60"/>
  <c r="V80" i="60"/>
  <c r="W80" i="60"/>
  <c r="K80" i="60"/>
  <c r="J80" i="60"/>
  <c r="O80" i="60"/>
  <c r="R80" i="60"/>
  <c r="P80" i="60"/>
  <c r="M80" i="60"/>
  <c r="W79" i="60"/>
  <c r="V79" i="60"/>
  <c r="T79" i="60"/>
  <c r="R79" i="60"/>
  <c r="Q79" i="60"/>
  <c r="O79" i="60"/>
  <c r="H79" i="60"/>
  <c r="P79" i="60"/>
  <c r="M79" i="60"/>
  <c r="L79" i="60"/>
  <c r="J79" i="60"/>
  <c r="K79" i="60"/>
  <c r="G79" i="60"/>
  <c r="F79" i="60"/>
  <c r="E79" i="60"/>
  <c r="H78" i="60"/>
  <c r="L78" i="60"/>
  <c r="V78" i="60"/>
  <c r="W78" i="60"/>
  <c r="K78" i="60"/>
  <c r="J78" i="60"/>
  <c r="O78" i="60"/>
  <c r="R78" i="60"/>
  <c r="P78" i="60"/>
  <c r="M78" i="60"/>
  <c r="H77" i="60"/>
  <c r="L77" i="60"/>
  <c r="V77" i="60"/>
  <c r="W77" i="60"/>
  <c r="K77" i="60"/>
  <c r="J77" i="60"/>
  <c r="O77" i="60"/>
  <c r="R77" i="60"/>
  <c r="P77" i="60"/>
  <c r="M77" i="60"/>
  <c r="H76" i="60"/>
  <c r="L76" i="60"/>
  <c r="V76" i="60"/>
  <c r="W76" i="60"/>
  <c r="K76" i="60"/>
  <c r="J76" i="60"/>
  <c r="O76" i="60"/>
  <c r="R76" i="60"/>
  <c r="P76" i="60"/>
  <c r="M76" i="60"/>
  <c r="H75" i="60"/>
  <c r="L75" i="60"/>
  <c r="V75" i="60"/>
  <c r="W75" i="60"/>
  <c r="K75" i="60"/>
  <c r="J75" i="60"/>
  <c r="O75" i="60"/>
  <c r="R75" i="60"/>
  <c r="P75" i="60"/>
  <c r="M75" i="60"/>
  <c r="H74" i="60"/>
  <c r="L74" i="60"/>
  <c r="V74" i="60"/>
  <c r="W74" i="60"/>
  <c r="K74" i="60"/>
  <c r="J74" i="60"/>
  <c r="O74" i="60"/>
  <c r="R74" i="60"/>
  <c r="P74" i="60"/>
  <c r="M74" i="60"/>
  <c r="H73" i="60"/>
  <c r="L73" i="60"/>
  <c r="V73" i="60"/>
  <c r="W73" i="60"/>
  <c r="K73" i="60"/>
  <c r="J73" i="60"/>
  <c r="O73" i="60"/>
  <c r="R73" i="60"/>
  <c r="P73" i="60"/>
  <c r="M73" i="60"/>
  <c r="H72" i="60"/>
  <c r="L72" i="60"/>
  <c r="V72" i="60"/>
  <c r="W72" i="60"/>
  <c r="K72" i="60"/>
  <c r="J72" i="60"/>
  <c r="O72" i="60"/>
  <c r="R72" i="60"/>
  <c r="P72" i="60"/>
  <c r="M72" i="60"/>
  <c r="H71" i="60"/>
  <c r="L71" i="60"/>
  <c r="V71" i="60"/>
  <c r="W71" i="60"/>
  <c r="K71" i="60"/>
  <c r="J71" i="60"/>
  <c r="O71" i="60"/>
  <c r="R71" i="60"/>
  <c r="P71" i="60"/>
  <c r="M71" i="60"/>
  <c r="H70" i="60"/>
  <c r="L70" i="60"/>
  <c r="V70" i="60"/>
  <c r="W70" i="60"/>
  <c r="K70" i="60"/>
  <c r="J70" i="60"/>
  <c r="O70" i="60"/>
  <c r="R70" i="60"/>
  <c r="P70" i="60"/>
  <c r="M70" i="60"/>
  <c r="H69" i="60"/>
  <c r="L69" i="60"/>
  <c r="V69" i="60"/>
  <c r="W69" i="60"/>
  <c r="K69" i="60"/>
  <c r="J69" i="60"/>
  <c r="O69" i="60"/>
  <c r="R69" i="60"/>
  <c r="P69" i="60"/>
  <c r="M69" i="60"/>
  <c r="W68" i="60"/>
  <c r="V68" i="60"/>
  <c r="T68" i="60"/>
  <c r="R68" i="60"/>
  <c r="Q68" i="60"/>
  <c r="O68" i="60"/>
  <c r="H68" i="60"/>
  <c r="P68" i="60"/>
  <c r="M68" i="60"/>
  <c r="L68" i="60"/>
  <c r="J68" i="60"/>
  <c r="K68" i="60"/>
  <c r="G68" i="60"/>
  <c r="F68" i="60"/>
  <c r="E68" i="60"/>
  <c r="W67" i="60"/>
  <c r="V67" i="60"/>
  <c r="T67" i="60"/>
  <c r="R67" i="60"/>
  <c r="Q67" i="60"/>
  <c r="O67" i="60"/>
  <c r="H67" i="60"/>
  <c r="P67" i="60"/>
  <c r="M67" i="60"/>
  <c r="L67" i="60"/>
  <c r="J67" i="60"/>
  <c r="K67" i="60"/>
  <c r="G67" i="60"/>
  <c r="F67" i="60"/>
  <c r="E67" i="60"/>
  <c r="H60" i="60"/>
  <c r="L60" i="60"/>
  <c r="V60" i="60"/>
  <c r="W60" i="60"/>
  <c r="K60" i="60"/>
  <c r="J60" i="60"/>
  <c r="O60" i="60"/>
  <c r="R60" i="60"/>
  <c r="P60" i="60"/>
  <c r="M60" i="60"/>
  <c r="H59" i="60"/>
  <c r="L59" i="60"/>
  <c r="V59" i="60"/>
  <c r="W59" i="60"/>
  <c r="K59" i="60"/>
  <c r="J59" i="60"/>
  <c r="O59" i="60"/>
  <c r="R59" i="60"/>
  <c r="P59" i="60"/>
  <c r="M59" i="60"/>
  <c r="H58" i="60"/>
  <c r="L58" i="60"/>
  <c r="V58" i="60"/>
  <c r="W58" i="60"/>
  <c r="K58" i="60"/>
  <c r="J58" i="60"/>
  <c r="O58" i="60"/>
  <c r="R58" i="60"/>
  <c r="P58" i="60"/>
  <c r="M58" i="60"/>
  <c r="W57" i="60"/>
  <c r="V57" i="60"/>
  <c r="T57" i="60"/>
  <c r="R57" i="60"/>
  <c r="Q57" i="60"/>
  <c r="O57" i="60"/>
  <c r="H57" i="60"/>
  <c r="P57" i="60"/>
  <c r="M57" i="60"/>
  <c r="L57" i="60"/>
  <c r="J57" i="60"/>
  <c r="K57" i="60"/>
  <c r="G57" i="60"/>
  <c r="F57" i="60"/>
  <c r="E57" i="60"/>
  <c r="H56" i="60"/>
  <c r="L56" i="60"/>
  <c r="V56" i="60"/>
  <c r="W56" i="60"/>
  <c r="K56" i="60"/>
  <c r="J56" i="60"/>
  <c r="O56" i="60"/>
  <c r="R56" i="60"/>
  <c r="P56" i="60"/>
  <c r="M56" i="60"/>
  <c r="H55" i="60"/>
  <c r="L55" i="60"/>
  <c r="V55" i="60"/>
  <c r="W55" i="60"/>
  <c r="K55" i="60"/>
  <c r="J55" i="60"/>
  <c r="O55" i="60"/>
  <c r="R55" i="60"/>
  <c r="P55" i="60"/>
  <c r="M55" i="60"/>
  <c r="H54" i="60"/>
  <c r="L54" i="60"/>
  <c r="V54" i="60"/>
  <c r="W54" i="60"/>
  <c r="K54" i="60"/>
  <c r="J54" i="60"/>
  <c r="O54" i="60"/>
  <c r="R54" i="60"/>
  <c r="P54" i="60"/>
  <c r="M54" i="60"/>
  <c r="H53" i="60"/>
  <c r="L53" i="60"/>
  <c r="V53" i="60"/>
  <c r="W53" i="60"/>
  <c r="K53" i="60"/>
  <c r="J53" i="60"/>
  <c r="O53" i="60"/>
  <c r="R53" i="60"/>
  <c r="P53" i="60"/>
  <c r="M53" i="60"/>
  <c r="H52" i="60"/>
  <c r="L52" i="60"/>
  <c r="V52" i="60"/>
  <c r="W52" i="60"/>
  <c r="K52" i="60"/>
  <c r="J52" i="60"/>
  <c r="O52" i="60"/>
  <c r="R52" i="60"/>
  <c r="P52" i="60"/>
  <c r="M52" i="60"/>
  <c r="H51" i="60"/>
  <c r="L51" i="60"/>
  <c r="V51" i="60"/>
  <c r="W51" i="60"/>
  <c r="K51" i="60"/>
  <c r="J51" i="60"/>
  <c r="O51" i="60"/>
  <c r="R51" i="60"/>
  <c r="P51" i="60"/>
  <c r="M51" i="60"/>
  <c r="H50" i="60"/>
  <c r="L50" i="60"/>
  <c r="V50" i="60"/>
  <c r="W50" i="60"/>
  <c r="K50" i="60"/>
  <c r="J50" i="60"/>
  <c r="O50" i="60"/>
  <c r="R50" i="60"/>
  <c r="P50" i="60"/>
  <c r="M50" i="60"/>
  <c r="H49" i="60"/>
  <c r="L49" i="60"/>
  <c r="V49" i="60"/>
  <c r="W49" i="60"/>
  <c r="K49" i="60"/>
  <c r="J49" i="60"/>
  <c r="O49" i="60"/>
  <c r="R49" i="60"/>
  <c r="P49" i="60"/>
  <c r="M49" i="60"/>
  <c r="H48" i="60"/>
  <c r="L48" i="60"/>
  <c r="V48" i="60"/>
  <c r="W48" i="60"/>
  <c r="K48" i="60"/>
  <c r="J48" i="60"/>
  <c r="O48" i="60"/>
  <c r="R48" i="60"/>
  <c r="P48" i="60"/>
  <c r="M48" i="60"/>
  <c r="H47" i="60"/>
  <c r="L47" i="60"/>
  <c r="V47" i="60"/>
  <c r="W47" i="60"/>
  <c r="K47" i="60"/>
  <c r="J47" i="60"/>
  <c r="O47" i="60"/>
  <c r="R47" i="60"/>
  <c r="P47" i="60"/>
  <c r="M47" i="60"/>
  <c r="H46" i="60"/>
  <c r="L46" i="60"/>
  <c r="V46" i="60"/>
  <c r="W46" i="60"/>
  <c r="K46" i="60"/>
  <c r="J46" i="60"/>
  <c r="O46" i="60"/>
  <c r="R46" i="60"/>
  <c r="P46" i="60"/>
  <c r="M46" i="60"/>
  <c r="H45" i="60"/>
  <c r="L45" i="60"/>
  <c r="V45" i="60"/>
  <c r="W45" i="60"/>
  <c r="K45" i="60"/>
  <c r="J45" i="60"/>
  <c r="O45" i="60"/>
  <c r="R45" i="60"/>
  <c r="P45" i="60"/>
  <c r="M45" i="60"/>
  <c r="H44" i="60"/>
  <c r="L44" i="60"/>
  <c r="V44" i="60"/>
  <c r="W44" i="60"/>
  <c r="K44" i="60"/>
  <c r="J44" i="60"/>
  <c r="O44" i="60"/>
  <c r="R44" i="60"/>
  <c r="P44" i="60"/>
  <c r="M44" i="60"/>
  <c r="H43" i="60"/>
  <c r="L43" i="60"/>
  <c r="V43" i="60"/>
  <c r="W43" i="60"/>
  <c r="K43" i="60"/>
  <c r="J43" i="60"/>
  <c r="O43" i="60"/>
  <c r="R43" i="60"/>
  <c r="P43" i="60"/>
  <c r="M43" i="60"/>
  <c r="H42" i="60"/>
  <c r="L42" i="60"/>
  <c r="V42" i="60"/>
  <c r="W42" i="60"/>
  <c r="K42" i="60"/>
  <c r="J42" i="60"/>
  <c r="O42" i="60"/>
  <c r="R42" i="60"/>
  <c r="P42" i="60"/>
  <c r="M42" i="60"/>
  <c r="W41" i="60"/>
  <c r="V41" i="60"/>
  <c r="T41" i="60"/>
  <c r="R41" i="60"/>
  <c r="Q41" i="60"/>
  <c r="O41" i="60"/>
  <c r="H41" i="60"/>
  <c r="P41" i="60"/>
  <c r="M41" i="60"/>
  <c r="L41" i="60"/>
  <c r="J41" i="60"/>
  <c r="K41" i="60"/>
  <c r="G41" i="60"/>
  <c r="F41" i="60"/>
  <c r="E41" i="60"/>
  <c r="H40" i="60"/>
  <c r="L40" i="60"/>
  <c r="V40" i="60"/>
  <c r="W40" i="60"/>
  <c r="K40" i="60"/>
  <c r="J40" i="60"/>
  <c r="O40" i="60"/>
  <c r="R40" i="60"/>
  <c r="P40" i="60"/>
  <c r="M40" i="60"/>
  <c r="H39" i="60"/>
  <c r="L39" i="60"/>
  <c r="V39" i="60"/>
  <c r="W39" i="60"/>
  <c r="K39" i="60"/>
  <c r="J39" i="60"/>
  <c r="O39" i="60"/>
  <c r="R39" i="60"/>
  <c r="P39" i="60"/>
  <c r="M39" i="60"/>
  <c r="W38" i="60"/>
  <c r="V38" i="60"/>
  <c r="T38" i="60"/>
  <c r="R38" i="60"/>
  <c r="Q38" i="60"/>
  <c r="O38" i="60"/>
  <c r="H38" i="60"/>
  <c r="P38" i="60"/>
  <c r="M38" i="60"/>
  <c r="L38" i="60"/>
  <c r="J38" i="60"/>
  <c r="K38" i="60"/>
  <c r="G38" i="60"/>
  <c r="F38" i="60"/>
  <c r="E38" i="60"/>
  <c r="H37" i="60"/>
  <c r="L37" i="60"/>
  <c r="V37" i="60"/>
  <c r="W37" i="60"/>
  <c r="K37" i="60"/>
  <c r="J37" i="60"/>
  <c r="O37" i="60"/>
  <c r="R37" i="60"/>
  <c r="P37" i="60"/>
  <c r="M37" i="60"/>
  <c r="H36" i="60"/>
  <c r="L36" i="60"/>
  <c r="V36" i="60"/>
  <c r="W36" i="60"/>
  <c r="K36" i="60"/>
  <c r="J36" i="60"/>
  <c r="O36" i="60"/>
  <c r="R36" i="60"/>
  <c r="P36" i="60"/>
  <c r="M36" i="60"/>
  <c r="W35" i="60"/>
  <c r="V35" i="60"/>
  <c r="T35" i="60"/>
  <c r="R35" i="60"/>
  <c r="Q35" i="60"/>
  <c r="O35" i="60"/>
  <c r="H35" i="60"/>
  <c r="P35" i="60"/>
  <c r="M35" i="60"/>
  <c r="L35" i="60"/>
  <c r="J35" i="60"/>
  <c r="K35" i="60"/>
  <c r="G35" i="60"/>
  <c r="F35" i="60"/>
  <c r="E35" i="60"/>
  <c r="H34" i="60"/>
  <c r="L34" i="60"/>
  <c r="V34" i="60"/>
  <c r="W34" i="60"/>
  <c r="K34" i="60"/>
  <c r="J34" i="60"/>
  <c r="O34" i="60"/>
  <c r="R34" i="60"/>
  <c r="P34" i="60"/>
  <c r="M34" i="60"/>
  <c r="H33" i="60"/>
  <c r="L33" i="60"/>
  <c r="V33" i="60"/>
  <c r="W33" i="60"/>
  <c r="K33" i="60"/>
  <c r="J33" i="60"/>
  <c r="O33" i="60"/>
  <c r="R33" i="60"/>
  <c r="P33" i="60"/>
  <c r="M33" i="60"/>
  <c r="H32" i="60"/>
  <c r="L32" i="60"/>
  <c r="V32" i="60"/>
  <c r="W32" i="60"/>
  <c r="K32" i="60"/>
  <c r="J32" i="60"/>
  <c r="O32" i="60"/>
  <c r="R32" i="60"/>
  <c r="P32" i="60"/>
  <c r="M32" i="60"/>
  <c r="H31" i="60"/>
  <c r="L31" i="60"/>
  <c r="V31" i="60"/>
  <c r="W31" i="60"/>
  <c r="K31" i="60"/>
  <c r="J31" i="60"/>
  <c r="O31" i="60"/>
  <c r="R31" i="60"/>
  <c r="P31" i="60"/>
  <c r="M31" i="60"/>
  <c r="H30" i="60"/>
  <c r="L30" i="60"/>
  <c r="V30" i="60"/>
  <c r="W30" i="60"/>
  <c r="K30" i="60"/>
  <c r="J30" i="60"/>
  <c r="O30" i="60"/>
  <c r="R30" i="60"/>
  <c r="P30" i="60"/>
  <c r="M30" i="60"/>
  <c r="H29" i="60"/>
  <c r="L29" i="60"/>
  <c r="V29" i="60"/>
  <c r="W29" i="60"/>
  <c r="K29" i="60"/>
  <c r="J29" i="60"/>
  <c r="O29" i="60"/>
  <c r="R29" i="60"/>
  <c r="P29" i="60"/>
  <c r="M29" i="60"/>
  <c r="H28" i="60"/>
  <c r="L28" i="60"/>
  <c r="V28" i="60"/>
  <c r="W28" i="60"/>
  <c r="K28" i="60"/>
  <c r="J28" i="60"/>
  <c r="O28" i="60"/>
  <c r="R28" i="60"/>
  <c r="P28" i="60"/>
  <c r="M28" i="60"/>
  <c r="H27" i="60"/>
  <c r="L27" i="60"/>
  <c r="V27" i="60"/>
  <c r="W27" i="60"/>
  <c r="K27" i="60"/>
  <c r="J27" i="60"/>
  <c r="O27" i="60"/>
  <c r="R27" i="60"/>
  <c r="P27" i="60"/>
  <c r="M27" i="60"/>
  <c r="H26" i="60"/>
  <c r="L26" i="60"/>
  <c r="V26" i="60"/>
  <c r="W26" i="60"/>
  <c r="K26" i="60"/>
  <c r="J26" i="60"/>
  <c r="O26" i="60"/>
  <c r="R26" i="60"/>
  <c r="P26" i="60"/>
  <c r="M26" i="60"/>
  <c r="H25" i="60"/>
  <c r="L25" i="60"/>
  <c r="V25" i="60"/>
  <c r="W25" i="60"/>
  <c r="K25" i="60"/>
  <c r="J25" i="60"/>
  <c r="O25" i="60"/>
  <c r="R25" i="60"/>
  <c r="P25" i="60"/>
  <c r="M25" i="60"/>
  <c r="W24" i="60"/>
  <c r="V24" i="60"/>
  <c r="T24" i="60"/>
  <c r="R24" i="60"/>
  <c r="Q24" i="60"/>
  <c r="O24" i="60"/>
  <c r="H24" i="60"/>
  <c r="P24" i="60"/>
  <c r="M24" i="60"/>
  <c r="L24" i="60"/>
  <c r="J24" i="60"/>
  <c r="K24" i="60"/>
  <c r="G24" i="60"/>
  <c r="F24" i="60"/>
  <c r="E24" i="60"/>
  <c r="H23" i="60"/>
  <c r="L23" i="60"/>
  <c r="V23" i="60"/>
  <c r="W23" i="60"/>
  <c r="K23" i="60"/>
  <c r="J23" i="60"/>
  <c r="O23" i="60"/>
  <c r="R23" i="60"/>
  <c r="P23" i="60"/>
  <c r="M23" i="60"/>
  <c r="H22" i="60"/>
  <c r="L22" i="60"/>
  <c r="V22" i="60"/>
  <c r="W22" i="60"/>
  <c r="K22" i="60"/>
  <c r="J22" i="60"/>
  <c r="O22" i="60"/>
  <c r="R22" i="60"/>
  <c r="P22" i="60"/>
  <c r="M22" i="60"/>
  <c r="H21" i="60"/>
  <c r="L21" i="60"/>
  <c r="V21" i="60"/>
  <c r="W21" i="60"/>
  <c r="K21" i="60"/>
  <c r="J21" i="60"/>
  <c r="O21" i="60"/>
  <c r="R21" i="60"/>
  <c r="P21" i="60"/>
  <c r="M21" i="60"/>
  <c r="H20" i="60"/>
  <c r="L20" i="60"/>
  <c r="V20" i="60"/>
  <c r="W20" i="60"/>
  <c r="K20" i="60"/>
  <c r="J20" i="60"/>
  <c r="O20" i="60"/>
  <c r="R20" i="60"/>
  <c r="P20" i="60"/>
  <c r="M20" i="60"/>
  <c r="H19" i="60"/>
  <c r="L19" i="60"/>
  <c r="V19" i="60"/>
  <c r="W19" i="60"/>
  <c r="K19" i="60"/>
  <c r="J19" i="60"/>
  <c r="O19" i="60"/>
  <c r="R19" i="60"/>
  <c r="P19" i="60"/>
  <c r="M19" i="60"/>
  <c r="H18" i="60"/>
  <c r="L18" i="60"/>
  <c r="V18" i="60"/>
  <c r="W18" i="60"/>
  <c r="K18" i="60"/>
  <c r="J18" i="60"/>
  <c r="O18" i="60"/>
  <c r="R18" i="60"/>
  <c r="P18" i="60"/>
  <c r="M18" i="60"/>
  <c r="H17" i="60"/>
  <c r="L17" i="60"/>
  <c r="V17" i="60"/>
  <c r="W17" i="60"/>
  <c r="K17" i="60"/>
  <c r="J17" i="60"/>
  <c r="O17" i="60"/>
  <c r="R17" i="60"/>
  <c r="P17" i="60"/>
  <c r="M17" i="60"/>
  <c r="H16" i="60"/>
  <c r="L16" i="60"/>
  <c r="V16" i="60"/>
  <c r="W16" i="60"/>
  <c r="K16" i="60"/>
  <c r="J16" i="60"/>
  <c r="O16" i="60"/>
  <c r="R16" i="60"/>
  <c r="P16" i="60"/>
  <c r="M16" i="60"/>
  <c r="H15" i="60"/>
  <c r="L15" i="60"/>
  <c r="V15" i="60"/>
  <c r="W15" i="60"/>
  <c r="K15" i="60"/>
  <c r="J15" i="60"/>
  <c r="O15" i="60"/>
  <c r="R15" i="60"/>
  <c r="P15" i="60"/>
  <c r="M15" i="60"/>
  <c r="H14" i="60"/>
  <c r="L14" i="60"/>
  <c r="V14" i="60"/>
  <c r="W14" i="60"/>
  <c r="K14" i="60"/>
  <c r="J14" i="60"/>
  <c r="O14" i="60"/>
  <c r="R14" i="60"/>
  <c r="P14" i="60"/>
  <c r="M14" i="60"/>
  <c r="H13" i="60"/>
  <c r="L13" i="60"/>
  <c r="V13" i="60"/>
  <c r="W13" i="60"/>
  <c r="K13" i="60"/>
  <c r="J13" i="60"/>
  <c r="O13" i="60"/>
  <c r="R13" i="60"/>
  <c r="P13" i="60"/>
  <c r="M13" i="60"/>
  <c r="W12" i="60"/>
  <c r="V12" i="60"/>
  <c r="T12" i="60"/>
  <c r="R12" i="60"/>
  <c r="Q12" i="60"/>
  <c r="O12" i="60"/>
  <c r="H12" i="60"/>
  <c r="P12" i="60"/>
  <c r="M12" i="60"/>
  <c r="L12" i="60"/>
  <c r="J12" i="60"/>
  <c r="K12" i="60"/>
  <c r="G12" i="60"/>
  <c r="F12" i="60"/>
  <c r="E12" i="60"/>
  <c r="W11" i="60"/>
  <c r="V11" i="60"/>
  <c r="T11" i="60"/>
  <c r="R11" i="60"/>
  <c r="Q11" i="60"/>
  <c r="O11" i="60"/>
  <c r="H11" i="60"/>
  <c r="P11" i="60"/>
  <c r="M11" i="60"/>
  <c r="L11" i="60"/>
  <c r="J11" i="60"/>
  <c r="K11" i="60"/>
  <c r="G11" i="60"/>
  <c r="F11" i="60"/>
  <c r="E11" i="60"/>
  <c r="H6" i="60"/>
  <c r="L6" i="60"/>
  <c r="T5" i="60"/>
  <c r="T6" i="60"/>
  <c r="V6" i="60"/>
  <c r="W6" i="60"/>
  <c r="O5" i="60"/>
  <c r="O6" i="60"/>
  <c r="R6" i="60"/>
  <c r="J5" i="60"/>
  <c r="J6" i="60"/>
  <c r="M6" i="60"/>
  <c r="G6" i="60"/>
  <c r="F6" i="60"/>
  <c r="E6" i="60"/>
  <c r="V5" i="60"/>
  <c r="W5" i="60"/>
  <c r="Q5" i="60"/>
  <c r="R5" i="60"/>
  <c r="L5" i="60"/>
  <c r="M5" i="60"/>
  <c r="H123" i="59"/>
  <c r="J123" i="59"/>
  <c r="O123" i="59"/>
  <c r="R123" i="59"/>
  <c r="P123" i="59"/>
  <c r="L123" i="59"/>
  <c r="M123" i="59"/>
  <c r="H122" i="59"/>
  <c r="J122" i="59"/>
  <c r="O122" i="59"/>
  <c r="R122" i="59"/>
  <c r="P122" i="59"/>
  <c r="L122" i="59"/>
  <c r="M122" i="59"/>
  <c r="H121" i="59"/>
  <c r="J121" i="59"/>
  <c r="O121" i="59"/>
  <c r="R121" i="59"/>
  <c r="P121" i="59"/>
  <c r="L121" i="59"/>
  <c r="M121" i="59"/>
  <c r="H120" i="59"/>
  <c r="J120" i="59"/>
  <c r="O120" i="59"/>
  <c r="R120" i="59"/>
  <c r="P120" i="59"/>
  <c r="L120" i="59"/>
  <c r="M120" i="59"/>
  <c r="W119" i="59"/>
  <c r="V119" i="59"/>
  <c r="T119" i="59"/>
  <c r="R119" i="59"/>
  <c r="Q119" i="59"/>
  <c r="O119" i="59"/>
  <c r="H119" i="59"/>
  <c r="P119" i="59"/>
  <c r="M119" i="59"/>
  <c r="L119" i="59"/>
  <c r="J119" i="59"/>
  <c r="K119" i="59"/>
  <c r="G119" i="59"/>
  <c r="F119" i="59"/>
  <c r="E119" i="59"/>
  <c r="H112" i="59"/>
  <c r="L112" i="59"/>
  <c r="V112" i="59"/>
  <c r="W112" i="59"/>
  <c r="J112" i="59"/>
  <c r="O112" i="59"/>
  <c r="R112" i="59"/>
  <c r="P112" i="59"/>
  <c r="M112" i="59"/>
  <c r="H111" i="59"/>
  <c r="L111" i="59"/>
  <c r="V111" i="59"/>
  <c r="W111" i="59"/>
  <c r="J111" i="59"/>
  <c r="O111" i="59"/>
  <c r="R111" i="59"/>
  <c r="P111" i="59"/>
  <c r="M111" i="59"/>
  <c r="H110" i="59"/>
  <c r="L110" i="59"/>
  <c r="V110" i="59"/>
  <c r="W110" i="59"/>
  <c r="J110" i="59"/>
  <c r="O110" i="59"/>
  <c r="R110" i="59"/>
  <c r="P110" i="59"/>
  <c r="M110" i="59"/>
  <c r="W109" i="59"/>
  <c r="V109" i="59"/>
  <c r="T109" i="59"/>
  <c r="R109" i="59"/>
  <c r="Q109" i="59"/>
  <c r="O109" i="59"/>
  <c r="H109" i="59"/>
  <c r="P109" i="59"/>
  <c r="M109" i="59"/>
  <c r="L109" i="59"/>
  <c r="J109" i="59"/>
  <c r="K109" i="59"/>
  <c r="G109" i="59"/>
  <c r="F109" i="59"/>
  <c r="E109" i="59"/>
  <c r="H108" i="59"/>
  <c r="L108" i="59"/>
  <c r="V108" i="59"/>
  <c r="W108" i="59"/>
  <c r="J108" i="59"/>
  <c r="O108" i="59"/>
  <c r="R108" i="59"/>
  <c r="P108" i="59"/>
  <c r="M108" i="59"/>
  <c r="H107" i="59"/>
  <c r="L107" i="59"/>
  <c r="V107" i="59"/>
  <c r="W107" i="59"/>
  <c r="J107" i="59"/>
  <c r="O107" i="59"/>
  <c r="R107" i="59"/>
  <c r="P107" i="59"/>
  <c r="M107" i="59"/>
  <c r="H106" i="59"/>
  <c r="L106" i="59"/>
  <c r="V106" i="59"/>
  <c r="W106" i="59"/>
  <c r="J106" i="59"/>
  <c r="O106" i="59"/>
  <c r="R106" i="59"/>
  <c r="P106" i="59"/>
  <c r="M106" i="59"/>
  <c r="H105" i="59"/>
  <c r="L105" i="59"/>
  <c r="V105" i="59"/>
  <c r="W105" i="59"/>
  <c r="J105" i="59"/>
  <c r="O105" i="59"/>
  <c r="R105" i="59"/>
  <c r="P105" i="59"/>
  <c r="M105" i="59"/>
  <c r="H104" i="59"/>
  <c r="L104" i="59"/>
  <c r="V104" i="59"/>
  <c r="W104" i="59"/>
  <c r="J104" i="59"/>
  <c r="O104" i="59"/>
  <c r="R104" i="59"/>
  <c r="P104" i="59"/>
  <c r="M104" i="59"/>
  <c r="H103" i="59"/>
  <c r="L103" i="59"/>
  <c r="V103" i="59"/>
  <c r="W103" i="59"/>
  <c r="J103" i="59"/>
  <c r="O103" i="59"/>
  <c r="R103" i="59"/>
  <c r="P103" i="59"/>
  <c r="M103" i="59"/>
  <c r="H102" i="59"/>
  <c r="L102" i="59"/>
  <c r="V102" i="59"/>
  <c r="W102" i="59"/>
  <c r="J102" i="59"/>
  <c r="O102" i="59"/>
  <c r="R102" i="59"/>
  <c r="P102" i="59"/>
  <c r="M102" i="59"/>
  <c r="H101" i="59"/>
  <c r="L101" i="59"/>
  <c r="V101" i="59"/>
  <c r="W101" i="59"/>
  <c r="J101" i="59"/>
  <c r="O101" i="59"/>
  <c r="R101" i="59"/>
  <c r="P101" i="59"/>
  <c r="M101" i="59"/>
  <c r="H100" i="59"/>
  <c r="L100" i="59"/>
  <c r="V100" i="59"/>
  <c r="W100" i="59"/>
  <c r="J100" i="59"/>
  <c r="O100" i="59"/>
  <c r="R100" i="59"/>
  <c r="P100" i="59"/>
  <c r="M100" i="59"/>
  <c r="H99" i="59"/>
  <c r="L99" i="59"/>
  <c r="V99" i="59"/>
  <c r="W99" i="59"/>
  <c r="J99" i="59"/>
  <c r="O99" i="59"/>
  <c r="R99" i="59"/>
  <c r="P99" i="59"/>
  <c r="M99" i="59"/>
  <c r="H98" i="59"/>
  <c r="L98" i="59"/>
  <c r="V98" i="59"/>
  <c r="W98" i="59"/>
  <c r="J98" i="59"/>
  <c r="O98" i="59"/>
  <c r="R98" i="59"/>
  <c r="P98" i="59"/>
  <c r="M98" i="59"/>
  <c r="H97" i="59"/>
  <c r="L97" i="59"/>
  <c r="V97" i="59"/>
  <c r="W97" i="59"/>
  <c r="J97" i="59"/>
  <c r="O97" i="59"/>
  <c r="R97" i="59"/>
  <c r="P97" i="59"/>
  <c r="M97" i="59"/>
  <c r="H96" i="59"/>
  <c r="L96" i="59"/>
  <c r="V96" i="59"/>
  <c r="W96" i="59"/>
  <c r="J96" i="59"/>
  <c r="O96" i="59"/>
  <c r="R96" i="59"/>
  <c r="P96" i="59"/>
  <c r="M96" i="59"/>
  <c r="H95" i="59"/>
  <c r="L95" i="59"/>
  <c r="V95" i="59"/>
  <c r="W95" i="59"/>
  <c r="J95" i="59"/>
  <c r="O95" i="59"/>
  <c r="R95" i="59"/>
  <c r="P95" i="59"/>
  <c r="M95" i="59"/>
  <c r="H94" i="59"/>
  <c r="L94" i="59"/>
  <c r="V94" i="59"/>
  <c r="W94" i="59"/>
  <c r="J94" i="59"/>
  <c r="O94" i="59"/>
  <c r="R94" i="59"/>
  <c r="P94" i="59"/>
  <c r="M94" i="59"/>
  <c r="W93" i="59"/>
  <c r="V93" i="59"/>
  <c r="T93" i="59"/>
  <c r="R93" i="59"/>
  <c r="Q93" i="59"/>
  <c r="O93" i="59"/>
  <c r="H93" i="59"/>
  <c r="P93" i="59"/>
  <c r="M93" i="59"/>
  <c r="L93" i="59"/>
  <c r="J93" i="59"/>
  <c r="K93" i="59"/>
  <c r="G93" i="59"/>
  <c r="F93" i="59"/>
  <c r="E93" i="59"/>
  <c r="H92" i="59"/>
  <c r="L92" i="59"/>
  <c r="V92" i="59"/>
  <c r="W92" i="59"/>
  <c r="J92" i="59"/>
  <c r="O92" i="59"/>
  <c r="R92" i="59"/>
  <c r="P92" i="59"/>
  <c r="M92" i="59"/>
  <c r="H91" i="59"/>
  <c r="L91" i="59"/>
  <c r="V91" i="59"/>
  <c r="W91" i="59"/>
  <c r="J91" i="59"/>
  <c r="O91" i="59"/>
  <c r="R91" i="59"/>
  <c r="P91" i="59"/>
  <c r="M91" i="59"/>
  <c r="W90" i="59"/>
  <c r="V90" i="59"/>
  <c r="T90" i="59"/>
  <c r="R90" i="59"/>
  <c r="Q90" i="59"/>
  <c r="O90" i="59"/>
  <c r="H90" i="59"/>
  <c r="P90" i="59"/>
  <c r="M90" i="59"/>
  <c r="L90" i="59"/>
  <c r="J90" i="59"/>
  <c r="K90" i="59"/>
  <c r="G90" i="59"/>
  <c r="F90" i="59"/>
  <c r="E90" i="59"/>
  <c r="H89" i="59"/>
  <c r="L89" i="59"/>
  <c r="V89" i="59"/>
  <c r="W89" i="59"/>
  <c r="J89" i="59"/>
  <c r="O89" i="59"/>
  <c r="R89" i="59"/>
  <c r="P89" i="59"/>
  <c r="M89" i="59"/>
  <c r="H88" i="59"/>
  <c r="L88" i="59"/>
  <c r="V88" i="59"/>
  <c r="W88" i="59"/>
  <c r="J88" i="59"/>
  <c r="O88" i="59"/>
  <c r="R88" i="59"/>
  <c r="P88" i="59"/>
  <c r="M88" i="59"/>
  <c r="W87" i="59"/>
  <c r="V87" i="59"/>
  <c r="T87" i="59"/>
  <c r="R87" i="59"/>
  <c r="Q87" i="59"/>
  <c r="O87" i="59"/>
  <c r="H87" i="59"/>
  <c r="P87" i="59"/>
  <c r="M87" i="59"/>
  <c r="L87" i="59"/>
  <c r="J87" i="59"/>
  <c r="K87" i="59"/>
  <c r="G87" i="59"/>
  <c r="F87" i="59"/>
  <c r="E87" i="59"/>
  <c r="H86" i="59"/>
  <c r="L86" i="59"/>
  <c r="V86" i="59"/>
  <c r="W86" i="59"/>
  <c r="J86" i="59"/>
  <c r="O86" i="59"/>
  <c r="R86" i="59"/>
  <c r="P86" i="59"/>
  <c r="M86" i="59"/>
  <c r="H85" i="59"/>
  <c r="L85" i="59"/>
  <c r="V85" i="59"/>
  <c r="W85" i="59"/>
  <c r="J85" i="59"/>
  <c r="O85" i="59"/>
  <c r="R85" i="59"/>
  <c r="P85" i="59"/>
  <c r="M85" i="59"/>
  <c r="H84" i="59"/>
  <c r="L84" i="59"/>
  <c r="V84" i="59"/>
  <c r="W84" i="59"/>
  <c r="J84" i="59"/>
  <c r="O84" i="59"/>
  <c r="R84" i="59"/>
  <c r="P84" i="59"/>
  <c r="M84" i="59"/>
  <c r="H83" i="59"/>
  <c r="L83" i="59"/>
  <c r="V83" i="59"/>
  <c r="W83" i="59"/>
  <c r="J83" i="59"/>
  <c r="O83" i="59"/>
  <c r="R83" i="59"/>
  <c r="P83" i="59"/>
  <c r="M83" i="59"/>
  <c r="H82" i="59"/>
  <c r="L82" i="59"/>
  <c r="V82" i="59"/>
  <c r="W82" i="59"/>
  <c r="J82" i="59"/>
  <c r="O82" i="59"/>
  <c r="R82" i="59"/>
  <c r="P82" i="59"/>
  <c r="M82" i="59"/>
  <c r="H81" i="59"/>
  <c r="L81" i="59"/>
  <c r="V81" i="59"/>
  <c r="W81" i="59"/>
  <c r="J81" i="59"/>
  <c r="O81" i="59"/>
  <c r="R81" i="59"/>
  <c r="P81" i="59"/>
  <c r="M81" i="59"/>
  <c r="H80" i="59"/>
  <c r="L80" i="59"/>
  <c r="V80" i="59"/>
  <c r="W80" i="59"/>
  <c r="J80" i="59"/>
  <c r="O80" i="59"/>
  <c r="R80" i="59"/>
  <c r="P80" i="59"/>
  <c r="M80" i="59"/>
  <c r="W79" i="59"/>
  <c r="V79" i="59"/>
  <c r="T79" i="59"/>
  <c r="R79" i="59"/>
  <c r="Q79" i="59"/>
  <c r="O79" i="59"/>
  <c r="H79" i="59"/>
  <c r="P79" i="59"/>
  <c r="M79" i="59"/>
  <c r="L79" i="59"/>
  <c r="J79" i="59"/>
  <c r="K79" i="59"/>
  <c r="G79" i="59"/>
  <c r="F79" i="59"/>
  <c r="E79" i="59"/>
  <c r="H78" i="59"/>
  <c r="L78" i="59"/>
  <c r="V78" i="59"/>
  <c r="W78" i="59"/>
  <c r="J78" i="59"/>
  <c r="O78" i="59"/>
  <c r="R78" i="59"/>
  <c r="P78" i="59"/>
  <c r="M78" i="59"/>
  <c r="H77" i="59"/>
  <c r="L77" i="59"/>
  <c r="V77" i="59"/>
  <c r="W77" i="59"/>
  <c r="J77" i="59"/>
  <c r="O77" i="59"/>
  <c r="R77" i="59"/>
  <c r="P77" i="59"/>
  <c r="M77" i="59"/>
  <c r="H76" i="59"/>
  <c r="L76" i="59"/>
  <c r="V76" i="59"/>
  <c r="W76" i="59"/>
  <c r="J76" i="59"/>
  <c r="O76" i="59"/>
  <c r="R76" i="59"/>
  <c r="P76" i="59"/>
  <c r="M76" i="59"/>
  <c r="H75" i="59"/>
  <c r="L75" i="59"/>
  <c r="V75" i="59"/>
  <c r="W75" i="59"/>
  <c r="J75" i="59"/>
  <c r="O75" i="59"/>
  <c r="R75" i="59"/>
  <c r="P75" i="59"/>
  <c r="M75" i="59"/>
  <c r="H74" i="59"/>
  <c r="L74" i="59"/>
  <c r="V74" i="59"/>
  <c r="W74" i="59"/>
  <c r="J74" i="59"/>
  <c r="O74" i="59"/>
  <c r="R74" i="59"/>
  <c r="P74" i="59"/>
  <c r="M74" i="59"/>
  <c r="H73" i="59"/>
  <c r="L73" i="59"/>
  <c r="V73" i="59"/>
  <c r="W73" i="59"/>
  <c r="J73" i="59"/>
  <c r="O73" i="59"/>
  <c r="R73" i="59"/>
  <c r="P73" i="59"/>
  <c r="M73" i="59"/>
  <c r="H72" i="59"/>
  <c r="L72" i="59"/>
  <c r="V72" i="59"/>
  <c r="W72" i="59"/>
  <c r="J72" i="59"/>
  <c r="O72" i="59"/>
  <c r="R72" i="59"/>
  <c r="P72" i="59"/>
  <c r="M72" i="59"/>
  <c r="H71" i="59"/>
  <c r="L71" i="59"/>
  <c r="V71" i="59"/>
  <c r="W71" i="59"/>
  <c r="J71" i="59"/>
  <c r="O71" i="59"/>
  <c r="R71" i="59"/>
  <c r="P71" i="59"/>
  <c r="M71" i="59"/>
  <c r="H70" i="59"/>
  <c r="L70" i="59"/>
  <c r="V70" i="59"/>
  <c r="W70" i="59"/>
  <c r="J70" i="59"/>
  <c r="O70" i="59"/>
  <c r="R70" i="59"/>
  <c r="P70" i="59"/>
  <c r="M70" i="59"/>
  <c r="H69" i="59"/>
  <c r="L69" i="59"/>
  <c r="V69" i="59"/>
  <c r="W69" i="59"/>
  <c r="J69" i="59"/>
  <c r="O69" i="59"/>
  <c r="R69" i="59"/>
  <c r="P69" i="59"/>
  <c r="M69" i="59"/>
  <c r="W68" i="59"/>
  <c r="V68" i="59"/>
  <c r="T68" i="59"/>
  <c r="R68" i="59"/>
  <c r="Q68" i="59"/>
  <c r="O68" i="59"/>
  <c r="H68" i="59"/>
  <c r="P68" i="59"/>
  <c r="M68" i="59"/>
  <c r="L68" i="59"/>
  <c r="J68" i="59"/>
  <c r="K68" i="59"/>
  <c r="G68" i="59"/>
  <c r="F68" i="59"/>
  <c r="E68" i="59"/>
  <c r="W67" i="59"/>
  <c r="V67" i="59"/>
  <c r="T67" i="59"/>
  <c r="R67" i="59"/>
  <c r="Q67" i="59"/>
  <c r="O67" i="59"/>
  <c r="H67" i="59"/>
  <c r="P67" i="59"/>
  <c r="M67" i="59"/>
  <c r="L67" i="59"/>
  <c r="J67" i="59"/>
  <c r="K67" i="59"/>
  <c r="G67" i="59"/>
  <c r="F67" i="59"/>
  <c r="E67" i="59"/>
  <c r="H60" i="59"/>
  <c r="L60" i="59"/>
  <c r="V60" i="59"/>
  <c r="W60" i="59"/>
  <c r="J60" i="59"/>
  <c r="O60" i="59"/>
  <c r="R60" i="59"/>
  <c r="P60" i="59"/>
  <c r="M60" i="59"/>
  <c r="H59" i="59"/>
  <c r="L59" i="59"/>
  <c r="V59" i="59"/>
  <c r="W59" i="59"/>
  <c r="J59" i="59"/>
  <c r="O59" i="59"/>
  <c r="R59" i="59"/>
  <c r="P59" i="59"/>
  <c r="M59" i="59"/>
  <c r="H58" i="59"/>
  <c r="L58" i="59"/>
  <c r="V58" i="59"/>
  <c r="W58" i="59"/>
  <c r="J58" i="59"/>
  <c r="O58" i="59"/>
  <c r="R58" i="59"/>
  <c r="P58" i="59"/>
  <c r="M58" i="59"/>
  <c r="W57" i="59"/>
  <c r="V57" i="59"/>
  <c r="T57" i="59"/>
  <c r="R57" i="59"/>
  <c r="Q57" i="59"/>
  <c r="O57" i="59"/>
  <c r="H57" i="59"/>
  <c r="P57" i="59"/>
  <c r="M57" i="59"/>
  <c r="L57" i="59"/>
  <c r="J57" i="59"/>
  <c r="K57" i="59"/>
  <c r="G57" i="59"/>
  <c r="F57" i="59"/>
  <c r="E57" i="59"/>
  <c r="H56" i="59"/>
  <c r="L56" i="59"/>
  <c r="V56" i="59"/>
  <c r="W56" i="59"/>
  <c r="J56" i="59"/>
  <c r="O56" i="59"/>
  <c r="R56" i="59"/>
  <c r="P56" i="59"/>
  <c r="M56" i="59"/>
  <c r="H55" i="59"/>
  <c r="L55" i="59"/>
  <c r="V55" i="59"/>
  <c r="W55" i="59"/>
  <c r="J55" i="59"/>
  <c r="O55" i="59"/>
  <c r="R55" i="59"/>
  <c r="P55" i="59"/>
  <c r="M55" i="59"/>
  <c r="H54" i="59"/>
  <c r="L54" i="59"/>
  <c r="V54" i="59"/>
  <c r="W54" i="59"/>
  <c r="J54" i="59"/>
  <c r="O54" i="59"/>
  <c r="R54" i="59"/>
  <c r="P54" i="59"/>
  <c r="M54" i="59"/>
  <c r="H53" i="59"/>
  <c r="L53" i="59"/>
  <c r="V53" i="59"/>
  <c r="W53" i="59"/>
  <c r="J53" i="59"/>
  <c r="O53" i="59"/>
  <c r="R53" i="59"/>
  <c r="P53" i="59"/>
  <c r="M53" i="59"/>
  <c r="H52" i="59"/>
  <c r="L52" i="59"/>
  <c r="V52" i="59"/>
  <c r="W52" i="59"/>
  <c r="J52" i="59"/>
  <c r="O52" i="59"/>
  <c r="R52" i="59"/>
  <c r="P52" i="59"/>
  <c r="M52" i="59"/>
  <c r="H51" i="59"/>
  <c r="L51" i="59"/>
  <c r="V51" i="59"/>
  <c r="W51" i="59"/>
  <c r="J51" i="59"/>
  <c r="O51" i="59"/>
  <c r="R51" i="59"/>
  <c r="P51" i="59"/>
  <c r="M51" i="59"/>
  <c r="H50" i="59"/>
  <c r="L50" i="59"/>
  <c r="V50" i="59"/>
  <c r="W50" i="59"/>
  <c r="J50" i="59"/>
  <c r="O50" i="59"/>
  <c r="R50" i="59"/>
  <c r="P50" i="59"/>
  <c r="M50" i="59"/>
  <c r="H49" i="59"/>
  <c r="L49" i="59"/>
  <c r="V49" i="59"/>
  <c r="W49" i="59"/>
  <c r="J49" i="59"/>
  <c r="O49" i="59"/>
  <c r="R49" i="59"/>
  <c r="P49" i="59"/>
  <c r="M49" i="59"/>
  <c r="H48" i="59"/>
  <c r="L48" i="59"/>
  <c r="V48" i="59"/>
  <c r="W48" i="59"/>
  <c r="J48" i="59"/>
  <c r="O48" i="59"/>
  <c r="R48" i="59"/>
  <c r="P48" i="59"/>
  <c r="M48" i="59"/>
  <c r="H47" i="59"/>
  <c r="L47" i="59"/>
  <c r="V47" i="59"/>
  <c r="W47" i="59"/>
  <c r="J47" i="59"/>
  <c r="O47" i="59"/>
  <c r="R47" i="59"/>
  <c r="P47" i="59"/>
  <c r="M47" i="59"/>
  <c r="H46" i="59"/>
  <c r="L46" i="59"/>
  <c r="V46" i="59"/>
  <c r="W46" i="59"/>
  <c r="J46" i="59"/>
  <c r="O46" i="59"/>
  <c r="R46" i="59"/>
  <c r="P46" i="59"/>
  <c r="M46" i="59"/>
  <c r="H45" i="59"/>
  <c r="L45" i="59"/>
  <c r="V45" i="59"/>
  <c r="W45" i="59"/>
  <c r="J45" i="59"/>
  <c r="O45" i="59"/>
  <c r="R45" i="59"/>
  <c r="P45" i="59"/>
  <c r="M45" i="59"/>
  <c r="H44" i="59"/>
  <c r="L44" i="59"/>
  <c r="V44" i="59"/>
  <c r="W44" i="59"/>
  <c r="J44" i="59"/>
  <c r="O44" i="59"/>
  <c r="R44" i="59"/>
  <c r="P44" i="59"/>
  <c r="M44" i="59"/>
  <c r="H43" i="59"/>
  <c r="L43" i="59"/>
  <c r="V43" i="59"/>
  <c r="W43" i="59"/>
  <c r="J43" i="59"/>
  <c r="O43" i="59"/>
  <c r="R43" i="59"/>
  <c r="P43" i="59"/>
  <c r="M43" i="59"/>
  <c r="H42" i="59"/>
  <c r="L42" i="59"/>
  <c r="V42" i="59"/>
  <c r="W42" i="59"/>
  <c r="J42" i="59"/>
  <c r="O42" i="59"/>
  <c r="R42" i="59"/>
  <c r="P42" i="59"/>
  <c r="M42" i="59"/>
  <c r="W41" i="59"/>
  <c r="V41" i="59"/>
  <c r="T41" i="59"/>
  <c r="R41" i="59"/>
  <c r="Q41" i="59"/>
  <c r="O41" i="59"/>
  <c r="H41" i="59"/>
  <c r="P41" i="59"/>
  <c r="M41" i="59"/>
  <c r="L41" i="59"/>
  <c r="J41" i="59"/>
  <c r="K41" i="59"/>
  <c r="G41" i="59"/>
  <c r="F41" i="59"/>
  <c r="E41" i="59"/>
  <c r="H40" i="59"/>
  <c r="L40" i="59"/>
  <c r="V40" i="59"/>
  <c r="W40" i="59"/>
  <c r="J40" i="59"/>
  <c r="O40" i="59"/>
  <c r="R40" i="59"/>
  <c r="P40" i="59"/>
  <c r="M40" i="59"/>
  <c r="H39" i="59"/>
  <c r="L39" i="59"/>
  <c r="V39" i="59"/>
  <c r="W39" i="59"/>
  <c r="J39" i="59"/>
  <c r="O39" i="59"/>
  <c r="R39" i="59"/>
  <c r="P39" i="59"/>
  <c r="M39" i="59"/>
  <c r="W38" i="59"/>
  <c r="V38" i="59"/>
  <c r="T38" i="59"/>
  <c r="R38" i="59"/>
  <c r="Q38" i="59"/>
  <c r="O38" i="59"/>
  <c r="H38" i="59"/>
  <c r="P38" i="59"/>
  <c r="M38" i="59"/>
  <c r="L38" i="59"/>
  <c r="J38" i="59"/>
  <c r="K38" i="59"/>
  <c r="G38" i="59"/>
  <c r="F38" i="59"/>
  <c r="E38" i="59"/>
  <c r="H37" i="59"/>
  <c r="L37" i="59"/>
  <c r="V37" i="59"/>
  <c r="W37" i="59"/>
  <c r="J37" i="59"/>
  <c r="O37" i="59"/>
  <c r="R37" i="59"/>
  <c r="P37" i="59"/>
  <c r="M37" i="59"/>
  <c r="H36" i="59"/>
  <c r="L36" i="59"/>
  <c r="V36" i="59"/>
  <c r="W36" i="59"/>
  <c r="J36" i="59"/>
  <c r="O36" i="59"/>
  <c r="R36" i="59"/>
  <c r="P36" i="59"/>
  <c r="M36" i="59"/>
  <c r="W35" i="59"/>
  <c r="V35" i="59"/>
  <c r="T35" i="59"/>
  <c r="R35" i="59"/>
  <c r="Q35" i="59"/>
  <c r="O35" i="59"/>
  <c r="H35" i="59"/>
  <c r="P35" i="59"/>
  <c r="M35" i="59"/>
  <c r="L35" i="59"/>
  <c r="J35" i="59"/>
  <c r="K35" i="59"/>
  <c r="G35" i="59"/>
  <c r="F35" i="59"/>
  <c r="E35" i="59"/>
  <c r="H34" i="59"/>
  <c r="L34" i="59"/>
  <c r="V34" i="59"/>
  <c r="W34" i="59"/>
  <c r="J34" i="59"/>
  <c r="O34" i="59"/>
  <c r="R34" i="59"/>
  <c r="P34" i="59"/>
  <c r="M34" i="59"/>
  <c r="H33" i="59"/>
  <c r="L33" i="59"/>
  <c r="V33" i="59"/>
  <c r="W33" i="59"/>
  <c r="J33" i="59"/>
  <c r="O33" i="59"/>
  <c r="R33" i="59"/>
  <c r="P33" i="59"/>
  <c r="M33" i="59"/>
  <c r="H32" i="59"/>
  <c r="L32" i="59"/>
  <c r="V32" i="59"/>
  <c r="W32" i="59"/>
  <c r="J32" i="59"/>
  <c r="O32" i="59"/>
  <c r="R32" i="59"/>
  <c r="P32" i="59"/>
  <c r="M32" i="59"/>
  <c r="H31" i="59"/>
  <c r="L31" i="59"/>
  <c r="V31" i="59"/>
  <c r="W31" i="59"/>
  <c r="J31" i="59"/>
  <c r="O31" i="59"/>
  <c r="R31" i="59"/>
  <c r="P31" i="59"/>
  <c r="M31" i="59"/>
  <c r="H30" i="59"/>
  <c r="L30" i="59"/>
  <c r="V30" i="59"/>
  <c r="W30" i="59"/>
  <c r="J30" i="59"/>
  <c r="O30" i="59"/>
  <c r="R30" i="59"/>
  <c r="P30" i="59"/>
  <c r="M30" i="59"/>
  <c r="H29" i="59"/>
  <c r="L29" i="59"/>
  <c r="V29" i="59"/>
  <c r="W29" i="59"/>
  <c r="J29" i="59"/>
  <c r="O29" i="59"/>
  <c r="R29" i="59"/>
  <c r="P29" i="59"/>
  <c r="M29" i="59"/>
  <c r="H28" i="59"/>
  <c r="L28" i="59"/>
  <c r="V28" i="59"/>
  <c r="W28" i="59"/>
  <c r="J28" i="59"/>
  <c r="O28" i="59"/>
  <c r="R28" i="59"/>
  <c r="P28" i="59"/>
  <c r="M28" i="59"/>
  <c r="H27" i="59"/>
  <c r="L27" i="59"/>
  <c r="V27" i="59"/>
  <c r="W27" i="59"/>
  <c r="J27" i="59"/>
  <c r="O27" i="59"/>
  <c r="R27" i="59"/>
  <c r="P27" i="59"/>
  <c r="M27" i="59"/>
  <c r="H26" i="59"/>
  <c r="L26" i="59"/>
  <c r="V26" i="59"/>
  <c r="W26" i="59"/>
  <c r="J26" i="59"/>
  <c r="O26" i="59"/>
  <c r="R26" i="59"/>
  <c r="P26" i="59"/>
  <c r="M26" i="59"/>
  <c r="H25" i="59"/>
  <c r="L25" i="59"/>
  <c r="V25" i="59"/>
  <c r="W25" i="59"/>
  <c r="J25" i="59"/>
  <c r="O25" i="59"/>
  <c r="R25" i="59"/>
  <c r="P25" i="59"/>
  <c r="M25" i="59"/>
  <c r="W24" i="59"/>
  <c r="V24" i="59"/>
  <c r="T24" i="59"/>
  <c r="R24" i="59"/>
  <c r="Q24" i="59"/>
  <c r="O24" i="59"/>
  <c r="H24" i="59"/>
  <c r="P24" i="59"/>
  <c r="M24" i="59"/>
  <c r="L24" i="59"/>
  <c r="J24" i="59"/>
  <c r="K24" i="59"/>
  <c r="G24" i="59"/>
  <c r="F24" i="59"/>
  <c r="E24" i="59"/>
  <c r="H23" i="59"/>
  <c r="L23" i="59"/>
  <c r="V23" i="59"/>
  <c r="W23" i="59"/>
  <c r="J23" i="59"/>
  <c r="O23" i="59"/>
  <c r="R23" i="59"/>
  <c r="P23" i="59"/>
  <c r="M23" i="59"/>
  <c r="H22" i="59"/>
  <c r="L22" i="59"/>
  <c r="V22" i="59"/>
  <c r="W22" i="59"/>
  <c r="J22" i="59"/>
  <c r="O22" i="59"/>
  <c r="R22" i="59"/>
  <c r="P22" i="59"/>
  <c r="M22" i="59"/>
  <c r="H21" i="59"/>
  <c r="L21" i="59"/>
  <c r="V21" i="59"/>
  <c r="W21" i="59"/>
  <c r="J21" i="59"/>
  <c r="O21" i="59"/>
  <c r="R21" i="59"/>
  <c r="P21" i="59"/>
  <c r="M21" i="59"/>
  <c r="H20" i="59"/>
  <c r="L20" i="59"/>
  <c r="V20" i="59"/>
  <c r="W20" i="59"/>
  <c r="J20" i="59"/>
  <c r="O20" i="59"/>
  <c r="R20" i="59"/>
  <c r="P20" i="59"/>
  <c r="M20" i="59"/>
  <c r="H19" i="59"/>
  <c r="L19" i="59"/>
  <c r="V19" i="59"/>
  <c r="W19" i="59"/>
  <c r="J19" i="59"/>
  <c r="O19" i="59"/>
  <c r="R19" i="59"/>
  <c r="P19" i="59"/>
  <c r="M19" i="59"/>
  <c r="H18" i="59"/>
  <c r="L18" i="59"/>
  <c r="V18" i="59"/>
  <c r="W18" i="59"/>
  <c r="J18" i="59"/>
  <c r="O18" i="59"/>
  <c r="R18" i="59"/>
  <c r="P18" i="59"/>
  <c r="M18" i="59"/>
  <c r="H17" i="59"/>
  <c r="L17" i="59"/>
  <c r="V17" i="59"/>
  <c r="W17" i="59"/>
  <c r="J17" i="59"/>
  <c r="O17" i="59"/>
  <c r="R17" i="59"/>
  <c r="P17" i="59"/>
  <c r="M17" i="59"/>
  <c r="H16" i="59"/>
  <c r="L16" i="59"/>
  <c r="V16" i="59"/>
  <c r="W16" i="59"/>
  <c r="J16" i="59"/>
  <c r="O16" i="59"/>
  <c r="R16" i="59"/>
  <c r="P16" i="59"/>
  <c r="M16" i="59"/>
  <c r="H15" i="59"/>
  <c r="L15" i="59"/>
  <c r="V15" i="59"/>
  <c r="W15" i="59"/>
  <c r="J15" i="59"/>
  <c r="O15" i="59"/>
  <c r="R15" i="59"/>
  <c r="P15" i="59"/>
  <c r="M15" i="59"/>
  <c r="H14" i="59"/>
  <c r="L14" i="59"/>
  <c r="V14" i="59"/>
  <c r="W14" i="59"/>
  <c r="J14" i="59"/>
  <c r="O14" i="59"/>
  <c r="R14" i="59"/>
  <c r="P14" i="59"/>
  <c r="M14" i="59"/>
  <c r="H13" i="59"/>
  <c r="L13" i="59"/>
  <c r="V13" i="59"/>
  <c r="W13" i="59"/>
  <c r="J13" i="59"/>
  <c r="O13" i="59"/>
  <c r="R13" i="59"/>
  <c r="P13" i="59"/>
  <c r="M13" i="59"/>
  <c r="W12" i="59"/>
  <c r="V12" i="59"/>
  <c r="T12" i="59"/>
  <c r="R12" i="59"/>
  <c r="Q12" i="59"/>
  <c r="O12" i="59"/>
  <c r="H12" i="59"/>
  <c r="P12" i="59"/>
  <c r="M12" i="59"/>
  <c r="L12" i="59"/>
  <c r="J12" i="59"/>
  <c r="K12" i="59"/>
  <c r="G12" i="59"/>
  <c r="F12" i="59"/>
  <c r="E12" i="59"/>
  <c r="W11" i="59"/>
  <c r="V11" i="59"/>
  <c r="T11" i="59"/>
  <c r="R11" i="59"/>
  <c r="Q11" i="59"/>
  <c r="O11" i="59"/>
  <c r="H11" i="59"/>
  <c r="P11" i="59"/>
  <c r="M11" i="59"/>
  <c r="L11" i="59"/>
  <c r="J11" i="59"/>
  <c r="K11" i="59"/>
  <c r="G11" i="59"/>
  <c r="F11" i="59"/>
  <c r="E11" i="59"/>
  <c r="H6" i="59"/>
  <c r="L6" i="59"/>
  <c r="T5" i="59"/>
  <c r="T6" i="59"/>
  <c r="V6" i="59"/>
  <c r="W6" i="59"/>
  <c r="O5" i="59"/>
  <c r="O6" i="59"/>
  <c r="R6" i="59"/>
  <c r="J5" i="59"/>
  <c r="J6" i="59"/>
  <c r="M6" i="59"/>
  <c r="G6" i="59"/>
  <c r="F6" i="59"/>
  <c r="E6" i="59"/>
  <c r="V5" i="59"/>
  <c r="W5" i="59"/>
  <c r="Q5" i="59"/>
  <c r="R5" i="59"/>
  <c r="L5" i="59"/>
  <c r="M5" i="59"/>
  <c r="H154" i="58"/>
  <c r="J154" i="58"/>
  <c r="O154" i="58"/>
  <c r="R154" i="58"/>
  <c r="P154" i="58"/>
  <c r="L154" i="58"/>
  <c r="M154" i="58"/>
  <c r="H153" i="58"/>
  <c r="J153" i="58"/>
  <c r="O153" i="58"/>
  <c r="R153" i="58"/>
  <c r="P153" i="58"/>
  <c r="L153" i="58"/>
  <c r="M153" i="58"/>
  <c r="H152" i="58"/>
  <c r="J152" i="58"/>
  <c r="O152" i="58"/>
  <c r="R152" i="58"/>
  <c r="P152" i="58"/>
  <c r="L152" i="58"/>
  <c r="M152" i="58"/>
  <c r="H151" i="58"/>
  <c r="J151" i="58"/>
  <c r="O151" i="58"/>
  <c r="R151" i="58"/>
  <c r="P151" i="58"/>
  <c r="L151" i="58"/>
  <c r="M151" i="58"/>
  <c r="H150" i="58"/>
  <c r="J150" i="58"/>
  <c r="O150" i="58"/>
  <c r="R150" i="58"/>
  <c r="P150" i="58"/>
  <c r="L150" i="58"/>
  <c r="M150" i="58"/>
  <c r="H149" i="58"/>
  <c r="J149" i="58"/>
  <c r="O149" i="58"/>
  <c r="R149" i="58"/>
  <c r="P149" i="58"/>
  <c r="L149" i="58"/>
  <c r="M149" i="58"/>
  <c r="H148" i="58"/>
  <c r="J148" i="58"/>
  <c r="O148" i="58"/>
  <c r="R148" i="58"/>
  <c r="P148" i="58"/>
  <c r="L148" i="58"/>
  <c r="M148" i="58"/>
  <c r="H147" i="58"/>
  <c r="J147" i="58"/>
  <c r="O147" i="58"/>
  <c r="R147" i="58"/>
  <c r="P147" i="58"/>
  <c r="L147" i="58"/>
  <c r="M147" i="58"/>
  <c r="H146" i="58"/>
  <c r="J146" i="58"/>
  <c r="O146" i="58"/>
  <c r="R146" i="58"/>
  <c r="P146" i="58"/>
  <c r="L146" i="58"/>
  <c r="M146" i="58"/>
  <c r="H145" i="58"/>
  <c r="J145" i="58"/>
  <c r="O145" i="58"/>
  <c r="R145" i="58"/>
  <c r="P145" i="58"/>
  <c r="L145" i="58"/>
  <c r="M145" i="58"/>
  <c r="H144" i="58"/>
  <c r="J144" i="58"/>
  <c r="O144" i="58"/>
  <c r="R144" i="58"/>
  <c r="P144" i="58"/>
  <c r="L144" i="58"/>
  <c r="M144" i="58"/>
  <c r="H143" i="58"/>
  <c r="J143" i="58"/>
  <c r="O143" i="58"/>
  <c r="R143" i="58"/>
  <c r="P143" i="58"/>
  <c r="L143" i="58"/>
  <c r="M143" i="58"/>
  <c r="H142" i="58"/>
  <c r="J142" i="58"/>
  <c r="O142" i="58"/>
  <c r="R142" i="58"/>
  <c r="P142" i="58"/>
  <c r="L142" i="58"/>
  <c r="M142" i="58"/>
  <c r="H141" i="58"/>
  <c r="J141" i="58"/>
  <c r="O141" i="58"/>
  <c r="R141" i="58"/>
  <c r="P141" i="58"/>
  <c r="L141" i="58"/>
  <c r="M141" i="58"/>
  <c r="H140" i="58"/>
  <c r="J140" i="58"/>
  <c r="O140" i="58"/>
  <c r="R140" i="58"/>
  <c r="P140" i="58"/>
  <c r="L140" i="58"/>
  <c r="M140" i="58"/>
  <c r="H139" i="58"/>
  <c r="J139" i="58"/>
  <c r="O139" i="58"/>
  <c r="R139" i="58"/>
  <c r="P139" i="58"/>
  <c r="L139" i="58"/>
  <c r="M139" i="58"/>
  <c r="H138" i="58"/>
  <c r="J138" i="58"/>
  <c r="O138" i="58"/>
  <c r="R138" i="58"/>
  <c r="P138" i="58"/>
  <c r="L138" i="58"/>
  <c r="M138" i="58"/>
  <c r="H137" i="58"/>
  <c r="J137" i="58"/>
  <c r="O137" i="58"/>
  <c r="R137" i="58"/>
  <c r="P137" i="58"/>
  <c r="L137" i="58"/>
  <c r="M137" i="58"/>
  <c r="H136" i="58"/>
  <c r="J136" i="58"/>
  <c r="O136" i="58"/>
  <c r="R136" i="58"/>
  <c r="P136" i="58"/>
  <c r="L136" i="58"/>
  <c r="M136" i="58"/>
  <c r="H135" i="58"/>
  <c r="J135" i="58"/>
  <c r="O135" i="58"/>
  <c r="R135" i="58"/>
  <c r="P135" i="58"/>
  <c r="L135" i="58"/>
  <c r="M135" i="58"/>
  <c r="H134" i="58"/>
  <c r="J134" i="58"/>
  <c r="O134" i="58"/>
  <c r="R134" i="58"/>
  <c r="P134" i="58"/>
  <c r="L134" i="58"/>
  <c r="M134" i="58"/>
  <c r="H133" i="58"/>
  <c r="J133" i="58"/>
  <c r="O133" i="58"/>
  <c r="R133" i="58"/>
  <c r="P133" i="58"/>
  <c r="L133" i="58"/>
  <c r="M133" i="58"/>
  <c r="H132" i="58"/>
  <c r="J132" i="58"/>
  <c r="O132" i="58"/>
  <c r="R132" i="58"/>
  <c r="P132" i="58"/>
  <c r="L132" i="58"/>
  <c r="M132" i="58"/>
  <c r="H131" i="58"/>
  <c r="J131" i="58"/>
  <c r="O131" i="58"/>
  <c r="R131" i="58"/>
  <c r="P131" i="58"/>
  <c r="L131" i="58"/>
  <c r="M131" i="58"/>
  <c r="H130" i="58"/>
  <c r="J130" i="58"/>
  <c r="O130" i="58"/>
  <c r="R130" i="58"/>
  <c r="P130" i="58"/>
  <c r="L130" i="58"/>
  <c r="M130" i="58"/>
  <c r="H129" i="58"/>
  <c r="J129" i="58"/>
  <c r="O129" i="58"/>
  <c r="R129" i="58"/>
  <c r="P129" i="58"/>
  <c r="L129" i="58"/>
  <c r="M129" i="58"/>
  <c r="H128" i="58"/>
  <c r="J128" i="58"/>
  <c r="O128" i="58"/>
  <c r="R128" i="58"/>
  <c r="P128" i="58"/>
  <c r="L128" i="58"/>
  <c r="M128" i="58"/>
  <c r="H127" i="58"/>
  <c r="J127" i="58"/>
  <c r="O127" i="58"/>
  <c r="R127" i="58"/>
  <c r="P127" i="58"/>
  <c r="L127" i="58"/>
  <c r="M127" i="58"/>
  <c r="H126" i="58"/>
  <c r="J126" i="58"/>
  <c r="O126" i="58"/>
  <c r="R126" i="58"/>
  <c r="P126" i="58"/>
  <c r="L126" i="58"/>
  <c r="M126" i="58"/>
  <c r="H125" i="58"/>
  <c r="J125" i="58"/>
  <c r="O125" i="58"/>
  <c r="R125" i="58"/>
  <c r="P125" i="58"/>
  <c r="L125" i="58"/>
  <c r="M125" i="58"/>
  <c r="H124" i="58"/>
  <c r="J124" i="58"/>
  <c r="O124" i="58"/>
  <c r="R124" i="58"/>
  <c r="P124" i="58"/>
  <c r="L124" i="58"/>
  <c r="M124" i="58"/>
  <c r="H123" i="58"/>
  <c r="J123" i="58"/>
  <c r="O123" i="58"/>
  <c r="R123" i="58"/>
  <c r="P123" i="58"/>
  <c r="L123" i="58"/>
  <c r="M123" i="58"/>
  <c r="H122" i="58"/>
  <c r="J122" i="58"/>
  <c r="O122" i="58"/>
  <c r="R122" i="58"/>
  <c r="P122" i="58"/>
  <c r="L122" i="58"/>
  <c r="M122" i="58"/>
  <c r="H121" i="58"/>
  <c r="J121" i="58"/>
  <c r="O121" i="58"/>
  <c r="R121" i="58"/>
  <c r="P121" i="58"/>
  <c r="L121" i="58"/>
  <c r="M121" i="58"/>
  <c r="H120" i="58"/>
  <c r="J120" i="58"/>
  <c r="O120" i="58"/>
  <c r="R120" i="58"/>
  <c r="P120" i="58"/>
  <c r="L120" i="58"/>
  <c r="M120" i="58"/>
  <c r="W119" i="58"/>
  <c r="V119" i="58"/>
  <c r="T119" i="58"/>
  <c r="R119" i="58"/>
  <c r="Q119" i="58"/>
  <c r="O119" i="58"/>
  <c r="H119" i="58"/>
  <c r="P119" i="58"/>
  <c r="M119" i="58"/>
  <c r="L119" i="58"/>
  <c r="J119" i="58"/>
  <c r="K119" i="58"/>
  <c r="G119" i="58"/>
  <c r="F119" i="58"/>
  <c r="E119" i="58"/>
  <c r="H112" i="58"/>
  <c r="L112" i="58"/>
  <c r="V112" i="58"/>
  <c r="W112" i="58"/>
  <c r="K112" i="58"/>
  <c r="J112" i="58"/>
  <c r="O112" i="58"/>
  <c r="R112" i="58"/>
  <c r="P112" i="58"/>
  <c r="M112" i="58"/>
  <c r="H111" i="58"/>
  <c r="L111" i="58"/>
  <c r="V111" i="58"/>
  <c r="W111" i="58"/>
  <c r="K111" i="58"/>
  <c r="J111" i="58"/>
  <c r="O111" i="58"/>
  <c r="R111" i="58"/>
  <c r="P111" i="58"/>
  <c r="M111" i="58"/>
  <c r="H110" i="58"/>
  <c r="L110" i="58"/>
  <c r="V110" i="58"/>
  <c r="W110" i="58"/>
  <c r="K110" i="58"/>
  <c r="J110" i="58"/>
  <c r="O110" i="58"/>
  <c r="R110" i="58"/>
  <c r="P110" i="58"/>
  <c r="M110" i="58"/>
  <c r="W109" i="58"/>
  <c r="V109" i="58"/>
  <c r="T109" i="58"/>
  <c r="R109" i="58"/>
  <c r="Q109" i="58"/>
  <c r="O109" i="58"/>
  <c r="H109" i="58"/>
  <c r="P109" i="58"/>
  <c r="M109" i="58"/>
  <c r="L109" i="58"/>
  <c r="J109" i="58"/>
  <c r="K109" i="58"/>
  <c r="G109" i="58"/>
  <c r="F109" i="58"/>
  <c r="E109" i="58"/>
  <c r="H108" i="58"/>
  <c r="L108" i="58"/>
  <c r="V108" i="58"/>
  <c r="W108" i="58"/>
  <c r="K108" i="58"/>
  <c r="J108" i="58"/>
  <c r="O108" i="58"/>
  <c r="R108" i="58"/>
  <c r="P108" i="58"/>
  <c r="M108" i="58"/>
  <c r="H107" i="58"/>
  <c r="L107" i="58"/>
  <c r="V107" i="58"/>
  <c r="W107" i="58"/>
  <c r="K107" i="58"/>
  <c r="J107" i="58"/>
  <c r="O107" i="58"/>
  <c r="R107" i="58"/>
  <c r="P107" i="58"/>
  <c r="M107" i="58"/>
  <c r="H106" i="58"/>
  <c r="L106" i="58"/>
  <c r="V106" i="58"/>
  <c r="W106" i="58"/>
  <c r="K106" i="58"/>
  <c r="J106" i="58"/>
  <c r="O106" i="58"/>
  <c r="R106" i="58"/>
  <c r="P106" i="58"/>
  <c r="M106" i="58"/>
  <c r="H105" i="58"/>
  <c r="L105" i="58"/>
  <c r="V105" i="58"/>
  <c r="W105" i="58"/>
  <c r="K105" i="58"/>
  <c r="J105" i="58"/>
  <c r="O105" i="58"/>
  <c r="R105" i="58"/>
  <c r="P105" i="58"/>
  <c r="M105" i="58"/>
  <c r="H104" i="58"/>
  <c r="L104" i="58"/>
  <c r="V104" i="58"/>
  <c r="W104" i="58"/>
  <c r="K104" i="58"/>
  <c r="J104" i="58"/>
  <c r="O104" i="58"/>
  <c r="R104" i="58"/>
  <c r="P104" i="58"/>
  <c r="M104" i="58"/>
  <c r="H103" i="58"/>
  <c r="L103" i="58"/>
  <c r="V103" i="58"/>
  <c r="W103" i="58"/>
  <c r="K103" i="58"/>
  <c r="J103" i="58"/>
  <c r="O103" i="58"/>
  <c r="R103" i="58"/>
  <c r="P103" i="58"/>
  <c r="M103" i="58"/>
  <c r="H102" i="58"/>
  <c r="L102" i="58"/>
  <c r="V102" i="58"/>
  <c r="W102" i="58"/>
  <c r="K102" i="58"/>
  <c r="J102" i="58"/>
  <c r="O102" i="58"/>
  <c r="R102" i="58"/>
  <c r="P102" i="58"/>
  <c r="M102" i="58"/>
  <c r="H101" i="58"/>
  <c r="L101" i="58"/>
  <c r="V101" i="58"/>
  <c r="W101" i="58"/>
  <c r="K101" i="58"/>
  <c r="J101" i="58"/>
  <c r="O101" i="58"/>
  <c r="R101" i="58"/>
  <c r="P101" i="58"/>
  <c r="M101" i="58"/>
  <c r="H100" i="58"/>
  <c r="L100" i="58"/>
  <c r="V100" i="58"/>
  <c r="W100" i="58"/>
  <c r="K100" i="58"/>
  <c r="J100" i="58"/>
  <c r="O100" i="58"/>
  <c r="R100" i="58"/>
  <c r="P100" i="58"/>
  <c r="M100" i="58"/>
  <c r="H99" i="58"/>
  <c r="L99" i="58"/>
  <c r="V99" i="58"/>
  <c r="W99" i="58"/>
  <c r="K99" i="58"/>
  <c r="J99" i="58"/>
  <c r="O99" i="58"/>
  <c r="R99" i="58"/>
  <c r="P99" i="58"/>
  <c r="M99" i="58"/>
  <c r="H98" i="58"/>
  <c r="L98" i="58"/>
  <c r="V98" i="58"/>
  <c r="W98" i="58"/>
  <c r="K98" i="58"/>
  <c r="J98" i="58"/>
  <c r="O98" i="58"/>
  <c r="R98" i="58"/>
  <c r="P98" i="58"/>
  <c r="M98" i="58"/>
  <c r="H97" i="58"/>
  <c r="L97" i="58"/>
  <c r="V97" i="58"/>
  <c r="W97" i="58"/>
  <c r="K97" i="58"/>
  <c r="J97" i="58"/>
  <c r="O97" i="58"/>
  <c r="R97" i="58"/>
  <c r="P97" i="58"/>
  <c r="M97" i="58"/>
  <c r="H96" i="58"/>
  <c r="L96" i="58"/>
  <c r="V96" i="58"/>
  <c r="W96" i="58"/>
  <c r="K96" i="58"/>
  <c r="J96" i="58"/>
  <c r="O96" i="58"/>
  <c r="R96" i="58"/>
  <c r="P96" i="58"/>
  <c r="M96" i="58"/>
  <c r="H95" i="58"/>
  <c r="L95" i="58"/>
  <c r="V95" i="58"/>
  <c r="W95" i="58"/>
  <c r="K95" i="58"/>
  <c r="J95" i="58"/>
  <c r="O95" i="58"/>
  <c r="R95" i="58"/>
  <c r="P95" i="58"/>
  <c r="M95" i="58"/>
  <c r="H94" i="58"/>
  <c r="L94" i="58"/>
  <c r="V94" i="58"/>
  <c r="W94" i="58"/>
  <c r="K94" i="58"/>
  <c r="J94" i="58"/>
  <c r="O94" i="58"/>
  <c r="R94" i="58"/>
  <c r="P94" i="58"/>
  <c r="M94" i="58"/>
  <c r="W93" i="58"/>
  <c r="V93" i="58"/>
  <c r="T93" i="58"/>
  <c r="R93" i="58"/>
  <c r="Q93" i="58"/>
  <c r="O93" i="58"/>
  <c r="H93" i="58"/>
  <c r="P93" i="58"/>
  <c r="M93" i="58"/>
  <c r="L93" i="58"/>
  <c r="J93" i="58"/>
  <c r="K93" i="58"/>
  <c r="G93" i="58"/>
  <c r="F93" i="58"/>
  <c r="E93" i="58"/>
  <c r="H92" i="58"/>
  <c r="L92" i="58"/>
  <c r="V92" i="58"/>
  <c r="W92" i="58"/>
  <c r="K92" i="58"/>
  <c r="J92" i="58"/>
  <c r="O92" i="58"/>
  <c r="R92" i="58"/>
  <c r="P92" i="58"/>
  <c r="M92" i="58"/>
  <c r="H91" i="58"/>
  <c r="L91" i="58"/>
  <c r="V91" i="58"/>
  <c r="W91" i="58"/>
  <c r="K91" i="58"/>
  <c r="J91" i="58"/>
  <c r="O91" i="58"/>
  <c r="R91" i="58"/>
  <c r="P91" i="58"/>
  <c r="M91" i="58"/>
  <c r="W90" i="58"/>
  <c r="V90" i="58"/>
  <c r="T90" i="58"/>
  <c r="R90" i="58"/>
  <c r="Q90" i="58"/>
  <c r="O90" i="58"/>
  <c r="H90" i="58"/>
  <c r="P90" i="58"/>
  <c r="M90" i="58"/>
  <c r="L90" i="58"/>
  <c r="J90" i="58"/>
  <c r="K90" i="58"/>
  <c r="G90" i="58"/>
  <c r="F90" i="58"/>
  <c r="E90" i="58"/>
  <c r="H89" i="58"/>
  <c r="L89" i="58"/>
  <c r="V89" i="58"/>
  <c r="W89" i="58"/>
  <c r="K89" i="58"/>
  <c r="J89" i="58"/>
  <c r="O89" i="58"/>
  <c r="R89" i="58"/>
  <c r="P89" i="58"/>
  <c r="M89" i="58"/>
  <c r="H88" i="58"/>
  <c r="L88" i="58"/>
  <c r="V88" i="58"/>
  <c r="W88" i="58"/>
  <c r="K88" i="58"/>
  <c r="J88" i="58"/>
  <c r="O88" i="58"/>
  <c r="R88" i="58"/>
  <c r="P88" i="58"/>
  <c r="M88" i="58"/>
  <c r="W87" i="58"/>
  <c r="V87" i="58"/>
  <c r="T87" i="58"/>
  <c r="R87" i="58"/>
  <c r="Q87" i="58"/>
  <c r="O87" i="58"/>
  <c r="H87" i="58"/>
  <c r="P87" i="58"/>
  <c r="M87" i="58"/>
  <c r="L87" i="58"/>
  <c r="J87" i="58"/>
  <c r="K87" i="58"/>
  <c r="G87" i="58"/>
  <c r="F87" i="58"/>
  <c r="E87" i="58"/>
  <c r="H86" i="58"/>
  <c r="L86" i="58"/>
  <c r="V86" i="58"/>
  <c r="W86" i="58"/>
  <c r="K86" i="58"/>
  <c r="J86" i="58"/>
  <c r="O86" i="58"/>
  <c r="R86" i="58"/>
  <c r="P86" i="58"/>
  <c r="M86" i="58"/>
  <c r="H85" i="58"/>
  <c r="L85" i="58"/>
  <c r="V85" i="58"/>
  <c r="W85" i="58"/>
  <c r="K85" i="58"/>
  <c r="J85" i="58"/>
  <c r="O85" i="58"/>
  <c r="R85" i="58"/>
  <c r="P85" i="58"/>
  <c r="M85" i="58"/>
  <c r="H84" i="58"/>
  <c r="L84" i="58"/>
  <c r="V84" i="58"/>
  <c r="W84" i="58"/>
  <c r="K84" i="58"/>
  <c r="J84" i="58"/>
  <c r="O84" i="58"/>
  <c r="R84" i="58"/>
  <c r="P84" i="58"/>
  <c r="M84" i="58"/>
  <c r="H83" i="58"/>
  <c r="L83" i="58"/>
  <c r="V83" i="58"/>
  <c r="W83" i="58"/>
  <c r="K83" i="58"/>
  <c r="J83" i="58"/>
  <c r="O83" i="58"/>
  <c r="R83" i="58"/>
  <c r="P83" i="58"/>
  <c r="M83" i="58"/>
  <c r="H82" i="58"/>
  <c r="L82" i="58"/>
  <c r="V82" i="58"/>
  <c r="W82" i="58"/>
  <c r="K82" i="58"/>
  <c r="J82" i="58"/>
  <c r="O82" i="58"/>
  <c r="R82" i="58"/>
  <c r="P82" i="58"/>
  <c r="M82" i="58"/>
  <c r="H81" i="58"/>
  <c r="L81" i="58"/>
  <c r="V81" i="58"/>
  <c r="W81" i="58"/>
  <c r="K81" i="58"/>
  <c r="J81" i="58"/>
  <c r="O81" i="58"/>
  <c r="R81" i="58"/>
  <c r="P81" i="58"/>
  <c r="M81" i="58"/>
  <c r="H80" i="58"/>
  <c r="L80" i="58"/>
  <c r="V80" i="58"/>
  <c r="W80" i="58"/>
  <c r="K80" i="58"/>
  <c r="J80" i="58"/>
  <c r="O80" i="58"/>
  <c r="R80" i="58"/>
  <c r="P80" i="58"/>
  <c r="M80" i="58"/>
  <c r="W79" i="58"/>
  <c r="V79" i="58"/>
  <c r="T79" i="58"/>
  <c r="R79" i="58"/>
  <c r="Q79" i="58"/>
  <c r="O79" i="58"/>
  <c r="H79" i="58"/>
  <c r="P79" i="58"/>
  <c r="M79" i="58"/>
  <c r="L79" i="58"/>
  <c r="J79" i="58"/>
  <c r="K79" i="58"/>
  <c r="G79" i="58"/>
  <c r="F79" i="58"/>
  <c r="E79" i="58"/>
  <c r="H78" i="58"/>
  <c r="L78" i="58"/>
  <c r="V78" i="58"/>
  <c r="W78" i="58"/>
  <c r="K78" i="58"/>
  <c r="J78" i="58"/>
  <c r="O78" i="58"/>
  <c r="R78" i="58"/>
  <c r="P78" i="58"/>
  <c r="M78" i="58"/>
  <c r="H77" i="58"/>
  <c r="L77" i="58"/>
  <c r="V77" i="58"/>
  <c r="W77" i="58"/>
  <c r="K77" i="58"/>
  <c r="J77" i="58"/>
  <c r="O77" i="58"/>
  <c r="R77" i="58"/>
  <c r="P77" i="58"/>
  <c r="M77" i="58"/>
  <c r="H76" i="58"/>
  <c r="L76" i="58"/>
  <c r="V76" i="58"/>
  <c r="W76" i="58"/>
  <c r="K76" i="58"/>
  <c r="J76" i="58"/>
  <c r="O76" i="58"/>
  <c r="R76" i="58"/>
  <c r="P76" i="58"/>
  <c r="M76" i="58"/>
  <c r="H75" i="58"/>
  <c r="L75" i="58"/>
  <c r="V75" i="58"/>
  <c r="W75" i="58"/>
  <c r="K75" i="58"/>
  <c r="J75" i="58"/>
  <c r="O75" i="58"/>
  <c r="R75" i="58"/>
  <c r="P75" i="58"/>
  <c r="M75" i="58"/>
  <c r="H74" i="58"/>
  <c r="L74" i="58"/>
  <c r="V74" i="58"/>
  <c r="W74" i="58"/>
  <c r="K74" i="58"/>
  <c r="J74" i="58"/>
  <c r="O74" i="58"/>
  <c r="R74" i="58"/>
  <c r="P74" i="58"/>
  <c r="M74" i="58"/>
  <c r="H73" i="58"/>
  <c r="L73" i="58"/>
  <c r="V73" i="58"/>
  <c r="W73" i="58"/>
  <c r="K73" i="58"/>
  <c r="J73" i="58"/>
  <c r="O73" i="58"/>
  <c r="R73" i="58"/>
  <c r="P73" i="58"/>
  <c r="M73" i="58"/>
  <c r="H72" i="58"/>
  <c r="L72" i="58"/>
  <c r="V72" i="58"/>
  <c r="W72" i="58"/>
  <c r="K72" i="58"/>
  <c r="J72" i="58"/>
  <c r="O72" i="58"/>
  <c r="R72" i="58"/>
  <c r="P72" i="58"/>
  <c r="M72" i="58"/>
  <c r="H71" i="58"/>
  <c r="L71" i="58"/>
  <c r="V71" i="58"/>
  <c r="W71" i="58"/>
  <c r="K71" i="58"/>
  <c r="J71" i="58"/>
  <c r="O71" i="58"/>
  <c r="R71" i="58"/>
  <c r="P71" i="58"/>
  <c r="M71" i="58"/>
  <c r="H70" i="58"/>
  <c r="L70" i="58"/>
  <c r="V70" i="58"/>
  <c r="W70" i="58"/>
  <c r="K70" i="58"/>
  <c r="J70" i="58"/>
  <c r="O70" i="58"/>
  <c r="R70" i="58"/>
  <c r="P70" i="58"/>
  <c r="M70" i="58"/>
  <c r="H69" i="58"/>
  <c r="L69" i="58"/>
  <c r="V69" i="58"/>
  <c r="W69" i="58"/>
  <c r="K69" i="58"/>
  <c r="J69" i="58"/>
  <c r="O69" i="58"/>
  <c r="R69" i="58"/>
  <c r="P69" i="58"/>
  <c r="M69" i="58"/>
  <c r="W68" i="58"/>
  <c r="V68" i="58"/>
  <c r="T68" i="58"/>
  <c r="R68" i="58"/>
  <c r="Q68" i="58"/>
  <c r="O68" i="58"/>
  <c r="H68" i="58"/>
  <c r="P68" i="58"/>
  <c r="M68" i="58"/>
  <c r="L68" i="58"/>
  <c r="J68" i="58"/>
  <c r="K68" i="58"/>
  <c r="G68" i="58"/>
  <c r="F68" i="58"/>
  <c r="E68" i="58"/>
  <c r="W67" i="58"/>
  <c r="V67" i="58"/>
  <c r="T67" i="58"/>
  <c r="R67" i="58"/>
  <c r="Q67" i="58"/>
  <c r="O67" i="58"/>
  <c r="H67" i="58"/>
  <c r="P67" i="58"/>
  <c r="M67" i="58"/>
  <c r="L67" i="58"/>
  <c r="J67" i="58"/>
  <c r="K67" i="58"/>
  <c r="G67" i="58"/>
  <c r="F67" i="58"/>
  <c r="E67" i="58"/>
  <c r="H60" i="58"/>
  <c r="L60" i="58"/>
  <c r="V60" i="58"/>
  <c r="W60" i="58"/>
  <c r="K60" i="58"/>
  <c r="J60" i="58"/>
  <c r="O60" i="58"/>
  <c r="R60" i="58"/>
  <c r="P60" i="58"/>
  <c r="M60" i="58"/>
  <c r="H59" i="58"/>
  <c r="L59" i="58"/>
  <c r="V59" i="58"/>
  <c r="W59" i="58"/>
  <c r="K59" i="58"/>
  <c r="J59" i="58"/>
  <c r="O59" i="58"/>
  <c r="R59" i="58"/>
  <c r="P59" i="58"/>
  <c r="M59" i="58"/>
  <c r="H58" i="58"/>
  <c r="L58" i="58"/>
  <c r="V58" i="58"/>
  <c r="W58" i="58"/>
  <c r="K58" i="58"/>
  <c r="J58" i="58"/>
  <c r="O58" i="58"/>
  <c r="R58" i="58"/>
  <c r="P58" i="58"/>
  <c r="M58" i="58"/>
  <c r="W57" i="58"/>
  <c r="V57" i="58"/>
  <c r="T57" i="58"/>
  <c r="R57" i="58"/>
  <c r="Q57" i="58"/>
  <c r="O57" i="58"/>
  <c r="H57" i="58"/>
  <c r="P57" i="58"/>
  <c r="M57" i="58"/>
  <c r="L57" i="58"/>
  <c r="J57" i="58"/>
  <c r="K57" i="58"/>
  <c r="G57" i="58"/>
  <c r="F57" i="58"/>
  <c r="E57" i="58"/>
  <c r="H56" i="58"/>
  <c r="L56" i="58"/>
  <c r="V56" i="58"/>
  <c r="W56" i="58"/>
  <c r="K56" i="58"/>
  <c r="J56" i="58"/>
  <c r="O56" i="58"/>
  <c r="R56" i="58"/>
  <c r="P56" i="58"/>
  <c r="M56" i="58"/>
  <c r="H55" i="58"/>
  <c r="L55" i="58"/>
  <c r="V55" i="58"/>
  <c r="W55" i="58"/>
  <c r="K55" i="58"/>
  <c r="J55" i="58"/>
  <c r="O55" i="58"/>
  <c r="R55" i="58"/>
  <c r="P55" i="58"/>
  <c r="M55" i="58"/>
  <c r="H54" i="58"/>
  <c r="L54" i="58"/>
  <c r="V54" i="58"/>
  <c r="W54" i="58"/>
  <c r="K54" i="58"/>
  <c r="J54" i="58"/>
  <c r="O54" i="58"/>
  <c r="R54" i="58"/>
  <c r="P54" i="58"/>
  <c r="M54" i="58"/>
  <c r="H53" i="58"/>
  <c r="L53" i="58"/>
  <c r="V53" i="58"/>
  <c r="W53" i="58"/>
  <c r="K53" i="58"/>
  <c r="J53" i="58"/>
  <c r="O53" i="58"/>
  <c r="R53" i="58"/>
  <c r="P53" i="58"/>
  <c r="M53" i="58"/>
  <c r="H52" i="58"/>
  <c r="L52" i="58"/>
  <c r="V52" i="58"/>
  <c r="W52" i="58"/>
  <c r="K52" i="58"/>
  <c r="J52" i="58"/>
  <c r="O52" i="58"/>
  <c r="R52" i="58"/>
  <c r="P52" i="58"/>
  <c r="M52" i="58"/>
  <c r="H51" i="58"/>
  <c r="L51" i="58"/>
  <c r="V51" i="58"/>
  <c r="W51" i="58"/>
  <c r="K51" i="58"/>
  <c r="J51" i="58"/>
  <c r="O51" i="58"/>
  <c r="R51" i="58"/>
  <c r="P51" i="58"/>
  <c r="M51" i="58"/>
  <c r="H50" i="58"/>
  <c r="L50" i="58"/>
  <c r="V50" i="58"/>
  <c r="W50" i="58"/>
  <c r="K50" i="58"/>
  <c r="J50" i="58"/>
  <c r="O50" i="58"/>
  <c r="R50" i="58"/>
  <c r="P50" i="58"/>
  <c r="M50" i="58"/>
  <c r="H49" i="58"/>
  <c r="L49" i="58"/>
  <c r="V49" i="58"/>
  <c r="W49" i="58"/>
  <c r="K49" i="58"/>
  <c r="J49" i="58"/>
  <c r="O49" i="58"/>
  <c r="R49" i="58"/>
  <c r="P49" i="58"/>
  <c r="M49" i="58"/>
  <c r="H48" i="58"/>
  <c r="L48" i="58"/>
  <c r="V48" i="58"/>
  <c r="W48" i="58"/>
  <c r="K48" i="58"/>
  <c r="J48" i="58"/>
  <c r="O48" i="58"/>
  <c r="R48" i="58"/>
  <c r="P48" i="58"/>
  <c r="M48" i="58"/>
  <c r="H47" i="58"/>
  <c r="L47" i="58"/>
  <c r="V47" i="58"/>
  <c r="W47" i="58"/>
  <c r="K47" i="58"/>
  <c r="J47" i="58"/>
  <c r="O47" i="58"/>
  <c r="R47" i="58"/>
  <c r="P47" i="58"/>
  <c r="M47" i="58"/>
  <c r="H46" i="58"/>
  <c r="L46" i="58"/>
  <c r="V46" i="58"/>
  <c r="W46" i="58"/>
  <c r="K46" i="58"/>
  <c r="J46" i="58"/>
  <c r="O46" i="58"/>
  <c r="R46" i="58"/>
  <c r="P46" i="58"/>
  <c r="M46" i="58"/>
  <c r="H45" i="58"/>
  <c r="L45" i="58"/>
  <c r="V45" i="58"/>
  <c r="W45" i="58"/>
  <c r="K45" i="58"/>
  <c r="J45" i="58"/>
  <c r="O45" i="58"/>
  <c r="R45" i="58"/>
  <c r="P45" i="58"/>
  <c r="M45" i="58"/>
  <c r="H44" i="58"/>
  <c r="L44" i="58"/>
  <c r="V44" i="58"/>
  <c r="W44" i="58"/>
  <c r="K44" i="58"/>
  <c r="J44" i="58"/>
  <c r="O44" i="58"/>
  <c r="R44" i="58"/>
  <c r="P44" i="58"/>
  <c r="M44" i="58"/>
  <c r="H43" i="58"/>
  <c r="L43" i="58"/>
  <c r="V43" i="58"/>
  <c r="W43" i="58"/>
  <c r="K43" i="58"/>
  <c r="J43" i="58"/>
  <c r="O43" i="58"/>
  <c r="R43" i="58"/>
  <c r="P43" i="58"/>
  <c r="M43" i="58"/>
  <c r="H42" i="58"/>
  <c r="L42" i="58"/>
  <c r="V42" i="58"/>
  <c r="W42" i="58"/>
  <c r="K42" i="58"/>
  <c r="J42" i="58"/>
  <c r="O42" i="58"/>
  <c r="R42" i="58"/>
  <c r="P42" i="58"/>
  <c r="M42" i="58"/>
  <c r="W41" i="58"/>
  <c r="V41" i="58"/>
  <c r="T41" i="58"/>
  <c r="R41" i="58"/>
  <c r="Q41" i="58"/>
  <c r="O41" i="58"/>
  <c r="H41" i="58"/>
  <c r="P41" i="58"/>
  <c r="M41" i="58"/>
  <c r="L41" i="58"/>
  <c r="J41" i="58"/>
  <c r="K41" i="58"/>
  <c r="G41" i="58"/>
  <c r="F41" i="58"/>
  <c r="E41" i="58"/>
  <c r="H40" i="58"/>
  <c r="L40" i="58"/>
  <c r="V40" i="58"/>
  <c r="W40" i="58"/>
  <c r="K40" i="58"/>
  <c r="J40" i="58"/>
  <c r="O40" i="58"/>
  <c r="R40" i="58"/>
  <c r="P40" i="58"/>
  <c r="M40" i="58"/>
  <c r="H39" i="58"/>
  <c r="L39" i="58"/>
  <c r="V39" i="58"/>
  <c r="W39" i="58"/>
  <c r="K39" i="58"/>
  <c r="J39" i="58"/>
  <c r="O39" i="58"/>
  <c r="R39" i="58"/>
  <c r="P39" i="58"/>
  <c r="M39" i="58"/>
  <c r="W38" i="58"/>
  <c r="V38" i="58"/>
  <c r="T38" i="58"/>
  <c r="R38" i="58"/>
  <c r="Q38" i="58"/>
  <c r="O38" i="58"/>
  <c r="H38" i="58"/>
  <c r="P38" i="58"/>
  <c r="M38" i="58"/>
  <c r="L38" i="58"/>
  <c r="J38" i="58"/>
  <c r="K38" i="58"/>
  <c r="G38" i="58"/>
  <c r="F38" i="58"/>
  <c r="E38" i="58"/>
  <c r="H37" i="58"/>
  <c r="L37" i="58"/>
  <c r="V37" i="58"/>
  <c r="W37" i="58"/>
  <c r="K37" i="58"/>
  <c r="J37" i="58"/>
  <c r="O37" i="58"/>
  <c r="R37" i="58"/>
  <c r="P37" i="58"/>
  <c r="M37" i="58"/>
  <c r="H36" i="58"/>
  <c r="L36" i="58"/>
  <c r="V36" i="58"/>
  <c r="W36" i="58"/>
  <c r="K36" i="58"/>
  <c r="J36" i="58"/>
  <c r="O36" i="58"/>
  <c r="R36" i="58"/>
  <c r="P36" i="58"/>
  <c r="M36" i="58"/>
  <c r="W35" i="58"/>
  <c r="V35" i="58"/>
  <c r="T35" i="58"/>
  <c r="R35" i="58"/>
  <c r="Q35" i="58"/>
  <c r="O35" i="58"/>
  <c r="H35" i="58"/>
  <c r="P35" i="58"/>
  <c r="M35" i="58"/>
  <c r="L35" i="58"/>
  <c r="J35" i="58"/>
  <c r="K35" i="58"/>
  <c r="G35" i="58"/>
  <c r="F35" i="58"/>
  <c r="E35" i="58"/>
  <c r="H34" i="58"/>
  <c r="L34" i="58"/>
  <c r="V34" i="58"/>
  <c r="W34" i="58"/>
  <c r="K34" i="58"/>
  <c r="J34" i="58"/>
  <c r="O34" i="58"/>
  <c r="R34" i="58"/>
  <c r="P34" i="58"/>
  <c r="M34" i="58"/>
  <c r="H33" i="58"/>
  <c r="L33" i="58"/>
  <c r="V33" i="58"/>
  <c r="W33" i="58"/>
  <c r="K33" i="58"/>
  <c r="J33" i="58"/>
  <c r="O33" i="58"/>
  <c r="R33" i="58"/>
  <c r="P33" i="58"/>
  <c r="M33" i="58"/>
  <c r="H32" i="58"/>
  <c r="L32" i="58"/>
  <c r="V32" i="58"/>
  <c r="W32" i="58"/>
  <c r="K32" i="58"/>
  <c r="J32" i="58"/>
  <c r="O32" i="58"/>
  <c r="R32" i="58"/>
  <c r="P32" i="58"/>
  <c r="M32" i="58"/>
  <c r="H31" i="58"/>
  <c r="L31" i="58"/>
  <c r="V31" i="58"/>
  <c r="W31" i="58"/>
  <c r="K31" i="58"/>
  <c r="J31" i="58"/>
  <c r="O31" i="58"/>
  <c r="R31" i="58"/>
  <c r="P31" i="58"/>
  <c r="M31" i="58"/>
  <c r="H30" i="58"/>
  <c r="L30" i="58"/>
  <c r="V30" i="58"/>
  <c r="W30" i="58"/>
  <c r="K30" i="58"/>
  <c r="J30" i="58"/>
  <c r="O30" i="58"/>
  <c r="R30" i="58"/>
  <c r="P30" i="58"/>
  <c r="M30" i="58"/>
  <c r="H29" i="58"/>
  <c r="L29" i="58"/>
  <c r="V29" i="58"/>
  <c r="W29" i="58"/>
  <c r="K29" i="58"/>
  <c r="J29" i="58"/>
  <c r="O29" i="58"/>
  <c r="R29" i="58"/>
  <c r="P29" i="58"/>
  <c r="M29" i="58"/>
  <c r="H28" i="58"/>
  <c r="L28" i="58"/>
  <c r="V28" i="58"/>
  <c r="W28" i="58"/>
  <c r="K28" i="58"/>
  <c r="J28" i="58"/>
  <c r="O28" i="58"/>
  <c r="R28" i="58"/>
  <c r="P28" i="58"/>
  <c r="M28" i="58"/>
  <c r="H27" i="58"/>
  <c r="L27" i="58"/>
  <c r="V27" i="58"/>
  <c r="W27" i="58"/>
  <c r="K27" i="58"/>
  <c r="J27" i="58"/>
  <c r="O27" i="58"/>
  <c r="R27" i="58"/>
  <c r="P27" i="58"/>
  <c r="M27" i="58"/>
  <c r="H26" i="58"/>
  <c r="L26" i="58"/>
  <c r="V26" i="58"/>
  <c r="W26" i="58"/>
  <c r="K26" i="58"/>
  <c r="J26" i="58"/>
  <c r="O26" i="58"/>
  <c r="R26" i="58"/>
  <c r="P26" i="58"/>
  <c r="M26" i="58"/>
  <c r="H25" i="58"/>
  <c r="L25" i="58"/>
  <c r="V25" i="58"/>
  <c r="W25" i="58"/>
  <c r="K25" i="58"/>
  <c r="J25" i="58"/>
  <c r="O25" i="58"/>
  <c r="R25" i="58"/>
  <c r="P25" i="58"/>
  <c r="M25" i="58"/>
  <c r="W24" i="58"/>
  <c r="V24" i="58"/>
  <c r="T24" i="58"/>
  <c r="R24" i="58"/>
  <c r="Q24" i="58"/>
  <c r="O24" i="58"/>
  <c r="H24" i="58"/>
  <c r="P24" i="58"/>
  <c r="M24" i="58"/>
  <c r="L24" i="58"/>
  <c r="J24" i="58"/>
  <c r="K24" i="58"/>
  <c r="G24" i="58"/>
  <c r="F24" i="58"/>
  <c r="E24" i="58"/>
  <c r="H23" i="58"/>
  <c r="L23" i="58"/>
  <c r="V23" i="58"/>
  <c r="W23" i="58"/>
  <c r="K23" i="58"/>
  <c r="J23" i="58"/>
  <c r="O23" i="58"/>
  <c r="R23" i="58"/>
  <c r="P23" i="58"/>
  <c r="M23" i="58"/>
  <c r="H22" i="58"/>
  <c r="L22" i="58"/>
  <c r="V22" i="58"/>
  <c r="W22" i="58"/>
  <c r="K22" i="58"/>
  <c r="J22" i="58"/>
  <c r="O22" i="58"/>
  <c r="R22" i="58"/>
  <c r="P22" i="58"/>
  <c r="M22" i="58"/>
  <c r="H21" i="58"/>
  <c r="L21" i="58"/>
  <c r="V21" i="58"/>
  <c r="W21" i="58"/>
  <c r="K21" i="58"/>
  <c r="J21" i="58"/>
  <c r="O21" i="58"/>
  <c r="R21" i="58"/>
  <c r="P21" i="58"/>
  <c r="M21" i="58"/>
  <c r="H20" i="58"/>
  <c r="L20" i="58"/>
  <c r="V20" i="58"/>
  <c r="W20" i="58"/>
  <c r="K20" i="58"/>
  <c r="J20" i="58"/>
  <c r="O20" i="58"/>
  <c r="R20" i="58"/>
  <c r="P20" i="58"/>
  <c r="M20" i="58"/>
  <c r="H19" i="58"/>
  <c r="L19" i="58"/>
  <c r="V19" i="58"/>
  <c r="W19" i="58"/>
  <c r="K19" i="58"/>
  <c r="J19" i="58"/>
  <c r="O19" i="58"/>
  <c r="R19" i="58"/>
  <c r="P19" i="58"/>
  <c r="M19" i="58"/>
  <c r="H18" i="58"/>
  <c r="L18" i="58"/>
  <c r="V18" i="58"/>
  <c r="W18" i="58"/>
  <c r="K18" i="58"/>
  <c r="J18" i="58"/>
  <c r="O18" i="58"/>
  <c r="R18" i="58"/>
  <c r="P18" i="58"/>
  <c r="M18" i="58"/>
  <c r="H17" i="58"/>
  <c r="L17" i="58"/>
  <c r="V17" i="58"/>
  <c r="W17" i="58"/>
  <c r="K17" i="58"/>
  <c r="J17" i="58"/>
  <c r="O17" i="58"/>
  <c r="R17" i="58"/>
  <c r="P17" i="58"/>
  <c r="M17" i="58"/>
  <c r="H16" i="58"/>
  <c r="L16" i="58"/>
  <c r="V16" i="58"/>
  <c r="W16" i="58"/>
  <c r="K16" i="58"/>
  <c r="J16" i="58"/>
  <c r="O16" i="58"/>
  <c r="R16" i="58"/>
  <c r="P16" i="58"/>
  <c r="M16" i="58"/>
  <c r="H15" i="58"/>
  <c r="L15" i="58"/>
  <c r="V15" i="58"/>
  <c r="W15" i="58"/>
  <c r="K15" i="58"/>
  <c r="J15" i="58"/>
  <c r="O15" i="58"/>
  <c r="R15" i="58"/>
  <c r="P15" i="58"/>
  <c r="M15" i="58"/>
  <c r="H14" i="58"/>
  <c r="L14" i="58"/>
  <c r="V14" i="58"/>
  <c r="W14" i="58"/>
  <c r="K14" i="58"/>
  <c r="J14" i="58"/>
  <c r="O14" i="58"/>
  <c r="R14" i="58"/>
  <c r="P14" i="58"/>
  <c r="M14" i="58"/>
  <c r="H13" i="58"/>
  <c r="L13" i="58"/>
  <c r="V13" i="58"/>
  <c r="W13" i="58"/>
  <c r="K13" i="58"/>
  <c r="J13" i="58"/>
  <c r="O13" i="58"/>
  <c r="R13" i="58"/>
  <c r="P13" i="58"/>
  <c r="M13" i="58"/>
  <c r="W12" i="58"/>
  <c r="V12" i="58"/>
  <c r="T12" i="58"/>
  <c r="R12" i="58"/>
  <c r="Q12" i="58"/>
  <c r="O12" i="58"/>
  <c r="H12" i="58"/>
  <c r="P12" i="58"/>
  <c r="M12" i="58"/>
  <c r="L12" i="58"/>
  <c r="J12" i="58"/>
  <c r="K12" i="58"/>
  <c r="G12" i="58"/>
  <c r="F12" i="58"/>
  <c r="E12" i="58"/>
  <c r="W11" i="58"/>
  <c r="V11" i="58"/>
  <c r="T11" i="58"/>
  <c r="R11" i="58"/>
  <c r="Q11" i="58"/>
  <c r="O11" i="58"/>
  <c r="H11" i="58"/>
  <c r="P11" i="58"/>
  <c r="M11" i="58"/>
  <c r="L11" i="58"/>
  <c r="J11" i="58"/>
  <c r="K11" i="58"/>
  <c r="G11" i="58"/>
  <c r="F11" i="58"/>
  <c r="E11" i="58"/>
  <c r="H6" i="58"/>
  <c r="L6" i="58"/>
  <c r="T5" i="58"/>
  <c r="T6" i="58"/>
  <c r="V6" i="58"/>
  <c r="W6" i="58"/>
  <c r="O5" i="58"/>
  <c r="O6" i="58"/>
  <c r="R6" i="58"/>
  <c r="J5" i="58"/>
  <c r="J6" i="58"/>
  <c r="M6" i="58"/>
  <c r="G6" i="58"/>
  <c r="F6" i="58"/>
  <c r="E6" i="58"/>
  <c r="V5" i="58"/>
  <c r="W5" i="58"/>
  <c r="Q5" i="58"/>
  <c r="R5" i="58"/>
  <c r="L5" i="58"/>
  <c r="M5" i="58"/>
  <c r="J20" i="8"/>
  <c r="F20" i="8"/>
  <c r="H20" i="8"/>
  <c r="L18" i="8"/>
  <c r="N18" i="8"/>
  <c r="P18" i="8"/>
  <c r="Q18" i="8"/>
  <c r="K18" i="8"/>
  <c r="M18" i="8"/>
  <c r="O18" i="8"/>
  <c r="L16" i="8"/>
  <c r="N16" i="8"/>
  <c r="P16" i="8"/>
  <c r="Q16" i="8"/>
  <c r="K16" i="8"/>
  <c r="M16" i="8"/>
  <c r="O16" i="8"/>
  <c r="L14" i="8"/>
  <c r="N14" i="8"/>
  <c r="P14" i="8"/>
  <c r="Q14" i="8"/>
  <c r="K14" i="8"/>
  <c r="M14" i="8"/>
  <c r="O14" i="8"/>
  <c r="J18" i="8"/>
  <c r="I18" i="8"/>
  <c r="J16" i="8"/>
  <c r="I16" i="8"/>
  <c r="J14" i="8"/>
  <c r="I14" i="8"/>
  <c r="H14" i="8"/>
  <c r="G14" i="8"/>
  <c r="F14" i="8"/>
  <c r="E14" i="8"/>
  <c r="E16" i="8"/>
  <c r="H18" i="8"/>
  <c r="H16" i="8"/>
  <c r="G18" i="8"/>
  <c r="G16" i="8"/>
  <c r="F18" i="8"/>
  <c r="E18" i="8"/>
  <c r="F16" i="8"/>
  <c r="B46" i="7"/>
  <c r="B45" i="7"/>
  <c r="L17" i="5"/>
  <c r="L43" i="5"/>
  <c r="L45" i="5"/>
  <c r="L47" i="5"/>
  <c r="L49" i="5"/>
  <c r="M17" i="5"/>
  <c r="M43" i="5"/>
  <c r="M45" i="5"/>
  <c r="M47" i="5"/>
  <c r="M49" i="5"/>
  <c r="N43" i="5"/>
  <c r="N45" i="5"/>
  <c r="N47" i="5"/>
  <c r="N49" i="5"/>
  <c r="O43" i="5"/>
  <c r="O45" i="5"/>
  <c r="O47" i="5"/>
  <c r="O49" i="5"/>
  <c r="H17" i="5"/>
  <c r="H43" i="5"/>
  <c r="H27" i="5"/>
  <c r="H29" i="5"/>
  <c r="H24" i="5"/>
  <c r="H45" i="5"/>
  <c r="H47" i="5"/>
  <c r="H49" i="5"/>
  <c r="I17" i="5"/>
  <c r="I43" i="5"/>
  <c r="I29" i="5"/>
  <c r="I24" i="5"/>
  <c r="I45" i="5"/>
  <c r="I47" i="5"/>
  <c r="I49" i="5"/>
  <c r="J17" i="5"/>
  <c r="J43" i="5"/>
  <c r="J45" i="5"/>
  <c r="J47" i="5"/>
  <c r="J49" i="5"/>
  <c r="K17" i="5"/>
  <c r="K43" i="5"/>
  <c r="K45" i="5"/>
  <c r="K47" i="5"/>
  <c r="K49" i="5"/>
  <c r="G17" i="5"/>
  <c r="G43" i="5"/>
  <c r="G29" i="5"/>
  <c r="G24" i="5"/>
  <c r="G45" i="5"/>
  <c r="G47" i="5"/>
  <c r="G49" i="5"/>
  <c r="A14" i="13"/>
  <c r="B32" i="5"/>
  <c r="A15" i="13"/>
  <c r="B33" i="5"/>
  <c r="A16" i="13"/>
  <c r="B34" i="5"/>
  <c r="A17" i="13"/>
  <c r="B35" i="5"/>
  <c r="A18" i="13"/>
  <c r="B36" i="5"/>
  <c r="A19" i="13"/>
  <c r="B37" i="5"/>
  <c r="A20" i="13"/>
  <c r="B38" i="5"/>
  <c r="A21" i="13"/>
  <c r="B39" i="5"/>
  <c r="A22" i="13"/>
  <c r="B40" i="5"/>
  <c r="A23" i="13"/>
  <c r="B41" i="5"/>
  <c r="A24" i="13"/>
  <c r="B42" i="5"/>
  <c r="A13" i="13"/>
  <c r="B31" i="5"/>
  <c r="M46" i="3"/>
  <c r="I47" i="3"/>
  <c r="H47" i="3"/>
  <c r="F47" i="3"/>
  <c r="I46" i="3"/>
  <c r="H46" i="3"/>
  <c r="F46" i="3"/>
  <c r="G24" i="13"/>
  <c r="J40" i="3"/>
  <c r="F24" i="13"/>
  <c r="H40" i="3"/>
  <c r="F28" i="2"/>
  <c r="F36" i="2"/>
  <c r="J36" i="2"/>
  <c r="J42" i="2"/>
  <c r="J46" i="2"/>
  <c r="J50" i="2"/>
  <c r="J52" i="2"/>
  <c r="J54" i="2"/>
  <c r="N13" i="4"/>
  <c r="N24" i="4"/>
  <c r="N25" i="4"/>
  <c r="N26" i="4"/>
  <c r="N27" i="4"/>
  <c r="J31" i="1"/>
  <c r="H36" i="2"/>
  <c r="H42" i="2"/>
  <c r="H46" i="2"/>
  <c r="H52" i="2"/>
  <c r="H54" i="2"/>
  <c r="K13" i="4"/>
  <c r="K24" i="4"/>
  <c r="K25" i="4"/>
  <c r="K26" i="4"/>
  <c r="K27" i="4"/>
  <c r="H31" i="1"/>
  <c r="M31" i="1"/>
  <c r="N31" i="1"/>
  <c r="N22" i="4"/>
  <c r="N23" i="4"/>
  <c r="J30" i="1"/>
  <c r="K22" i="4"/>
  <c r="K23" i="4"/>
  <c r="H30" i="1"/>
  <c r="M30" i="1"/>
  <c r="N30" i="1"/>
  <c r="F23" i="3"/>
  <c r="F24" i="3"/>
  <c r="F25" i="3"/>
  <c r="F26" i="3"/>
  <c r="H23" i="3"/>
  <c r="H24" i="3"/>
  <c r="H25" i="3"/>
  <c r="H26" i="3"/>
  <c r="I23" i="3"/>
  <c r="I24" i="3"/>
  <c r="I25" i="3"/>
  <c r="I26" i="3"/>
  <c r="J26" i="3"/>
  <c r="K26" i="3"/>
  <c r="H23" i="1"/>
  <c r="M23" i="3"/>
  <c r="M24" i="3"/>
  <c r="M25" i="3"/>
  <c r="M26" i="3"/>
  <c r="J23" i="1"/>
  <c r="M23" i="1"/>
  <c r="N23" i="1"/>
  <c r="F16" i="3"/>
  <c r="F17" i="3"/>
  <c r="F18" i="3"/>
  <c r="F19" i="3"/>
  <c r="F20" i="3"/>
  <c r="H16" i="3"/>
  <c r="H17" i="3"/>
  <c r="H18" i="3"/>
  <c r="H19" i="3"/>
  <c r="H20" i="3"/>
  <c r="I16" i="3"/>
  <c r="I17" i="3"/>
  <c r="I18" i="3"/>
  <c r="I19" i="3"/>
  <c r="I20" i="3"/>
  <c r="J20" i="3"/>
  <c r="K20" i="3"/>
  <c r="H22" i="1"/>
  <c r="M16" i="3"/>
  <c r="M17" i="3"/>
  <c r="M18" i="3"/>
  <c r="M19" i="3"/>
  <c r="M20" i="3"/>
  <c r="J22" i="1"/>
  <c r="M22" i="1"/>
  <c r="N22" i="1"/>
  <c r="E24" i="13"/>
  <c r="G22" i="13"/>
  <c r="G20" i="13"/>
  <c r="G19" i="13"/>
  <c r="G17" i="13"/>
  <c r="G15" i="13"/>
  <c r="G14" i="13"/>
  <c r="G13" i="13"/>
  <c r="F23" i="13"/>
  <c r="F22" i="13"/>
  <c r="F21" i="13"/>
  <c r="F20" i="13"/>
  <c r="F19" i="13"/>
  <c r="F18" i="13"/>
  <c r="F17" i="13"/>
  <c r="F16" i="13"/>
  <c r="F14" i="13"/>
  <c r="F13" i="13"/>
  <c r="G18" i="13"/>
  <c r="H19" i="2"/>
  <c r="J19" i="2"/>
  <c r="B7" i="14"/>
  <c r="D7" i="13"/>
  <c r="D8" i="8"/>
  <c r="D6" i="13"/>
  <c r="F42" i="2"/>
  <c r="F46" i="2"/>
  <c r="F52" i="2"/>
  <c r="F54" i="2"/>
  <c r="H13" i="4"/>
  <c r="M7" i="7"/>
  <c r="M6" i="7"/>
  <c r="M5" i="7"/>
  <c r="M4" i="7"/>
  <c r="M3" i="7"/>
  <c r="M2" i="7"/>
  <c r="O7" i="5"/>
  <c r="O6" i="5"/>
  <c r="O5" i="5"/>
  <c r="O4" i="5"/>
  <c r="O3" i="5"/>
  <c r="O2" i="5"/>
  <c r="R7" i="4"/>
  <c r="R6" i="4"/>
  <c r="R5" i="4"/>
  <c r="R4" i="4"/>
  <c r="R3" i="4"/>
  <c r="R2" i="4"/>
  <c r="Q7" i="3"/>
  <c r="Q6" i="3"/>
  <c r="Q5" i="3"/>
  <c r="Q4" i="3"/>
  <c r="Q3" i="3"/>
  <c r="K5" i="2"/>
  <c r="Q2" i="3"/>
  <c r="L7" i="2"/>
  <c r="L6" i="2"/>
  <c r="L4" i="2"/>
  <c r="L3" i="2"/>
  <c r="L2" i="2"/>
  <c r="B6" i="21"/>
  <c r="B6" i="19"/>
  <c r="B6" i="18"/>
  <c r="B6" i="16"/>
  <c r="B6" i="15"/>
  <c r="U5" i="14"/>
  <c r="J5" i="13"/>
  <c r="P6" i="8"/>
  <c r="C7" i="7"/>
  <c r="C6" i="5"/>
  <c r="D6" i="4"/>
  <c r="C6" i="3"/>
  <c r="C7" i="2"/>
  <c r="E7" i="24"/>
  <c r="E6" i="24"/>
  <c r="E7" i="21"/>
  <c r="E6" i="21"/>
  <c r="E7" i="19"/>
  <c r="E6" i="19"/>
  <c r="E7" i="18"/>
  <c r="E6" i="18"/>
  <c r="E7" i="16"/>
  <c r="E6" i="16"/>
  <c r="E7" i="15"/>
  <c r="E6" i="15"/>
  <c r="B6" i="14"/>
  <c r="A3" i="12"/>
  <c r="A2" i="12"/>
  <c r="D7" i="8"/>
  <c r="D7" i="7"/>
  <c r="D6" i="7"/>
  <c r="D7" i="5"/>
  <c r="D6" i="5"/>
  <c r="F7" i="4"/>
  <c r="F6" i="4"/>
  <c r="D7" i="3"/>
  <c r="D6" i="3"/>
  <c r="D7" i="2"/>
  <c r="D6" i="2"/>
  <c r="H15" i="21"/>
  <c r="H15" i="19"/>
  <c r="H15" i="18"/>
  <c r="H15" i="16"/>
  <c r="H15" i="15"/>
  <c r="D53" i="15"/>
  <c r="D38" i="15"/>
  <c r="D23" i="15"/>
  <c r="B10" i="5"/>
  <c r="C15" i="5"/>
  <c r="C4" i="3"/>
  <c r="C4" i="2"/>
  <c r="B3" i="24"/>
  <c r="B3" i="21"/>
  <c r="B3" i="19"/>
  <c r="B3" i="18"/>
  <c r="B3" i="16"/>
  <c r="B3" i="15"/>
  <c r="I3" i="13"/>
  <c r="N3" i="8"/>
  <c r="C4" i="7"/>
  <c r="C4" i="5"/>
  <c r="D4" i="4"/>
  <c r="N17" i="4"/>
  <c r="M13" i="3"/>
  <c r="J33" i="2"/>
  <c r="J14" i="2"/>
  <c r="J12" i="1"/>
  <c r="N45" i="1"/>
  <c r="M45" i="1"/>
  <c r="J38" i="24"/>
  <c r="I38" i="24"/>
  <c r="H38" i="24"/>
  <c r="H52" i="15"/>
  <c r="H53" i="15"/>
  <c r="H54" i="15"/>
  <c r="H58" i="15"/>
  <c r="J52" i="15"/>
  <c r="J53" i="15"/>
  <c r="J54" i="15"/>
  <c r="K57" i="15"/>
  <c r="K52" i="15"/>
  <c r="K53" i="15"/>
  <c r="K54" i="15"/>
  <c r="H57" i="15"/>
  <c r="K58" i="15"/>
  <c r="H37" i="15"/>
  <c r="H38" i="15"/>
  <c r="H39" i="15"/>
  <c r="H43" i="15"/>
  <c r="J37" i="15"/>
  <c r="K43" i="15"/>
  <c r="J38" i="15"/>
  <c r="J39" i="15"/>
  <c r="K42" i="15"/>
  <c r="K37" i="15"/>
  <c r="K38" i="15"/>
  <c r="K39" i="15"/>
  <c r="H42" i="15"/>
  <c r="J23" i="15"/>
  <c r="J22" i="15"/>
  <c r="J24" i="15"/>
  <c r="H23" i="15"/>
  <c r="H22" i="15"/>
  <c r="H24" i="15"/>
  <c r="H28" i="15"/>
  <c r="K27" i="15"/>
  <c r="K23" i="15"/>
  <c r="K22" i="15"/>
  <c r="K24" i="15"/>
  <c r="H27" i="15"/>
  <c r="K28" i="15"/>
  <c r="B40" i="3"/>
  <c r="B39" i="3"/>
  <c r="B39" i="7"/>
  <c r="B38" i="3"/>
  <c r="B38" i="7"/>
  <c r="B37" i="3"/>
  <c r="B37" i="7"/>
  <c r="B36" i="3"/>
  <c r="B36" i="7"/>
  <c r="B35" i="3"/>
  <c r="B35" i="7"/>
  <c r="B34" i="3"/>
  <c r="B34" i="7"/>
  <c r="B33" i="3"/>
  <c r="B33" i="7"/>
  <c r="B32" i="3"/>
  <c r="B32" i="7"/>
  <c r="B31" i="3"/>
  <c r="B31" i="7"/>
  <c r="B30" i="3"/>
  <c r="B30" i="7"/>
  <c r="B29" i="3"/>
  <c r="B29" i="7"/>
  <c r="N30" i="4"/>
  <c r="N29" i="4"/>
  <c r="Q26" i="4"/>
  <c r="R26" i="4"/>
  <c r="Q22" i="4"/>
  <c r="R22" i="4"/>
  <c r="K30" i="4"/>
  <c r="Q30" i="4"/>
  <c r="R30" i="4"/>
  <c r="K29" i="4"/>
  <c r="Q29" i="4"/>
  <c r="R29" i="4"/>
  <c r="Q27" i="4"/>
  <c r="R27" i="4"/>
  <c r="Q25" i="4"/>
  <c r="R25" i="4"/>
  <c r="Q24" i="4"/>
  <c r="R24" i="4"/>
  <c r="Q23" i="4"/>
  <c r="R23" i="4"/>
  <c r="H30" i="4"/>
  <c r="H29" i="4"/>
  <c r="H27" i="4"/>
  <c r="H26" i="4"/>
  <c r="H25" i="4"/>
  <c r="H24" i="4"/>
  <c r="H23" i="4"/>
  <c r="H22" i="4"/>
  <c r="H28" i="4"/>
  <c r="K28" i="4"/>
  <c r="N28" i="4"/>
  <c r="Q28" i="4"/>
  <c r="R28" i="4"/>
  <c r="I30" i="3"/>
  <c r="I31" i="3"/>
  <c r="I33" i="3"/>
  <c r="I35" i="3"/>
  <c r="I36" i="3"/>
  <c r="I38" i="3"/>
  <c r="I29" i="3"/>
  <c r="H30" i="3"/>
  <c r="H32" i="3"/>
  <c r="H33" i="3"/>
  <c r="H34" i="3"/>
  <c r="H35" i="3"/>
  <c r="H36" i="3"/>
  <c r="H37" i="3"/>
  <c r="H38" i="3"/>
  <c r="H39" i="3"/>
  <c r="H29" i="3"/>
  <c r="F40" i="3"/>
  <c r="I19" i="13"/>
  <c r="M35" i="3"/>
  <c r="H24" i="13"/>
  <c r="M38" i="1"/>
  <c r="J25" i="1"/>
  <c r="F31" i="1"/>
  <c r="F30" i="1"/>
  <c r="F26" i="1"/>
  <c r="F25" i="1"/>
  <c r="J32" i="1"/>
  <c r="H32" i="1"/>
  <c r="F32" i="1"/>
  <c r="K40" i="3"/>
  <c r="P14" i="23"/>
  <c r="K14" i="23"/>
  <c r="P13" i="23"/>
  <c r="K13" i="23"/>
  <c r="P12" i="23"/>
  <c r="K12" i="23"/>
  <c r="P11" i="23"/>
  <c r="K11" i="23"/>
  <c r="P8" i="23"/>
  <c r="P6" i="23"/>
  <c r="P5" i="23"/>
  <c r="P15" i="23"/>
  <c r="P14" i="22"/>
  <c r="P13" i="22"/>
  <c r="P12" i="22"/>
  <c r="P9" i="22"/>
  <c r="P7" i="22"/>
  <c r="L6" i="22"/>
  <c r="P5" i="22"/>
  <c r="P15" i="22"/>
  <c r="L5" i="22"/>
  <c r="T57" i="14"/>
  <c r="S57" i="14"/>
  <c r="R57" i="14"/>
  <c r="Q57" i="14"/>
  <c r="P57" i="14"/>
  <c r="O57" i="14"/>
  <c r="N57" i="14"/>
  <c r="M57" i="14"/>
  <c r="L57" i="14"/>
  <c r="K57" i="14"/>
  <c r="J57" i="14"/>
  <c r="I57" i="14"/>
  <c r="H57" i="14"/>
  <c r="G57" i="14"/>
  <c r="F57" i="14"/>
  <c r="E57" i="14"/>
  <c r="D57" i="14"/>
  <c r="U56" i="14"/>
  <c r="U54" i="14"/>
  <c r="U53" i="14"/>
  <c r="T49" i="14"/>
  <c r="S49" i="14"/>
  <c r="R49" i="14"/>
  <c r="Q49" i="14"/>
  <c r="P49" i="14"/>
  <c r="O49" i="14"/>
  <c r="N49" i="14"/>
  <c r="K49" i="14"/>
  <c r="J49" i="14"/>
  <c r="I49" i="14"/>
  <c r="H49" i="14"/>
  <c r="G49" i="14"/>
  <c r="F49" i="14"/>
  <c r="E49" i="14"/>
  <c r="D49" i="14"/>
  <c r="U48" i="14"/>
  <c r="U47" i="14"/>
  <c r="U46" i="14"/>
  <c r="U45" i="14"/>
  <c r="M44" i="14"/>
  <c r="M49" i="14"/>
  <c r="U42" i="14"/>
  <c r="U41" i="14"/>
  <c r="L40" i="14"/>
  <c r="U39" i="14"/>
  <c r="U38" i="14"/>
  <c r="U36" i="14"/>
  <c r="U35" i="14"/>
  <c r="U34" i="14"/>
  <c r="U33" i="14"/>
  <c r="U30" i="14"/>
  <c r="U29" i="14"/>
  <c r="T28" i="14"/>
  <c r="U27" i="14"/>
  <c r="U26" i="14"/>
  <c r="U25" i="14"/>
  <c r="S24" i="14"/>
  <c r="U24" i="14"/>
  <c r="Q23" i="14"/>
  <c r="R21" i="14"/>
  <c r="U20" i="14"/>
  <c r="U19" i="14"/>
  <c r="U18" i="14"/>
  <c r="U17" i="14"/>
  <c r="U16" i="14"/>
  <c r="T15" i="14"/>
  <c r="T37" i="14"/>
  <c r="S15" i="14"/>
  <c r="S37" i="14"/>
  <c r="R15" i="14"/>
  <c r="Q15" i="14"/>
  <c r="P15" i="14"/>
  <c r="P37" i="14"/>
  <c r="O15" i="14"/>
  <c r="O37" i="14"/>
  <c r="N15" i="14"/>
  <c r="N37" i="14"/>
  <c r="M15" i="14"/>
  <c r="M37" i="14"/>
  <c r="L15" i="14"/>
  <c r="L37" i="14"/>
  <c r="K15" i="14"/>
  <c r="K37" i="14"/>
  <c r="J15" i="14"/>
  <c r="J37" i="14"/>
  <c r="I15" i="14"/>
  <c r="I37" i="14"/>
  <c r="H15" i="14"/>
  <c r="H37" i="14"/>
  <c r="G15" i="14"/>
  <c r="G37" i="14"/>
  <c r="F15" i="14"/>
  <c r="F37" i="14"/>
  <c r="E15" i="14"/>
  <c r="E37" i="14"/>
  <c r="D15" i="14"/>
  <c r="D37" i="14"/>
  <c r="P14" i="14"/>
  <c r="O14" i="14"/>
  <c r="N14" i="14"/>
  <c r="M14" i="14"/>
  <c r="L14" i="14"/>
  <c r="K14" i="14"/>
  <c r="J14" i="14"/>
  <c r="I14" i="14"/>
  <c r="S14" i="14"/>
  <c r="R13" i="14"/>
  <c r="Q13" i="14"/>
  <c r="Q14" i="14"/>
  <c r="H13" i="14"/>
  <c r="F13" i="14"/>
  <c r="F14" i="14"/>
  <c r="E13" i="14"/>
  <c r="E14" i="14"/>
  <c r="D13" i="14"/>
  <c r="G12" i="14"/>
  <c r="H11" i="14"/>
  <c r="G11" i="14"/>
  <c r="D10" i="14"/>
  <c r="M8" i="14"/>
  <c r="N8" i="14"/>
  <c r="O8" i="14"/>
  <c r="U10" i="14"/>
  <c r="Q37" i="14"/>
  <c r="U28" i="14"/>
  <c r="U11" i="14"/>
  <c r="H14" i="14"/>
  <c r="H50" i="14"/>
  <c r="H52" i="14"/>
  <c r="H58" i="14"/>
  <c r="P50" i="14"/>
  <c r="P52" i="14"/>
  <c r="P58" i="14"/>
  <c r="C22" i="14"/>
  <c r="U21" i="14"/>
  <c r="U15" i="14"/>
  <c r="U44" i="14"/>
  <c r="K50" i="14"/>
  <c r="K52" i="14"/>
  <c r="K58" i="14"/>
  <c r="D14" i="14"/>
  <c r="D50" i="14"/>
  <c r="D52" i="14"/>
  <c r="D58" i="14"/>
  <c r="R14" i="14"/>
  <c r="I50" i="14"/>
  <c r="I52" i="14"/>
  <c r="I58" i="14"/>
  <c r="Q50" i="14"/>
  <c r="Q52" i="14"/>
  <c r="Q58" i="14"/>
  <c r="O50" i="14"/>
  <c r="O52" i="14"/>
  <c r="O58" i="14"/>
  <c r="U12" i="14"/>
  <c r="R37" i="14"/>
  <c r="J50" i="14"/>
  <c r="J52" i="14"/>
  <c r="J58" i="14"/>
  <c r="S50" i="14"/>
  <c r="S52" i="14"/>
  <c r="S58" i="14"/>
  <c r="E50" i="14"/>
  <c r="E52" i="14"/>
  <c r="E58" i="14"/>
  <c r="U23" i="14"/>
  <c r="L43" i="14"/>
  <c r="U43" i="14"/>
  <c r="M50" i="14"/>
  <c r="M52" i="14"/>
  <c r="M58" i="14"/>
  <c r="C49" i="14"/>
  <c r="C57" i="14"/>
  <c r="G14" i="14"/>
  <c r="G50" i="14"/>
  <c r="G52" i="14"/>
  <c r="G58" i="14"/>
  <c r="U32" i="14"/>
  <c r="U31" i="14"/>
  <c r="C31" i="14"/>
  <c r="U13" i="14"/>
  <c r="F50" i="14"/>
  <c r="F52" i="14"/>
  <c r="F58" i="14"/>
  <c r="C14" i="14"/>
  <c r="U40" i="14"/>
  <c r="N50" i="14"/>
  <c r="N52" i="14"/>
  <c r="N58" i="14"/>
  <c r="T14" i="14"/>
  <c r="T50" i="14"/>
  <c r="T52" i="14"/>
  <c r="T58" i="14"/>
  <c r="U55" i="14"/>
  <c r="U57" i="14"/>
  <c r="C15" i="14"/>
  <c r="U22" i="14"/>
  <c r="R50" i="14"/>
  <c r="R52" i="14"/>
  <c r="R58" i="14"/>
  <c r="U49" i="14"/>
  <c r="L49" i="14"/>
  <c r="L50" i="14"/>
  <c r="L52" i="14"/>
  <c r="L58" i="14"/>
  <c r="U37" i="14"/>
  <c r="C37" i="14"/>
  <c r="C50" i="14"/>
  <c r="C52" i="14"/>
  <c r="C58" i="14"/>
  <c r="U14" i="14"/>
  <c r="U50" i="14"/>
  <c r="U52" i="14"/>
  <c r="U58" i="14"/>
  <c r="E23" i="13"/>
  <c r="E22" i="13"/>
  <c r="G21" i="13"/>
  <c r="I37" i="3"/>
  <c r="E21" i="13"/>
  <c r="E20" i="13"/>
  <c r="E19" i="13"/>
  <c r="I34" i="3"/>
  <c r="E18" i="13"/>
  <c r="E17" i="13"/>
  <c r="G16" i="13"/>
  <c r="F15" i="13"/>
  <c r="E15" i="13"/>
  <c r="E14" i="13"/>
  <c r="E13" i="13"/>
  <c r="H31" i="3"/>
  <c r="F25" i="13"/>
  <c r="I32" i="3"/>
  <c r="F34" i="3"/>
  <c r="K34" i="3"/>
  <c r="H18" i="13"/>
  <c r="F36" i="3"/>
  <c r="K36" i="3"/>
  <c r="H20" i="13"/>
  <c r="F30" i="3"/>
  <c r="K30" i="3"/>
  <c r="H14" i="13"/>
  <c r="E16" i="13"/>
  <c r="E25" i="13"/>
  <c r="H21" i="13"/>
  <c r="F37" i="3"/>
  <c r="K37" i="3"/>
  <c r="F38" i="3"/>
  <c r="K38" i="3"/>
  <c r="H22" i="13"/>
  <c r="H13" i="13"/>
  <c r="F29" i="3"/>
  <c r="K29" i="3"/>
  <c r="H17" i="13"/>
  <c r="F33" i="3"/>
  <c r="K33" i="3"/>
  <c r="F39" i="3"/>
  <c r="F31" i="3"/>
  <c r="K31" i="3"/>
  <c r="H15" i="13"/>
  <c r="H19" i="13"/>
  <c r="F35" i="3"/>
  <c r="K35" i="3"/>
  <c r="I22" i="13"/>
  <c r="M38" i="3"/>
  <c r="I17" i="13"/>
  <c r="M33" i="3"/>
  <c r="G23" i="13"/>
  <c r="I39" i="3"/>
  <c r="I20" i="13"/>
  <c r="M36" i="3"/>
  <c r="H23" i="13"/>
  <c r="J22" i="13"/>
  <c r="K22" i="13"/>
  <c r="G25" i="13"/>
  <c r="H16" i="13"/>
  <c r="F32" i="3"/>
  <c r="K32" i="3"/>
  <c r="K24" i="3"/>
  <c r="D16" i="19"/>
  <c r="P33" i="3"/>
  <c r="D33" i="7"/>
  <c r="J20" i="13"/>
  <c r="K39" i="3"/>
  <c r="K25" i="3"/>
  <c r="D16" i="21"/>
  <c r="J19" i="13"/>
  <c r="J17" i="13"/>
  <c r="I13" i="13"/>
  <c r="J13" i="13"/>
  <c r="K13" i="13"/>
  <c r="L66" i="16"/>
  <c r="K20" i="13"/>
  <c r="L47" i="16"/>
  <c r="K17" i="13"/>
  <c r="M47" i="16"/>
  <c r="L61" i="16"/>
  <c r="K19" i="13"/>
  <c r="M61" i="16"/>
  <c r="H25" i="13"/>
  <c r="L21" i="16"/>
  <c r="M21" i="16"/>
  <c r="I21" i="13"/>
  <c r="I14" i="13"/>
  <c r="I16" i="13"/>
  <c r="M32" i="3"/>
  <c r="P32" i="3"/>
  <c r="I15" i="13"/>
  <c r="I18" i="13"/>
  <c r="M29" i="3"/>
  <c r="M66" i="16"/>
  <c r="Q33" i="3"/>
  <c r="J16" i="13"/>
  <c r="K16" i="13"/>
  <c r="D32" i="7"/>
  <c r="Q32" i="3"/>
  <c r="K23" i="3"/>
  <c r="D16" i="18"/>
  <c r="M31" i="3"/>
  <c r="P31" i="3"/>
  <c r="J15" i="13"/>
  <c r="K15" i="13"/>
  <c r="M30" i="3"/>
  <c r="P30" i="3"/>
  <c r="J14" i="13"/>
  <c r="K14" i="13"/>
  <c r="M34" i="3"/>
  <c r="P34" i="3"/>
  <c r="J18" i="13"/>
  <c r="K18" i="13"/>
  <c r="M37" i="3"/>
  <c r="J21" i="13"/>
  <c r="K21" i="13"/>
  <c r="H16" i="21"/>
  <c r="L16" i="21"/>
  <c r="M16" i="21"/>
  <c r="L40" i="16"/>
  <c r="M40" i="16"/>
  <c r="L54" i="16"/>
  <c r="M54" i="16"/>
  <c r="L33" i="16"/>
  <c r="M33" i="16"/>
  <c r="D34" i="7"/>
  <c r="Q34" i="3"/>
  <c r="D31" i="7"/>
  <c r="Q31" i="3"/>
  <c r="D30" i="7"/>
  <c r="Q30" i="3"/>
  <c r="L79" i="16"/>
  <c r="M79" i="16"/>
  <c r="L27" i="16"/>
  <c r="M27" i="16"/>
  <c r="K64" i="15"/>
  <c r="H16" i="19"/>
  <c r="L16" i="19"/>
  <c r="M16" i="19"/>
  <c r="H16" i="18"/>
  <c r="L16" i="18"/>
  <c r="M16" i="18"/>
  <c r="G50" i="5"/>
  <c r="E51" i="5"/>
  <c r="O50" i="5"/>
  <c r="N50" i="5"/>
  <c r="I50" i="5"/>
  <c r="J50" i="5"/>
  <c r="E17" i="5"/>
  <c r="K50" i="5"/>
  <c r="L50" i="5"/>
  <c r="M50" i="5"/>
  <c r="E49" i="5"/>
  <c r="E50" i="5"/>
  <c r="H50" i="5"/>
  <c r="K19" i="3"/>
  <c r="Q13" i="4"/>
  <c r="R13" i="4"/>
  <c r="P19" i="3"/>
  <c r="Q19" i="3"/>
  <c r="D19" i="7"/>
  <c r="N32" i="4"/>
  <c r="H32" i="4"/>
  <c r="K32" i="4"/>
  <c r="O32" i="4"/>
  <c r="I32" i="4"/>
  <c r="L32" i="4"/>
  <c r="Q32" i="4"/>
  <c r="R32" i="4"/>
  <c r="K47" i="3"/>
  <c r="K46" i="3"/>
  <c r="J41" i="3"/>
  <c r="I41" i="3"/>
  <c r="H41" i="3"/>
  <c r="F41" i="3"/>
  <c r="F24" i="1"/>
  <c r="P38" i="3"/>
  <c r="P37" i="3"/>
  <c r="F22" i="1"/>
  <c r="K18" i="3"/>
  <c r="P18" i="3"/>
  <c r="D18" i="7"/>
  <c r="K17" i="3"/>
  <c r="K16" i="3"/>
  <c r="J20" i="2"/>
  <c r="J28" i="2"/>
  <c r="H20" i="2"/>
  <c r="H28" i="2"/>
  <c r="M47" i="3"/>
  <c r="J26" i="1"/>
  <c r="H26" i="1"/>
  <c r="P46" i="3"/>
  <c r="D45" i="7"/>
  <c r="H25" i="1"/>
  <c r="M25" i="1"/>
  <c r="N25" i="1"/>
  <c r="F17" i="1"/>
  <c r="G32" i="1"/>
  <c r="H17" i="1"/>
  <c r="I32" i="1"/>
  <c r="Q38" i="3"/>
  <c r="D38" i="7"/>
  <c r="Q37" i="3"/>
  <c r="D37" i="7"/>
  <c r="H16" i="15"/>
  <c r="J17" i="1"/>
  <c r="J44" i="3"/>
  <c r="J49" i="3"/>
  <c r="P24" i="3"/>
  <c r="I44" i="3"/>
  <c r="I49" i="3"/>
  <c r="Q18" i="3"/>
  <c r="K41" i="3"/>
  <c r="D16" i="16"/>
  <c r="P17" i="3"/>
  <c r="H44" i="3"/>
  <c r="H49" i="3"/>
  <c r="D16" i="15"/>
  <c r="P25" i="3"/>
  <c r="P16" i="3"/>
  <c r="P36" i="3"/>
  <c r="P35" i="3"/>
  <c r="P29" i="3"/>
  <c r="M26" i="1"/>
  <c r="N26" i="1"/>
  <c r="P47" i="3"/>
  <c r="Q46" i="3"/>
  <c r="M17" i="1"/>
  <c r="N17" i="1"/>
  <c r="K32" i="1"/>
  <c r="L16" i="15"/>
  <c r="M16" i="15"/>
  <c r="Q29" i="3"/>
  <c r="D29" i="7"/>
  <c r="Q36" i="3"/>
  <c r="D36" i="7"/>
  <c r="F44" i="3"/>
  <c r="F23" i="1"/>
  <c r="F28" i="1"/>
  <c r="F35" i="1"/>
  <c r="F42" i="1"/>
  <c r="Q35" i="3"/>
  <c r="D35" i="7"/>
  <c r="Q25" i="3"/>
  <c r="D25" i="7"/>
  <c r="Q24" i="3"/>
  <c r="D24" i="7"/>
  <c r="Q17" i="3"/>
  <c r="D17" i="7"/>
  <c r="Q16" i="3"/>
  <c r="D16" i="7"/>
  <c r="P20" i="3"/>
  <c r="Q20" i="3"/>
  <c r="H24" i="1"/>
  <c r="P23" i="3"/>
  <c r="Q47" i="3"/>
  <c r="D46" i="7"/>
  <c r="F49" i="3"/>
  <c r="K49" i="3"/>
  <c r="H15" i="4"/>
  <c r="H34" i="4"/>
  <c r="I34" i="4"/>
  <c r="G35" i="1"/>
  <c r="Q23" i="3"/>
  <c r="D23" i="7"/>
  <c r="D26" i="7"/>
  <c r="P26" i="3"/>
  <c r="Q26" i="3"/>
  <c r="H28" i="1"/>
  <c r="H35" i="1"/>
  <c r="D20" i="7"/>
  <c r="F47" i="1"/>
  <c r="G47" i="1"/>
  <c r="G42" i="1"/>
  <c r="J28" i="1"/>
  <c r="K44" i="3"/>
  <c r="Q49" i="3"/>
  <c r="Q44" i="3"/>
  <c r="K15" i="4"/>
  <c r="K34" i="4"/>
  <c r="L34" i="4"/>
  <c r="H42" i="1"/>
  <c r="I35" i="1"/>
  <c r="M28" i="1"/>
  <c r="N28" i="1"/>
  <c r="J35" i="1"/>
  <c r="R15" i="4"/>
  <c r="R34" i="4"/>
  <c r="H47" i="1"/>
  <c r="I47" i="1"/>
  <c r="I42" i="1"/>
  <c r="M35" i="1"/>
  <c r="N35" i="1"/>
  <c r="J42" i="1"/>
  <c r="K35" i="1"/>
  <c r="K42" i="1"/>
  <c r="J47" i="1"/>
  <c r="M42" i="1"/>
  <c r="N42" i="1"/>
  <c r="K47" i="1"/>
  <c r="M47" i="1"/>
  <c r="N47" i="1"/>
  <c r="I23" i="13"/>
  <c r="M39" i="3"/>
  <c r="I24" i="13"/>
  <c r="M40" i="3"/>
  <c r="M41" i="3"/>
  <c r="M44" i="3"/>
  <c r="N15" i="4"/>
  <c r="N34" i="4"/>
  <c r="O34" i="4"/>
  <c r="Q34" i="4"/>
  <c r="Q15" i="4"/>
  <c r="P39" i="3"/>
  <c r="D39" i="7"/>
  <c r="D40" i="7"/>
  <c r="D43" i="7"/>
  <c r="D48" i="7"/>
  <c r="P44" i="3"/>
  <c r="M49" i="3"/>
  <c r="P49" i="3"/>
  <c r="J24" i="1"/>
  <c r="M24" i="1"/>
  <c r="N24" i="1"/>
  <c r="P41" i="3"/>
  <c r="Q41" i="3"/>
  <c r="H16" i="16"/>
  <c r="L16" i="16"/>
  <c r="M16" i="16"/>
  <c r="Q39" i="3"/>
  <c r="P40" i="3"/>
  <c r="Q40" i="3"/>
  <c r="J23" i="13"/>
  <c r="J24" i="13"/>
  <c r="J25" i="13"/>
  <c r="K25" i="13"/>
  <c r="I25" i="13"/>
  <c r="K23" i="13"/>
  <c r="K24" i="13"/>
  <c r="Q20" i="8"/>
</calcChain>
</file>

<file path=xl/sharedStrings.xml><?xml version="1.0" encoding="utf-8"?>
<sst xmlns="http://schemas.openxmlformats.org/spreadsheetml/2006/main" count="1734" uniqueCount="710">
  <si>
    <t>SYNTHESE BUDGETS &amp; MARGE</t>
  </si>
  <si>
    <t>en dh</t>
  </si>
  <si>
    <t>DIRECT DE PART PROPRE</t>
  </si>
  <si>
    <t>SOUS TRAITANT</t>
  </si>
  <si>
    <t>INDIRECT</t>
  </si>
  <si>
    <t>ALEAS - RISQUES IDENTIFIES</t>
  </si>
  <si>
    <t>REVISION - ESCALATION</t>
  </si>
  <si>
    <t>DEPENSES CHANTIER  (révisé)</t>
  </si>
  <si>
    <t>Transfert</t>
  </si>
  <si>
    <t>Objectif</t>
  </si>
  <si>
    <t>Point 20%</t>
  </si>
  <si>
    <t>Point 50%</t>
  </si>
  <si>
    <t>C.A</t>
  </si>
  <si>
    <t>Résultat courant</t>
  </si>
  <si>
    <t>Résultat courant (%)</t>
  </si>
  <si>
    <t>BYMARO</t>
  </si>
  <si>
    <t>CASABLANCA</t>
  </si>
  <si>
    <t xml:space="preserve">LES FAUBOURGS D'ANFA </t>
  </si>
  <si>
    <t>POINT 50%</t>
  </si>
  <si>
    <t>Mois de référence</t>
  </si>
  <si>
    <t>Monnaie locale</t>
  </si>
  <si>
    <t>Dirhams</t>
  </si>
  <si>
    <t>Taux de conversion</t>
  </si>
  <si>
    <t>Date de l'OS</t>
  </si>
  <si>
    <t>Délai TCE</t>
  </si>
  <si>
    <t>26 mois</t>
  </si>
  <si>
    <t>Surface de référence</t>
  </si>
  <si>
    <t>4783m² SHO</t>
  </si>
  <si>
    <t>Douanes</t>
  </si>
  <si>
    <t>DESCRIPTION</t>
  </si>
  <si>
    <t>RECETTE / ACTIVITE FDC</t>
  </si>
  <si>
    <t>Frais généraux</t>
  </si>
  <si>
    <t>Autres frais proportionnels</t>
  </si>
  <si>
    <t>CHAPEAU</t>
  </si>
  <si>
    <t>RESULTAT D'EXPLOITATION</t>
  </si>
  <si>
    <t>RESULTAT FINANCIER</t>
  </si>
  <si>
    <t>PRODUITS OU CHARGES EXCEP.</t>
  </si>
  <si>
    <t>AUTRES PRODUITS D'EXPLOITATION</t>
  </si>
  <si>
    <t>RESULTAT COURANT</t>
  </si>
  <si>
    <t>IMPOT</t>
  </si>
  <si>
    <t>RESULTAT NET</t>
  </si>
  <si>
    <t>ECART</t>
  </si>
  <si>
    <t>Valeur</t>
  </si>
  <si>
    <t>%</t>
  </si>
  <si>
    <t>1 € = 10,85dh</t>
  </si>
  <si>
    <t>RECETTES</t>
  </si>
  <si>
    <t>DECOMPOSITION DES RECETTES POSSIBLES</t>
  </si>
  <si>
    <t>inscrites au CONTRAT</t>
  </si>
  <si>
    <t>TRAVAUX SUP. REGULARISE</t>
  </si>
  <si>
    <t>TOTAL</t>
  </si>
  <si>
    <t>MARCHE DE BASE TRANCHE 1 &amp; 2</t>
  </si>
  <si>
    <t>DECOMPOSITION DE L'ACTIVITE</t>
  </si>
  <si>
    <t>CONTRAT</t>
  </si>
  <si>
    <t>TRANSFERT</t>
  </si>
  <si>
    <t>OBJECTIF</t>
  </si>
  <si>
    <t>MARCHE DE BASE</t>
  </si>
  <si>
    <t>TS 1 : Parking et VRD</t>
  </si>
  <si>
    <t>TS 2</t>
  </si>
  <si>
    <t>TS 3</t>
  </si>
  <si>
    <t>TS 4</t>
  </si>
  <si>
    <t>TRAVAUX SUPPLEMENTAIRES ACQUIS</t>
  </si>
  <si>
    <t>PRIX DE VENTE</t>
  </si>
  <si>
    <t>RECETTES DIVERSES HORS MARCHE</t>
  </si>
  <si>
    <t>TOTAL ACTIVITE CHANTIER</t>
  </si>
  <si>
    <t>REVALORISATION</t>
  </si>
  <si>
    <t>Recettes Diverses 2</t>
  </si>
  <si>
    <t>Recettes Diverses 1</t>
  </si>
  <si>
    <t/>
  </si>
  <si>
    <t>DEPENSES CHANTIER</t>
  </si>
  <si>
    <t>Transfert Initial</t>
  </si>
  <si>
    <t>Transferts de budget</t>
  </si>
  <si>
    <t>TS</t>
  </si>
  <si>
    <t>RD</t>
  </si>
  <si>
    <t xml:space="preserve">Objectif </t>
  </si>
  <si>
    <t>MAIN D'ŒUVRE DIRECTE</t>
  </si>
  <si>
    <t>DIRECT DE PART PROPRE (DPP)</t>
  </si>
  <si>
    <t>GROS ŒUVRE</t>
  </si>
  <si>
    <t>CORPS D'ETAT ARCHITECTURAUX</t>
  </si>
  <si>
    <t>CORPS D'ETAT TECHNIQUES</t>
  </si>
  <si>
    <t>SOUS TRAITANTS (ST)</t>
  </si>
  <si>
    <t>INDIRECT DE PART PROPRE</t>
  </si>
  <si>
    <t>DEPENSES CHANTIER - non révisé</t>
  </si>
  <si>
    <t>DEPENSES CHANTIER (DCH) - révisé</t>
  </si>
  <si>
    <t>en dhs</t>
  </si>
  <si>
    <t>BETON</t>
  </si>
  <si>
    <t>ACIER</t>
  </si>
  <si>
    <t>AUTRES MATERIAUX</t>
  </si>
  <si>
    <t>COFFRAGE</t>
  </si>
  <si>
    <t>INSTALLATION CHANTIER</t>
  </si>
  <si>
    <t>LOCATION MATERIEL</t>
  </si>
  <si>
    <t>MAITRISE LOCALE</t>
  </si>
  <si>
    <t>FRAIS DE FONCTIONNEMENT</t>
  </si>
  <si>
    <t>ETUDES</t>
  </si>
  <si>
    <t>DEPENSES ANNEXES</t>
  </si>
  <si>
    <t>RISQUES TECHNIQUES IDENTIFIES</t>
  </si>
  <si>
    <t>REVISION</t>
  </si>
  <si>
    <t>FRAIS CHAPEAU</t>
  </si>
  <si>
    <t>DEPENSES CHANTIER - révisé</t>
  </si>
  <si>
    <t>DETAIL CHAPEAU</t>
  </si>
  <si>
    <t>TAUX</t>
  </si>
  <si>
    <t>ASSIETTE</t>
  </si>
  <si>
    <t>Frais généraux BOUYGUES</t>
  </si>
  <si>
    <t>Total Activité</t>
  </si>
  <si>
    <t>Frais généraux BYMARO</t>
  </si>
  <si>
    <t>Assurance RC PRO</t>
  </si>
  <si>
    <t>Assurance RC Bymaro</t>
  </si>
  <si>
    <t>BYMARO TOPO + CFI</t>
  </si>
  <si>
    <t>Portail Achat</t>
  </si>
  <si>
    <t>CONDITIONS FINANCIERES</t>
  </si>
  <si>
    <t xml:space="preserve">Acompte </t>
  </si>
  <si>
    <t>Montant HT :</t>
  </si>
  <si>
    <t>soit</t>
  </si>
  <si>
    <t>10% du marché</t>
  </si>
  <si>
    <t>Remboursement  dans :</t>
  </si>
  <si>
    <t xml:space="preserve">soit </t>
  </si>
  <si>
    <t>Caution:</t>
  </si>
  <si>
    <t>Cautionnable</t>
  </si>
  <si>
    <t>Libérable:</t>
  </si>
  <si>
    <t>à réception</t>
  </si>
  <si>
    <t>à 1 an</t>
  </si>
  <si>
    <t>Conditions de paiement:</t>
  </si>
  <si>
    <t>jours</t>
  </si>
  <si>
    <t>Mode de paiement :</t>
  </si>
  <si>
    <t xml:space="preserve">  Virement</t>
  </si>
  <si>
    <t>Echéancier :</t>
  </si>
  <si>
    <t>Non</t>
  </si>
  <si>
    <t>Garantie de paiement :</t>
  </si>
  <si>
    <t xml:space="preserve">  non</t>
  </si>
  <si>
    <t>Pénalités:</t>
  </si>
  <si>
    <t>Non réspect du délai global L1 60000/jour  L2 85000/Jour</t>
  </si>
  <si>
    <t>Non réspect du délai Partiel  L1 33 000/jour    L2 33000/Jour</t>
  </si>
  <si>
    <t>BUDGETS CONFORME</t>
  </si>
  <si>
    <t>NOM</t>
  </si>
  <si>
    <t>DATE DE PRISE EN COMPTE</t>
  </si>
  <si>
    <t>CORPS D'ETAT ARCHI.</t>
  </si>
  <si>
    <t>ENCADREMENT</t>
  </si>
  <si>
    <t xml:space="preserve">INDIRECT </t>
  </si>
  <si>
    <t>Marge TS</t>
  </si>
  <si>
    <t>Marge en % sur TS</t>
  </si>
  <si>
    <t>Ecart sur Obj</t>
  </si>
  <si>
    <t>Avenant N°1</t>
  </si>
  <si>
    <t>TS2</t>
  </si>
  <si>
    <t>TS3</t>
  </si>
  <si>
    <t>TS4</t>
  </si>
  <si>
    <t>TS5</t>
  </si>
  <si>
    <t>TS6</t>
  </si>
  <si>
    <t>TS7</t>
  </si>
  <si>
    <t>TS8</t>
  </si>
  <si>
    <t>TS9</t>
  </si>
  <si>
    <t>SYNTHESE DES ECARTS</t>
  </si>
  <si>
    <t>BUDGET CONCERNE</t>
  </si>
  <si>
    <t>COMMENTAIRES GENERAUX (voir chap. 9 pour détails)</t>
  </si>
  <si>
    <t>Gain sur prix unitaire des pieux</t>
  </si>
  <si>
    <t>Perte sur façades en quantité (claim déposée) et en prix unitaire</t>
  </si>
  <si>
    <t>Rabais commercial important du sous-traitant</t>
  </si>
  <si>
    <t>Ajout d'un expatrié pendant 6 mois</t>
  </si>
  <si>
    <t>Prolongation de la durée d'utilisation de la base technique (6 mois)</t>
  </si>
  <si>
    <t>DEPENSES TCE non révisé</t>
  </si>
  <si>
    <t>DEPENSES CHANTIER (DCH) révisé</t>
  </si>
  <si>
    <t>RECAP. DEBOURSES SECS</t>
  </si>
  <si>
    <t xml:space="preserve">Affaire N° </t>
  </si>
  <si>
    <t>Date :</t>
  </si>
  <si>
    <t>Chantier</t>
  </si>
  <si>
    <t>Rédacteur :</t>
  </si>
  <si>
    <t>LBA/KHA</t>
  </si>
  <si>
    <t>Tx change obj.</t>
  </si>
  <si>
    <t>ECARTS</t>
  </si>
  <si>
    <t>Obj.CONFORME</t>
  </si>
  <si>
    <t>+/-</t>
  </si>
  <si>
    <t>DESIGNATIONS</t>
  </si>
  <si>
    <t>U</t>
  </si>
  <si>
    <t>Qté</t>
  </si>
  <si>
    <t>Montant</t>
  </si>
  <si>
    <t>QTE</t>
  </si>
  <si>
    <t>MONTANT</t>
  </si>
  <si>
    <t>DH</t>
  </si>
  <si>
    <t>MOD</t>
  </si>
  <si>
    <t>Hr</t>
  </si>
  <si>
    <t>M3</t>
  </si>
  <si>
    <t>Kg</t>
  </si>
  <si>
    <t>AUTRE MATERIAUX</t>
  </si>
  <si>
    <t>Ens</t>
  </si>
  <si>
    <t>TOTAL DS</t>
  </si>
  <si>
    <t>BILAN MAIN D'ŒUVRE</t>
  </si>
  <si>
    <t>P.U.</t>
  </si>
  <si>
    <t>xxxxxxx</t>
  </si>
  <si>
    <t>BUDG. Réf.</t>
  </si>
  <si>
    <t>Trsf. +/-</t>
  </si>
  <si>
    <t>CUMUL A FIN  MARS-2017</t>
  </si>
  <si>
    <t>MOIS DE  MARS-2017</t>
  </si>
  <si>
    <t>RAD</t>
  </si>
  <si>
    <t>CUMUL FDC</t>
  </si>
  <si>
    <t>CUMUL A FIN  FÉVRIER-2017</t>
  </si>
  <si>
    <t>Code OTP</t>
  </si>
  <si>
    <t>Description OTP</t>
  </si>
  <si>
    <t>.</t>
  </si>
  <si>
    <t>Unité</t>
  </si>
  <si>
    <t>Budget Avancé</t>
  </si>
  <si>
    <t>Dépenses</t>
  </si>
  <si>
    <t>Ecart</t>
  </si>
  <si>
    <t>Qtés</t>
  </si>
  <si>
    <t>Ecarts</t>
  </si>
  <si>
    <t>Res.</t>
  </si>
  <si>
    <t>PART PROPRE</t>
  </si>
  <si>
    <t>H</t>
  </si>
  <si>
    <t>MATX.400220.PP.DS.1.1</t>
  </si>
  <si>
    <t>FONDATION - GH4</t>
  </si>
  <si>
    <t>BETON DE PROPRETE</t>
  </si>
  <si>
    <t xml:space="preserve">GROS BETON </t>
  </si>
  <si>
    <t>BETON CYCLOPEEN POUR MARMITES</t>
  </si>
  <si>
    <t>SEMELLES ISOLEES</t>
  </si>
  <si>
    <t>SEMELLES FILANTES</t>
  </si>
  <si>
    <t>LONGRINES</t>
  </si>
  <si>
    <t>AMORCE DE POTEAUX</t>
  </si>
  <si>
    <t>AMORCE DE VOILE</t>
  </si>
  <si>
    <t>DALLAGE (ep 15cm 35kg/m3)</t>
  </si>
  <si>
    <t>RADIER RAMPE</t>
  </si>
  <si>
    <t>ACIER FONDATIONS ANNEXE 12</t>
  </si>
  <si>
    <t>MATX.400220.PP.DS.1.2</t>
  </si>
  <si>
    <t>SUPERSTRUCTURE - GH4</t>
  </si>
  <si>
    <t>POTEAUX</t>
  </si>
  <si>
    <t>VOILES</t>
  </si>
  <si>
    <t>ACROTETES ET RELEVES DE BALCONS EN BA</t>
  </si>
  <si>
    <t>POUTRES</t>
  </si>
  <si>
    <t>DALLES PLEINES</t>
  </si>
  <si>
    <t>PLANCHERS POUTRELLES HOURDIS 15+5</t>
  </si>
  <si>
    <t>PLANCHERS POUTRELLES HOURDIS 20+5</t>
  </si>
  <si>
    <t>PLANCHERS POUTRELLES HOURDIS 25+5</t>
  </si>
  <si>
    <t>ARMATURES SUPER</t>
  </si>
  <si>
    <t xml:space="preserve">INCIDENCE UTILISATION CP SUR LA STRUCTURE </t>
  </si>
  <si>
    <t>MATX.400220.PP.DS.1.3</t>
  </si>
  <si>
    <t>MACONNERIE &amp; ENDUIT  INFRA + SUPER - GH4</t>
  </si>
  <si>
    <t>RAIDISSEURS VERTICAUX DANS MACONNERIE</t>
  </si>
  <si>
    <t>LINTEAUX BA &amp; PV CAISSON VR</t>
  </si>
  <si>
    <t>MATX.400220.PP.DS.1.4</t>
  </si>
  <si>
    <t>ESCALIERS - GH4</t>
  </si>
  <si>
    <t xml:space="preserve">ESCALIER 1/2 TOURNANT </t>
  </si>
  <si>
    <t>ESCALIER HELICOIDAL SECOURS</t>
  </si>
  <si>
    <t>MATX.400220.PP.DS.1.5</t>
  </si>
  <si>
    <t>OUVRAGES DIVERS - GH4</t>
  </si>
  <si>
    <t>APPUIS DE FENETRES</t>
  </si>
  <si>
    <t>POSE ET SCELLEMENT DE CADRES ET FX CADRES</t>
  </si>
  <si>
    <t>POSE ET SCELLEMENT DE GC</t>
  </si>
  <si>
    <t>POSE ET SCELLEMENT DE PRECADRES / MENUISERIE</t>
  </si>
  <si>
    <t>SCELLEMENT RECEVEURS DE DOUCHE</t>
  </si>
  <si>
    <t>SOCLE PARABOLE</t>
  </si>
  <si>
    <t>SOCLE TERRASSE</t>
  </si>
  <si>
    <t>SOUCHES TERRASSES</t>
  </si>
  <si>
    <t>TRAITEMENT DES JD</t>
  </si>
  <si>
    <t>PEMPLISSAGE JD PAR POLYSTYRENNE</t>
  </si>
  <si>
    <t>DALETTES EN BETON</t>
  </si>
  <si>
    <t>TROUS DE SCELLEMENT &amp; CALFEUTREMENT</t>
  </si>
  <si>
    <t>AMENAGEMENT DES LOCAUX TECHNIQUES</t>
  </si>
  <si>
    <t>COURS ANGLAISES VENTILLATION PARKING</t>
  </si>
  <si>
    <t>BAC A SABLE</t>
  </si>
  <si>
    <t>MATX.400220.PP.DS.1.6</t>
  </si>
  <si>
    <t>MACONNERIE &amp; ENDUIT  TERRASSE - GH4</t>
  </si>
  <si>
    <t>AJUSTEMENT MAIN D'ŒUVRE</t>
  </si>
  <si>
    <t>AJOUT ACIER CONSOLE</t>
  </si>
  <si>
    <t>MOI</t>
  </si>
  <si>
    <t>MATX.400220.IN.MI.01</t>
  </si>
  <si>
    <t>GRUTIER G12</t>
  </si>
  <si>
    <t>MATX.400220.IN.MI.02</t>
  </si>
  <si>
    <t>GRUTIER G13</t>
  </si>
  <si>
    <t>MATX.400220.IN.MI.03</t>
  </si>
  <si>
    <t>GRUTIER GTMR</t>
  </si>
  <si>
    <t>MATX.400220.IN.MI.04</t>
  </si>
  <si>
    <t>GRUTIER G14</t>
  </si>
  <si>
    <t>MATX.400220.IN.MI.05</t>
  </si>
  <si>
    <t>GRUTIER G15</t>
  </si>
  <si>
    <t>MATX.400220.IN.MI.06</t>
  </si>
  <si>
    <t>REMPLACANT GRUTIERS</t>
  </si>
  <si>
    <t>MATX.400220.IN.MI.07</t>
  </si>
  <si>
    <t>AIDE IMPLANTATION</t>
  </si>
  <si>
    <t>MATX.400220.IN.MI.08</t>
  </si>
  <si>
    <t>AIDE TRAÇAGE</t>
  </si>
  <si>
    <t>MATX.400220.IN.MI.09</t>
  </si>
  <si>
    <t>NETTOYAGE EN COURS DE CHANTIER</t>
  </si>
  <si>
    <t>MATX.400220.IN.MI.10</t>
  </si>
  <si>
    <t>NETTOYAGE DURANT CES</t>
  </si>
  <si>
    <t>MATX.400220.IN.MI.11</t>
  </si>
  <si>
    <t>NETTOYAGE FIN DE CHANTIER</t>
  </si>
  <si>
    <t>MATX.400220.IN.MI.12</t>
  </si>
  <si>
    <t>AIDE SECURITE</t>
  </si>
  <si>
    <t>MATX.400220.IN.MI.13</t>
  </si>
  <si>
    <t>MO DECHARGEMENT</t>
  </si>
  <si>
    <t>MATX.400220.IN.MI.14</t>
  </si>
  <si>
    <t>POINTEAU</t>
  </si>
  <si>
    <t>MATX.400220.IN.MI.15</t>
  </si>
  <si>
    <t>SOUDEUR</t>
  </si>
  <si>
    <t>MATX.400220.IN.MI.16</t>
  </si>
  <si>
    <t>CONDUCT CHARIOT ELEV.</t>
  </si>
  <si>
    <t>MATX.400220.IN.MI.17</t>
  </si>
  <si>
    <t>CHAUFFEUR CAMIONNETTE</t>
  </si>
  <si>
    <t>MATX.400220.IN.MI.18</t>
  </si>
  <si>
    <t>MAGASINIER</t>
  </si>
  <si>
    <t>MATX.400220.IN.MI.19</t>
  </si>
  <si>
    <t>AIDE MAGASINIER</t>
  </si>
  <si>
    <t>MATX.400220.IN.MI.20</t>
  </si>
  <si>
    <t>CONDUCTEUR DUMPER</t>
  </si>
  <si>
    <t>MATX.400220.IN.MI.21</t>
  </si>
  <si>
    <t>MENUISIER</t>
  </si>
  <si>
    <t>MATX.400220.IN.MI.22</t>
  </si>
  <si>
    <t>AIDE MENUISIER</t>
  </si>
  <si>
    <t>MATX.400220.IN.MI.23</t>
  </si>
  <si>
    <t>M.O ENTRETIEN BUREAU</t>
  </si>
  <si>
    <t>MATX.400220.IN.MI.24</t>
  </si>
  <si>
    <t>M.O ENTRETIEN VESTIAIRE - SANITAIRE</t>
  </si>
  <si>
    <t>MATX.400220.IN.MI.25</t>
  </si>
  <si>
    <t>INFIRMIER</t>
  </si>
  <si>
    <t>MATX.400220.IN.MI.26</t>
  </si>
  <si>
    <t>PLOMBIER</t>
  </si>
  <si>
    <t>MATX.400220.IN.MI.27</t>
  </si>
  <si>
    <t>ELECTRICIEN</t>
  </si>
  <si>
    <t>MATX.400220.IN.MI.28</t>
  </si>
  <si>
    <t xml:space="preserve">CHANTIER : Gardien Jour/Nuit </t>
  </si>
  <si>
    <t>MATX.400220.IN.MI.29</t>
  </si>
  <si>
    <t>GARDIEN IMMEUBLE ASOMOVIT</t>
  </si>
  <si>
    <t>MATX.400220.IN.IC.02</t>
  </si>
  <si>
    <t>MATX.400220.IN.IC.01</t>
  </si>
  <si>
    <t>MONTAGE DE GRUES</t>
  </si>
  <si>
    <t>POSE DES CHAISES</t>
  </si>
  <si>
    <t>MATX.400220.PP.AM.25</t>
  </si>
  <si>
    <t>RESEAUX SOUS DALLAGE</t>
  </si>
  <si>
    <t>MATX.400220.PP.AM.26</t>
  </si>
  <si>
    <t>TERRASSEMENT COMPLEMENTAIRE</t>
  </si>
  <si>
    <t>MATX.400220.IN.FF.11</t>
  </si>
  <si>
    <t>CALE A BETON</t>
  </si>
  <si>
    <t>BILAN BETON</t>
  </si>
  <si>
    <t>Total</t>
  </si>
  <si>
    <t>INDIRECTS</t>
  </si>
  <si>
    <t>BILAN ACIER</t>
  </si>
  <si>
    <t>T</t>
  </si>
  <si>
    <t xml:space="preserve">RESEAUX SOUS DALLAGE </t>
  </si>
  <si>
    <t>BUDGET Référence</t>
  </si>
  <si>
    <t>Trsf. Budget</t>
  </si>
  <si>
    <t>T.S.</t>
  </si>
  <si>
    <t>Budget Conforme</t>
  </si>
  <si>
    <t>X</t>
  </si>
  <si>
    <t>CUMUL A FIN DE MOIS</t>
  </si>
  <si>
    <t>CUMUL A FIN DE CHANTIER</t>
  </si>
  <si>
    <t>Avancement</t>
  </si>
  <si>
    <t>Budget</t>
  </si>
  <si>
    <t>09</t>
  </si>
  <si>
    <t>01</t>
  </si>
  <si>
    <t>02</t>
  </si>
  <si>
    <t>03</t>
  </si>
  <si>
    <t>04</t>
  </si>
  <si>
    <t>05</t>
  </si>
  <si>
    <t>06</t>
  </si>
  <si>
    <t>07</t>
  </si>
  <si>
    <t>08</t>
  </si>
  <si>
    <t>10</t>
  </si>
  <si>
    <t>11</t>
  </si>
  <si>
    <t>12</t>
  </si>
  <si>
    <t>Restant</t>
  </si>
  <si>
    <t>MORTIER A HOURDER</t>
  </si>
  <si>
    <t>GROS OEUVRES</t>
  </si>
  <si>
    <t>TERRASSEMENT</t>
  </si>
  <si>
    <t>DAKO CONSTRUCTION</t>
  </si>
  <si>
    <t>RAT</t>
  </si>
  <si>
    <t>CEA</t>
  </si>
  <si>
    <t>ETANCHEITE</t>
  </si>
  <si>
    <t>FAUX PLAFOND</t>
  </si>
  <si>
    <t>CHEMINEE</t>
  </si>
  <si>
    <t>CET</t>
  </si>
  <si>
    <t>ASCENSEURS</t>
  </si>
  <si>
    <t>MARCHE</t>
  </si>
  <si>
    <t>INSTALLATION DE CHANTIER</t>
  </si>
  <si>
    <t>ACHATS</t>
  </si>
  <si>
    <t>ELECTRICITE</t>
  </si>
  <si>
    <t>RSD</t>
  </si>
  <si>
    <t>RECAPITULATIF INDIRECTS</t>
  </si>
  <si>
    <t xml:space="preserve">Date: </t>
  </si>
  <si>
    <t>BUDGET  CONFORME</t>
  </si>
  <si>
    <t>POINT 50 %</t>
  </si>
  <si>
    <t>MAIN D'ŒUVRE INDIRECTE</t>
  </si>
  <si>
    <t>TOTAL INDIRECTS</t>
  </si>
  <si>
    <t>SYNTHESE  TRANSFERTS  DE  BUDGETS</t>
  </si>
  <si>
    <t>Affaire N°</t>
  </si>
  <si>
    <t>CIMENT/GRAVETTE</t>
  </si>
  <si>
    <t>PASSERELLE PRECONTRAINTE</t>
  </si>
  <si>
    <t>CCL</t>
  </si>
  <si>
    <t>PLATEAU AUTOCOINCANT</t>
  </si>
  <si>
    <t>INFORMATIQUE</t>
  </si>
  <si>
    <t>LOCAT PHOTOCOPIEUR</t>
  </si>
  <si>
    <t>COFFRAGES</t>
  </si>
  <si>
    <t xml:space="preserve">INSTALLATION ELECTRIQUE </t>
  </si>
  <si>
    <t>CTX  Plomberie</t>
  </si>
  <si>
    <t>REVETEMENT CEA</t>
  </si>
  <si>
    <t>ETANCHIETE</t>
  </si>
  <si>
    <t>POSTE MACONNERIE</t>
  </si>
  <si>
    <t>MENUISERIE EXTERIEURE RAT</t>
  </si>
  <si>
    <t>Main d'œuvre directe</t>
  </si>
  <si>
    <t xml:space="preserve">Béton </t>
  </si>
  <si>
    <t xml:space="preserve">Acier </t>
  </si>
  <si>
    <t>Autres Matériaux</t>
  </si>
  <si>
    <t>Coffrage</t>
  </si>
  <si>
    <t>TOTAL PRODUCT° PROPRE</t>
  </si>
  <si>
    <t>ST G.O.</t>
  </si>
  <si>
    <t>ST C.E.A.</t>
  </si>
  <si>
    <t>ST C.E.T.</t>
  </si>
  <si>
    <t>TOTAL SOUS-TRAITANT</t>
  </si>
  <si>
    <t>Installation chantier</t>
  </si>
  <si>
    <t>Location Matériel</t>
  </si>
  <si>
    <t>Achat Matériel</t>
  </si>
  <si>
    <t>M.O.Indirecte</t>
  </si>
  <si>
    <t>Maitrise Locale</t>
  </si>
  <si>
    <t>Frais de Fonctionnement</t>
  </si>
  <si>
    <t>Encadrement Local</t>
  </si>
  <si>
    <t>VOY. MISSIONS / CATERING</t>
  </si>
  <si>
    <t xml:space="preserve">TOTAL LES INDIRECTS </t>
  </si>
  <si>
    <t>TOTAL PRODUCTION PROPRE</t>
  </si>
  <si>
    <t>TOTAL DCH</t>
  </si>
  <si>
    <t>TOTAL Frais Annexes</t>
  </si>
  <si>
    <t>DEPENSES GLOBALES</t>
  </si>
  <si>
    <t>- ECART -</t>
  </si>
  <si>
    <t>EN KMAD</t>
  </si>
  <si>
    <t>Rappel des budgets</t>
  </si>
  <si>
    <t>Budget  Conforme</t>
  </si>
  <si>
    <t>Ecart de budgets</t>
  </si>
  <si>
    <t>Détails des écarts</t>
  </si>
  <si>
    <t>Quantité</t>
  </si>
  <si>
    <t>P.U</t>
  </si>
  <si>
    <t>DIRHAMS</t>
  </si>
  <si>
    <t xml:space="preserve">Budget Conforme </t>
  </si>
  <si>
    <t>+/-  sur P.U</t>
  </si>
  <si>
    <t>+/-  sur Qtés</t>
  </si>
  <si>
    <t>Perte de 5025 Hrs due au gros béton</t>
  </si>
  <si>
    <t>Perte de 1300 Hrs sur fondations (maconnerie + voltex)</t>
  </si>
  <si>
    <r>
      <t>Béton</t>
    </r>
    <r>
      <rPr>
        <u/>
        <sz val="22"/>
        <rFont val="Book Antiqua"/>
        <family val="1"/>
      </rPr>
      <t xml:space="preserve"> : </t>
    </r>
  </si>
  <si>
    <r>
      <t>Acier</t>
    </r>
    <r>
      <rPr>
        <u/>
        <sz val="22"/>
        <rFont val="Book Antiqua"/>
        <family val="1"/>
      </rPr>
      <t xml:space="preserve"> : </t>
    </r>
  </si>
  <si>
    <t>Objectif Conforme</t>
  </si>
  <si>
    <t>-Gain / Brique creuse</t>
  </si>
  <si>
    <t>- Perte  sur Mortier à hourder</t>
  </si>
  <si>
    <t>-PV HYDROFUGE</t>
  </si>
  <si>
    <t>Autres Matériaux :</t>
  </si>
  <si>
    <t>TERRASSEMENTS</t>
  </si>
  <si>
    <t>VRD</t>
  </si>
  <si>
    <t>ESPACE VERT</t>
  </si>
  <si>
    <t>POST CONTRAINTE</t>
  </si>
  <si>
    <t>ST MACONNERIE</t>
  </si>
  <si>
    <t>CLOS COUVERT</t>
  </si>
  <si>
    <t>MENUISERIE INTERIEURES</t>
  </si>
  <si>
    <t>REVETEMENT</t>
  </si>
  <si>
    <t>PEINTURES</t>
  </si>
  <si>
    <t>FINITION AUTRES LOTS</t>
  </si>
  <si>
    <t>CVC</t>
  </si>
  <si>
    <t>PLOMBERIE</t>
  </si>
  <si>
    <t>ASCENCEUR</t>
  </si>
  <si>
    <t>CUISINE</t>
  </si>
  <si>
    <t>LES DEPENSES  INDIRECTS 
EN KMAD</t>
  </si>
  <si>
    <t xml:space="preserve">Gain sur Installation baraque chantier </t>
  </si>
  <si>
    <t xml:space="preserve">Gain sur PU location de matériel </t>
  </si>
  <si>
    <t>( Nouveau Baréme appliqué)</t>
  </si>
  <si>
    <t>Gain / Achat cable secondaire</t>
  </si>
  <si>
    <t>Gain / tuyaux  flexible</t>
  </si>
  <si>
    <t>Gain / Pieces de rechange</t>
  </si>
  <si>
    <t>Ecart / PU Menuisier</t>
  </si>
  <si>
    <t>Ecart / Topographe non prevu à l objectif</t>
  </si>
  <si>
    <t>Perte / MOD nettoyage</t>
  </si>
  <si>
    <t xml:space="preserve">Ecart / PU Maitres Batisseur Outache </t>
  </si>
  <si>
    <t>Gain sur durée Assistant chantier</t>
  </si>
  <si>
    <t>Gain / PU Chef de chantier</t>
  </si>
  <si>
    <t>Les Principaux ecarts :</t>
  </si>
  <si>
    <t>Perte / Location photocopieur</t>
  </si>
  <si>
    <t>Gain/ constat huissier</t>
  </si>
  <si>
    <t>RAS</t>
  </si>
  <si>
    <t xml:space="preserve">Les principaux ecarts </t>
  </si>
  <si>
    <t xml:space="preserve">Gain 2 mois de Planning Resp Projet </t>
  </si>
  <si>
    <t>Perte / Controleur Financier ( reajustement planning )</t>
  </si>
  <si>
    <t xml:space="preserve">Gain / Responsable CEA prevu à l objectif </t>
  </si>
  <si>
    <t>Perte / ING Methode (reajustement planning)</t>
  </si>
  <si>
    <t>Perte / Responsable GO (reajustement planning)</t>
  </si>
  <si>
    <t>Perte / PU Conducteur Travaux GO</t>
  </si>
  <si>
    <t xml:space="preserve">Gain / Design manager prevu à l objectif </t>
  </si>
  <si>
    <t>Perte /Responsable de production ( reajustement planning)</t>
  </si>
  <si>
    <t>Remplacement du BE Arnaud Decerisy par Tisseyre+ Associés</t>
  </si>
  <si>
    <t>Gain sur Compagne de sondage geotechnique</t>
  </si>
  <si>
    <t>SOUS TRAITANT GROS ŒUVRES
EN KMAD</t>
  </si>
  <si>
    <t>-VRD (Ajout Transformateur 630 KVA sur L2 )</t>
  </si>
  <si>
    <t>-VRD / CLOTURES DIVERSES</t>
  </si>
  <si>
    <t>-MARCHE CCL Stressing Systems Maroc</t>
  </si>
  <si>
    <t>SOUS TRAITANT CEA
EN KMAD</t>
  </si>
  <si>
    <t>-ETANCHIEITE / FOURNITURES</t>
  </si>
  <si>
    <t>-CLOS COUVERT-MENUISERIE RAT</t>
  </si>
  <si>
    <t>-REVETEMENTS SOL / RAT</t>
  </si>
  <si>
    <t>SOUS TRAITANT CET
EN KMAD</t>
  </si>
  <si>
    <t>Clim CVC</t>
  </si>
  <si>
    <t>-INSTALLATION PAR ST</t>
  </si>
  <si>
    <t>-FOURNITURE HITACHI</t>
  </si>
  <si>
    <t>-VMC PP</t>
  </si>
  <si>
    <t>Plomberie</t>
  </si>
  <si>
    <t>-FOURNITURE</t>
  </si>
  <si>
    <t>-MOD/PLOMBIER</t>
  </si>
  <si>
    <t>-FRAIS DE CHANTIER</t>
  </si>
  <si>
    <t>-FRAIS DE SERVICE</t>
  </si>
  <si>
    <t>Electricité</t>
  </si>
  <si>
    <t>FOURNITURE CFO</t>
  </si>
  <si>
    <t xml:space="preserve">FOURNITURE CFA  </t>
  </si>
  <si>
    <t>TABLEAU DE GESTION DES RISQUES</t>
  </si>
  <si>
    <t>EN KDHS</t>
  </si>
  <si>
    <t>N°</t>
  </si>
  <si>
    <t>RISQUES POTENTIELS</t>
  </si>
  <si>
    <t>ORIGINE DU RISQUE</t>
  </si>
  <si>
    <t>EVALUATION DU RIQUE</t>
  </si>
  <si>
    <t>IMPACT COUT</t>
  </si>
  <si>
    <t>MAITRISE DU RISQUE (Trx)</t>
  </si>
  <si>
    <t>PROVISIONS</t>
  </si>
  <si>
    <t>COMMENTAIRES</t>
  </si>
  <si>
    <t>Client</t>
  </si>
  <si>
    <t>S/T ou Partenaires</t>
  </si>
  <si>
    <t>Force Majeure</t>
  </si>
  <si>
    <t>Raisons internes</t>
  </si>
  <si>
    <t>Autres</t>
  </si>
  <si>
    <t>Probabilité d'occurrence</t>
  </si>
  <si>
    <t>Gravité</t>
  </si>
  <si>
    <t xml:space="preserve">        Score  Niveau</t>
  </si>
  <si>
    <t>Montant retenu</t>
  </si>
  <si>
    <t>Taux</t>
  </si>
  <si>
    <t>Impact</t>
  </si>
  <si>
    <t xml:space="preserve">CET : Passage du monophasé en triphasé sur Bâtiments L1 &amp; L2 pour les </t>
  </si>
  <si>
    <t xml:space="preserve">Gros béton sous fondation SS2 coulé en pleine fouille </t>
  </si>
  <si>
    <t>Protection extérieure des portes cabine ascenseur</t>
  </si>
  <si>
    <t xml:space="preserve">Prolongation encadrement 1 mois de plus </t>
  </si>
  <si>
    <t xml:space="preserve">Substitution du lot peinture </t>
  </si>
  <si>
    <t>Offre Faramaoui retenue à l'objectif</t>
  </si>
  <si>
    <t>Prescriptions CCTP non chifrées</t>
  </si>
  <si>
    <t xml:space="preserve">Mise en œuvre béton sable lavé </t>
  </si>
  <si>
    <t>nc</t>
  </si>
  <si>
    <t>Formulation béton transmise à Socotec</t>
  </si>
  <si>
    <t>Rajout placards gaines palières</t>
  </si>
  <si>
    <t>BECS supplémentaires conforme aux prescriptions  BY immo et CCTP</t>
  </si>
  <si>
    <t>Reprise peintures après reception client</t>
  </si>
  <si>
    <t>NOTA :</t>
  </si>
  <si>
    <r>
      <t>Les colonnes "Maîtrise des risques (Trx</t>
    </r>
    <r>
      <rPr>
        <sz val="10"/>
        <rFont val="Arial"/>
        <family val="2"/>
      </rPr>
      <t>)" se rapportent à l'atténuation de l'impact du risque (par rapport à l'appréciation qui en a été faite) quand il existe ou qu'il a été possible de mettre en place, par les équipes travaux, d' un plan d'action pour en diminuer les effets.</t>
    </r>
  </si>
  <si>
    <t>TABLEAU DE GESTION DES OPPORTUNITES</t>
  </si>
  <si>
    <t>OPPORTUNITES POTENTIELLES</t>
  </si>
  <si>
    <t>ORIGINE DE L'OPPORTUNITE</t>
  </si>
  <si>
    <t>EVALUATION DE L'OPPORTUNITE</t>
  </si>
  <si>
    <t>PROFIT PREVISIONNEL</t>
  </si>
  <si>
    <t>Performance technique</t>
  </si>
  <si>
    <t>Profit</t>
  </si>
  <si>
    <t xml:space="preserve">     Score  Niveau</t>
  </si>
  <si>
    <t>Gain sur PU location diverses</t>
  </si>
  <si>
    <t>cis nouveaux PU location materiel</t>
  </si>
  <si>
    <t>Refacturation L3</t>
  </si>
  <si>
    <t>Cuisine : Gain sur marques électroménagers</t>
  </si>
  <si>
    <t>RAT  cuisine  700 Kdh libére</t>
  </si>
  <si>
    <t>Gain etude geotechniques</t>
  </si>
  <si>
    <t>Gain anticipé de 5% sur la fourniture Plomberie</t>
  </si>
  <si>
    <t xml:space="preserve">Gain / consultation CEA </t>
  </si>
  <si>
    <t xml:space="preserve">Lots ciblés : Menuiserie ext + Fermeture / Menuiserie Int / Revêtement sol / Etanchiété /Cuisine /faux plafond </t>
  </si>
  <si>
    <t xml:space="preserve">Non respect des hauteurs contractuelles de sous faux plafond dans les logements </t>
  </si>
  <si>
    <t>Non chiffré</t>
  </si>
  <si>
    <t xml:space="preserve">Gain sur VRD </t>
  </si>
  <si>
    <t>PLAN D'AMELIORATION DE LA MARGE</t>
  </si>
  <si>
    <t>Point 80%</t>
  </si>
  <si>
    <t>ETAT</t>
  </si>
  <si>
    <t>-</t>
  </si>
  <si>
    <t>Produit financier</t>
  </si>
  <si>
    <t>Objectif fait++</t>
  </si>
  <si>
    <t xml:space="preserve">Gain sur révision de Prix </t>
  </si>
  <si>
    <t>Gain sur Prorata Sous traitant</t>
  </si>
  <si>
    <t>Gain sur négociation Fourniture matériel Electrical</t>
  </si>
  <si>
    <t>Gain sur négociation matériel méchanical (BECS , VRV)</t>
  </si>
  <si>
    <t xml:space="preserve">Gain sur négociations ST VRD </t>
  </si>
  <si>
    <t>Gain sur le coffrage</t>
  </si>
  <si>
    <t>Gain sur Achat Matériels</t>
  </si>
  <si>
    <t>Négociation CEA</t>
  </si>
  <si>
    <t>Optimisation Frais chantier/Service avec mise en place du Lean management</t>
  </si>
  <si>
    <t>Soit un TOTAL :</t>
  </si>
  <si>
    <t>MAD</t>
  </si>
  <si>
    <t>OBJECTIF CONFORME</t>
  </si>
  <si>
    <t>T.S</t>
  </si>
  <si>
    <t>intégrées a l'Objectif</t>
  </si>
  <si>
    <t>OBJECTIF Conforme</t>
  </si>
  <si>
    <t xml:space="preserve">Chantier                                      </t>
  </si>
  <si>
    <t xml:space="preserve">Affaire N°                                    </t>
  </si>
  <si>
    <t>POINT A FIN  AVRIL 2017</t>
  </si>
  <si>
    <t>Fin Avr 17</t>
  </si>
  <si>
    <t>MATX.400220.PP.DS.2.1</t>
  </si>
  <si>
    <t>FONDATION  - GH5</t>
  </si>
  <si>
    <t>MATX.400220.PP.DS.2.2</t>
  </si>
  <si>
    <t>SUPERSTRUCTURE - GH5</t>
  </si>
  <si>
    <t xml:space="preserve">PLANCHERS POUTRELLES HOURDIS </t>
  </si>
  <si>
    <t>MATX.400220.PP.DS.2.3</t>
  </si>
  <si>
    <t>MACONNERIE &amp; ENDUIT  INFRA + SUPER - GH5</t>
  </si>
  <si>
    <t>MATX.400220.PP.DS.2.4</t>
  </si>
  <si>
    <t>ESCALIERS - GH5</t>
  </si>
  <si>
    <t>MATX.400220.PP.DS.2.5</t>
  </si>
  <si>
    <t>OUVRAGES DIVERS - GH5</t>
  </si>
  <si>
    <t>MATX.400220.PP.DS.2.6</t>
  </si>
  <si>
    <t>MACONNERIE &amp; ENDUIT  TERRASSE - GH5</t>
  </si>
  <si>
    <t>......MATX.400220.PP.AM</t>
  </si>
  <si>
    <t>.........MATX.400220.PP.AM.01</t>
  </si>
  <si>
    <t>PLANCHERS HOURDIS</t>
  </si>
  <si>
    <t>.........MATX.400220.PP.AM.02</t>
  </si>
  <si>
    <t>MORTIER ENDUIT EXTERIEUR</t>
  </si>
  <si>
    <t>.........MATX.400220.PP.AM.03</t>
  </si>
  <si>
    <t>PV JOINT CREUX ENDUIT EXT</t>
  </si>
  <si>
    <t>.........MATX.400220.PP.AM.04</t>
  </si>
  <si>
    <t>.........MATX.400220.PP.AM.05</t>
  </si>
  <si>
    <t>MORTIER DIVERS</t>
  </si>
  <si>
    <t>.........MATX.400220.PP.AM.06</t>
  </si>
  <si>
    <t>POLYANE 100μ</t>
  </si>
  <si>
    <t>.........MATX.400220.PP.AM.07</t>
  </si>
  <si>
    <t>POLISTYRENNE</t>
  </si>
  <si>
    <t>.........MATX.400220.PP.AM.08</t>
  </si>
  <si>
    <t>BRIQUES CREUSES 8T 100mm</t>
  </si>
  <si>
    <t>.........MATX.400220.PP.AM.09</t>
  </si>
  <si>
    <t>BRIQUES CREUSES 6T 70mm</t>
  </si>
  <si>
    <t>.........MATX.400220.PP.AM.10</t>
  </si>
  <si>
    <t>AGGLOS CREUX 20cm</t>
  </si>
  <si>
    <t>.........MATX.400220.PP.AM.11</t>
  </si>
  <si>
    <t>POSE MAÇONNERIE</t>
  </si>
  <si>
    <t>.........MATX.400220.PP.AM.12</t>
  </si>
  <si>
    <t>BAGUETTE D'ANGLE</t>
  </si>
  <si>
    <t>.........MATX.400220.PP.AM.13</t>
  </si>
  <si>
    <t>ENDUIT PLATRE (SOUS-SOL)</t>
  </si>
  <si>
    <t>.........MATX.400220.PP.AM.14</t>
  </si>
  <si>
    <t>ENDUIT PLATRE (SUPER)</t>
  </si>
  <si>
    <t>.........MATX.400220.PP.AM.15</t>
  </si>
  <si>
    <t>ENDUIT INTERIEUR</t>
  </si>
  <si>
    <t>.........MATX.400220.PP.AM.16</t>
  </si>
  <si>
    <t>ETANCHEITE MURS ENTERRES</t>
  </si>
  <si>
    <t>.........MATX.400220.PP.AM.17</t>
  </si>
  <si>
    <t>COUVRE JOINT ALU</t>
  </si>
  <si>
    <t>.........MATX.400220.PP.AM.18</t>
  </si>
  <si>
    <t>FINITION SHO INFRA</t>
  </si>
  <si>
    <t>.........MATX.400220.PP.AM.19</t>
  </si>
  <si>
    <t>FINITION SHO SUPER</t>
  </si>
  <si>
    <t>.........MATX.400220.PP.AM.20</t>
  </si>
  <si>
    <t>DIVERS FINITION</t>
  </si>
  <si>
    <t>.........MATX.400220.PP.AM.21</t>
  </si>
  <si>
    <t>GRAVIER 5/25</t>
  </si>
  <si>
    <t>.........MATX.400220.PP.AM.22</t>
  </si>
  <si>
    <t>.........MATX.400220.PP.AM.23</t>
  </si>
  <si>
    <t>PROTECTION DALLAGE</t>
  </si>
  <si>
    <t>.........MATX.400220.PP.AM.24</t>
  </si>
  <si>
    <t>DIVERS ET NON VU</t>
  </si>
  <si>
    <t>.........MATX.400220.PP.AM.25</t>
  </si>
  <si>
    <t>RESEAU SOUS DALLAGE</t>
  </si>
  <si>
    <t>.........MATX.400220.PP.AM.26</t>
  </si>
  <si>
    <t>...MATX.400220.ST</t>
  </si>
  <si>
    <t>SOUS TRAITANCE</t>
  </si>
  <si>
    <t>......MATX.400220.ST.GO</t>
  </si>
  <si>
    <t>.........MATX.400220.ST.GO.TR</t>
  </si>
  <si>
    <t>............MATX.400220.ST.GO.TR.1</t>
  </si>
  <si>
    <t>............MATX.400220.ST.GO.TR.2</t>
  </si>
  <si>
    <t>............MATX.400220.ST.GO.TR.3</t>
  </si>
  <si>
    <t>.........MATX.400220.ST.GO.CC</t>
  </si>
  <si>
    <t>......MATX.400220.ST.CA</t>
  </si>
  <si>
    <t>.........MATX.400220.ST.CA.ET</t>
  </si>
  <si>
    <t>............MATX.400220.ST.CA.ET.1</t>
  </si>
  <si>
    <t>.........MATX.400220.ST.CA.MA</t>
  </si>
  <si>
    <t>MENUISERIE ALUMINIUM</t>
  </si>
  <si>
    <t>............MATX.400220.ST.CA.MA.1</t>
  </si>
  <si>
    <t>.........MATX.400220.ST.CA.MB</t>
  </si>
  <si>
    <t>MENUISERIE BOIS</t>
  </si>
  <si>
    <t>............MATX.400220.ST.CA.MB.1</t>
  </si>
  <si>
    <t>.........MATX.400220.ST.CA.RV</t>
  </si>
  <si>
    <t>REVETEMENTS</t>
  </si>
  <si>
    <t>............MATX.400220.ST.CA.RV.1</t>
  </si>
  <si>
    <t>.........MATX.400220.ST.CA.FP</t>
  </si>
  <si>
    <t>FAUX-PLAFOND</t>
  </si>
  <si>
    <t>............MATX.400220.ST.CA.FP.1</t>
  </si>
  <si>
    <t>.........MATX.400220.ST.CA.PN</t>
  </si>
  <si>
    <t>............MATX.400220.ST.CA.PN.1</t>
  </si>
  <si>
    <t>.........MATX.400220.ST.CA.CS</t>
  </si>
  <si>
    <t>............MATX.400220.ST.CA.CS.1</t>
  </si>
  <si>
    <t>......MATX.400220.ST.CE</t>
  </si>
  <si>
    <t>.........MATX.400220.ST.CE.CH</t>
  </si>
  <si>
    <t>............MATX.400220.ST.CE.CH.1</t>
  </si>
  <si>
    <t>.........MATX.400220.ST.CE.DF</t>
  </si>
  <si>
    <t>CVC DESENFUMAGE</t>
  </si>
  <si>
    <t>............MATX.400220.ST.CE.DF.1</t>
  </si>
  <si>
    <t>EGE</t>
  </si>
  <si>
    <t>.........MATX.400220.ST.CE.PB</t>
  </si>
  <si>
    <t>PLOMBERIE &amp; PI</t>
  </si>
  <si>
    <t>............MATX.400220.ST.CE.PB.1</t>
  </si>
  <si>
    <t>............MATX.400220.ST.CE.PB.2</t>
  </si>
  <si>
    <t>.........MATX.400220.ST.CE.CR</t>
  </si>
  <si>
    <t>COURANTS FORTS &amp; FAIBLES</t>
  </si>
  <si>
    <t>............MATX.400220.ST.CE.CR.1</t>
  </si>
  <si>
    <t>LOUFELEC</t>
  </si>
  <si>
    <t>............MATX.400220.ST.CE.CR.2</t>
  </si>
  <si>
    <t>.........MATX.400220.ST.CE.AS</t>
  </si>
  <si>
    <t>............MATX.400220.ST.CE.AS.1</t>
  </si>
  <si>
    <t>...MATX.400220.IN</t>
  </si>
  <si>
    <t>......MATX.400220.IN.IC</t>
  </si>
  <si>
    <t>.........MATX.400220.IN.IC.01</t>
  </si>
  <si>
    <t>MONTAGE / DEMONTAGE GRUES</t>
  </si>
  <si>
    <t>.........MATX.400220.IN.IC.02</t>
  </si>
  <si>
    <t>......MATX.400220.IN.LM</t>
  </si>
  <si>
    <t>.........MATX.400220.IN.LM.01</t>
  </si>
  <si>
    <t>GRUE G12 TR4</t>
  </si>
  <si>
    <t>.........MATX.400220.IN.LM.02</t>
  </si>
  <si>
    <t>GRUE G13 TR4</t>
  </si>
  <si>
    <t>.........MATX.400220.IN.LM.03</t>
  </si>
  <si>
    <t>GTMR</t>
  </si>
  <si>
    <t>...............MATX.400220.ST.CA.ET.1.1</t>
  </si>
  <si>
    <t>BELFAQIR H5</t>
  </si>
  <si>
    <t>...............MATX.400220.ST.CA.ET.1.2</t>
  </si>
  <si>
    <t>BELFAQIR DEF</t>
  </si>
  <si>
    <t>............MATX.400220.ST.CA.ET.2</t>
  </si>
  <si>
    <t>...............MATX.400220.ST.CA.ET.2.1</t>
  </si>
  <si>
    <t>LOCABATI D6</t>
  </si>
  <si>
    <t>...............MATX.400220.ST.CA.ET.2.2</t>
  </si>
  <si>
    <t>LOCABATI 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</si>
</sst>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_-* #,##0.00\ _€_-;\-* #,##0.00\ _€_-;_-* &quot;-&quot;??\ _€_-;_-@_-"/>
    <numFmt numFmtId="165" formatCode="0.0%"/>
    <numFmt numFmtId="166" formatCode="#,##0.0"/>
    <numFmt numFmtId="167" formatCode="#,##0\ _F"/>
    <numFmt numFmtId="168" formatCode="0.0000"/>
    <numFmt numFmtId="169" formatCode="#,##0__"/>
    <numFmt numFmtId="170" formatCode="0.00%__"/>
    <numFmt numFmtId="171" formatCode="#,##0_-"/>
    <numFmt numFmtId="172" formatCode="0.0"/>
    <numFmt numFmtId="173" formatCode="#,##0.00\ &quot;F&quot;;[Red]\-#,##0.00\ &quot;F&quot;"/>
    <numFmt numFmtId="174" formatCode="#,##0&quot;KDh&quot;"/>
  </numFmts>
  <fonts count="132">
    <font>
      <sz val="11"/>
      <color theme="1"/>
      <name val="Calibri"/>
      <family val="2"/>
      <scheme val="minor"/>
    </font>
    <font>
      <sz val="18"/>
      <name val="Arial"/>
      <family val="2"/>
    </font>
    <font>
      <b/>
      <sz val="30"/>
      <name val="Arial"/>
      <family val="2"/>
    </font>
    <font>
      <i/>
      <sz val="18"/>
      <name val="Arial"/>
      <family val="2"/>
    </font>
    <font>
      <sz val="30"/>
      <name val="Arial"/>
      <family val="2"/>
    </font>
    <font>
      <sz val="26"/>
      <name val="Arial"/>
      <family val="2"/>
    </font>
    <font>
      <i/>
      <sz val="26"/>
      <name val="Arial"/>
      <family val="2"/>
    </font>
    <font>
      <sz val="12"/>
      <name val="Helv"/>
    </font>
    <font>
      <b/>
      <sz val="20"/>
      <name val="Arial"/>
      <family val="2"/>
    </font>
    <font>
      <b/>
      <i/>
      <sz val="20"/>
      <name val="Arial"/>
      <family val="2"/>
    </font>
    <font>
      <sz val="20"/>
      <name val="Arial"/>
      <family val="2"/>
    </font>
    <font>
      <i/>
      <sz val="20"/>
      <name val="Arial"/>
      <family val="2"/>
    </font>
    <font>
      <sz val="11"/>
      <color theme="1"/>
      <name val="Calibri"/>
      <family val="2"/>
      <scheme val="minor"/>
    </font>
    <font>
      <b/>
      <sz val="22"/>
      <name val="Arial"/>
      <family val="2"/>
    </font>
    <font>
      <b/>
      <sz val="36"/>
      <name val="Arial"/>
      <family val="2"/>
    </font>
    <font>
      <sz val="22"/>
      <name val="Arial"/>
      <family val="2"/>
    </font>
    <font>
      <sz val="20"/>
      <color theme="1"/>
      <name val="Calibri"/>
      <family val="2"/>
      <scheme val="minor"/>
    </font>
    <font>
      <b/>
      <sz val="26"/>
      <name val="Arial"/>
      <family val="2"/>
    </font>
    <font>
      <sz val="18"/>
      <color theme="1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8"/>
      <color indexed="9"/>
      <name val="Arial"/>
      <family val="2"/>
    </font>
    <font>
      <sz val="36"/>
      <name val="Arial"/>
      <family val="2"/>
    </font>
    <font>
      <b/>
      <i/>
      <sz val="22"/>
      <name val="Arial"/>
      <family val="2"/>
    </font>
    <font>
      <b/>
      <i/>
      <sz val="16"/>
      <color indexed="10"/>
      <name val="Arial"/>
      <family val="2"/>
    </font>
    <font>
      <b/>
      <sz val="32"/>
      <name val="Arial"/>
      <family val="2"/>
    </font>
    <font>
      <i/>
      <sz val="22"/>
      <name val="Arial"/>
      <family val="2"/>
    </font>
    <font>
      <sz val="22"/>
      <color indexed="10"/>
      <name val="Arial"/>
      <family val="2"/>
    </font>
    <font>
      <sz val="28"/>
      <name val="Arial"/>
      <family val="2"/>
    </font>
    <font>
      <i/>
      <sz val="28"/>
      <name val="Arial"/>
      <family val="2"/>
    </font>
    <font>
      <sz val="20"/>
      <color indexed="9"/>
      <name val="Arial"/>
      <family val="2"/>
    </font>
    <font>
      <sz val="10"/>
      <name val="Arial"/>
      <family val="2"/>
    </font>
    <font>
      <b/>
      <sz val="20"/>
      <color indexed="9"/>
      <name val="Arial"/>
      <family val="2"/>
    </font>
    <font>
      <sz val="12"/>
      <name val="Arial"/>
      <family val="2"/>
    </font>
    <font>
      <b/>
      <i/>
      <sz val="18"/>
      <name val="Arial"/>
      <family val="2"/>
    </font>
    <font>
      <b/>
      <u/>
      <sz val="20"/>
      <name val="Arial"/>
      <family val="2"/>
    </font>
    <font>
      <sz val="8"/>
      <color indexed="12"/>
      <name val="Arial"/>
      <family val="2"/>
    </font>
    <font>
      <sz val="8"/>
      <name val="Arial"/>
      <family val="2"/>
    </font>
    <font>
      <sz val="28"/>
      <color theme="1"/>
      <name val="Arial"/>
      <family val="2"/>
    </font>
    <font>
      <sz val="13"/>
      <name val="Arial"/>
      <family val="2"/>
    </font>
    <font>
      <b/>
      <sz val="13"/>
      <name val="Arial"/>
      <family val="2"/>
    </font>
    <font>
      <sz val="16"/>
      <color theme="1"/>
      <name val="Arial"/>
      <family val="2"/>
    </font>
    <font>
      <sz val="22"/>
      <color theme="1"/>
      <name val="Arial"/>
      <family val="2"/>
    </font>
    <font>
      <sz val="24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i/>
      <sz val="10"/>
      <name val="Book Antiqua"/>
      <family val="1"/>
    </font>
    <font>
      <i/>
      <sz val="10"/>
      <name val="Book Antiqua"/>
      <family val="1"/>
    </font>
    <font>
      <sz val="10"/>
      <name val="Book Antiqua"/>
      <family val="1"/>
    </font>
    <font>
      <i/>
      <sz val="16"/>
      <name val="Book Antiqua"/>
      <family val="1"/>
    </font>
    <font>
      <b/>
      <sz val="14"/>
      <name val="Book Antiqua"/>
      <family val="1"/>
    </font>
    <font>
      <b/>
      <sz val="10"/>
      <name val="Book Antiqua"/>
      <family val="1"/>
    </font>
    <font>
      <b/>
      <sz val="9"/>
      <name val="Book Antiqua"/>
      <family val="1"/>
    </font>
    <font>
      <b/>
      <sz val="9"/>
      <color indexed="12"/>
      <name val="Book Antiqua"/>
      <family val="1"/>
    </font>
    <font>
      <b/>
      <sz val="9"/>
      <color indexed="10"/>
      <name val="Book Antiqua"/>
      <family val="1"/>
    </font>
    <font>
      <b/>
      <sz val="11"/>
      <name val="Book Antiqua"/>
      <family val="1"/>
    </font>
    <font>
      <sz val="9"/>
      <name val="Book Antiqua"/>
      <family val="1"/>
    </font>
    <font>
      <sz val="8"/>
      <name val="Book Antiqua"/>
      <family val="1"/>
    </font>
    <font>
      <b/>
      <sz val="8"/>
      <color indexed="10"/>
      <name val="Book Antiqua"/>
      <family val="1"/>
    </font>
    <font>
      <b/>
      <sz val="8"/>
      <color indexed="12"/>
      <name val="Book Antiqua"/>
      <family val="1"/>
    </font>
    <font>
      <sz val="10"/>
      <name val="Univers"/>
      <family val="2"/>
    </font>
    <font>
      <b/>
      <u/>
      <sz val="9"/>
      <name val="Book Antiqua"/>
      <family val="1"/>
    </font>
    <font>
      <sz val="9"/>
      <color rgb="FFFF0000"/>
      <name val="Book Antiqua"/>
      <family val="1"/>
    </font>
    <font>
      <b/>
      <sz val="10"/>
      <color indexed="10"/>
      <name val="Book Antiqua"/>
      <family val="1"/>
    </font>
    <font>
      <b/>
      <sz val="10"/>
      <color indexed="12"/>
      <name val="Book Antiqua"/>
      <family val="1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sz val="9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Book Antiqua"/>
      <family val="1"/>
    </font>
    <font>
      <sz val="12"/>
      <color rgb="FF000000"/>
      <name val="Book Antiqua"/>
      <family val="1"/>
    </font>
    <font>
      <b/>
      <sz val="10"/>
      <color rgb="FF000000"/>
      <name val="Book Antiqua"/>
      <family val="1"/>
    </font>
    <font>
      <sz val="10"/>
      <color rgb="FFFFFFFF"/>
      <name val="Book Antiqua"/>
      <family val="1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3"/>
      <color rgb="FF000000"/>
      <name val="Calibri"/>
      <family val="2"/>
      <scheme val="minor"/>
    </font>
    <font>
      <b/>
      <sz val="13"/>
      <color rgb="FF000000"/>
      <name val="Calibri"/>
      <family val="2"/>
      <scheme val="minor"/>
    </font>
    <font>
      <b/>
      <i/>
      <sz val="16"/>
      <name val="Book Antiqua"/>
      <family val="1"/>
    </font>
    <font>
      <sz val="10"/>
      <color indexed="61"/>
      <name val="Book Antiqua"/>
      <family val="1"/>
    </font>
    <font>
      <b/>
      <sz val="10"/>
      <color indexed="61"/>
      <name val="Book Antiqua"/>
      <family val="1"/>
    </font>
    <font>
      <b/>
      <sz val="8"/>
      <name val="Book Antiqua"/>
      <family val="1"/>
    </font>
    <font>
      <b/>
      <sz val="8"/>
      <color indexed="61"/>
      <name val="Book Antiqua"/>
      <family val="1"/>
    </font>
    <font>
      <b/>
      <u/>
      <sz val="10"/>
      <name val="Book Antiqua"/>
      <family val="1"/>
    </font>
    <font>
      <sz val="8"/>
      <color indexed="61"/>
      <name val="Book Antiqua"/>
      <family val="1"/>
    </font>
    <font>
      <sz val="8"/>
      <color indexed="12"/>
      <name val="Book Antiqua"/>
      <family val="1"/>
    </font>
    <font>
      <b/>
      <sz val="7"/>
      <name val="Book Antiqua"/>
      <family val="1"/>
    </font>
    <font>
      <sz val="13"/>
      <name val="Book Antiqua"/>
      <family val="1"/>
    </font>
    <font>
      <sz val="18"/>
      <color indexed="9"/>
      <name val="Book Antiqua"/>
      <family val="1"/>
    </font>
    <font>
      <sz val="18"/>
      <name val="Book Antiqua"/>
      <family val="1"/>
    </font>
    <font>
      <b/>
      <sz val="30"/>
      <name val="Book Antiqua"/>
      <family val="1"/>
    </font>
    <font>
      <sz val="16"/>
      <name val="Book Antiqua"/>
      <family val="1"/>
    </font>
    <font>
      <b/>
      <sz val="20"/>
      <name val="Book Antiqua"/>
      <family val="1"/>
    </font>
    <font>
      <b/>
      <sz val="22"/>
      <name val="Book Antiqua"/>
      <family val="1"/>
    </font>
    <font>
      <sz val="22"/>
      <name val="Book Antiqua"/>
      <family val="1"/>
    </font>
    <font>
      <sz val="28"/>
      <name val="Book Antiqua"/>
      <family val="1"/>
    </font>
    <font>
      <b/>
      <u/>
      <sz val="22"/>
      <name val="Book Antiqua"/>
      <family val="1"/>
    </font>
    <font>
      <b/>
      <u/>
      <sz val="24"/>
      <name val="Book Antiqua"/>
      <family val="1"/>
    </font>
    <font>
      <b/>
      <sz val="16"/>
      <name val="Book Antiqua"/>
      <family val="1"/>
    </font>
    <font>
      <b/>
      <sz val="18"/>
      <name val="Book Antiqua"/>
      <family val="1"/>
    </font>
    <font>
      <b/>
      <sz val="12"/>
      <name val="Book Antiqua"/>
      <family val="1"/>
    </font>
    <font>
      <b/>
      <sz val="18"/>
      <color indexed="10"/>
      <name val="Book Antiqua"/>
      <family val="1"/>
    </font>
    <font>
      <sz val="12"/>
      <name val="Book Antiqua"/>
      <family val="1"/>
    </font>
    <font>
      <b/>
      <sz val="18"/>
      <color rgb="FFFF0000"/>
      <name val="Book Antiqua"/>
      <family val="1"/>
    </font>
    <font>
      <sz val="21"/>
      <name val="Book Antiqua"/>
      <family val="1"/>
    </font>
    <font>
      <u/>
      <sz val="22"/>
      <name val="Book Antiqua"/>
      <family val="1"/>
    </font>
    <font>
      <sz val="24"/>
      <name val="Book Antiqua"/>
      <family val="1"/>
    </font>
    <font>
      <b/>
      <sz val="13"/>
      <name val="Book Antiqua"/>
      <family val="1"/>
    </font>
    <font>
      <sz val="20"/>
      <name val="Book Antiqua"/>
      <family val="1"/>
    </font>
    <font>
      <b/>
      <sz val="14"/>
      <name val="Arial Black"/>
      <family val="2"/>
    </font>
    <font>
      <b/>
      <sz val="10"/>
      <color indexed="9"/>
      <name val="Arial"/>
      <family val="2"/>
    </font>
    <font>
      <b/>
      <sz val="12"/>
      <color indexed="12"/>
      <name val="Arial"/>
      <family val="2"/>
    </font>
    <font>
      <sz val="10"/>
      <color rgb="FFFF0000"/>
      <name val="Arial"/>
      <family val="2"/>
    </font>
    <font>
      <sz val="13"/>
      <color theme="1"/>
      <name val="Arial"/>
      <family val="2"/>
    </font>
    <font>
      <b/>
      <sz val="24"/>
      <name val="Arial"/>
      <family val="2"/>
    </font>
    <font>
      <b/>
      <u/>
      <sz val="1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i/>
      <sz val="10"/>
      <color rgb="FF000000"/>
      <name val="Calibri"/>
      <family val="2"/>
      <scheme val="minor"/>
    </font>
    <font>
      <i/>
      <sz val="13"/>
      <color rgb="FF000000"/>
      <name val="Calibri"/>
      <family val="2"/>
      <scheme val="minor"/>
    </font>
    <font>
      <sz val="12"/>
      <color rgb="FF4A4A4A"/>
      <name val="Arial"/>
    </font>
    <font>
      <i/>
      <sz val="10"/>
      <color rgb="FF00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2BFF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8E8E0"/>
        <bgColor indexed="64"/>
      </patternFill>
    </fill>
    <fill>
      <patternFill patternType="solid">
        <fgColor rgb="FFA2CEC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2B6B0"/>
        <bgColor indexed="64"/>
      </patternFill>
    </fill>
  </fills>
  <borders count="340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thin">
        <color auto="1"/>
      </right>
      <top style="double">
        <color auto="1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/>
      <right style="thin">
        <color indexed="55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/>
      <top/>
      <bottom/>
      <diagonal/>
    </border>
    <border>
      <left/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55"/>
      </left>
      <right/>
      <top style="thin">
        <color indexed="23"/>
      </top>
      <bottom style="thin">
        <color indexed="23"/>
      </bottom>
      <diagonal/>
    </border>
    <border>
      <left/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23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/>
      <bottom style="dotted">
        <color auto="1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23"/>
      </top>
      <bottom/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55"/>
      </top>
      <bottom style="thin">
        <color indexed="23"/>
      </bottom>
      <diagonal/>
    </border>
    <border>
      <left/>
      <right style="thin">
        <color indexed="23"/>
      </right>
      <top style="thin">
        <color indexed="55"/>
      </top>
      <bottom style="thin">
        <color indexed="23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23"/>
      </left>
      <right style="thin">
        <color auto="1"/>
      </right>
      <top style="thin">
        <color indexed="23"/>
      </top>
      <bottom style="thin">
        <color indexed="23"/>
      </bottom>
      <diagonal/>
    </border>
    <border>
      <left style="thin">
        <color auto="1"/>
      </left>
      <right/>
      <top style="thin">
        <color indexed="23"/>
      </top>
      <bottom style="thin">
        <color indexed="23"/>
      </bottom>
      <diagonal/>
    </border>
    <border>
      <left style="thin">
        <color auto="1"/>
      </left>
      <right style="thin">
        <color auto="1"/>
      </right>
      <top style="thin">
        <color indexed="23"/>
      </top>
      <bottom style="thin">
        <color indexed="23"/>
      </bottom>
      <diagonal/>
    </border>
    <border>
      <left style="thin">
        <color auto="1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medium">
        <color auto="1"/>
      </right>
      <top/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rgb="FF000000"/>
      </left>
      <right style="hair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hair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23"/>
      </right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8"/>
      </left>
      <right style="hair">
        <color indexed="8"/>
      </right>
      <top style="thin">
        <color indexed="8"/>
      </top>
      <bottom/>
      <diagonal/>
    </border>
    <border>
      <left style="hair">
        <color indexed="8"/>
      </left>
      <right style="hair">
        <color indexed="8"/>
      </right>
      <top style="thin">
        <color indexed="8"/>
      </top>
      <bottom/>
      <diagonal/>
    </border>
    <border>
      <left style="thin">
        <color indexed="8"/>
      </left>
      <right style="hair">
        <color indexed="8"/>
      </right>
      <top/>
      <bottom/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medium">
        <color rgb="FF000000"/>
      </left>
      <right style="hair">
        <color rgb="FF000000"/>
      </right>
      <top style="medium">
        <color rgb="FF000000"/>
      </top>
      <bottom/>
      <diagonal/>
    </border>
    <border>
      <left style="hair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thin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/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medium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indexed="8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auto="1"/>
      </bottom>
      <diagonal/>
    </border>
    <border>
      <left/>
      <right style="thin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/>
      <top/>
      <bottom style="medium">
        <color auto="1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/>
      <top/>
      <bottom style="medium">
        <color auto="1"/>
      </bottom>
      <diagonal/>
    </border>
    <border>
      <left style="thin">
        <color indexed="8"/>
      </left>
      <right style="double">
        <color indexed="8"/>
      </right>
      <top/>
      <bottom style="medium">
        <color auto="1"/>
      </bottom>
      <diagonal/>
    </border>
    <border>
      <left style="double">
        <color indexed="8"/>
      </left>
      <right style="double">
        <color indexed="8"/>
      </right>
      <top/>
      <bottom style="medium">
        <color auto="1"/>
      </bottom>
      <diagonal/>
    </border>
    <border>
      <left/>
      <right style="medium">
        <color indexed="8"/>
      </right>
      <top/>
      <bottom style="medium">
        <color auto="1"/>
      </bottom>
      <diagonal/>
    </border>
    <border>
      <left style="medium">
        <color indexed="8"/>
      </left>
      <right style="medium">
        <color indexed="8"/>
      </right>
      <top/>
      <bottom style="medium">
        <color auto="1"/>
      </bottom>
      <diagonal/>
    </border>
    <border>
      <left style="medium">
        <color auto="1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thin">
        <color indexed="8"/>
      </right>
      <top/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 style="double">
        <color indexed="8"/>
      </right>
      <top style="thin">
        <color auto="1"/>
      </top>
      <bottom style="thin">
        <color auto="1"/>
      </bottom>
      <diagonal/>
    </border>
    <border>
      <left style="double">
        <color indexed="8"/>
      </left>
      <right style="double">
        <color indexed="8"/>
      </right>
      <top style="thin">
        <color auto="1"/>
      </top>
      <bottom style="thin">
        <color auto="1"/>
      </bottom>
      <diagonal/>
    </border>
    <border>
      <left/>
      <right style="medium">
        <color indexed="8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/>
      <diagonal/>
    </border>
    <border>
      <left/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medium">
        <color auto="1"/>
      </right>
      <top style="thin">
        <color auto="1"/>
      </top>
      <bottom/>
      <diagonal/>
    </border>
    <border>
      <left style="medium">
        <color indexed="8"/>
      </left>
      <right/>
      <top style="thin">
        <color auto="1"/>
      </top>
      <bottom/>
      <diagonal/>
    </border>
    <border>
      <left style="thin">
        <color indexed="8"/>
      </left>
      <right style="double">
        <color indexed="8"/>
      </right>
      <top style="thin">
        <color auto="1"/>
      </top>
      <bottom/>
      <diagonal/>
    </border>
    <border>
      <left style="double">
        <color indexed="8"/>
      </left>
      <right style="double">
        <color indexed="8"/>
      </right>
      <top style="thin">
        <color auto="1"/>
      </top>
      <bottom/>
      <diagonal/>
    </border>
    <border>
      <left/>
      <right style="medium">
        <color indexed="8"/>
      </right>
      <top style="thin">
        <color auto="1"/>
      </top>
      <bottom/>
      <diagonal/>
    </border>
    <border>
      <left style="medium">
        <color indexed="8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medium">
        <color indexed="8"/>
      </right>
      <top style="thin">
        <color auto="1"/>
      </top>
      <bottom/>
      <diagonal/>
    </border>
    <border>
      <left style="medium">
        <color auto="1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indexed="8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medium">
        <color indexed="8"/>
      </top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medium">
        <color auto="1"/>
      </bottom>
      <diagonal/>
    </border>
    <border>
      <left/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/>
      <top style="medium">
        <color indexed="8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thin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/>
      <right style="thin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/>
      <top style="thin">
        <color auto="1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thin">
        <color auto="1"/>
      </top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thin">
        <color auto="1"/>
      </top>
      <bottom style="medium">
        <color auto="1"/>
      </bottom>
      <diagonal/>
    </border>
    <border>
      <left/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/>
      <top style="medium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auto="1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medium">
        <color auto="1"/>
      </top>
      <bottom style="medium">
        <color auto="1"/>
      </bottom>
      <diagonal/>
    </border>
    <border>
      <left style="double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indexed="8"/>
      </left>
      <right/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medium">
        <color indexed="8"/>
      </left>
      <right style="medium">
        <color indexed="8"/>
      </right>
      <top style="thin">
        <color auto="1"/>
      </top>
      <bottom/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indexed="8"/>
      </bottom>
      <diagonal/>
    </border>
    <border>
      <left/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/>
      <top style="thin">
        <color auto="1"/>
      </top>
      <bottom style="medium">
        <color auto="1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auto="1"/>
      </left>
      <right/>
      <top style="medium">
        <color auto="1"/>
      </top>
      <bottom style="medium">
        <color indexed="8"/>
      </bottom>
      <diagonal/>
    </border>
    <border>
      <left/>
      <right/>
      <top style="medium">
        <color auto="1"/>
      </top>
      <bottom style="medium">
        <color indexed="8"/>
      </bottom>
      <diagonal/>
    </border>
    <border>
      <left/>
      <right style="medium">
        <color auto="1"/>
      </right>
      <top style="medium">
        <color auto="1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8"/>
      </left>
      <right style="thin">
        <color indexed="8"/>
      </right>
      <top style="medium">
        <color auto="1"/>
      </top>
      <bottom/>
      <diagonal/>
    </border>
    <border>
      <left style="thin">
        <color indexed="8"/>
      </left>
      <right style="thin">
        <color indexed="8"/>
      </right>
      <top style="medium">
        <color auto="1"/>
      </top>
      <bottom/>
      <diagonal/>
    </border>
    <border>
      <left style="thin">
        <color indexed="8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thin">
        <color indexed="8"/>
      </top>
      <bottom style="medium">
        <color indexed="8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8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double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/>
      <top style="medium">
        <color indexed="8"/>
      </top>
      <bottom style="hair">
        <color indexed="8"/>
      </bottom>
      <diagonal/>
    </border>
    <border>
      <left/>
      <right style="thin">
        <color indexed="8"/>
      </right>
      <top style="medium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thin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 style="medium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thin">
        <color indexed="8"/>
      </top>
      <bottom/>
      <diagonal/>
    </border>
    <border>
      <left/>
      <right style="hair">
        <color indexed="8"/>
      </right>
      <top/>
      <bottom/>
      <diagonal/>
    </border>
    <border>
      <left style="hair">
        <color indexed="8"/>
      </left>
      <right style="thin">
        <color indexed="8"/>
      </right>
      <top style="thin">
        <color indexed="8"/>
      </top>
      <bottom/>
      <diagonal/>
    </border>
    <border>
      <left style="hair">
        <color indexed="8"/>
      </left>
      <right style="thin">
        <color indexed="8"/>
      </right>
      <top/>
      <bottom/>
      <diagonal/>
    </border>
    <border>
      <left style="hair">
        <color indexed="8"/>
      </left>
      <right/>
      <top style="thin">
        <color indexed="8"/>
      </top>
      <bottom/>
      <diagonal/>
    </border>
    <border>
      <left style="hair">
        <color indexed="8"/>
      </left>
      <right/>
      <top/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hair">
        <color indexed="8"/>
      </left>
      <right style="thin">
        <color indexed="8"/>
      </right>
      <top style="thin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dotted">
        <color auto="1"/>
      </right>
      <top style="thin">
        <color indexed="8"/>
      </top>
      <bottom/>
      <diagonal/>
    </border>
    <border>
      <left style="dotted">
        <color auto="1"/>
      </left>
      <right style="dotted">
        <color auto="1"/>
      </right>
      <top style="thin">
        <color indexed="8"/>
      </top>
      <bottom/>
      <diagonal/>
    </border>
    <border>
      <left style="dotted">
        <color auto="1"/>
      </left>
      <right style="thin">
        <color auto="1"/>
      </right>
      <top style="thin">
        <color indexed="8"/>
      </top>
      <bottom/>
      <diagonal/>
    </border>
    <border>
      <left style="thin">
        <color auto="1"/>
      </left>
      <right style="dotted">
        <color auto="1"/>
      </right>
      <top style="thin">
        <color indexed="8"/>
      </top>
      <bottom/>
      <diagonal/>
    </border>
    <border>
      <left style="dotted">
        <color auto="1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hair">
        <color indexed="8"/>
      </right>
      <top/>
      <bottom style="thin">
        <color indexed="8"/>
      </bottom>
      <diagonal/>
    </border>
    <border>
      <left style="hair">
        <color indexed="8"/>
      </left>
      <right style="hair">
        <color indexed="8"/>
      </right>
      <top/>
      <bottom style="thin">
        <color indexed="8"/>
      </bottom>
      <diagonal/>
    </border>
    <border>
      <left style="hair">
        <color indexed="8"/>
      </left>
      <right/>
      <top/>
      <bottom style="thin">
        <color indexed="8"/>
      </bottom>
      <diagonal/>
    </border>
    <border>
      <left style="hair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hair">
        <color indexed="8"/>
      </right>
      <top/>
      <bottom style="thin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indexed="8"/>
      </bottom>
      <diagonal/>
    </border>
    <border>
      <left style="hair">
        <color indexed="8"/>
      </left>
      <right style="thin">
        <color indexed="8"/>
      </right>
      <top style="hair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/>
      <top style="hair">
        <color indexed="8"/>
      </top>
      <bottom style="medium">
        <color indexed="8"/>
      </bottom>
      <diagonal/>
    </border>
    <border>
      <left/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</borders>
  <cellStyleXfs count="79">
    <xf numFmtId="0" fontId="0" fillId="0" borderId="0"/>
    <xf numFmtId="0" fontId="7" fillId="0" borderId="0"/>
    <xf numFmtId="9" fontId="12" fillId="0" borderId="0" applyFont="0" applyFill="0" applyBorder="0" applyAlignment="0" applyProtection="0"/>
    <xf numFmtId="164" fontId="12" fillId="0" borderId="0" applyFont="0" applyFill="0" applyBorder="0" applyAlignment="0" applyProtection="0"/>
    <xf numFmtId="169" fontId="37" fillId="7" borderId="59" applyNumberFormat="0" applyBorder="0" applyAlignment="0">
      <alignment horizontal="right"/>
      <protection locked="0"/>
    </xf>
    <xf numFmtId="0" fontId="38" fillId="2" borderId="60" applyNumberFormat="0" applyBorder="0" applyAlignment="0"/>
    <xf numFmtId="0" fontId="32" fillId="0" borderId="0"/>
    <xf numFmtId="0" fontId="32" fillId="0" borderId="0"/>
    <xf numFmtId="9" fontId="63" fillId="0" borderId="0" applyFont="0" applyFill="0" applyBorder="0" applyAlignment="0" applyProtection="0"/>
    <xf numFmtId="0" fontId="32" fillId="0" borderId="0"/>
    <xf numFmtId="9" fontId="32" fillId="0" borderId="0" applyFont="0" applyFill="0" applyBorder="0" applyAlignment="0" applyProtection="0"/>
    <xf numFmtId="0" fontId="79" fillId="0" borderId="0"/>
    <xf numFmtId="9" fontId="79" fillId="0" borderId="0" applyFont="0" applyFill="0" applyBorder="0" applyAlignment="0" applyProtection="0"/>
    <xf numFmtId="0" fontId="79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</cellStyleXfs>
  <cellXfs count="1898">
    <xf numFmtId="0" fontId="0" fillId="0" borderId="0" xfId="0"/>
    <xf numFmtId="0" fontId="1" fillId="2" borderId="1" xfId="0" applyFont="1" applyFill="1" applyBorder="1" applyAlignment="1" applyProtection="1">
      <alignment vertical="center"/>
      <protection locked="0"/>
    </xf>
    <xf numFmtId="0" fontId="2" fillId="2" borderId="2" xfId="0" applyFont="1" applyFill="1" applyBorder="1" applyAlignment="1" applyProtection="1">
      <alignment vertical="center"/>
      <protection locked="0"/>
    </xf>
    <xf numFmtId="3" fontId="1" fillId="2" borderId="3" xfId="0" applyNumberFormat="1" applyFont="1" applyFill="1" applyBorder="1" applyAlignment="1" applyProtection="1">
      <alignment vertical="center"/>
      <protection locked="0"/>
    </xf>
    <xf numFmtId="0" fontId="1" fillId="2" borderId="4" xfId="0" applyFont="1" applyFill="1" applyBorder="1" applyAlignment="1" applyProtection="1">
      <alignment vertical="center"/>
      <protection locked="0"/>
    </xf>
    <xf numFmtId="165" fontId="3" fillId="2" borderId="4" xfId="0" applyNumberFormat="1" applyFont="1" applyFill="1" applyBorder="1" applyAlignment="1" applyProtection="1">
      <alignment vertical="center"/>
      <protection locked="0"/>
    </xf>
    <xf numFmtId="3" fontId="3" fillId="2" borderId="4" xfId="0" applyNumberFormat="1" applyFont="1" applyFill="1" applyBorder="1" applyAlignment="1" applyProtection="1">
      <alignment horizontal="left" vertical="center"/>
      <protection locked="0"/>
    </xf>
    <xf numFmtId="0" fontId="1" fillId="2" borderId="2" xfId="0" applyFont="1" applyFill="1" applyBorder="1" applyAlignment="1" applyProtection="1">
      <alignment vertical="center"/>
      <protection locked="0"/>
    </xf>
    <xf numFmtId="165" fontId="1" fillId="2" borderId="4" xfId="0" applyNumberFormat="1" applyFont="1" applyFill="1" applyBorder="1" applyAlignment="1" applyProtection="1">
      <alignment horizontal="left" vertical="center"/>
      <protection locked="0"/>
    </xf>
    <xf numFmtId="10" fontId="1" fillId="2" borderId="4" xfId="0" applyNumberFormat="1" applyFont="1" applyFill="1" applyBorder="1" applyAlignment="1" applyProtection="1">
      <alignment horizontal="left" vertical="center"/>
      <protection locked="0"/>
    </xf>
    <xf numFmtId="17" fontId="1" fillId="2" borderId="4" xfId="0" applyNumberFormat="1" applyFont="1" applyFill="1" applyBorder="1" applyAlignment="1" applyProtection="1">
      <alignment horizontal="left" vertical="center"/>
      <protection locked="0"/>
    </xf>
    <xf numFmtId="17" fontId="1" fillId="2" borderId="5" xfId="0" applyNumberFormat="1" applyFont="1" applyFill="1" applyBorder="1" applyAlignment="1" applyProtection="1">
      <alignment horizontal="right" vertical="center"/>
      <protection locked="0"/>
    </xf>
    <xf numFmtId="0" fontId="1" fillId="2" borderId="6" xfId="0" applyFont="1" applyFill="1" applyBorder="1" applyAlignment="1" applyProtection="1">
      <alignment vertical="center"/>
      <protection locked="0"/>
    </xf>
    <xf numFmtId="0" fontId="2" fillId="2" borderId="7" xfId="0" applyFont="1" applyFill="1" applyBorder="1" applyAlignment="1" applyProtection="1">
      <alignment vertical="center"/>
      <protection locked="0"/>
    </xf>
    <xf numFmtId="165" fontId="1" fillId="2" borderId="0" xfId="0" applyNumberFormat="1" applyFont="1" applyFill="1" applyBorder="1" applyAlignment="1" applyProtection="1">
      <alignment horizontal="left" vertical="center"/>
      <protection locked="0"/>
    </xf>
    <xf numFmtId="10" fontId="1" fillId="2" borderId="0" xfId="0" applyNumberFormat="1" applyFont="1" applyFill="1" applyBorder="1" applyAlignment="1" applyProtection="1">
      <alignment horizontal="left" vertical="center"/>
      <protection locked="0"/>
    </xf>
    <xf numFmtId="0" fontId="1" fillId="2" borderId="0" xfId="0" applyFont="1" applyFill="1" applyBorder="1" applyAlignment="1" applyProtection="1">
      <alignment horizontal="left" vertical="center"/>
      <protection locked="0"/>
    </xf>
    <xf numFmtId="0" fontId="1" fillId="2" borderId="9" xfId="0" applyFont="1" applyFill="1" applyBorder="1" applyAlignment="1" applyProtection="1">
      <alignment horizontal="right" vertical="center"/>
      <protection locked="0"/>
    </xf>
    <xf numFmtId="14" fontId="2" fillId="2" borderId="0" xfId="0" applyNumberFormat="1" applyFont="1" applyFill="1" applyBorder="1" applyAlignment="1" applyProtection="1">
      <alignment horizontal="left" vertical="center"/>
      <protection locked="0"/>
    </xf>
    <xf numFmtId="14" fontId="4" fillId="2" borderId="0" xfId="0" applyNumberFormat="1" applyFont="1" applyFill="1" applyBorder="1" applyAlignment="1" applyProtection="1">
      <alignment horizontal="left" vertical="center"/>
      <protection locked="0"/>
    </xf>
    <xf numFmtId="3" fontId="1" fillId="2" borderId="0" xfId="0" applyNumberFormat="1" applyFont="1" applyFill="1" applyBorder="1" applyAlignment="1" applyProtection="1">
      <alignment horizontal="left" vertical="center"/>
      <protection locked="0"/>
    </xf>
    <xf numFmtId="0" fontId="1" fillId="2" borderId="10" xfId="0" applyFont="1" applyFill="1" applyBorder="1" applyAlignment="1" applyProtection="1">
      <alignment vertical="center"/>
      <protection locked="0"/>
    </xf>
    <xf numFmtId="0" fontId="1" fillId="2" borderId="11" xfId="0" applyFont="1" applyFill="1" applyBorder="1" applyAlignment="1" applyProtection="1">
      <alignment horizontal="right" vertical="center"/>
      <protection locked="0"/>
    </xf>
    <xf numFmtId="3" fontId="5" fillId="2" borderId="12" xfId="0" applyNumberFormat="1" applyFont="1" applyFill="1" applyBorder="1" applyAlignment="1" applyProtection="1">
      <alignment vertical="center"/>
      <protection locked="0"/>
    </xf>
    <xf numFmtId="0" fontId="5" fillId="2" borderId="11" xfId="0" applyFont="1" applyFill="1" applyBorder="1" applyAlignment="1" applyProtection="1">
      <alignment vertical="center"/>
      <protection locked="0"/>
    </xf>
    <xf numFmtId="165" fontId="6" fillId="2" borderId="11" xfId="0" applyNumberFormat="1" applyFont="1" applyFill="1" applyBorder="1" applyAlignment="1" applyProtection="1">
      <alignment vertical="center"/>
      <protection locked="0"/>
    </xf>
    <xf numFmtId="3" fontId="6" fillId="2" borderId="11" xfId="0" applyNumberFormat="1" applyFont="1" applyFill="1" applyBorder="1" applyAlignment="1" applyProtection="1">
      <alignment horizontal="left" vertical="center"/>
      <protection locked="0"/>
    </xf>
    <xf numFmtId="0" fontId="5" fillId="2" borderId="13" xfId="0" applyFont="1" applyFill="1" applyBorder="1" applyAlignment="1" applyProtection="1">
      <alignment vertical="center"/>
    </xf>
    <xf numFmtId="165" fontId="1" fillId="2" borderId="11" xfId="0" applyNumberFormat="1" applyFont="1" applyFill="1" applyBorder="1" applyAlignment="1" applyProtection="1">
      <alignment horizontal="left" vertical="center"/>
      <protection locked="0"/>
    </xf>
    <xf numFmtId="10" fontId="1" fillId="2" borderId="11" xfId="0" applyNumberFormat="1" applyFont="1" applyFill="1" applyBorder="1" applyAlignment="1" applyProtection="1">
      <alignment horizontal="left" vertical="center"/>
      <protection locked="0"/>
    </xf>
    <xf numFmtId="3" fontId="1" fillId="2" borderId="11" xfId="0" applyNumberFormat="1" applyFont="1" applyFill="1" applyBorder="1" applyAlignment="1" applyProtection="1">
      <alignment horizontal="left" vertical="center"/>
      <protection locked="0"/>
    </xf>
    <xf numFmtId="3" fontId="1" fillId="2" borderId="14" xfId="0" applyNumberFormat="1" applyFont="1" applyFill="1" applyBorder="1" applyAlignment="1" applyProtection="1">
      <alignment horizontal="right" vertical="center"/>
      <protection locked="0"/>
    </xf>
    <xf numFmtId="0" fontId="1" fillId="3" borderId="15" xfId="1" applyFont="1" applyFill="1" applyBorder="1" applyAlignment="1" applyProtection="1">
      <alignment vertical="center"/>
    </xf>
    <xf numFmtId="0" fontId="1" fillId="3" borderId="16" xfId="1" applyFont="1" applyFill="1" applyBorder="1" applyAlignment="1" applyProtection="1">
      <alignment vertical="center"/>
    </xf>
    <xf numFmtId="165" fontId="3" fillId="3" borderId="16" xfId="1" applyNumberFormat="1" applyFont="1" applyFill="1" applyBorder="1" applyAlignment="1" applyProtection="1">
      <alignment horizontal="left" vertical="center"/>
    </xf>
    <xf numFmtId="0" fontId="1" fillId="3" borderId="16" xfId="1" applyFont="1" applyFill="1" applyBorder="1" applyAlignment="1" applyProtection="1">
      <alignment horizontal="center" vertical="center"/>
    </xf>
    <xf numFmtId="10" fontId="1" fillId="3" borderId="17" xfId="1" applyNumberFormat="1" applyFont="1" applyFill="1" applyBorder="1" applyAlignment="1" applyProtection="1">
      <alignment vertical="center"/>
    </xf>
    <xf numFmtId="0" fontId="8" fillId="2" borderId="0" xfId="1" applyFont="1" applyFill="1" applyBorder="1" applyAlignment="1" applyProtection="1">
      <alignment horizontal="center" vertical="center"/>
      <protection locked="0"/>
    </xf>
    <xf numFmtId="165" fontId="9" fillId="2" borderId="0" xfId="1" applyNumberFormat="1" applyFont="1" applyFill="1" applyBorder="1" applyAlignment="1" applyProtection="1">
      <alignment horizontal="center" vertical="center"/>
      <protection locked="0"/>
    </xf>
    <xf numFmtId="0" fontId="9" fillId="2" borderId="0" xfId="0" applyFont="1" applyFill="1" applyBorder="1" applyAlignment="1" applyProtection="1">
      <alignment horizontal="left" vertical="center"/>
      <protection locked="0"/>
    </xf>
    <xf numFmtId="165" fontId="9" fillId="2" borderId="0" xfId="0" applyNumberFormat="1" applyFont="1" applyFill="1" applyBorder="1" applyAlignment="1" applyProtection="1">
      <alignment horizontal="left" vertical="center"/>
      <protection locked="0"/>
    </xf>
    <xf numFmtId="0" fontId="8" fillId="2" borderId="0" xfId="1" applyFont="1" applyFill="1" applyBorder="1" applyAlignment="1" applyProtection="1">
      <alignment vertical="center"/>
    </xf>
    <xf numFmtId="4" fontId="8" fillId="2" borderId="0" xfId="1" applyNumberFormat="1" applyFont="1" applyFill="1" applyBorder="1" applyAlignment="1" applyProtection="1">
      <alignment horizontal="center" vertical="center" wrapText="1"/>
    </xf>
    <xf numFmtId="165" fontId="9" fillId="2" borderId="0" xfId="1" applyNumberFormat="1" applyFont="1" applyFill="1" applyBorder="1" applyAlignment="1" applyProtection="1">
      <alignment horizontal="center" vertical="center" wrapText="1"/>
    </xf>
    <xf numFmtId="4" fontId="9" fillId="2" borderId="0" xfId="1" applyNumberFormat="1" applyFont="1" applyFill="1" applyBorder="1" applyAlignment="1" applyProtection="1">
      <alignment horizontal="left" vertical="center" wrapText="1"/>
    </xf>
    <xf numFmtId="165" fontId="9" fillId="2" borderId="0" xfId="0" applyNumberFormat="1" applyFont="1" applyFill="1" applyBorder="1" applyAlignment="1" applyProtection="1">
      <alignment horizontal="left" vertical="center" wrapText="1"/>
    </xf>
    <xf numFmtId="0" fontId="8" fillId="2" borderId="0" xfId="1" applyFont="1" applyFill="1" applyBorder="1" applyAlignment="1" applyProtection="1">
      <alignment vertical="center" wrapText="1"/>
    </xf>
    <xf numFmtId="10" fontId="9" fillId="3" borderId="22" xfId="1" applyNumberFormat="1" applyFont="1" applyFill="1" applyBorder="1" applyAlignment="1" applyProtection="1">
      <alignment horizontal="center" vertical="center" wrapText="1"/>
    </xf>
    <xf numFmtId="3" fontId="10" fillId="3" borderId="15" xfId="1" applyNumberFormat="1" applyFont="1" applyFill="1" applyBorder="1" applyAlignment="1" applyProtection="1">
      <alignment vertical="center"/>
    </xf>
    <xf numFmtId="3" fontId="10" fillId="3" borderId="17" xfId="1" applyNumberFormat="1" applyFont="1" applyFill="1" applyBorder="1" applyAlignment="1" applyProtection="1">
      <alignment vertical="center"/>
    </xf>
    <xf numFmtId="3" fontId="10" fillId="2" borderId="26" xfId="1" applyNumberFormat="1" applyFont="1" applyFill="1" applyBorder="1" applyAlignment="1" applyProtection="1">
      <alignment vertical="center"/>
    </xf>
    <xf numFmtId="3" fontId="10" fillId="4" borderId="17" xfId="1" applyNumberFormat="1" applyFont="1" applyFill="1" applyBorder="1" applyAlignment="1" applyProtection="1">
      <alignment vertical="center"/>
    </xf>
    <xf numFmtId="165" fontId="11" fillId="2" borderId="26" xfId="1" applyNumberFormat="1" applyFont="1" applyFill="1" applyBorder="1" applyAlignment="1" applyProtection="1">
      <alignment horizontal="left" vertical="center"/>
    </xf>
    <xf numFmtId="3" fontId="10" fillId="5" borderId="17" xfId="1" applyNumberFormat="1" applyFont="1" applyFill="1" applyBorder="1" applyAlignment="1" applyProtection="1">
      <alignment vertical="center"/>
    </xf>
    <xf numFmtId="165" fontId="11" fillId="2" borderId="0" xfId="1" applyNumberFormat="1" applyFont="1" applyFill="1" applyBorder="1" applyAlignment="1" applyProtection="1">
      <alignment horizontal="left" vertical="center"/>
    </xf>
    <xf numFmtId="3" fontId="10" fillId="6" borderId="22" xfId="1" applyNumberFormat="1" applyFont="1" applyFill="1" applyBorder="1" applyAlignment="1" applyProtection="1">
      <alignment vertical="center"/>
    </xf>
    <xf numFmtId="165" fontId="11" fillId="2" borderId="0" xfId="0" applyNumberFormat="1" applyFont="1" applyFill="1" applyBorder="1" applyAlignment="1" applyProtection="1">
      <alignment horizontal="left" vertical="center"/>
    </xf>
    <xf numFmtId="0" fontId="10" fillId="2" borderId="0" xfId="1" applyFont="1" applyFill="1" applyBorder="1" applyAlignment="1" applyProtection="1">
      <alignment vertical="center"/>
    </xf>
    <xf numFmtId="3" fontId="11" fillId="3" borderId="15" xfId="1" applyNumberFormat="1" applyFont="1" applyFill="1" applyBorder="1" applyAlignment="1" applyProtection="1">
      <alignment vertical="center"/>
    </xf>
    <xf numFmtId="165" fontId="11" fillId="3" borderId="22" xfId="1" applyNumberFormat="1" applyFont="1" applyFill="1" applyBorder="1" applyAlignment="1" applyProtection="1">
      <alignment vertical="center"/>
    </xf>
    <xf numFmtId="0" fontId="10" fillId="2" borderId="19" xfId="1" applyFont="1" applyFill="1" applyBorder="1" applyAlignment="1" applyProtection="1">
      <alignment vertical="center"/>
    </xf>
    <xf numFmtId="0" fontId="10" fillId="2" borderId="20" xfId="1" applyFont="1" applyFill="1" applyBorder="1" applyAlignment="1" applyProtection="1">
      <alignment vertical="center"/>
    </xf>
    <xf numFmtId="0" fontId="11" fillId="2" borderId="0" xfId="1" applyFont="1" applyFill="1" applyBorder="1" applyAlignment="1" applyProtection="1">
      <alignment horizontal="center" vertical="center"/>
    </xf>
    <xf numFmtId="0" fontId="11" fillId="2" borderId="27" xfId="1" applyFont="1" applyFill="1" applyBorder="1" applyAlignment="1" applyProtection="1">
      <alignment horizontal="center" vertical="center"/>
    </xf>
    <xf numFmtId="3" fontId="10" fillId="2" borderId="29" xfId="1" applyNumberFormat="1" applyFont="1" applyFill="1" applyBorder="1" applyAlignment="1" applyProtection="1">
      <alignment vertical="center"/>
    </xf>
    <xf numFmtId="3" fontId="10" fillId="2" borderId="0" xfId="1" applyNumberFormat="1" applyFont="1" applyFill="1" applyBorder="1" applyAlignment="1" applyProtection="1">
      <alignment vertical="center"/>
    </xf>
    <xf numFmtId="3" fontId="10" fillId="2" borderId="30" xfId="1" applyNumberFormat="1" applyFont="1" applyFill="1" applyBorder="1" applyAlignment="1" applyProtection="1">
      <alignment vertical="center"/>
    </xf>
    <xf numFmtId="3" fontId="11" fillId="2" borderId="30" xfId="1" applyNumberFormat="1" applyFont="1" applyFill="1" applyBorder="1" applyAlignment="1" applyProtection="1">
      <alignment vertical="center"/>
    </xf>
    <xf numFmtId="165" fontId="11" fillId="2" borderId="30" xfId="1" applyNumberFormat="1" applyFont="1" applyFill="1" applyBorder="1" applyAlignment="1" applyProtection="1">
      <alignment vertical="center"/>
    </xf>
    <xf numFmtId="3" fontId="10" fillId="2" borderId="0" xfId="1" applyNumberFormat="1" applyFont="1" applyFill="1" applyBorder="1" applyAlignment="1" applyProtection="1">
      <alignment vertical="center"/>
      <protection locked="0"/>
    </xf>
    <xf numFmtId="3" fontId="10" fillId="2" borderId="30" xfId="0" applyNumberFormat="1" applyFont="1" applyFill="1" applyBorder="1" applyAlignment="1" applyProtection="1">
      <alignment vertical="center"/>
      <protection locked="0"/>
    </xf>
    <xf numFmtId="165" fontId="11" fillId="2" borderId="0" xfId="1" applyNumberFormat="1" applyFont="1" applyFill="1" applyBorder="1" applyAlignment="1" applyProtection="1">
      <alignment horizontal="left" vertical="center"/>
      <protection locked="0"/>
    </xf>
    <xf numFmtId="165" fontId="11" fillId="2" borderId="0" xfId="0" applyNumberFormat="1" applyFont="1" applyFill="1" applyBorder="1" applyAlignment="1" applyProtection="1">
      <alignment horizontal="left" vertical="center"/>
      <protection locked="0"/>
    </xf>
    <xf numFmtId="0" fontId="10" fillId="2" borderId="23" xfId="0" applyFont="1" applyFill="1" applyBorder="1" applyAlignment="1" applyProtection="1">
      <alignment horizontal="left" vertical="center"/>
      <protection locked="0"/>
    </xf>
    <xf numFmtId="0" fontId="10" fillId="2" borderId="24" xfId="0" applyFont="1" applyFill="1" applyBorder="1" applyAlignment="1" applyProtection="1">
      <alignment horizontal="left" vertical="center"/>
      <protection locked="0"/>
    </xf>
    <xf numFmtId="3" fontId="10" fillId="2" borderId="31" xfId="1" applyNumberFormat="1" applyFont="1" applyFill="1" applyBorder="1" applyAlignment="1" applyProtection="1">
      <alignment vertical="center"/>
    </xf>
    <xf numFmtId="3" fontId="11" fillId="2" borderId="31" xfId="1" applyNumberFormat="1" applyFont="1" applyFill="1" applyBorder="1" applyAlignment="1" applyProtection="1">
      <alignment vertical="center"/>
    </xf>
    <xf numFmtId="3" fontId="10" fillId="3" borderId="24" xfId="1" applyNumberFormat="1" applyFont="1" applyFill="1" applyBorder="1" applyAlignment="1" applyProtection="1">
      <alignment vertical="center"/>
    </xf>
    <xf numFmtId="3" fontId="10" fillId="4" borderId="22" xfId="1" applyNumberFormat="1" applyFont="1" applyFill="1" applyBorder="1" applyAlignment="1" applyProtection="1">
      <alignment vertical="center"/>
    </xf>
    <xf numFmtId="3" fontId="10" fillId="5" borderId="22" xfId="1" applyNumberFormat="1" applyFont="1" applyFill="1" applyBorder="1" applyAlignment="1" applyProtection="1">
      <alignment vertical="center"/>
    </xf>
    <xf numFmtId="3" fontId="11" fillId="3" borderId="22" xfId="1" applyNumberFormat="1" applyFont="1" applyFill="1" applyBorder="1" applyAlignment="1" applyProtection="1">
      <alignment vertical="center"/>
    </xf>
    <xf numFmtId="0" fontId="8" fillId="2" borderId="0" xfId="0" applyFont="1" applyFill="1" applyBorder="1" applyAlignment="1" applyProtection="1">
      <alignment vertical="center"/>
    </xf>
    <xf numFmtId="3" fontId="10" fillId="2" borderId="22" xfId="1" applyNumberFormat="1" applyFont="1" applyFill="1" applyBorder="1" applyAlignment="1" applyProtection="1">
      <alignment vertical="center"/>
    </xf>
    <xf numFmtId="165" fontId="9" fillId="2" borderId="0" xfId="1" applyNumberFormat="1" applyFont="1" applyFill="1" applyBorder="1" applyAlignment="1" applyProtection="1">
      <alignment horizontal="left" vertical="center" indent="1"/>
    </xf>
    <xf numFmtId="3" fontId="11" fillId="2" borderId="15" xfId="1" applyNumberFormat="1" applyFont="1" applyFill="1" applyBorder="1" applyAlignment="1" applyProtection="1">
      <alignment vertical="center"/>
    </xf>
    <xf numFmtId="165" fontId="11" fillId="2" borderId="22" xfId="1" applyNumberFormat="1" applyFont="1" applyFill="1" applyBorder="1" applyAlignment="1" applyProtection="1">
      <alignment vertical="center"/>
    </xf>
    <xf numFmtId="0" fontId="10" fillId="2" borderId="0" xfId="0" applyFont="1" applyFill="1" applyBorder="1" applyAlignment="1" applyProtection="1">
      <alignment vertical="center"/>
    </xf>
    <xf numFmtId="3" fontId="10" fillId="4" borderId="34" xfId="1" applyNumberFormat="1" applyFont="1" applyFill="1" applyBorder="1" applyAlignment="1" applyProtection="1">
      <alignment vertical="center"/>
    </xf>
    <xf numFmtId="165" fontId="11" fillId="2" borderId="0" xfId="1" applyNumberFormat="1" applyFont="1" applyFill="1" applyBorder="1" applyAlignment="1" applyProtection="1">
      <alignment horizontal="left" vertical="center" indent="1"/>
    </xf>
    <xf numFmtId="3" fontId="10" fillId="5" borderId="34" xfId="1" applyNumberFormat="1" applyFont="1" applyFill="1" applyBorder="1" applyAlignment="1" applyProtection="1">
      <alignment vertical="center"/>
    </xf>
    <xf numFmtId="3" fontId="10" fillId="6" borderId="34" xfId="1" applyNumberFormat="1" applyFont="1" applyFill="1" applyBorder="1" applyAlignment="1" applyProtection="1">
      <alignment vertical="center"/>
    </xf>
    <xf numFmtId="3" fontId="8" fillId="3" borderId="15" xfId="1" applyNumberFormat="1" applyFont="1" applyFill="1" applyBorder="1" applyAlignment="1" applyProtection="1">
      <alignment vertical="center"/>
    </xf>
    <xf numFmtId="3" fontId="8" fillId="3" borderId="17" xfId="1" applyNumberFormat="1" applyFont="1" applyFill="1" applyBorder="1" applyAlignment="1" applyProtection="1">
      <alignment vertical="center"/>
    </xf>
    <xf numFmtId="3" fontId="8" fillId="4" borderId="34" xfId="1" applyNumberFormat="1" applyFont="1" applyFill="1" applyBorder="1" applyAlignment="1" applyProtection="1">
      <alignment vertical="center"/>
    </xf>
    <xf numFmtId="10" fontId="9" fillId="2" borderId="0" xfId="1" applyNumberFormat="1" applyFont="1" applyFill="1" applyBorder="1" applyAlignment="1" applyProtection="1">
      <alignment horizontal="left" vertical="center" indent="1"/>
    </xf>
    <xf numFmtId="3" fontId="8" fillId="5" borderId="34" xfId="1" applyNumberFormat="1" applyFont="1" applyFill="1" applyBorder="1" applyAlignment="1" applyProtection="1">
      <alignment vertical="center"/>
    </xf>
    <xf numFmtId="3" fontId="8" fillId="6" borderId="34" xfId="1" applyNumberFormat="1" applyFont="1" applyFill="1" applyBorder="1" applyAlignment="1" applyProtection="1">
      <alignment vertical="center"/>
    </xf>
    <xf numFmtId="3" fontId="9" fillId="3" borderId="15" xfId="1" applyNumberFormat="1" applyFont="1" applyFill="1" applyBorder="1" applyAlignment="1" applyProtection="1">
      <alignment vertical="center"/>
    </xf>
    <xf numFmtId="165" fontId="9" fillId="3" borderId="22" xfId="1" applyNumberFormat="1" applyFont="1" applyFill="1" applyBorder="1" applyAlignment="1" applyProtection="1">
      <alignment vertical="center"/>
    </xf>
    <xf numFmtId="3" fontId="10" fillId="2" borderId="27" xfId="1" applyNumberFormat="1" applyFont="1" applyFill="1" applyBorder="1" applyAlignment="1" applyProtection="1">
      <alignment vertical="center"/>
    </xf>
    <xf numFmtId="166" fontId="10" fillId="2" borderId="27" xfId="1" applyNumberFormat="1" applyFont="1" applyFill="1" applyBorder="1" applyAlignment="1" applyProtection="1">
      <alignment vertical="center"/>
    </xf>
    <xf numFmtId="3" fontId="11" fillId="2" borderId="27" xfId="1" applyNumberFormat="1" applyFont="1" applyFill="1" applyBorder="1" applyAlignment="1" applyProtection="1">
      <alignment vertical="center"/>
    </xf>
    <xf numFmtId="165" fontId="11" fillId="2" borderId="27" xfId="1" applyNumberFormat="1" applyFont="1" applyFill="1" applyBorder="1" applyAlignment="1" applyProtection="1">
      <alignment vertical="center"/>
    </xf>
    <xf numFmtId="3" fontId="9" fillId="2" borderId="31" xfId="1" applyNumberFormat="1" applyFont="1" applyFill="1" applyBorder="1" applyAlignment="1" applyProtection="1">
      <alignment vertical="center"/>
    </xf>
    <xf numFmtId="165" fontId="11" fillId="2" borderId="31" xfId="1" applyNumberFormat="1" applyFont="1" applyFill="1" applyBorder="1" applyAlignment="1" applyProtection="1">
      <alignment vertical="center"/>
    </xf>
    <xf numFmtId="3" fontId="8" fillId="3" borderId="35" xfId="1" applyNumberFormat="1" applyFont="1" applyFill="1" applyBorder="1" applyAlignment="1" applyProtection="1">
      <alignment vertical="center"/>
    </xf>
    <xf numFmtId="3" fontId="8" fillId="3" borderId="36" xfId="1" applyNumberFormat="1" applyFont="1" applyFill="1" applyBorder="1" applyAlignment="1" applyProtection="1">
      <alignment vertical="center"/>
    </xf>
    <xf numFmtId="3" fontId="8" fillId="4" borderId="37" xfId="1" applyNumberFormat="1" applyFont="1" applyFill="1" applyBorder="1" applyAlignment="1" applyProtection="1">
      <alignment vertical="center"/>
    </xf>
    <xf numFmtId="3" fontId="8" fillId="5" borderId="37" xfId="1" applyNumberFormat="1" applyFont="1" applyFill="1" applyBorder="1" applyAlignment="1" applyProtection="1">
      <alignment vertical="center"/>
    </xf>
    <xf numFmtId="3" fontId="8" fillId="6" borderId="37" xfId="1" applyNumberFormat="1" applyFont="1" applyFill="1" applyBorder="1" applyAlignment="1" applyProtection="1">
      <alignment vertical="center"/>
    </xf>
    <xf numFmtId="3" fontId="9" fillId="3" borderId="35" xfId="1" applyNumberFormat="1" applyFont="1" applyFill="1" applyBorder="1" applyAlignment="1" applyProtection="1">
      <alignment vertical="center"/>
    </xf>
    <xf numFmtId="165" fontId="9" fillId="3" borderId="38" xfId="1" applyNumberFormat="1" applyFont="1" applyFill="1" applyBorder="1" applyAlignment="1" applyProtection="1">
      <alignment vertical="center"/>
    </xf>
    <xf numFmtId="3" fontId="10" fillId="2" borderId="15" xfId="1" applyNumberFormat="1" applyFont="1" applyFill="1" applyBorder="1" applyAlignment="1" applyProtection="1">
      <alignment vertical="center"/>
    </xf>
    <xf numFmtId="3" fontId="10" fillId="2" borderId="17" xfId="1" applyNumberFormat="1" applyFont="1" applyFill="1" applyBorder="1" applyAlignment="1" applyProtection="1">
      <alignment vertical="center"/>
    </xf>
    <xf numFmtId="3" fontId="10" fillId="2" borderId="34" xfId="1" applyNumberFormat="1" applyFont="1" applyFill="1" applyBorder="1" applyAlignment="1" applyProtection="1">
      <alignment vertical="center"/>
    </xf>
    <xf numFmtId="0" fontId="13" fillId="2" borderId="0" xfId="0" applyFont="1" applyFill="1" applyBorder="1" applyAlignment="1" applyProtection="1">
      <alignment horizontal="left" vertical="center" indent="1"/>
      <protection locked="0"/>
    </xf>
    <xf numFmtId="0" fontId="15" fillId="2" borderId="0" xfId="0" applyFont="1" applyFill="1" applyBorder="1" applyAlignment="1" applyProtection="1">
      <alignment horizontal="left" vertical="center" indent="1"/>
      <protection locked="0"/>
    </xf>
    <xf numFmtId="0" fontId="13" fillId="2" borderId="39" xfId="0" applyFont="1" applyFill="1" applyBorder="1" applyAlignment="1" applyProtection="1">
      <alignment horizontal="left" vertical="center" indent="1"/>
      <protection locked="0"/>
    </xf>
    <xf numFmtId="0" fontId="15" fillId="2" borderId="44" xfId="0" applyFont="1" applyFill="1" applyBorder="1" applyAlignment="1" applyProtection="1">
      <alignment horizontal="center" vertical="center"/>
      <protection locked="0"/>
    </xf>
    <xf numFmtId="0" fontId="15" fillId="2" borderId="40" xfId="0" applyFont="1" applyFill="1" applyBorder="1" applyAlignment="1" applyProtection="1">
      <alignment horizontal="center" vertical="center"/>
      <protection locked="0"/>
    </xf>
    <xf numFmtId="0" fontId="15" fillId="2" borderId="42" xfId="0" applyFont="1" applyFill="1" applyBorder="1" applyAlignment="1" applyProtection="1">
      <alignment horizontal="left" vertical="center"/>
      <protection locked="0"/>
    </xf>
    <xf numFmtId="0" fontId="15" fillId="2" borderId="45" xfId="0" applyNumberFormat="1" applyFont="1" applyFill="1" applyBorder="1" applyProtection="1">
      <protection locked="0"/>
    </xf>
    <xf numFmtId="0" fontId="15" fillId="2" borderId="46" xfId="0" applyNumberFormat="1" applyFont="1" applyFill="1" applyBorder="1" applyProtection="1">
      <protection locked="0"/>
    </xf>
    <xf numFmtId="0" fontId="15" fillId="2" borderId="47" xfId="0" applyNumberFormat="1" applyFont="1" applyFill="1" applyBorder="1" applyProtection="1">
      <protection locked="0"/>
    </xf>
    <xf numFmtId="0" fontId="15" fillId="2" borderId="48" xfId="0" applyNumberFormat="1" applyFont="1" applyFill="1" applyBorder="1" applyProtection="1">
      <protection locked="0"/>
    </xf>
    <xf numFmtId="0" fontId="0" fillId="0" borderId="0" xfId="0" applyBorder="1"/>
    <xf numFmtId="167" fontId="10" fillId="2" borderId="8" xfId="0" applyNumberFormat="1" applyFont="1" applyFill="1" applyBorder="1" applyAlignment="1" applyProtection="1">
      <alignment horizontal="center" vertical="center"/>
      <protection locked="0"/>
    </xf>
    <xf numFmtId="167" fontId="10" fillId="2" borderId="0" xfId="0" applyNumberFormat="1" applyFont="1" applyFill="1" applyBorder="1" applyAlignment="1" applyProtection="1">
      <alignment horizontal="center" vertical="center"/>
      <protection locked="0"/>
    </xf>
    <xf numFmtId="10" fontId="10" fillId="2" borderId="8" xfId="2" applyNumberFormat="1" applyFont="1" applyFill="1" applyBorder="1" applyAlignment="1" applyProtection="1">
      <alignment horizontal="center"/>
      <protection locked="0"/>
    </xf>
    <xf numFmtId="10" fontId="10" fillId="2" borderId="0" xfId="2" applyNumberFormat="1" applyFont="1" applyFill="1" applyBorder="1" applyAlignment="1" applyProtection="1">
      <alignment horizontal="center"/>
      <protection locked="0"/>
    </xf>
    <xf numFmtId="3" fontId="10" fillId="2" borderId="28" xfId="1" applyNumberFormat="1" applyFont="1" applyFill="1" applyBorder="1" applyAlignment="1" applyProtection="1">
      <alignment vertical="center"/>
    </xf>
    <xf numFmtId="0" fontId="10" fillId="2" borderId="28" xfId="0" applyFont="1" applyFill="1" applyBorder="1" applyAlignment="1" applyProtection="1">
      <alignment horizontal="left" vertical="center"/>
      <protection locked="0"/>
    </xf>
    <xf numFmtId="0" fontId="10" fillId="2" borderId="29" xfId="0" applyFont="1" applyFill="1" applyBorder="1" applyAlignment="1" applyProtection="1">
      <alignment horizontal="left" vertical="center"/>
      <protection locked="0"/>
    </xf>
    <xf numFmtId="0" fontId="16" fillId="0" borderId="0" xfId="0" applyFont="1" applyBorder="1"/>
    <xf numFmtId="167" fontId="10" fillId="2" borderId="43" xfId="0" applyNumberFormat="1" applyFont="1" applyFill="1" applyBorder="1" applyAlignment="1" applyProtection="1">
      <alignment horizontal="center" vertical="center"/>
      <protection locked="0"/>
    </xf>
    <xf numFmtId="10" fontId="10" fillId="2" borderId="43" xfId="2" applyNumberFormat="1" applyFont="1" applyFill="1" applyBorder="1" applyAlignment="1" applyProtection="1">
      <alignment horizontal="center"/>
      <protection locked="0"/>
    </xf>
    <xf numFmtId="14" fontId="1" fillId="2" borderId="9" xfId="0" applyNumberFormat="1" applyFont="1" applyFill="1" applyBorder="1" applyAlignment="1" applyProtection="1">
      <alignment horizontal="right" vertical="center"/>
      <protection locked="0"/>
    </xf>
    <xf numFmtId="3" fontId="10" fillId="3" borderId="23" xfId="1" applyNumberFormat="1" applyFont="1" applyFill="1" applyBorder="1" applyAlignment="1" applyProtection="1">
      <alignment vertical="center"/>
    </xf>
    <xf numFmtId="0" fontId="4" fillId="2" borderId="8" xfId="0" applyFont="1" applyFill="1" applyBorder="1" applyAlignment="1" applyProtection="1">
      <alignment vertical="center"/>
      <protection locked="0"/>
    </xf>
    <xf numFmtId="0" fontId="4" fillId="2" borderId="0" xfId="0" applyFont="1" applyFill="1" applyBorder="1" applyAlignment="1" applyProtection="1">
      <alignment vertical="center"/>
      <protection locked="0"/>
    </xf>
    <xf numFmtId="0" fontId="4" fillId="2" borderId="7" xfId="0" applyFont="1" applyFill="1" applyBorder="1" applyAlignment="1" applyProtection="1">
      <alignment vertical="center"/>
      <protection locked="0"/>
    </xf>
    <xf numFmtId="3" fontId="3" fillId="2" borderId="2" xfId="0" applyNumberFormat="1" applyFont="1" applyFill="1" applyBorder="1" applyAlignment="1" applyProtection="1">
      <alignment horizontal="left" vertical="center"/>
      <protection locked="0"/>
    </xf>
    <xf numFmtId="3" fontId="6" fillId="2" borderId="13" xfId="0" applyNumberFormat="1" applyFont="1" applyFill="1" applyBorder="1" applyAlignment="1" applyProtection="1">
      <alignment horizontal="left" vertical="center"/>
      <protection locked="0"/>
    </xf>
    <xf numFmtId="17" fontId="1" fillId="2" borderId="5" xfId="0" applyNumberFormat="1" applyFont="1" applyFill="1" applyBorder="1" applyAlignment="1" applyProtection="1">
      <alignment vertical="center"/>
      <protection locked="0"/>
    </xf>
    <xf numFmtId="10" fontId="1" fillId="2" borderId="14" xfId="0" applyNumberFormat="1" applyFont="1" applyFill="1" applyBorder="1" applyAlignment="1" applyProtection="1">
      <alignment horizontal="left" vertical="center"/>
      <protection locked="0"/>
    </xf>
    <xf numFmtId="14" fontId="2" fillId="2" borderId="0" xfId="0" applyNumberFormat="1" applyFont="1" applyFill="1" applyBorder="1" applyAlignment="1" applyProtection="1">
      <alignment horizontal="right" vertical="center"/>
      <protection locked="0"/>
    </xf>
    <xf numFmtId="14" fontId="4" fillId="2" borderId="0" xfId="0" applyNumberFormat="1" applyFont="1" applyFill="1" applyBorder="1" applyAlignment="1" applyProtection="1">
      <alignment horizontal="right" vertical="center"/>
      <protection locked="0"/>
    </xf>
    <xf numFmtId="0" fontId="0" fillId="2" borderId="0" xfId="0" applyFill="1"/>
    <xf numFmtId="3" fontId="17" fillId="2" borderId="0" xfId="1" applyNumberFormat="1" applyFont="1" applyFill="1" applyBorder="1" applyAlignment="1" applyProtection="1">
      <alignment horizontal="center" vertical="center"/>
    </xf>
    <xf numFmtId="0" fontId="1" fillId="2" borderId="0" xfId="0" applyFont="1" applyFill="1" applyBorder="1"/>
    <xf numFmtId="0" fontId="0" fillId="2" borderId="0" xfId="0" applyFill="1" applyBorder="1"/>
    <xf numFmtId="0" fontId="0" fillId="2" borderId="0" xfId="0" applyFill="1" applyAlignment="1">
      <alignment wrapText="1"/>
    </xf>
    <xf numFmtId="0" fontId="1" fillId="2" borderId="0" xfId="0" applyFont="1" applyFill="1" applyBorder="1" applyAlignment="1">
      <alignment wrapText="1"/>
    </xf>
    <xf numFmtId="0" fontId="0" fillId="0" borderId="0" xfId="0" applyAlignment="1">
      <alignment wrapText="1"/>
    </xf>
    <xf numFmtId="3" fontId="19" fillId="4" borderId="49" xfId="1" applyNumberFormat="1" applyFont="1" applyFill="1" applyBorder="1" applyAlignment="1" applyProtection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3" fontId="19" fillId="5" borderId="49" xfId="1" applyNumberFormat="1" applyFont="1" applyFill="1" applyBorder="1" applyAlignment="1" applyProtection="1">
      <alignment horizontal="center" vertical="center" wrapText="1"/>
    </xf>
    <xf numFmtId="3" fontId="19" fillId="6" borderId="49" xfId="1" applyNumberFormat="1" applyFont="1" applyFill="1" applyBorder="1" applyAlignment="1" applyProtection="1">
      <alignment horizontal="center" vertical="center" wrapText="1"/>
    </xf>
    <xf numFmtId="0" fontId="0" fillId="2" borderId="0" xfId="0" applyFill="1" applyBorder="1" applyAlignment="1">
      <alignment wrapText="1"/>
    </xf>
    <xf numFmtId="0" fontId="1" fillId="2" borderId="0" xfId="0" applyFont="1" applyFill="1" applyBorder="1" applyAlignment="1">
      <alignment horizontal="left" indent="1"/>
    </xf>
    <xf numFmtId="3" fontId="19" fillId="2" borderId="0" xfId="1" applyNumberFormat="1" applyFont="1" applyFill="1" applyBorder="1" applyAlignment="1" applyProtection="1">
      <alignment horizontal="left" vertical="center" indent="1"/>
    </xf>
    <xf numFmtId="3" fontId="19" fillId="2" borderId="19" xfId="1" applyNumberFormat="1" applyFont="1" applyFill="1" applyBorder="1" applyAlignment="1" applyProtection="1">
      <alignment horizontal="left" vertical="center" indent="1"/>
    </xf>
    <xf numFmtId="0" fontId="1" fillId="2" borderId="20" xfId="0" applyFont="1" applyFill="1" applyBorder="1"/>
    <xf numFmtId="3" fontId="1" fillId="2" borderId="27" xfId="0" applyNumberFormat="1" applyFont="1" applyFill="1" applyBorder="1"/>
    <xf numFmtId="3" fontId="1" fillId="2" borderId="0" xfId="0" applyNumberFormat="1" applyFont="1" applyFill="1" applyBorder="1"/>
    <xf numFmtId="3" fontId="1" fillId="2" borderId="28" xfId="1" applyNumberFormat="1" applyFont="1" applyFill="1" applyBorder="1" applyAlignment="1" applyProtection="1">
      <alignment horizontal="left" vertical="center" indent="1"/>
    </xf>
    <xf numFmtId="0" fontId="1" fillId="2" borderId="29" xfId="0" applyFont="1" applyFill="1" applyBorder="1"/>
    <xf numFmtId="3" fontId="1" fillId="2" borderId="30" xfId="0" applyNumberFormat="1" applyFont="1" applyFill="1" applyBorder="1"/>
    <xf numFmtId="3" fontId="19" fillId="2" borderId="23" xfId="1" applyNumberFormat="1" applyFont="1" applyFill="1" applyBorder="1" applyAlignment="1" applyProtection="1">
      <alignment horizontal="left" vertical="center" indent="1"/>
    </xf>
    <xf numFmtId="0" fontId="1" fillId="2" borderId="24" xfId="0" applyFont="1" applyFill="1" applyBorder="1"/>
    <xf numFmtId="3" fontId="1" fillId="2" borderId="31" xfId="0" applyNumberFormat="1" applyFont="1" applyFill="1" applyBorder="1"/>
    <xf numFmtId="0" fontId="19" fillId="2" borderId="15" xfId="0" applyFont="1" applyFill="1" applyBorder="1" applyAlignment="1">
      <alignment horizontal="left" vertical="center" indent="1"/>
    </xf>
    <xf numFmtId="0" fontId="1" fillId="2" borderId="17" xfId="0" applyFont="1" applyFill="1" applyBorder="1"/>
    <xf numFmtId="3" fontId="1" fillId="2" borderId="22" xfId="0" applyNumberFormat="1" applyFont="1" applyFill="1" applyBorder="1"/>
    <xf numFmtId="0" fontId="1" fillId="2" borderId="50" xfId="0" applyFont="1" applyFill="1" applyBorder="1"/>
    <xf numFmtId="0" fontId="19" fillId="2" borderId="0" xfId="0" applyFont="1" applyFill="1" applyBorder="1" applyAlignment="1">
      <alignment horizontal="center"/>
    </xf>
    <xf numFmtId="0" fontId="19" fillId="2" borderId="0" xfId="0" applyFont="1" applyFill="1" applyBorder="1" applyAlignment="1"/>
    <xf numFmtId="3" fontId="19" fillId="4" borderId="49" xfId="1" applyNumberFormat="1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3" fontId="19" fillId="6" borderId="49" xfId="1" applyNumberFormat="1" applyFont="1" applyFill="1" applyBorder="1" applyAlignment="1" applyProtection="1">
      <alignment horizontal="center" vertical="center"/>
    </xf>
    <xf numFmtId="0" fontId="20" fillId="2" borderId="0" xfId="0" applyFont="1" applyFill="1"/>
    <xf numFmtId="0" fontId="19" fillId="2" borderId="0" xfId="0" applyFont="1" applyFill="1" applyBorder="1"/>
    <xf numFmtId="3" fontId="19" fillId="4" borderId="49" xfId="1" applyNumberFormat="1" applyFont="1" applyFill="1" applyBorder="1" applyAlignment="1" applyProtection="1">
      <alignment vertical="center"/>
    </xf>
    <xf numFmtId="0" fontId="19" fillId="2" borderId="0" xfId="0" applyFont="1" applyFill="1" applyBorder="1" applyAlignment="1">
      <alignment vertical="center"/>
    </xf>
    <xf numFmtId="3" fontId="19" fillId="5" borderId="49" xfId="1" applyNumberFormat="1" applyFont="1" applyFill="1" applyBorder="1" applyAlignment="1" applyProtection="1">
      <alignment vertical="center"/>
    </xf>
    <xf numFmtId="3" fontId="19" fillId="6" borderId="49" xfId="1" applyNumberFormat="1" applyFont="1" applyFill="1" applyBorder="1" applyAlignment="1" applyProtection="1">
      <alignment vertical="center"/>
    </xf>
    <xf numFmtId="0" fontId="21" fillId="2" borderId="0" xfId="0" applyFont="1" applyFill="1" applyBorder="1"/>
    <xf numFmtId="0" fontId="20" fillId="0" borderId="0" xfId="0" applyFont="1"/>
    <xf numFmtId="3" fontId="1" fillId="2" borderId="0" xfId="1" applyNumberFormat="1" applyFont="1" applyFill="1" applyBorder="1" applyAlignment="1" applyProtection="1">
      <alignment horizontal="left" vertical="center" indent="1"/>
    </xf>
    <xf numFmtId="3" fontId="1" fillId="2" borderId="0" xfId="1" applyNumberFormat="1" applyFont="1" applyFill="1" applyBorder="1" applyAlignment="1" applyProtection="1">
      <alignment vertical="center"/>
    </xf>
    <xf numFmtId="0" fontId="1" fillId="2" borderId="0" xfId="0" applyFont="1" applyFill="1" applyBorder="1" applyAlignment="1">
      <alignment vertical="center"/>
    </xf>
    <xf numFmtId="3" fontId="21" fillId="2" borderId="0" xfId="0" applyNumberFormat="1" applyFont="1" applyFill="1" applyBorder="1" applyProtection="1"/>
    <xf numFmtId="3" fontId="1" fillId="2" borderId="19" xfId="1" applyNumberFormat="1" applyFont="1" applyFill="1" applyBorder="1" applyAlignment="1" applyProtection="1">
      <alignment horizontal="left" vertical="center" indent="1"/>
    </xf>
    <xf numFmtId="3" fontId="1" fillId="2" borderId="29" xfId="1" applyNumberFormat="1" applyFont="1" applyFill="1" applyBorder="1" applyAlignment="1" applyProtection="1">
      <alignment horizontal="left" vertical="center" indent="1"/>
    </xf>
    <xf numFmtId="3" fontId="1" fillId="2" borderId="53" xfId="1" applyNumberFormat="1" applyFont="1" applyFill="1" applyBorder="1" applyAlignment="1" applyProtection="1">
      <alignment vertical="center"/>
    </xf>
    <xf numFmtId="3" fontId="1" fillId="2" borderId="22" xfId="1" applyNumberFormat="1" applyFont="1" applyFill="1" applyBorder="1" applyAlignment="1" applyProtection="1">
      <alignment vertical="center"/>
    </xf>
    <xf numFmtId="3" fontId="1" fillId="2" borderId="49" xfId="1" applyNumberFormat="1" applyFont="1" applyFill="1" applyBorder="1" applyAlignment="1" applyProtection="1">
      <alignment vertical="center"/>
    </xf>
    <xf numFmtId="3" fontId="21" fillId="2" borderId="0" xfId="0" applyNumberFormat="1" applyFont="1" applyFill="1" applyBorder="1" applyProtection="1">
      <protection locked="0"/>
    </xf>
    <xf numFmtId="3" fontId="21" fillId="2" borderId="0" xfId="0" applyNumberFormat="1" applyFont="1" applyFill="1" applyBorder="1"/>
    <xf numFmtId="3" fontId="1" fillId="2" borderId="20" xfId="1" applyNumberFormat="1" applyFont="1" applyFill="1" applyBorder="1" applyAlignment="1" applyProtection="1">
      <alignment horizontal="left" vertical="center" indent="1"/>
    </xf>
    <xf numFmtId="3" fontId="1" fillId="2" borderId="54" xfId="1" applyNumberFormat="1" applyFont="1" applyFill="1" applyBorder="1" applyAlignment="1" applyProtection="1">
      <alignment vertical="center"/>
    </xf>
    <xf numFmtId="0" fontId="1" fillId="2" borderId="0" xfId="0" applyFont="1" applyFill="1" applyBorder="1" applyAlignment="1" applyProtection="1">
      <alignment vertical="center"/>
      <protection locked="0"/>
    </xf>
    <xf numFmtId="3" fontId="1" fillId="2" borderId="0" xfId="0" applyNumberFormat="1" applyFont="1" applyFill="1" applyBorder="1" applyAlignment="1" applyProtection="1">
      <alignment vertical="center"/>
      <protection locked="0"/>
    </xf>
    <xf numFmtId="165" fontId="3" fillId="2" borderId="0" xfId="0" applyNumberFormat="1" applyFont="1" applyFill="1" applyAlignment="1" applyProtection="1">
      <alignment vertical="center"/>
      <protection locked="0"/>
    </xf>
    <xf numFmtId="3" fontId="3" fillId="2" borderId="0" xfId="0" applyNumberFormat="1" applyFont="1" applyFill="1" applyAlignment="1" applyProtection="1">
      <alignment horizontal="left" vertical="center"/>
      <protection locked="0"/>
    </xf>
    <xf numFmtId="165" fontId="3" fillId="2" borderId="0" xfId="0" applyNumberFormat="1" applyFont="1" applyFill="1" applyAlignment="1" applyProtection="1">
      <alignment horizontal="left" vertical="center"/>
      <protection locked="0"/>
    </xf>
    <xf numFmtId="10" fontId="1" fillId="2" borderId="0" xfId="0" applyNumberFormat="1" applyFont="1" applyFill="1" applyAlignment="1" applyProtection="1">
      <alignment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vertical="center"/>
      <protection locked="0"/>
    </xf>
    <xf numFmtId="0" fontId="2" fillId="2" borderId="4" xfId="0" applyFont="1" applyFill="1" applyBorder="1" applyAlignment="1" applyProtection="1">
      <alignment vertical="center"/>
      <protection locked="0"/>
    </xf>
    <xf numFmtId="165" fontId="10" fillId="2" borderId="4" xfId="0" applyNumberFormat="1" applyFont="1" applyFill="1" applyBorder="1" applyAlignment="1" applyProtection="1">
      <alignment horizontal="left" vertical="center"/>
      <protection locked="0"/>
    </xf>
    <xf numFmtId="0" fontId="2" fillId="2" borderId="0" xfId="0" applyFont="1" applyFill="1" applyBorder="1" applyAlignment="1" applyProtection="1">
      <alignment vertical="center"/>
      <protection locked="0"/>
    </xf>
    <xf numFmtId="165" fontId="10" fillId="2" borderId="0" xfId="0" applyNumberFormat="1" applyFont="1" applyFill="1" applyBorder="1" applyAlignment="1" applyProtection="1">
      <alignment horizontal="left" vertical="center"/>
      <protection locked="0"/>
    </xf>
    <xf numFmtId="14" fontId="1" fillId="2" borderId="0" xfId="0" applyNumberFormat="1" applyFont="1" applyFill="1" applyBorder="1" applyAlignment="1" applyProtection="1">
      <alignment horizontal="left" vertical="center"/>
      <protection locked="0"/>
    </xf>
    <xf numFmtId="3" fontId="10" fillId="2" borderId="0" xfId="0" applyNumberFormat="1" applyFont="1" applyFill="1" applyBorder="1" applyAlignment="1" applyProtection="1">
      <alignment horizontal="left" vertical="center"/>
      <protection locked="0"/>
    </xf>
    <xf numFmtId="0" fontId="22" fillId="2" borderId="0" xfId="1" applyFont="1" applyFill="1" applyBorder="1" applyAlignment="1" applyProtection="1">
      <alignment vertical="center"/>
      <protection hidden="1"/>
    </xf>
    <xf numFmtId="165" fontId="10" fillId="2" borderId="11" xfId="0" applyNumberFormat="1" applyFont="1" applyFill="1" applyBorder="1" applyAlignment="1" applyProtection="1">
      <alignment horizontal="left" vertical="center"/>
      <protection locked="0"/>
    </xf>
    <xf numFmtId="0" fontId="1" fillId="2" borderId="11" xfId="0" applyFont="1" applyFill="1" applyBorder="1" applyAlignment="1" applyProtection="1">
      <alignment vertical="center"/>
    </xf>
    <xf numFmtId="3" fontId="10" fillId="2" borderId="11" xfId="0" applyNumberFormat="1" applyFont="1" applyFill="1" applyBorder="1" applyAlignment="1" applyProtection="1">
      <alignment horizontal="left" vertical="center"/>
      <protection locked="0"/>
    </xf>
    <xf numFmtId="0" fontId="1" fillId="2" borderId="0" xfId="0" applyFont="1" applyFill="1" applyBorder="1" applyAlignment="1" applyProtection="1">
      <alignment vertical="center"/>
    </xf>
    <xf numFmtId="0" fontId="22" fillId="2" borderId="0" xfId="0" quotePrefix="1" applyFont="1" applyFill="1" applyBorder="1" applyAlignment="1" applyProtection="1">
      <alignment vertical="center"/>
    </xf>
    <xf numFmtId="0" fontId="1" fillId="2" borderId="0" xfId="1" applyFont="1" applyFill="1" applyBorder="1" applyAlignment="1" applyProtection="1">
      <alignment vertical="center"/>
    </xf>
    <xf numFmtId="165" fontId="3" fillId="2" borderId="0" xfId="1" applyNumberFormat="1" applyFont="1" applyFill="1" applyBorder="1" applyAlignment="1" applyProtection="1">
      <alignment vertical="center"/>
    </xf>
    <xf numFmtId="0" fontId="3" fillId="2" borderId="0" xfId="1" applyFont="1" applyFill="1" applyBorder="1" applyAlignment="1" applyProtection="1">
      <alignment horizontal="left" vertical="center"/>
    </xf>
    <xf numFmtId="165" fontId="3" fillId="2" borderId="0" xfId="1" applyNumberFormat="1" applyFont="1" applyFill="1" applyBorder="1" applyAlignment="1" applyProtection="1">
      <alignment horizontal="left" vertical="center"/>
    </xf>
    <xf numFmtId="0" fontId="1" fillId="2" borderId="0" xfId="1" applyFont="1" applyFill="1" applyBorder="1" applyAlignment="1" applyProtection="1">
      <alignment horizontal="center" vertical="center"/>
    </xf>
    <xf numFmtId="10" fontId="1" fillId="2" borderId="0" xfId="1" applyNumberFormat="1" applyFont="1" applyFill="1" applyBorder="1" applyAlignment="1" applyProtection="1">
      <alignment vertical="center"/>
    </xf>
    <xf numFmtId="0" fontId="13" fillId="2" borderId="0" xfId="0" applyFont="1" applyFill="1" applyBorder="1" applyAlignment="1" applyProtection="1">
      <alignment vertical="center"/>
    </xf>
    <xf numFmtId="0" fontId="13" fillId="2" borderId="0" xfId="1" applyFont="1" applyFill="1" applyBorder="1" applyAlignment="1" applyProtection="1">
      <alignment vertical="center"/>
    </xf>
    <xf numFmtId="3" fontId="24" fillId="2" borderId="0" xfId="1" applyNumberFormat="1" applyFont="1" applyFill="1" applyBorder="1" applyAlignment="1" applyProtection="1">
      <alignment horizontal="center" vertical="center"/>
    </xf>
    <xf numFmtId="0" fontId="24" fillId="2" borderId="0" xfId="1" applyFont="1" applyFill="1" applyBorder="1" applyAlignment="1" applyProtection="1">
      <alignment horizontal="center" vertical="center"/>
    </xf>
    <xf numFmtId="0" fontId="25" fillId="2" borderId="0" xfId="1" applyFont="1" applyFill="1" applyBorder="1" applyAlignment="1" applyProtection="1">
      <alignment horizontal="center" vertical="center"/>
    </xf>
    <xf numFmtId="0" fontId="26" fillId="2" borderId="55" xfId="1" applyFont="1" applyFill="1" applyBorder="1" applyAlignment="1" applyProtection="1">
      <alignment horizontal="center" vertical="center"/>
    </xf>
    <xf numFmtId="0" fontId="13" fillId="2" borderId="0" xfId="0" applyFont="1" applyFill="1" applyBorder="1" applyAlignment="1" applyProtection="1">
      <alignment vertical="center" wrapText="1"/>
      <protection locked="0"/>
    </xf>
    <xf numFmtId="0" fontId="13" fillId="2" borderId="0" xfId="1" applyFont="1" applyFill="1" applyBorder="1" applyAlignment="1" applyProtection="1">
      <alignment vertical="center" wrapText="1"/>
      <protection locked="0"/>
    </xf>
    <xf numFmtId="0" fontId="13" fillId="4" borderId="22" xfId="1" applyFont="1" applyFill="1" applyBorder="1" applyAlignment="1" applyProtection="1">
      <alignment horizontal="center" vertical="center" wrapText="1"/>
      <protection locked="0"/>
    </xf>
    <xf numFmtId="0" fontId="13" fillId="2" borderId="0" xfId="1" applyFont="1" applyFill="1" applyBorder="1" applyAlignment="1" applyProtection="1">
      <alignment vertical="center" wrapText="1"/>
    </xf>
    <xf numFmtId="0" fontId="13" fillId="2" borderId="0" xfId="0" applyFont="1" applyFill="1" applyBorder="1" applyAlignment="1" applyProtection="1">
      <alignment vertical="center" wrapText="1"/>
    </xf>
    <xf numFmtId="168" fontId="13" fillId="2" borderId="0" xfId="1" applyNumberFormat="1" applyFont="1" applyFill="1" applyBorder="1" applyAlignment="1" applyProtection="1">
      <alignment horizontal="center" vertical="center" wrapText="1"/>
    </xf>
    <xf numFmtId="4" fontId="13" fillId="2" borderId="22" xfId="1" applyNumberFormat="1" applyFont="1" applyFill="1" applyBorder="1" applyAlignment="1" applyProtection="1">
      <alignment horizontal="center" vertical="center" wrapText="1"/>
    </xf>
    <xf numFmtId="4" fontId="13" fillId="2" borderId="0" xfId="1" applyNumberFormat="1" applyFont="1" applyFill="1" applyBorder="1" applyAlignment="1" applyProtection="1">
      <alignment horizontal="center" vertical="center" wrapText="1"/>
    </xf>
    <xf numFmtId="3" fontId="13" fillId="2" borderId="22" xfId="1" applyNumberFormat="1" applyFont="1" applyFill="1" applyBorder="1" applyAlignment="1" applyProtection="1">
      <alignment horizontal="center" vertical="center" wrapText="1"/>
    </xf>
    <xf numFmtId="10" fontId="24" fillId="2" borderId="22" xfId="1" applyNumberFormat="1" applyFont="1" applyFill="1" applyBorder="1" applyAlignment="1" applyProtection="1">
      <alignment horizontal="center" vertical="center" wrapText="1"/>
    </xf>
    <xf numFmtId="0" fontId="15" fillId="2" borderId="0" xfId="0" applyFont="1" applyFill="1" applyBorder="1" applyAlignment="1" applyProtection="1">
      <alignment vertical="center"/>
    </xf>
    <xf numFmtId="0" fontId="15" fillId="2" borderId="0" xfId="1" applyFont="1" applyFill="1" applyBorder="1" applyAlignment="1" applyProtection="1">
      <alignment vertical="center"/>
    </xf>
    <xf numFmtId="0" fontId="15" fillId="2" borderId="0" xfId="0" applyFont="1" applyFill="1" applyBorder="1" applyAlignment="1" applyProtection="1">
      <alignment vertical="center"/>
      <protection locked="0"/>
    </xf>
    <xf numFmtId="0" fontId="15" fillId="2" borderId="51" xfId="0" applyFont="1" applyFill="1" applyBorder="1" applyAlignment="1" applyProtection="1">
      <alignment horizontal="left" vertical="center" indent="1"/>
      <protection locked="0"/>
    </xf>
    <xf numFmtId="0" fontId="15" fillId="2" borderId="52" xfId="0" applyFont="1" applyFill="1" applyBorder="1" applyAlignment="1" applyProtection="1">
      <alignment vertical="center"/>
      <protection locked="0"/>
    </xf>
    <xf numFmtId="0" fontId="15" fillId="2" borderId="0" xfId="1" applyFont="1" applyFill="1" applyBorder="1" applyAlignment="1" applyProtection="1">
      <alignment vertical="center"/>
      <protection locked="0"/>
    </xf>
    <xf numFmtId="3" fontId="15" fillId="2" borderId="22" xfId="0" applyNumberFormat="1" applyFont="1" applyFill="1" applyBorder="1" applyAlignment="1" applyProtection="1">
      <alignment vertical="center"/>
      <protection locked="0"/>
    </xf>
    <xf numFmtId="3" fontId="15" fillId="2" borderId="22" xfId="1" applyNumberFormat="1" applyFont="1" applyFill="1" applyBorder="1" applyAlignment="1" applyProtection="1">
      <alignment vertical="center"/>
      <protection locked="0"/>
    </xf>
    <xf numFmtId="3" fontId="15" fillId="2" borderId="22" xfId="1" applyNumberFormat="1" applyFont="1" applyFill="1" applyBorder="1" applyAlignment="1" applyProtection="1">
      <alignment vertical="center"/>
    </xf>
    <xf numFmtId="3" fontId="15" fillId="2" borderId="0" xfId="1" applyNumberFormat="1" applyFont="1" applyFill="1" applyBorder="1" applyAlignment="1" applyProtection="1">
      <alignment vertical="center"/>
      <protection locked="0"/>
    </xf>
    <xf numFmtId="3" fontId="27" fillId="2" borderId="22" xfId="1" applyNumberFormat="1" applyFont="1" applyFill="1" applyBorder="1" applyAlignment="1" applyProtection="1">
      <alignment vertical="center"/>
    </xf>
    <xf numFmtId="10" fontId="27" fillId="2" borderId="17" xfId="1" applyNumberFormat="1" applyFont="1" applyFill="1" applyBorder="1" applyAlignment="1" applyProtection="1">
      <alignment vertical="center"/>
    </xf>
    <xf numFmtId="3" fontId="13" fillId="3" borderId="15" xfId="1" applyNumberFormat="1" applyFont="1" applyFill="1" applyBorder="1" applyAlignment="1" applyProtection="1">
      <alignment horizontal="left" vertical="center" indent="1"/>
    </xf>
    <xf numFmtId="3" fontId="13" fillId="3" borderId="17" xfId="1" applyNumberFormat="1" applyFont="1" applyFill="1" applyBorder="1" applyAlignment="1" applyProtection="1">
      <alignment vertical="center"/>
    </xf>
    <xf numFmtId="3" fontId="13" fillId="4" borderId="22" xfId="1" applyNumberFormat="1" applyFont="1" applyFill="1" applyBorder="1" applyAlignment="1" applyProtection="1">
      <alignment vertical="center"/>
    </xf>
    <xf numFmtId="3" fontId="13" fillId="5" borderId="22" xfId="1" applyNumberFormat="1" applyFont="1" applyFill="1" applyBorder="1" applyAlignment="1" applyProtection="1">
      <alignment vertical="center"/>
    </xf>
    <xf numFmtId="3" fontId="13" fillId="2" borderId="0" xfId="1" applyNumberFormat="1" applyFont="1" applyFill="1" applyBorder="1" applyAlignment="1" applyProtection="1">
      <alignment vertical="center"/>
    </xf>
    <xf numFmtId="3" fontId="13" fillId="6" borderId="22" xfId="1" applyNumberFormat="1" applyFont="1" applyFill="1" applyBorder="1" applyAlignment="1" applyProtection="1">
      <alignment vertical="center"/>
    </xf>
    <xf numFmtId="3" fontId="24" fillId="3" borderId="22" xfId="1" applyNumberFormat="1" applyFont="1" applyFill="1" applyBorder="1" applyAlignment="1" applyProtection="1">
      <alignment vertical="center"/>
    </xf>
    <xf numFmtId="10" fontId="24" fillId="3" borderId="17" xfId="1" applyNumberFormat="1" applyFont="1" applyFill="1" applyBorder="1" applyAlignment="1" applyProtection="1">
      <alignment vertical="center"/>
    </xf>
    <xf numFmtId="0" fontId="15" fillId="2" borderId="0" xfId="1" applyFont="1" applyFill="1" applyBorder="1" applyAlignment="1" applyProtection="1">
      <alignment horizontal="left" vertical="center" indent="1"/>
    </xf>
    <xf numFmtId="3" fontId="15" fillId="2" borderId="0" xfId="1" applyNumberFormat="1" applyFont="1" applyFill="1" applyBorder="1" applyAlignment="1" applyProtection="1">
      <alignment vertical="center"/>
    </xf>
    <xf numFmtId="10" fontId="27" fillId="2" borderId="0" xfId="1" applyNumberFormat="1" applyFont="1" applyFill="1" applyBorder="1" applyAlignment="1" applyProtection="1">
      <alignment horizontal="center" vertical="center"/>
    </xf>
    <xf numFmtId="10" fontId="15" fillId="2" borderId="0" xfId="0" applyNumberFormat="1" applyFont="1" applyFill="1" applyBorder="1" applyAlignment="1" applyProtection="1">
      <alignment vertical="center"/>
    </xf>
    <xf numFmtId="0" fontId="27" fillId="2" borderId="0" xfId="0" applyFont="1" applyFill="1" applyBorder="1" applyAlignment="1" applyProtection="1">
      <alignment horizontal="center" vertical="center"/>
    </xf>
    <xf numFmtId="10" fontId="27" fillId="2" borderId="0" xfId="0" applyNumberFormat="1" applyFont="1" applyFill="1" applyBorder="1" applyAlignment="1" applyProtection="1">
      <alignment vertical="center"/>
    </xf>
    <xf numFmtId="3" fontId="15" fillId="2" borderId="56" xfId="1" applyNumberFormat="1" applyFont="1" applyFill="1" applyBorder="1" applyAlignment="1" applyProtection="1">
      <alignment vertical="center"/>
      <protection locked="0"/>
    </xf>
    <xf numFmtId="3" fontId="15" fillId="2" borderId="15" xfId="1" applyNumberFormat="1" applyFont="1" applyFill="1" applyBorder="1" applyAlignment="1" applyProtection="1">
      <alignment vertical="center"/>
      <protection locked="0"/>
    </xf>
    <xf numFmtId="3" fontId="15" fillId="2" borderId="56" xfId="0" applyNumberFormat="1" applyFont="1" applyFill="1" applyBorder="1" applyAlignment="1" applyProtection="1">
      <alignment vertical="center"/>
      <protection locked="0"/>
    </xf>
    <xf numFmtId="3" fontId="15" fillId="2" borderId="15" xfId="0" applyNumberFormat="1" applyFont="1" applyFill="1" applyBorder="1" applyAlignment="1" applyProtection="1">
      <alignment vertical="center"/>
      <protection locked="0"/>
    </xf>
    <xf numFmtId="3" fontId="15" fillId="2" borderId="0" xfId="0" applyNumberFormat="1" applyFont="1" applyFill="1" applyBorder="1" applyAlignment="1" applyProtection="1">
      <alignment vertical="center"/>
      <protection locked="0"/>
    </xf>
    <xf numFmtId="0" fontId="28" fillId="2" borderId="0" xfId="0" applyFont="1" applyFill="1" applyBorder="1" applyAlignment="1" applyProtection="1">
      <alignment horizontal="right" vertical="center"/>
    </xf>
    <xf numFmtId="0" fontId="15" fillId="2" borderId="0" xfId="0" applyFont="1" applyFill="1" applyBorder="1" applyAlignment="1" applyProtection="1">
      <alignment horizontal="left" vertical="center" indent="1"/>
    </xf>
    <xf numFmtId="3" fontId="15" fillId="2" borderId="0" xfId="0" applyNumberFormat="1" applyFont="1" applyFill="1" applyBorder="1" applyAlignment="1" applyProtection="1">
      <alignment vertical="center"/>
    </xf>
    <xf numFmtId="3" fontId="15" fillId="2" borderId="17" xfId="1" applyNumberFormat="1" applyFont="1" applyFill="1" applyBorder="1" applyAlignment="1" applyProtection="1">
      <alignment vertical="center"/>
    </xf>
    <xf numFmtId="0" fontId="27" fillId="2" borderId="0" xfId="1" applyFont="1" applyFill="1" applyBorder="1" applyAlignment="1" applyProtection="1">
      <alignment horizontal="center" vertical="center"/>
    </xf>
    <xf numFmtId="3" fontId="24" fillId="3" borderId="15" xfId="1" applyNumberFormat="1" applyFont="1" applyFill="1" applyBorder="1" applyAlignment="1" applyProtection="1">
      <alignment vertical="center"/>
    </xf>
    <xf numFmtId="0" fontId="23" fillId="2" borderId="0" xfId="0" applyFont="1" applyFill="1" applyBorder="1" applyAlignment="1" applyProtection="1">
      <alignment vertical="center"/>
      <protection locked="0"/>
    </xf>
    <xf numFmtId="0" fontId="23" fillId="2" borderId="7" xfId="0" applyFont="1" applyFill="1" applyBorder="1" applyAlignment="1" applyProtection="1">
      <alignment vertical="center"/>
      <protection locked="0"/>
    </xf>
    <xf numFmtId="0" fontId="4" fillId="2" borderId="11" xfId="0" applyFont="1" applyFill="1" applyBorder="1" applyAlignment="1" applyProtection="1">
      <alignment vertical="center"/>
      <protection locked="0"/>
    </xf>
    <xf numFmtId="0" fontId="4" fillId="2" borderId="13" xfId="0" applyFont="1" applyFill="1" applyBorder="1" applyAlignment="1" applyProtection="1">
      <alignment vertical="center"/>
      <protection locked="0"/>
    </xf>
    <xf numFmtId="3" fontId="1" fillId="2" borderId="4" xfId="0" applyNumberFormat="1" applyFont="1" applyFill="1" applyBorder="1" applyAlignment="1" applyProtection="1">
      <alignment vertical="center"/>
      <protection locked="0"/>
    </xf>
    <xf numFmtId="165" fontId="10" fillId="2" borderId="2" xfId="0" applyNumberFormat="1" applyFont="1" applyFill="1" applyBorder="1" applyAlignment="1" applyProtection="1">
      <alignment horizontal="left" vertical="center"/>
      <protection locked="0"/>
    </xf>
    <xf numFmtId="165" fontId="10" fillId="2" borderId="7" xfId="0" applyNumberFormat="1" applyFont="1" applyFill="1" applyBorder="1" applyAlignment="1" applyProtection="1">
      <alignment horizontal="left" vertical="center"/>
      <protection locked="0"/>
    </xf>
    <xf numFmtId="165" fontId="10" fillId="2" borderId="13" xfId="0" applyNumberFormat="1" applyFont="1" applyFill="1" applyBorder="1" applyAlignment="1" applyProtection="1">
      <alignment horizontal="left" vertical="center"/>
      <protection locked="0"/>
    </xf>
    <xf numFmtId="3" fontId="29" fillId="2" borderId="0" xfId="1" applyNumberFormat="1" applyFont="1" applyFill="1" applyBorder="1" applyAlignment="1" applyProtection="1">
      <alignment vertical="center"/>
    </xf>
    <xf numFmtId="0" fontId="29" fillId="2" borderId="0" xfId="1" applyFont="1" applyFill="1" applyBorder="1" applyAlignment="1" applyProtection="1">
      <alignment vertical="center"/>
    </xf>
    <xf numFmtId="165" fontId="30" fillId="2" borderId="0" xfId="1" applyNumberFormat="1" applyFont="1" applyFill="1" applyBorder="1" applyAlignment="1" applyProtection="1">
      <alignment vertical="center"/>
    </xf>
    <xf numFmtId="0" fontId="30" fillId="2" borderId="0" xfId="1" applyFont="1" applyFill="1" applyBorder="1" applyAlignment="1" applyProtection="1">
      <alignment horizontal="left" vertical="center"/>
    </xf>
    <xf numFmtId="0" fontId="29" fillId="2" borderId="0" xfId="0" applyFont="1" applyFill="1" applyBorder="1" applyAlignment="1" applyProtection="1">
      <alignment vertical="center"/>
    </xf>
    <xf numFmtId="3" fontId="23" fillId="2" borderId="0" xfId="1" applyNumberFormat="1" applyFont="1" applyFill="1" applyBorder="1" applyAlignment="1" applyProtection="1">
      <alignment horizontal="center" vertical="center"/>
    </xf>
    <xf numFmtId="0" fontId="3" fillId="2" borderId="0" xfId="1" applyFont="1" applyFill="1" applyBorder="1" applyAlignment="1" applyProtection="1">
      <alignment horizontal="center" vertical="center"/>
    </xf>
    <xf numFmtId="10" fontId="3" fillId="2" borderId="0" xfId="1" applyNumberFormat="1" applyFont="1" applyFill="1" applyBorder="1" applyAlignment="1" applyProtection="1">
      <alignment vertical="center"/>
    </xf>
    <xf numFmtId="0" fontId="31" fillId="2" borderId="0" xfId="0" applyFont="1" applyFill="1" applyAlignment="1" applyProtection="1">
      <alignment vertical="center"/>
    </xf>
    <xf numFmtId="0" fontId="10" fillId="2" borderId="0" xfId="1" applyFont="1" applyFill="1" applyAlignment="1" applyProtection="1">
      <alignment vertical="center"/>
    </xf>
    <xf numFmtId="3" fontId="10" fillId="2" borderId="0" xfId="1" applyNumberFormat="1" applyFont="1" applyFill="1" applyAlignment="1" applyProtection="1">
      <alignment vertical="center"/>
    </xf>
    <xf numFmtId="168" fontId="10" fillId="2" borderId="0" xfId="1" applyNumberFormat="1" applyFont="1" applyFill="1" applyAlignment="1" applyProtection="1">
      <alignment horizontal="center" vertical="center"/>
    </xf>
    <xf numFmtId="0" fontId="10" fillId="2" borderId="0" xfId="0" applyFont="1" applyFill="1" applyAlignment="1" applyProtection="1">
      <alignment vertical="center"/>
    </xf>
    <xf numFmtId="0" fontId="11" fillId="2" borderId="0" xfId="0" applyFont="1" applyFill="1" applyAlignment="1" applyProtection="1">
      <alignment vertical="center"/>
    </xf>
    <xf numFmtId="0" fontId="31" fillId="2" borderId="0" xfId="0" applyFont="1" applyFill="1" applyBorder="1" applyAlignment="1" applyProtection="1">
      <alignment vertical="center"/>
    </xf>
    <xf numFmtId="3" fontId="8" fillId="2" borderId="15" xfId="1" applyNumberFormat="1" applyFont="1" applyFill="1" applyBorder="1" applyAlignment="1" applyProtection="1">
      <alignment vertical="center"/>
    </xf>
    <xf numFmtId="3" fontId="8" fillId="2" borderId="17" xfId="1" applyNumberFormat="1" applyFont="1" applyFill="1" applyBorder="1" applyAlignment="1" applyProtection="1">
      <alignment vertical="center"/>
    </xf>
    <xf numFmtId="3" fontId="8" fillId="2" borderId="0" xfId="1" applyNumberFormat="1" applyFont="1" applyFill="1" applyBorder="1" applyAlignment="1" applyProtection="1">
      <alignment vertical="center"/>
    </xf>
    <xf numFmtId="3" fontId="8" fillId="2" borderId="22" xfId="3" applyNumberFormat="1" applyFont="1" applyFill="1" applyBorder="1" applyAlignment="1" applyProtection="1">
      <alignment vertical="center"/>
    </xf>
    <xf numFmtId="3" fontId="10" fillId="2" borderId="0" xfId="0" applyNumberFormat="1" applyFont="1" applyFill="1" applyBorder="1" applyAlignment="1" applyProtection="1">
      <alignment vertical="center"/>
    </xf>
    <xf numFmtId="3" fontId="8" fillId="2" borderId="0" xfId="3" applyNumberFormat="1" applyFont="1" applyFill="1" applyBorder="1" applyAlignment="1" applyProtection="1">
      <alignment horizontal="center" vertical="center"/>
    </xf>
    <xf numFmtId="10" fontId="31" fillId="2" borderId="0" xfId="1" applyNumberFormat="1" applyFont="1" applyFill="1" applyBorder="1" applyAlignment="1" applyProtection="1">
      <alignment horizontal="center" vertical="center"/>
    </xf>
    <xf numFmtId="3" fontId="9" fillId="2" borderId="22" xfId="3" applyNumberFormat="1" applyFont="1" applyFill="1" applyBorder="1" applyAlignment="1" applyProtection="1">
      <alignment horizontal="center" vertical="center"/>
    </xf>
    <xf numFmtId="10" fontId="9" fillId="2" borderId="22" xfId="1" applyNumberFormat="1" applyFont="1" applyFill="1" applyBorder="1" applyAlignment="1" applyProtection="1">
      <alignment vertical="center"/>
    </xf>
    <xf numFmtId="3" fontId="10" fillId="2" borderId="0" xfId="1" applyNumberFormat="1" applyFont="1" applyFill="1" applyBorder="1" applyAlignment="1" applyProtection="1">
      <alignment horizontal="center" vertical="center"/>
    </xf>
    <xf numFmtId="3" fontId="8" fillId="2" borderId="0" xfId="1" applyNumberFormat="1" applyFont="1" applyFill="1" applyBorder="1" applyAlignment="1" applyProtection="1">
      <alignment vertical="center"/>
      <protection locked="0"/>
    </xf>
    <xf numFmtId="3" fontId="9" fillId="2" borderId="0" xfId="3" applyNumberFormat="1" applyFont="1" applyFill="1" applyBorder="1" applyAlignment="1" applyProtection="1">
      <alignment horizontal="center" vertical="center"/>
    </xf>
    <xf numFmtId="10" fontId="9" fillId="2" borderId="0" xfId="1" applyNumberFormat="1" applyFont="1" applyFill="1" applyBorder="1" applyAlignment="1" applyProtection="1">
      <alignment vertical="center"/>
    </xf>
    <xf numFmtId="0" fontId="33" fillId="2" borderId="0" xfId="0" applyFont="1" applyFill="1" applyBorder="1" applyAlignment="1" applyProtection="1">
      <alignment vertical="center"/>
    </xf>
    <xf numFmtId="3" fontId="33" fillId="2" borderId="0" xfId="1" applyNumberFormat="1" applyFont="1" applyFill="1" applyBorder="1" applyAlignment="1" applyProtection="1">
      <alignment vertical="center"/>
      <protection hidden="1"/>
    </xf>
    <xf numFmtId="3" fontId="10" fillId="2" borderId="0" xfId="0" applyNumberFormat="1" applyFont="1" applyFill="1" applyAlignment="1" applyProtection="1">
      <alignment vertical="center"/>
    </xf>
    <xf numFmtId="3" fontId="8" fillId="2" borderId="0" xfId="0" applyNumberFormat="1" applyFont="1" applyFill="1" applyBorder="1" applyAlignment="1" applyProtection="1">
      <alignment vertical="center"/>
    </xf>
    <xf numFmtId="3" fontId="8" fillId="2" borderId="16" xfId="3" applyNumberFormat="1" applyFont="1" applyFill="1" applyBorder="1" applyAlignment="1" applyProtection="1">
      <alignment vertical="center"/>
    </xf>
    <xf numFmtId="3" fontId="9" fillId="2" borderId="16" xfId="3" applyNumberFormat="1" applyFont="1" applyFill="1" applyBorder="1" applyAlignment="1" applyProtection="1">
      <alignment horizontal="center" vertical="center"/>
    </xf>
    <xf numFmtId="10" fontId="9" fillId="2" borderId="16" xfId="1" applyNumberFormat="1" applyFont="1" applyFill="1" applyBorder="1" applyAlignment="1" applyProtection="1">
      <alignment vertical="center"/>
    </xf>
    <xf numFmtId="0" fontId="8" fillId="2" borderId="0" xfId="1" applyFont="1" applyFill="1" applyAlignment="1" applyProtection="1">
      <alignment vertical="center"/>
    </xf>
    <xf numFmtId="0" fontId="8" fillId="2" borderId="0" xfId="0" applyFont="1" applyFill="1" applyAlignment="1" applyProtection="1">
      <alignment vertical="center"/>
    </xf>
    <xf numFmtId="3" fontId="8" fillId="4" borderId="22" xfId="3" applyNumberFormat="1" applyFont="1" applyFill="1" applyBorder="1" applyAlignment="1" applyProtection="1">
      <alignment horizontal="center" vertical="center" wrapText="1"/>
    </xf>
    <xf numFmtId="3" fontId="8" fillId="5" borderId="22" xfId="3" applyNumberFormat="1" applyFont="1" applyFill="1" applyBorder="1" applyAlignment="1" applyProtection="1">
      <alignment horizontal="center" vertical="center" wrapText="1"/>
    </xf>
    <xf numFmtId="3" fontId="8" fillId="2" borderId="0" xfId="0" applyNumberFormat="1" applyFont="1" applyFill="1" applyAlignment="1" applyProtection="1">
      <alignment vertical="center"/>
    </xf>
    <xf numFmtId="3" fontId="8" fillId="6" borderId="22" xfId="3" applyNumberFormat="1" applyFont="1" applyFill="1" applyBorder="1" applyAlignment="1" applyProtection="1">
      <alignment horizontal="center" vertical="center" wrapText="1"/>
    </xf>
    <xf numFmtId="3" fontId="8" fillId="2" borderId="0" xfId="3" applyNumberFormat="1" applyFont="1" applyFill="1" applyBorder="1" applyAlignment="1" applyProtection="1">
      <alignment vertical="center"/>
    </xf>
    <xf numFmtId="3" fontId="33" fillId="2" borderId="0" xfId="1" applyNumberFormat="1" applyFont="1" applyFill="1" applyBorder="1" applyAlignment="1" applyProtection="1">
      <alignment vertical="center"/>
    </xf>
    <xf numFmtId="10" fontId="10" fillId="2" borderId="0" xfId="1" applyNumberFormat="1" applyFont="1" applyFill="1" applyBorder="1" applyAlignment="1" applyProtection="1">
      <alignment horizontal="center" vertical="center" wrapText="1"/>
    </xf>
    <xf numFmtId="3" fontId="10" fillId="2" borderId="0" xfId="1" applyNumberFormat="1" applyFont="1" applyFill="1" applyBorder="1" applyAlignment="1" applyProtection="1">
      <alignment horizontal="center" vertical="center" wrapText="1"/>
    </xf>
    <xf numFmtId="10" fontId="11" fillId="2" borderId="0" xfId="1" applyNumberFormat="1" applyFont="1" applyFill="1" applyBorder="1" applyAlignment="1" applyProtection="1">
      <alignment horizontal="center" vertical="center" wrapText="1"/>
    </xf>
    <xf numFmtId="0" fontId="11" fillId="2" borderId="0" xfId="1" applyNumberFormat="1" applyFont="1" applyFill="1" applyBorder="1" applyAlignment="1" applyProtection="1">
      <alignment horizontal="center" vertical="center" wrapText="1"/>
    </xf>
    <xf numFmtId="0" fontId="33" fillId="2" borderId="0" xfId="0" applyFont="1" applyFill="1" applyAlignment="1" applyProtection="1">
      <alignment vertical="center"/>
    </xf>
    <xf numFmtId="0" fontId="8" fillId="2" borderId="0" xfId="1" applyFont="1" applyFill="1" applyBorder="1" applyAlignment="1" applyProtection="1">
      <alignment horizontal="center" vertical="center"/>
    </xf>
    <xf numFmtId="3" fontId="8" fillId="0" borderId="0" xfId="1" applyNumberFormat="1" applyFont="1" applyFill="1" applyBorder="1" applyAlignment="1" applyProtection="1">
      <alignment vertical="center"/>
    </xf>
    <xf numFmtId="3" fontId="9" fillId="2" borderId="0" xfId="3" applyNumberFormat="1" applyFont="1" applyFill="1" applyBorder="1" applyAlignment="1" applyProtection="1">
      <alignment vertical="center"/>
    </xf>
    <xf numFmtId="0" fontId="8" fillId="0" borderId="0" xfId="0" applyFont="1" applyAlignment="1" applyProtection="1">
      <alignment vertical="center"/>
    </xf>
    <xf numFmtId="10" fontId="8" fillId="2" borderId="0" xfId="1" applyNumberFormat="1" applyFont="1" applyFill="1" applyBorder="1" applyAlignment="1" applyProtection="1">
      <alignment horizontal="center" vertical="center"/>
      <protection locked="0"/>
    </xf>
    <xf numFmtId="3" fontId="8" fillId="2" borderId="0" xfId="1" applyNumberFormat="1" applyFont="1" applyFill="1" applyBorder="1" applyAlignment="1" applyProtection="1">
      <alignment horizontal="right" vertical="center"/>
    </xf>
    <xf numFmtId="3" fontId="8" fillId="2" borderId="0" xfId="1" applyNumberFormat="1" applyFont="1" applyFill="1" applyAlignment="1" applyProtection="1">
      <alignment vertical="center"/>
    </xf>
    <xf numFmtId="0" fontId="8" fillId="2" borderId="0" xfId="0" applyFont="1" applyFill="1" applyBorder="1" applyAlignment="1" applyProtection="1">
      <alignment horizontal="left" vertical="center"/>
      <protection locked="0"/>
    </xf>
    <xf numFmtId="0" fontId="31" fillId="2" borderId="26" xfId="1" applyFont="1" applyFill="1" applyBorder="1" applyAlignment="1" applyProtection="1">
      <alignment vertical="center"/>
    </xf>
    <xf numFmtId="0" fontId="10" fillId="2" borderId="57" xfId="0" applyFont="1" applyFill="1" applyBorder="1" applyAlignment="1" applyProtection="1">
      <alignment vertical="center"/>
      <protection locked="0"/>
    </xf>
    <xf numFmtId="0" fontId="10" fillId="2" borderId="58" xfId="0" applyFont="1" applyFill="1" applyBorder="1" applyAlignment="1" applyProtection="1">
      <alignment vertical="center"/>
      <protection locked="0"/>
    </xf>
    <xf numFmtId="10" fontId="10" fillId="0" borderId="49" xfId="1" applyNumberFormat="1" applyFont="1" applyFill="1" applyBorder="1" applyAlignment="1" applyProtection="1">
      <alignment horizontal="center" vertical="center"/>
      <protection locked="0"/>
    </xf>
    <xf numFmtId="10" fontId="10" fillId="2" borderId="49" xfId="1" applyNumberFormat="1" applyFont="1" applyFill="1" applyBorder="1" applyAlignment="1" applyProtection="1">
      <alignment horizontal="center" vertical="center"/>
      <protection locked="0"/>
    </xf>
    <xf numFmtId="3" fontId="10" fillId="2" borderId="49" xfId="1" applyNumberFormat="1" applyFont="1" applyFill="1" applyBorder="1" applyAlignment="1" applyProtection="1">
      <alignment vertical="center"/>
      <protection locked="0"/>
    </xf>
    <xf numFmtId="3" fontId="8" fillId="2" borderId="49" xfId="1" applyNumberFormat="1" applyFont="1" applyFill="1" applyBorder="1" applyAlignment="1" applyProtection="1">
      <alignment vertical="center"/>
      <protection locked="0"/>
    </xf>
    <xf numFmtId="10" fontId="10" fillId="2" borderId="0" xfId="1" applyNumberFormat="1" applyFont="1" applyFill="1" applyAlignment="1" applyProtection="1">
      <alignment vertical="center"/>
    </xf>
    <xf numFmtId="3" fontId="11" fillId="2" borderId="49" xfId="1" applyNumberFormat="1" applyFont="1" applyFill="1" applyBorder="1" applyAlignment="1" applyProtection="1">
      <alignment vertical="center"/>
    </xf>
    <xf numFmtId="10" fontId="11" fillId="2" borderId="49" xfId="1" applyNumberFormat="1" applyFont="1" applyFill="1" applyBorder="1" applyAlignment="1" applyProtection="1">
      <alignment vertical="center"/>
      <protection locked="0"/>
    </xf>
    <xf numFmtId="0" fontId="10" fillId="0" borderId="0" xfId="0" applyFont="1" applyAlignment="1" applyProtection="1">
      <alignment vertical="center"/>
    </xf>
    <xf numFmtId="0" fontId="31" fillId="2" borderId="0" xfId="1" applyFont="1" applyFill="1" applyBorder="1" applyAlignment="1" applyProtection="1">
      <alignment vertical="center"/>
    </xf>
    <xf numFmtId="0" fontId="10" fillId="2" borderId="15" xfId="0" applyFont="1" applyFill="1" applyBorder="1" applyAlignment="1" applyProtection="1">
      <alignment vertical="center"/>
      <protection locked="0"/>
    </xf>
    <xf numFmtId="0" fontId="10" fillId="2" borderId="17" xfId="0" applyFont="1" applyFill="1" applyBorder="1" applyAlignment="1" applyProtection="1">
      <alignment vertical="center"/>
      <protection locked="0"/>
    </xf>
    <xf numFmtId="3" fontId="34" fillId="2" borderId="0" xfId="0" applyNumberFormat="1" applyFont="1" applyFill="1" applyBorder="1" applyAlignment="1" applyProtection="1">
      <alignment vertical="center"/>
    </xf>
    <xf numFmtId="0" fontId="10" fillId="2" borderId="57" xfId="0" applyFont="1" applyFill="1" applyBorder="1" applyAlignment="1" applyProtection="1">
      <alignment horizontal="left" vertical="center"/>
      <protection locked="0"/>
    </xf>
    <xf numFmtId="0" fontId="10" fillId="2" borderId="58" xfId="0" applyFont="1" applyFill="1" applyBorder="1" applyAlignment="1" applyProtection="1">
      <alignment horizontal="left" vertical="center"/>
      <protection locked="0"/>
    </xf>
    <xf numFmtId="3" fontId="10" fillId="0" borderId="49" xfId="1" applyNumberFormat="1" applyFont="1" applyFill="1" applyBorder="1" applyAlignment="1" applyProtection="1">
      <alignment vertical="center"/>
      <protection locked="0"/>
    </xf>
    <xf numFmtId="0" fontId="11" fillId="2" borderId="55" xfId="0" applyFont="1" applyFill="1" applyBorder="1" applyAlignment="1" applyProtection="1">
      <alignment horizontal="left" vertical="center"/>
      <protection locked="0"/>
    </xf>
    <xf numFmtId="10" fontId="10" fillId="2" borderId="0" xfId="1" applyNumberFormat="1" applyFont="1" applyFill="1" applyBorder="1" applyAlignment="1" applyProtection="1">
      <alignment horizontal="center" vertical="center"/>
      <protection locked="0"/>
    </xf>
    <xf numFmtId="10" fontId="10" fillId="2" borderId="0" xfId="1" applyNumberFormat="1" applyFont="1" applyFill="1" applyBorder="1" applyAlignment="1" applyProtection="1">
      <alignment vertical="center"/>
    </xf>
    <xf numFmtId="3" fontId="11" fillId="2" borderId="0" xfId="1" applyNumberFormat="1" applyFont="1" applyFill="1" applyBorder="1" applyAlignment="1" applyProtection="1">
      <alignment vertical="center"/>
    </xf>
    <xf numFmtId="10" fontId="11" fillId="2" borderId="0" xfId="1" applyNumberFormat="1" applyFont="1" applyFill="1" applyBorder="1" applyAlignment="1" applyProtection="1">
      <alignment vertical="center"/>
      <protection locked="0"/>
    </xf>
    <xf numFmtId="3" fontId="8" fillId="4" borderId="22" xfId="3" applyNumberFormat="1" applyFont="1" applyFill="1" applyBorder="1" applyAlignment="1" applyProtection="1">
      <alignment vertical="center"/>
    </xf>
    <xf numFmtId="10" fontId="19" fillId="2" borderId="0" xfId="3" applyNumberFormat="1" applyFont="1" applyFill="1" applyBorder="1" applyAlignment="1" applyProtection="1">
      <alignment vertical="center"/>
    </xf>
    <xf numFmtId="3" fontId="8" fillId="5" borderId="22" xfId="3" applyNumberFormat="1" applyFont="1" applyFill="1" applyBorder="1" applyAlignment="1" applyProtection="1">
      <alignment vertical="center"/>
    </xf>
    <xf numFmtId="3" fontId="8" fillId="6" borderId="22" xfId="3" applyNumberFormat="1" applyFont="1" applyFill="1" applyBorder="1" applyAlignment="1" applyProtection="1">
      <alignment vertical="center"/>
    </xf>
    <xf numFmtId="3" fontId="9" fillId="3" borderId="22" xfId="3" applyNumberFormat="1" applyFont="1" applyFill="1" applyBorder="1" applyAlignment="1" applyProtection="1">
      <alignment horizontal="center" vertical="center"/>
    </xf>
    <xf numFmtId="10" fontId="35" fillId="3" borderId="22" xfId="1" applyNumberFormat="1" applyFont="1" applyFill="1" applyBorder="1" applyAlignment="1" applyProtection="1">
      <alignment vertical="center"/>
    </xf>
    <xf numFmtId="10" fontId="8" fillId="2" borderId="0" xfId="1" applyNumberFormat="1" applyFont="1" applyFill="1" applyBorder="1" applyAlignment="1" applyProtection="1">
      <alignment horizontal="center" vertical="center"/>
    </xf>
    <xf numFmtId="165" fontId="10" fillId="2" borderId="0" xfId="0" applyNumberFormat="1" applyFont="1" applyFill="1" applyBorder="1" applyAlignment="1" applyProtection="1">
      <alignment vertical="center"/>
    </xf>
    <xf numFmtId="165" fontId="10" fillId="2" borderId="0" xfId="1" applyNumberFormat="1" applyFont="1" applyFill="1" applyAlignment="1" applyProtection="1">
      <alignment vertical="center"/>
    </xf>
    <xf numFmtId="10" fontId="11" fillId="2" borderId="0" xfId="1" applyNumberFormat="1" applyFont="1" applyFill="1" applyBorder="1" applyAlignment="1" applyProtection="1">
      <alignment horizontal="center" vertical="center"/>
    </xf>
    <xf numFmtId="10" fontId="11" fillId="2" borderId="0" xfId="1" applyNumberFormat="1" applyFont="1" applyFill="1" applyBorder="1" applyAlignment="1" applyProtection="1">
      <alignment vertical="center"/>
    </xf>
    <xf numFmtId="3" fontId="8" fillId="2" borderId="49" xfId="1" applyNumberFormat="1" applyFont="1" applyFill="1" applyBorder="1" applyAlignment="1" applyProtection="1">
      <alignment vertical="center"/>
    </xf>
    <xf numFmtId="10" fontId="19" fillId="2" borderId="0" xfId="1" applyNumberFormat="1" applyFont="1" applyFill="1" applyBorder="1" applyAlignment="1" applyProtection="1">
      <alignment vertical="center"/>
    </xf>
    <xf numFmtId="165" fontId="19" fillId="2" borderId="0" xfId="1" applyNumberFormat="1" applyFont="1" applyFill="1" applyBorder="1" applyAlignment="1" applyProtection="1">
      <alignment vertical="center"/>
    </xf>
    <xf numFmtId="10" fontId="35" fillId="2" borderId="22" xfId="1" applyNumberFormat="1" applyFont="1" applyFill="1" applyBorder="1" applyAlignment="1" applyProtection="1">
      <alignment vertical="center"/>
    </xf>
    <xf numFmtId="3" fontId="32" fillId="2" borderId="0" xfId="0" applyNumberFormat="1" applyFont="1" applyFill="1" applyAlignment="1" applyProtection="1">
      <alignment vertical="center"/>
    </xf>
    <xf numFmtId="3" fontId="10" fillId="2" borderId="0" xfId="3" applyNumberFormat="1" applyFont="1" applyFill="1" applyAlignment="1" applyProtection="1">
      <alignment vertical="center"/>
    </xf>
    <xf numFmtId="168" fontId="8" fillId="2" borderId="0" xfId="1" applyNumberFormat="1" applyFont="1" applyFill="1" applyBorder="1" applyAlignment="1" applyProtection="1">
      <alignment horizontal="center" vertical="center"/>
    </xf>
    <xf numFmtId="3" fontId="10" fillId="2" borderId="0" xfId="0" applyNumberFormat="1" applyFont="1" applyFill="1" applyAlignment="1" applyProtection="1">
      <alignment horizontal="center" vertical="center"/>
    </xf>
    <xf numFmtId="0" fontId="10" fillId="2" borderId="19" xfId="0" applyNumberFormat="1" applyFont="1" applyFill="1" applyBorder="1" applyAlignment="1" applyProtection="1">
      <alignment horizontal="centerContinuous"/>
    </xf>
    <xf numFmtId="0" fontId="10" fillId="2" borderId="18" xfId="0" applyNumberFormat="1" applyFont="1" applyFill="1" applyBorder="1" applyAlignment="1" applyProtection="1">
      <alignment horizontal="centerContinuous"/>
    </xf>
    <xf numFmtId="0" fontId="10" fillId="2" borderId="18" xfId="0" quotePrefix="1" applyNumberFormat="1" applyFont="1" applyFill="1" applyBorder="1" applyAlignment="1" applyProtection="1">
      <alignment horizontal="centerContinuous"/>
    </xf>
    <xf numFmtId="0" fontId="8" fillId="2" borderId="18" xfId="0" applyNumberFormat="1" applyFont="1" applyFill="1" applyBorder="1" applyAlignment="1" applyProtection="1">
      <alignment horizontal="center"/>
    </xf>
    <xf numFmtId="0" fontId="10" fillId="2" borderId="18" xfId="0" applyFont="1" applyFill="1" applyBorder="1" applyAlignment="1" applyProtection="1">
      <alignment vertical="center"/>
    </xf>
    <xf numFmtId="3" fontId="10" fillId="2" borderId="18" xfId="0" applyNumberFormat="1" applyFont="1" applyFill="1" applyBorder="1" applyAlignment="1" applyProtection="1">
      <alignment vertical="center"/>
    </xf>
    <xf numFmtId="10" fontId="10" fillId="2" borderId="18" xfId="0" applyNumberFormat="1" applyFont="1" applyFill="1" applyBorder="1" applyAlignment="1" applyProtection="1">
      <alignment vertical="center"/>
    </xf>
    <xf numFmtId="0" fontId="10" fillId="2" borderId="20" xfId="0" applyFont="1" applyFill="1" applyBorder="1" applyAlignment="1" applyProtection="1">
      <alignment vertical="center"/>
    </xf>
    <xf numFmtId="0" fontId="10" fillId="2" borderId="28" xfId="0" applyNumberFormat="1" applyFont="1" applyFill="1" applyBorder="1" applyProtection="1"/>
    <xf numFmtId="0" fontId="10" fillId="2" borderId="0" xfId="0" applyNumberFormat="1" applyFont="1" applyFill="1" applyBorder="1" applyProtection="1"/>
    <xf numFmtId="10" fontId="10" fillId="2" borderId="0" xfId="0" applyNumberFormat="1" applyFont="1" applyFill="1" applyBorder="1" applyAlignment="1" applyProtection="1">
      <alignment vertical="center"/>
    </xf>
    <xf numFmtId="0" fontId="10" fillId="2" borderId="29" xfId="0" applyFont="1" applyFill="1" applyBorder="1" applyAlignment="1" applyProtection="1">
      <alignment vertical="center"/>
    </xf>
    <xf numFmtId="0" fontId="36" fillId="2" borderId="28" xfId="0" applyNumberFormat="1" applyFont="1" applyFill="1" applyBorder="1" applyAlignment="1" applyProtection="1">
      <alignment horizontal="left" indent="1"/>
    </xf>
    <xf numFmtId="0" fontId="10" fillId="2" borderId="0" xfId="0" applyNumberFormat="1" applyFont="1" applyFill="1" applyBorder="1" applyAlignment="1" applyProtection="1">
      <alignment horizontal="right"/>
      <protection locked="0"/>
    </xf>
    <xf numFmtId="169" fontId="10" fillId="2" borderId="0" xfId="4" quotePrefix="1" applyNumberFormat="1" applyFont="1" applyFill="1" applyBorder="1" applyAlignment="1" applyProtection="1">
      <protection locked="0"/>
    </xf>
    <xf numFmtId="0" fontId="10" fillId="2" borderId="0" xfId="0" applyFont="1" applyFill="1" applyBorder="1" applyAlignment="1" applyProtection="1">
      <alignment vertical="center"/>
      <protection locked="0"/>
    </xf>
    <xf numFmtId="0" fontId="10" fillId="2" borderId="0" xfId="0" applyNumberFormat="1" applyFont="1" applyFill="1" applyBorder="1" applyAlignment="1" applyProtection="1">
      <alignment horizontal="left"/>
      <protection locked="0"/>
    </xf>
    <xf numFmtId="2" fontId="10" fillId="2" borderId="0" xfId="4" quotePrefix="1" applyNumberFormat="1" applyFont="1" applyFill="1" applyBorder="1" applyAlignment="1" applyProtection="1">
      <protection locked="0"/>
    </xf>
    <xf numFmtId="2" fontId="10" fillId="2" borderId="0" xfId="4" applyNumberFormat="1" applyFont="1" applyFill="1" applyBorder="1" applyAlignment="1" applyProtection="1">
      <protection locked="0"/>
    </xf>
    <xf numFmtId="0" fontId="10" fillId="2" borderId="0" xfId="0" quotePrefix="1" applyNumberFormat="1" applyFont="1" applyFill="1" applyBorder="1" applyAlignment="1" applyProtection="1">
      <protection locked="0"/>
    </xf>
    <xf numFmtId="10" fontId="10" fillId="2" borderId="0" xfId="0" applyNumberFormat="1" applyFont="1" applyFill="1" applyBorder="1" applyAlignment="1" applyProtection="1">
      <alignment horizontal="right"/>
      <protection locked="0"/>
    </xf>
    <xf numFmtId="0" fontId="10" fillId="2" borderId="0" xfId="0" applyFont="1" applyFill="1" applyBorder="1" applyAlignment="1" applyProtection="1">
      <alignment horizontal="center" vertical="center"/>
      <protection locked="0"/>
    </xf>
    <xf numFmtId="0" fontId="10" fillId="2" borderId="28" xfId="0" applyNumberFormat="1" applyFont="1" applyFill="1" applyBorder="1" applyAlignment="1" applyProtection="1">
      <alignment horizontal="left" indent="1"/>
    </xf>
    <xf numFmtId="0" fontId="10" fillId="2" borderId="0" xfId="0" quotePrefix="1" applyNumberFormat="1" applyFont="1" applyFill="1" applyBorder="1" applyAlignment="1" applyProtection="1">
      <alignment horizontal="right"/>
      <protection locked="0"/>
    </xf>
    <xf numFmtId="4" fontId="10" fillId="2" borderId="0" xfId="0" applyNumberFormat="1" applyFont="1" applyFill="1" applyBorder="1" applyAlignment="1" applyProtection="1">
      <alignment vertical="center"/>
      <protection locked="0"/>
    </xf>
    <xf numFmtId="17" fontId="10" fillId="2" borderId="0" xfId="0" applyNumberFormat="1" applyFont="1" applyFill="1" applyBorder="1" applyAlignment="1" applyProtection="1">
      <alignment horizontal="left"/>
      <protection locked="0"/>
    </xf>
    <xf numFmtId="17" fontId="10" fillId="2" borderId="0" xfId="0" applyNumberFormat="1" applyFont="1" applyFill="1" applyBorder="1" applyAlignment="1" applyProtection="1">
      <alignment horizontal="right"/>
      <protection locked="0"/>
    </xf>
    <xf numFmtId="3" fontId="10" fillId="2" borderId="0" xfId="0" applyNumberFormat="1" applyFont="1" applyFill="1" applyBorder="1" applyAlignment="1" applyProtection="1">
      <alignment vertical="center"/>
      <protection locked="0"/>
    </xf>
    <xf numFmtId="15" fontId="10" fillId="2" borderId="0" xfId="0" applyNumberFormat="1" applyFont="1" applyFill="1" applyBorder="1" applyAlignment="1" applyProtection="1">
      <alignment horizontal="left"/>
      <protection locked="0"/>
    </xf>
    <xf numFmtId="0" fontId="10" fillId="2" borderId="0" xfId="0" applyNumberFormat="1" applyFont="1" applyFill="1" applyBorder="1" applyAlignment="1" applyProtection="1">
      <alignment horizontal="left"/>
    </xf>
    <xf numFmtId="0" fontId="10" fillId="2" borderId="0" xfId="0" applyNumberFormat="1" applyFont="1" applyFill="1" applyBorder="1" applyAlignment="1" applyProtection="1">
      <alignment horizontal="center"/>
    </xf>
    <xf numFmtId="0" fontId="10" fillId="2" borderId="0" xfId="0" applyNumberFormat="1" applyFont="1" applyFill="1" applyBorder="1" applyProtection="1">
      <protection locked="0"/>
    </xf>
    <xf numFmtId="0" fontId="10" fillId="2" borderId="0" xfId="0" applyNumberFormat="1" applyFont="1" applyFill="1" applyBorder="1" applyAlignment="1" applyProtection="1">
      <alignment horizontal="center"/>
      <protection locked="0"/>
    </xf>
    <xf numFmtId="10" fontId="10" fillId="2" borderId="0" xfId="0" applyNumberFormat="1" applyFont="1" applyFill="1" applyBorder="1" applyAlignment="1" applyProtection="1">
      <alignment vertical="center"/>
      <protection locked="0"/>
    </xf>
    <xf numFmtId="170" fontId="10" fillId="2" borderId="0" xfId="4" applyNumberFormat="1" applyFont="1" applyFill="1" applyBorder="1" applyAlignment="1" applyProtection="1">
      <alignment horizontal="right"/>
    </xf>
    <xf numFmtId="9" fontId="10" fillId="2" borderId="0" xfId="0" applyNumberFormat="1" applyFont="1" applyFill="1" applyBorder="1" applyAlignment="1" applyProtection="1">
      <alignment horizontal="right" vertical="center"/>
      <protection locked="0"/>
    </xf>
    <xf numFmtId="10" fontId="10" fillId="2" borderId="0" xfId="2" applyNumberFormat="1" applyFont="1" applyFill="1" applyBorder="1" applyAlignment="1" applyProtection="1">
      <alignment horizontal="left"/>
      <protection locked="0"/>
    </xf>
    <xf numFmtId="0" fontId="10" fillId="2" borderId="0" xfId="0" applyNumberFormat="1" applyFont="1" applyFill="1" applyBorder="1" applyAlignment="1" applyProtection="1">
      <alignment horizontal="right"/>
    </xf>
    <xf numFmtId="170" fontId="10" fillId="2" borderId="0" xfId="4" applyNumberFormat="1" applyFont="1" applyFill="1" applyBorder="1" applyAlignment="1" applyProtection="1">
      <alignment horizontal="left"/>
      <protection locked="0"/>
    </xf>
    <xf numFmtId="169" fontId="10" fillId="2" borderId="0" xfId="4" applyNumberFormat="1" applyFont="1" applyFill="1" applyBorder="1" applyAlignment="1" applyProtection="1"/>
    <xf numFmtId="0" fontId="10" fillId="2" borderId="0" xfId="0" quotePrefix="1" applyFont="1" applyFill="1" applyBorder="1" applyAlignment="1" applyProtection="1">
      <alignment horizontal="right" vertical="center"/>
      <protection locked="0"/>
    </xf>
    <xf numFmtId="0" fontId="10" fillId="2" borderId="0" xfId="4" applyNumberFormat="1" applyFont="1" applyFill="1" applyBorder="1" applyAlignment="1" applyProtection="1">
      <alignment horizontal="left"/>
      <protection locked="0"/>
    </xf>
    <xf numFmtId="0" fontId="10" fillId="2" borderId="0" xfId="4" applyNumberFormat="1" applyFont="1" applyFill="1" applyBorder="1" applyAlignment="1" applyProtection="1">
      <alignment horizontal="left"/>
    </xf>
    <xf numFmtId="0" fontId="10" fillId="2" borderId="0" xfId="0" applyFont="1" applyFill="1" applyBorder="1" applyAlignment="1" applyProtection="1">
      <alignment horizontal="right"/>
      <protection locked="0"/>
    </xf>
    <xf numFmtId="15" fontId="10" fillId="2" borderId="0" xfId="5" applyNumberFormat="1" applyFont="1" applyFill="1" applyBorder="1" applyAlignment="1" applyProtection="1">
      <alignment horizontal="left"/>
      <protection locked="0"/>
    </xf>
    <xf numFmtId="0" fontId="36" fillId="2" borderId="28" xfId="0" applyNumberFormat="1" applyFont="1" applyFill="1" applyBorder="1" applyAlignment="1" applyProtection="1">
      <alignment horizontal="left" vertical="center" indent="1"/>
    </xf>
    <xf numFmtId="0" fontId="10" fillId="2" borderId="0" xfId="4" applyNumberFormat="1" applyFont="1" applyFill="1" applyBorder="1" applyAlignment="1" applyProtection="1">
      <alignment horizontal="right"/>
    </xf>
    <xf numFmtId="170" fontId="10" fillId="2" borderId="0" xfId="4" quotePrefix="1" applyNumberFormat="1" applyFont="1" applyFill="1" applyBorder="1" applyAlignment="1" applyProtection="1">
      <protection locked="0"/>
    </xf>
    <xf numFmtId="0" fontId="10" fillId="2" borderId="0" xfId="0" applyNumberFormat="1" applyFont="1" applyFill="1" applyBorder="1" applyAlignment="1" applyProtection="1">
      <protection locked="0"/>
    </xf>
    <xf numFmtId="169" fontId="10" fillId="2" borderId="0" xfId="0" applyNumberFormat="1" applyFont="1" applyFill="1" applyBorder="1" applyAlignment="1" applyProtection="1">
      <protection locked="0"/>
    </xf>
    <xf numFmtId="3" fontId="10" fillId="2" borderId="0" xfId="0" applyNumberFormat="1" applyFont="1" applyFill="1" applyBorder="1" applyAlignment="1" applyProtection="1">
      <alignment horizontal="right" vertical="center"/>
      <protection locked="0"/>
    </xf>
    <xf numFmtId="0" fontId="10" fillId="2" borderId="23" xfId="0" applyNumberFormat="1" applyFont="1" applyFill="1" applyBorder="1" applyAlignment="1" applyProtection="1">
      <alignment horizontal="left" indent="1"/>
    </xf>
    <xf numFmtId="0" fontId="10" fillId="2" borderId="55" xfId="0" applyNumberFormat="1" applyFont="1" applyFill="1" applyBorder="1" applyAlignment="1" applyProtection="1">
      <alignment horizontal="center"/>
    </xf>
    <xf numFmtId="0" fontId="10" fillId="2" borderId="55" xfId="0" applyNumberFormat="1" applyFont="1" applyFill="1" applyBorder="1" applyProtection="1"/>
    <xf numFmtId="0" fontId="10" fillId="2" borderId="55" xfId="0" applyNumberFormat="1" applyFont="1" applyFill="1" applyBorder="1" applyProtection="1">
      <protection locked="0"/>
    </xf>
    <xf numFmtId="0" fontId="10" fillId="2" borderId="55" xfId="0" applyFont="1" applyFill="1" applyBorder="1" applyAlignment="1" applyProtection="1">
      <alignment vertical="center"/>
      <protection locked="0"/>
    </xf>
    <xf numFmtId="3" fontId="10" fillId="2" borderId="55" xfId="0" applyNumberFormat="1" applyFont="1" applyFill="1" applyBorder="1" applyAlignment="1" applyProtection="1">
      <alignment vertical="center"/>
      <protection locked="0"/>
    </xf>
    <xf numFmtId="10" fontId="10" fillId="2" borderId="55" xfId="0" applyNumberFormat="1" applyFont="1" applyFill="1" applyBorder="1" applyAlignment="1" applyProtection="1">
      <alignment vertical="center"/>
      <protection locked="0"/>
    </xf>
    <xf numFmtId="0" fontId="10" fillId="2" borderId="55" xfId="0" applyFont="1" applyFill="1" applyBorder="1" applyAlignment="1" applyProtection="1">
      <alignment horizontal="center" vertical="center"/>
      <protection locked="0"/>
    </xf>
    <xf numFmtId="0" fontId="10" fillId="2" borderId="24" xfId="0" applyFont="1" applyFill="1" applyBorder="1" applyAlignment="1" applyProtection="1">
      <alignment vertical="center"/>
    </xf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4" xfId="0" applyBorder="1"/>
    <xf numFmtId="0" fontId="40" fillId="2" borderId="0" xfId="0" applyFont="1" applyFill="1" applyAlignment="1" applyProtection="1">
      <alignment vertical="center"/>
      <protection locked="0"/>
    </xf>
    <xf numFmtId="3" fontId="1" fillId="2" borderId="0" xfId="0" applyNumberFormat="1" applyFont="1" applyFill="1" applyAlignment="1" applyProtection="1">
      <alignment vertical="center"/>
      <protection locked="0"/>
    </xf>
    <xf numFmtId="0" fontId="40" fillId="2" borderId="0" xfId="0" applyFont="1" applyFill="1"/>
    <xf numFmtId="0" fontId="1" fillId="2" borderId="0" xfId="0" applyFont="1" applyFill="1"/>
    <xf numFmtId="0" fontId="19" fillId="3" borderId="22" xfId="0" applyFont="1" applyFill="1" applyBorder="1" applyAlignment="1">
      <alignment horizontal="center"/>
    </xf>
    <xf numFmtId="0" fontId="19" fillId="2" borderId="30" xfId="0" applyFont="1" applyFill="1" applyBorder="1" applyAlignment="1">
      <alignment horizontal="center"/>
    </xf>
    <xf numFmtId="0" fontId="40" fillId="0" borderId="0" xfId="0" applyFont="1"/>
    <xf numFmtId="0" fontId="40" fillId="2" borderId="0" xfId="0" applyFont="1" applyFill="1" applyAlignment="1"/>
    <xf numFmtId="0" fontId="1" fillId="2" borderId="0" xfId="0" applyFont="1" applyFill="1" applyBorder="1" applyAlignment="1"/>
    <xf numFmtId="0" fontId="19" fillId="2" borderId="0" xfId="0" applyFont="1" applyFill="1" applyBorder="1" applyAlignment="1">
      <alignment horizontal="right" vertical="center"/>
    </xf>
    <xf numFmtId="0" fontId="1" fillId="2" borderId="0" xfId="0" applyFont="1" applyFill="1" applyAlignment="1"/>
    <xf numFmtId="0" fontId="19" fillId="2" borderId="22" xfId="0" applyFont="1" applyFill="1" applyBorder="1" applyAlignment="1">
      <alignment horizontal="center" vertical="center"/>
    </xf>
    <xf numFmtId="0" fontId="19" fillId="2" borderId="30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/>
    </xf>
    <xf numFmtId="0" fontId="40" fillId="2" borderId="0" xfId="0" applyFont="1" applyFill="1" applyAlignment="1">
      <alignment wrapText="1"/>
    </xf>
    <xf numFmtId="0" fontId="1" fillId="2" borderId="0" xfId="0" applyFont="1" applyFill="1" applyAlignment="1">
      <alignment wrapText="1"/>
    </xf>
    <xf numFmtId="0" fontId="19" fillId="2" borderId="22" xfId="0" applyFont="1" applyFill="1" applyBorder="1" applyAlignment="1">
      <alignment horizontal="center" vertical="center" wrapText="1"/>
    </xf>
    <xf numFmtId="0" fontId="19" fillId="2" borderId="30" xfId="0" applyFont="1" applyFill="1" applyBorder="1" applyAlignment="1">
      <alignment horizontal="center" vertical="center" wrapText="1"/>
    </xf>
    <xf numFmtId="4" fontId="1" fillId="2" borderId="22" xfId="0" applyNumberFormat="1" applyFont="1" applyFill="1" applyBorder="1" applyAlignment="1">
      <alignment horizontal="center" vertical="center" wrapText="1"/>
    </xf>
    <xf numFmtId="3" fontId="1" fillId="2" borderId="22" xfId="0" applyNumberFormat="1" applyFont="1" applyFill="1" applyBorder="1" applyAlignment="1">
      <alignment horizontal="center" vertical="center" wrapText="1"/>
    </xf>
    <xf numFmtId="0" fontId="19" fillId="2" borderId="0" xfId="0" applyFont="1" applyFill="1" applyAlignment="1">
      <alignment horizontal="right" vertical="center"/>
    </xf>
    <xf numFmtId="17" fontId="1" fillId="2" borderId="22" xfId="0" applyNumberFormat="1" applyFont="1" applyFill="1" applyBorder="1" applyAlignment="1">
      <alignment horizontal="center" vertical="center"/>
    </xf>
    <xf numFmtId="3" fontId="19" fillId="3" borderId="22" xfId="0" applyNumberFormat="1" applyFont="1" applyFill="1" applyBorder="1" applyAlignment="1">
      <alignment horizontal="center" vertical="center" wrapText="1"/>
    </xf>
    <xf numFmtId="3" fontId="19" fillId="2" borderId="30" xfId="0" applyNumberFormat="1" applyFont="1" applyFill="1" applyBorder="1" applyAlignment="1">
      <alignment horizontal="center" vertical="center" wrapText="1"/>
    </xf>
    <xf numFmtId="3" fontId="1" fillId="3" borderId="22" xfId="0" applyNumberFormat="1" applyFont="1" applyFill="1" applyBorder="1" applyAlignment="1">
      <alignment horizontal="center" vertical="center" wrapText="1"/>
    </xf>
    <xf numFmtId="0" fontId="40" fillId="2" borderId="0" xfId="0" applyFont="1" applyFill="1" applyBorder="1"/>
    <xf numFmtId="0" fontId="19" fillId="2" borderId="0" xfId="1" applyFont="1" applyFill="1" applyBorder="1" applyAlignment="1" applyProtection="1">
      <alignment vertical="center"/>
    </xf>
    <xf numFmtId="0" fontId="1" fillId="2" borderId="51" xfId="0" applyFont="1" applyFill="1" applyBorder="1" applyAlignment="1" applyProtection="1">
      <alignment horizontal="left" vertical="center" indent="1"/>
      <protection locked="0"/>
    </xf>
    <xf numFmtId="0" fontId="1" fillId="2" borderId="52" xfId="0" applyFont="1" applyFill="1" applyBorder="1" applyAlignment="1" applyProtection="1">
      <alignment vertical="center"/>
      <protection locked="0"/>
    </xf>
    <xf numFmtId="0" fontId="41" fillId="2" borderId="0" xfId="0" applyFont="1" applyFill="1"/>
    <xf numFmtId="3" fontId="19" fillId="2" borderId="15" xfId="1" applyNumberFormat="1" applyFont="1" applyFill="1" applyBorder="1" applyAlignment="1" applyProtection="1">
      <alignment horizontal="left" vertical="center" indent="1"/>
    </xf>
    <xf numFmtId="3" fontId="19" fillId="2" borderId="17" xfId="1" applyNumberFormat="1" applyFont="1" applyFill="1" applyBorder="1" applyAlignment="1" applyProtection="1">
      <alignment vertical="center"/>
    </xf>
    <xf numFmtId="0" fontId="19" fillId="2" borderId="0" xfId="0" applyFont="1" applyFill="1"/>
    <xf numFmtId="3" fontId="19" fillId="2" borderId="22" xfId="0" applyNumberFormat="1" applyFont="1" applyFill="1" applyBorder="1" applyAlignment="1">
      <alignment horizontal="center" vertical="center" wrapText="1"/>
    </xf>
    <xf numFmtId="0" fontId="1" fillId="2" borderId="0" xfId="1" applyFont="1" applyFill="1" applyBorder="1" applyAlignment="1" applyProtection="1">
      <alignment horizontal="left" vertical="center" indent="1"/>
    </xf>
    <xf numFmtId="0" fontId="19" fillId="2" borderId="0" xfId="1" applyFont="1" applyFill="1" applyBorder="1" applyAlignment="1" applyProtection="1">
      <alignment horizontal="left" vertical="center" indent="1"/>
    </xf>
    <xf numFmtId="1" fontId="1" fillId="2" borderId="22" xfId="0" applyNumberFormat="1" applyFont="1" applyFill="1" applyBorder="1" applyAlignment="1">
      <alignment horizontal="center" vertical="center" wrapText="1"/>
    </xf>
    <xf numFmtId="0" fontId="40" fillId="2" borderId="0" xfId="0" applyFont="1" applyFill="1" applyBorder="1" applyAlignment="1">
      <alignment horizontal="center" vertical="center" wrapText="1"/>
    </xf>
    <xf numFmtId="0" fontId="1" fillId="2" borderId="0" xfId="1" applyFont="1" applyFill="1" applyBorder="1" applyAlignment="1" applyProtection="1">
      <alignment horizontal="center" vertical="center" wrapText="1"/>
    </xf>
    <xf numFmtId="0" fontId="19" fillId="2" borderId="0" xfId="0" applyFont="1" applyFill="1" applyBorder="1" applyAlignment="1">
      <alignment horizontal="center" vertical="center" wrapText="1"/>
    </xf>
    <xf numFmtId="3" fontId="19" fillId="3" borderId="15" xfId="1" applyNumberFormat="1" applyFont="1" applyFill="1" applyBorder="1" applyAlignment="1" applyProtection="1">
      <alignment horizontal="left" vertical="center" indent="1"/>
    </xf>
    <xf numFmtId="3" fontId="19" fillId="3" borderId="17" xfId="1" applyNumberFormat="1" applyFont="1" applyFill="1" applyBorder="1" applyAlignment="1" applyProtection="1">
      <alignment vertical="center"/>
    </xf>
    <xf numFmtId="9" fontId="19" fillId="2" borderId="22" xfId="0" applyNumberFormat="1" applyFont="1" applyFill="1" applyBorder="1" applyAlignment="1">
      <alignment horizontal="center" vertical="center" wrapText="1"/>
    </xf>
    <xf numFmtId="10" fontId="19" fillId="2" borderId="30" xfId="0" applyNumberFormat="1" applyFont="1" applyFill="1" applyBorder="1" applyAlignment="1">
      <alignment horizontal="center" vertical="center" wrapText="1"/>
    </xf>
    <xf numFmtId="10" fontId="19" fillId="2" borderId="22" xfId="0" applyNumberFormat="1" applyFont="1" applyFill="1" applyBorder="1" applyAlignment="1">
      <alignment horizontal="center" vertical="center" wrapText="1"/>
    </xf>
    <xf numFmtId="0" fontId="18" fillId="0" borderId="9" xfId="0" applyFont="1" applyBorder="1" applyAlignment="1">
      <alignment horizontal="right" vertical="center"/>
    </xf>
    <xf numFmtId="0" fontId="18" fillId="0" borderId="14" xfId="0" applyFont="1" applyBorder="1" applyAlignment="1">
      <alignment horizontal="right" vertical="center"/>
    </xf>
    <xf numFmtId="165" fontId="1" fillId="2" borderId="3" xfId="0" applyNumberFormat="1" applyFont="1" applyFill="1" applyBorder="1" applyAlignment="1" applyProtection="1">
      <alignment horizontal="left" vertical="center"/>
      <protection locked="0"/>
    </xf>
    <xf numFmtId="165" fontId="1" fillId="2" borderId="8" xfId="0" applyNumberFormat="1" applyFont="1" applyFill="1" applyBorder="1" applyAlignment="1" applyProtection="1">
      <alignment horizontal="left" vertical="center"/>
      <protection locked="0"/>
    </xf>
    <xf numFmtId="165" fontId="1" fillId="2" borderId="12" xfId="0" applyNumberFormat="1" applyFont="1" applyFill="1" applyBorder="1" applyAlignment="1" applyProtection="1">
      <alignment horizontal="left" vertical="center"/>
      <protection locked="0"/>
    </xf>
    <xf numFmtId="0" fontId="0" fillId="0" borderId="2" xfId="0" applyBorder="1"/>
    <xf numFmtId="0" fontId="0" fillId="0" borderId="7" xfId="0" applyBorder="1"/>
    <xf numFmtId="0" fontId="0" fillId="0" borderId="13" xfId="0" applyBorder="1"/>
    <xf numFmtId="14" fontId="19" fillId="2" borderId="7" xfId="0" applyNumberFormat="1" applyFont="1" applyFill="1" applyBorder="1" applyAlignment="1" applyProtection="1">
      <alignment horizontal="right" vertical="center" indent="1"/>
      <protection locked="0"/>
    </xf>
    <xf numFmtId="14" fontId="42" fillId="0" borderId="7" xfId="0" applyNumberFormat="1" applyFont="1" applyBorder="1" applyAlignment="1">
      <alignment horizontal="right" vertical="center"/>
    </xf>
    <xf numFmtId="0" fontId="42" fillId="0" borderId="3" xfId="0" applyFont="1" applyBorder="1"/>
    <xf numFmtId="0" fontId="42" fillId="0" borderId="8" xfId="0" applyFont="1" applyBorder="1"/>
    <xf numFmtId="0" fontId="42" fillId="0" borderId="12" xfId="0" applyFont="1" applyBorder="1"/>
    <xf numFmtId="0" fontId="42" fillId="0" borderId="5" xfId="0" applyFont="1" applyBorder="1"/>
    <xf numFmtId="0" fontId="42" fillId="0" borderId="9" xfId="0" applyFont="1" applyBorder="1"/>
    <xf numFmtId="0" fontId="42" fillId="0" borderId="14" xfId="0" applyFont="1" applyBorder="1"/>
    <xf numFmtId="0" fontId="42" fillId="0" borderId="0" xfId="0" applyFont="1" applyBorder="1" applyAlignment="1">
      <alignment horizontal="right" vertical="center"/>
    </xf>
    <xf numFmtId="0" fontId="42" fillId="0" borderId="11" xfId="0" applyFont="1" applyBorder="1" applyAlignment="1">
      <alignment horizontal="right" vertical="center"/>
    </xf>
    <xf numFmtId="17" fontId="1" fillId="2" borderId="4" xfId="0" applyNumberFormat="1" applyFont="1" applyFill="1" applyBorder="1" applyAlignment="1" applyProtection="1">
      <alignment horizontal="right" vertical="center"/>
      <protection locked="0"/>
    </xf>
    <xf numFmtId="3" fontId="40" fillId="2" borderId="0" xfId="0" applyNumberFormat="1" applyFont="1" applyFill="1" applyAlignment="1" applyProtection="1">
      <alignment horizontal="center" vertical="center"/>
      <protection locked="0"/>
    </xf>
    <xf numFmtId="3" fontId="40" fillId="2" borderId="0" xfId="0" applyNumberFormat="1" applyFont="1" applyFill="1" applyAlignment="1" applyProtection="1">
      <alignment vertical="center"/>
      <protection locked="0"/>
    </xf>
    <xf numFmtId="10" fontId="40" fillId="2" borderId="0" xfId="0" applyNumberFormat="1" applyFont="1" applyFill="1" applyAlignment="1" applyProtection="1">
      <alignment vertical="center"/>
      <protection locked="0"/>
    </xf>
    <xf numFmtId="0" fontId="40" fillId="2" borderId="0" xfId="0" applyFont="1" applyFill="1" applyAlignment="1" applyProtection="1">
      <alignment horizontal="center" vertical="center"/>
      <protection locked="0"/>
    </xf>
    <xf numFmtId="3" fontId="44" fillId="2" borderId="0" xfId="1" applyNumberFormat="1" applyFont="1" applyFill="1" applyBorder="1" applyAlignment="1" applyProtection="1">
      <alignment horizontal="center" vertical="center"/>
    </xf>
    <xf numFmtId="0" fontId="40" fillId="2" borderId="55" xfId="0" applyFont="1" applyFill="1" applyBorder="1" applyAlignment="1" applyProtection="1">
      <alignment vertical="center"/>
      <protection locked="0"/>
    </xf>
    <xf numFmtId="3" fontId="40" fillId="2" borderId="55" xfId="0" applyNumberFormat="1" applyFont="1" applyFill="1" applyBorder="1" applyAlignment="1" applyProtection="1">
      <alignment horizontal="center" vertical="center"/>
      <protection locked="0"/>
    </xf>
    <xf numFmtId="0" fontId="45" fillId="2" borderId="0" xfId="0" applyFont="1" applyFill="1" applyAlignment="1" applyProtection="1">
      <alignment vertical="center"/>
      <protection locked="0"/>
    </xf>
    <xf numFmtId="0" fontId="45" fillId="2" borderId="29" xfId="0" applyFont="1" applyFill="1" applyBorder="1" applyAlignment="1" applyProtection="1">
      <alignment vertical="center"/>
      <protection locked="0"/>
    </xf>
    <xf numFmtId="3" fontId="46" fillId="3" borderId="22" xfId="0" applyNumberFormat="1" applyFont="1" applyFill="1" applyBorder="1" applyAlignment="1" applyProtection="1">
      <alignment horizontal="center" vertical="center" wrapText="1"/>
      <protection locked="0"/>
    </xf>
    <xf numFmtId="0" fontId="41" fillId="2" borderId="0" xfId="0" applyFont="1" applyFill="1" applyBorder="1" applyAlignment="1" applyProtection="1">
      <alignment horizontal="center" vertical="center"/>
      <protection locked="0"/>
    </xf>
    <xf numFmtId="3" fontId="41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41" fillId="2" borderId="0" xfId="0" applyFont="1" applyFill="1" applyBorder="1" applyAlignment="1" applyProtection="1">
      <alignment horizontal="center" vertical="center" wrapText="1"/>
      <protection locked="0"/>
    </xf>
    <xf numFmtId="0" fontId="45" fillId="2" borderId="19" xfId="0" applyFont="1" applyFill="1" applyBorder="1" applyAlignment="1" applyProtection="1">
      <alignment horizontal="left" vertical="center" indent="1"/>
      <protection locked="0"/>
    </xf>
    <xf numFmtId="0" fontId="45" fillId="2" borderId="20" xfId="0" applyFont="1" applyFill="1" applyBorder="1" applyAlignment="1" applyProtection="1">
      <alignment vertical="center"/>
      <protection locked="0"/>
    </xf>
    <xf numFmtId="3" fontId="45" fillId="2" borderId="17" xfId="1" applyNumberFormat="1" applyFont="1" applyFill="1" applyBorder="1" applyAlignment="1" applyProtection="1">
      <alignment vertical="center"/>
    </xf>
    <xf numFmtId="0" fontId="46" fillId="2" borderId="0" xfId="0" applyFont="1" applyFill="1" applyAlignment="1" applyProtection="1">
      <alignment vertical="center"/>
      <protection locked="0"/>
    </xf>
    <xf numFmtId="3" fontId="47" fillId="2" borderId="15" xfId="1" applyNumberFormat="1" applyFont="1" applyFill="1" applyBorder="1" applyAlignment="1" applyProtection="1">
      <alignment horizontal="left" vertical="center" indent="1"/>
    </xf>
    <xf numFmtId="3" fontId="46" fillId="2" borderId="16" xfId="1" applyNumberFormat="1" applyFont="1" applyFill="1" applyBorder="1" applyAlignment="1" applyProtection="1">
      <alignment vertical="center"/>
    </xf>
    <xf numFmtId="3" fontId="46" fillId="2" borderId="22" xfId="1" applyNumberFormat="1" applyFont="1" applyFill="1" applyBorder="1" applyAlignment="1" applyProtection="1">
      <alignment vertical="center"/>
    </xf>
    <xf numFmtId="0" fontId="45" fillId="2" borderId="0" xfId="0" applyFont="1" applyFill="1" applyBorder="1" applyAlignment="1" applyProtection="1">
      <alignment vertical="center"/>
      <protection locked="0"/>
    </xf>
    <xf numFmtId="0" fontId="45" fillId="2" borderId="0" xfId="0" applyFont="1" applyFill="1" applyBorder="1" applyAlignment="1" applyProtection="1">
      <alignment horizontal="left" vertical="center" indent="1"/>
      <protection locked="0"/>
    </xf>
    <xf numFmtId="3" fontId="45" fillId="2" borderId="0" xfId="1" applyNumberFormat="1" applyFont="1" applyFill="1" applyBorder="1" applyAlignment="1" applyProtection="1">
      <alignment vertical="center"/>
    </xf>
    <xf numFmtId="3" fontId="45" fillId="2" borderId="0" xfId="1" applyNumberFormat="1" applyFont="1" applyFill="1" applyBorder="1" applyAlignment="1" applyProtection="1">
      <alignment horizontal="center" vertical="center" wrapText="1"/>
    </xf>
    <xf numFmtId="0" fontId="48" fillId="2" borderId="0" xfId="0" applyFont="1" applyFill="1" applyBorder="1" applyAlignment="1" applyProtection="1">
      <alignment vertical="center"/>
      <protection locked="0"/>
    </xf>
    <xf numFmtId="0" fontId="48" fillId="2" borderId="0" xfId="0" applyFont="1" applyFill="1" applyBorder="1" applyAlignment="1" applyProtection="1">
      <alignment horizontal="left" vertical="center" indent="1"/>
      <protection locked="0"/>
    </xf>
    <xf numFmtId="3" fontId="48" fillId="2" borderId="0" xfId="1" applyNumberFormat="1" applyFont="1" applyFill="1" applyBorder="1" applyAlignment="1" applyProtection="1">
      <alignment vertical="center"/>
    </xf>
    <xf numFmtId="3" fontId="48" fillId="2" borderId="0" xfId="1" applyNumberFormat="1" applyFont="1" applyFill="1" applyBorder="1" applyAlignment="1" applyProtection="1">
      <alignment horizontal="center" vertical="center" wrapText="1"/>
    </xf>
    <xf numFmtId="0" fontId="47" fillId="2" borderId="0" xfId="0" applyFont="1" applyFill="1" applyAlignment="1" applyProtection="1">
      <alignment vertical="center"/>
      <protection locked="0"/>
    </xf>
    <xf numFmtId="3" fontId="47" fillId="2" borderId="16" xfId="1" applyNumberFormat="1" applyFont="1" applyFill="1" applyBorder="1" applyAlignment="1" applyProtection="1">
      <alignment vertical="center"/>
    </xf>
    <xf numFmtId="3" fontId="47" fillId="2" borderId="22" xfId="1" applyNumberFormat="1" applyFont="1" applyFill="1" applyBorder="1" applyAlignment="1" applyProtection="1">
      <alignment vertical="center"/>
    </xf>
    <xf numFmtId="0" fontId="48" fillId="2" borderId="0" xfId="0" applyFont="1" applyFill="1" applyAlignment="1" applyProtection="1">
      <alignment vertical="center"/>
      <protection locked="0"/>
    </xf>
    <xf numFmtId="0" fontId="48" fillId="2" borderId="15" xfId="0" applyFont="1" applyFill="1" applyBorder="1" applyAlignment="1" applyProtection="1">
      <alignment horizontal="left" vertical="center" indent="1"/>
      <protection locked="0"/>
    </xf>
    <xf numFmtId="0" fontId="48" fillId="2" borderId="16" xfId="0" applyFont="1" applyFill="1" applyBorder="1" applyAlignment="1" applyProtection="1">
      <alignment vertical="center"/>
      <protection locked="0"/>
    </xf>
    <xf numFmtId="3" fontId="48" fillId="2" borderId="22" xfId="1" applyNumberFormat="1" applyFont="1" applyFill="1" applyBorder="1" applyAlignment="1" applyProtection="1">
      <alignment vertical="center"/>
    </xf>
    <xf numFmtId="3" fontId="47" fillId="2" borderId="0" xfId="1" applyNumberFormat="1" applyFont="1" applyFill="1" applyBorder="1" applyAlignment="1" applyProtection="1">
      <alignment horizontal="left" vertical="center" indent="1"/>
    </xf>
    <xf numFmtId="3" fontId="45" fillId="2" borderId="15" xfId="1" applyNumberFormat="1" applyFont="1" applyFill="1" applyBorder="1" applyAlignment="1" applyProtection="1">
      <alignment horizontal="center" vertical="center" wrapText="1"/>
    </xf>
    <xf numFmtId="3" fontId="45" fillId="2" borderId="16" xfId="1" applyNumberFormat="1" applyFont="1" applyFill="1" applyBorder="1" applyAlignment="1" applyProtection="1">
      <alignment horizontal="center" vertical="center" wrapText="1"/>
    </xf>
    <xf numFmtId="3" fontId="45" fillId="2" borderId="17" xfId="1" applyNumberFormat="1" applyFont="1" applyFill="1" applyBorder="1" applyAlignment="1" applyProtection="1">
      <alignment horizontal="center" vertical="center" wrapText="1"/>
    </xf>
    <xf numFmtId="3" fontId="46" fillId="2" borderId="0" xfId="1" applyNumberFormat="1" applyFont="1" applyFill="1" applyBorder="1" applyAlignment="1" applyProtection="1">
      <alignment vertical="center"/>
    </xf>
    <xf numFmtId="0" fontId="49" fillId="8" borderId="39" xfId="6" applyFont="1" applyFill="1" applyBorder="1" applyAlignment="1">
      <alignment vertical="center"/>
    </xf>
    <xf numFmtId="0" fontId="49" fillId="8" borderId="40" xfId="6" applyFont="1" applyFill="1" applyBorder="1" applyAlignment="1">
      <alignment vertical="center"/>
    </xf>
    <xf numFmtId="0" fontId="50" fillId="8" borderId="40" xfId="6" applyFont="1" applyFill="1" applyBorder="1" applyAlignment="1">
      <alignment horizontal="center" vertical="center"/>
    </xf>
    <xf numFmtId="3" fontId="50" fillId="8" borderId="40" xfId="6" applyNumberFormat="1" applyFont="1" applyFill="1" applyBorder="1" applyAlignment="1">
      <alignment vertical="center"/>
    </xf>
    <xf numFmtId="3" fontId="50" fillId="8" borderId="65" xfId="6" applyNumberFormat="1" applyFont="1" applyFill="1" applyBorder="1" applyAlignment="1">
      <alignment vertical="center"/>
    </xf>
    <xf numFmtId="3" fontId="50" fillId="8" borderId="44" xfId="6" applyNumberFormat="1" applyFont="1" applyFill="1" applyBorder="1" applyAlignment="1">
      <alignment vertical="center"/>
    </xf>
    <xf numFmtId="3" fontId="51" fillId="8" borderId="41" xfId="6" applyNumberFormat="1" applyFont="1" applyFill="1" applyBorder="1" applyAlignment="1">
      <alignment vertical="center"/>
    </xf>
    <xf numFmtId="4" fontId="51" fillId="0" borderId="0" xfId="6" applyNumberFormat="1" applyFont="1" applyAlignment="1">
      <alignment vertical="center"/>
    </xf>
    <xf numFmtId="0" fontId="51" fillId="0" borderId="0" xfId="6" applyFont="1" applyAlignment="1">
      <alignment vertical="center"/>
    </xf>
    <xf numFmtId="0" fontId="50" fillId="8" borderId="42" xfId="6" applyFont="1" applyFill="1" applyBorder="1" applyAlignment="1">
      <alignment vertical="center"/>
    </xf>
    <xf numFmtId="0" fontId="50" fillId="8" borderId="0" xfId="6" applyFont="1" applyFill="1" applyBorder="1" applyAlignment="1">
      <alignment vertical="center"/>
    </xf>
    <xf numFmtId="0" fontId="50" fillId="8" borderId="0" xfId="6" applyFont="1" applyFill="1" applyBorder="1" applyAlignment="1">
      <alignment horizontal="center" vertical="center"/>
    </xf>
    <xf numFmtId="3" fontId="50" fillId="8" borderId="0" xfId="6" applyNumberFormat="1" applyFont="1" applyFill="1" applyBorder="1" applyAlignment="1">
      <alignment vertical="center"/>
    </xf>
    <xf numFmtId="3" fontId="50" fillId="8" borderId="66" xfId="6" applyNumberFormat="1" applyFont="1" applyFill="1" applyBorder="1" applyAlignment="1">
      <alignment vertical="center"/>
    </xf>
    <xf numFmtId="3" fontId="50" fillId="8" borderId="8" xfId="6" applyNumberFormat="1" applyFont="1" applyFill="1" applyBorder="1" applyAlignment="1">
      <alignment vertical="center"/>
    </xf>
    <xf numFmtId="3" fontId="51" fillId="8" borderId="43" xfId="6" applyNumberFormat="1" applyFont="1" applyFill="1" applyBorder="1" applyAlignment="1">
      <alignment vertical="center"/>
    </xf>
    <xf numFmtId="0" fontId="52" fillId="8" borderId="42" xfId="6" applyFont="1" applyFill="1" applyBorder="1" applyAlignment="1">
      <alignment horizontal="centerContinuous" vertical="center"/>
    </xf>
    <xf numFmtId="0" fontId="52" fillId="8" borderId="0" xfId="6" applyFont="1" applyFill="1" applyBorder="1" applyAlignment="1">
      <alignment horizontal="centerContinuous" vertical="center"/>
    </xf>
    <xf numFmtId="3" fontId="52" fillId="8" borderId="0" xfId="6" applyNumberFormat="1" applyFont="1" applyFill="1" applyBorder="1" applyAlignment="1">
      <alignment horizontal="centerContinuous" vertical="center"/>
    </xf>
    <xf numFmtId="3" fontId="52" fillId="8" borderId="66" xfId="6" applyNumberFormat="1" applyFont="1" applyFill="1" applyBorder="1" applyAlignment="1">
      <alignment horizontal="centerContinuous" vertical="center"/>
    </xf>
    <xf numFmtId="3" fontId="53" fillId="8" borderId="43" xfId="6" applyNumberFormat="1" applyFont="1" applyFill="1" applyBorder="1" applyAlignment="1">
      <alignment horizontal="centerContinuous" vertical="center"/>
    </xf>
    <xf numFmtId="0" fontId="51" fillId="8" borderId="42" xfId="6" applyFont="1" applyFill="1" applyBorder="1" applyAlignment="1">
      <alignment vertical="center"/>
    </xf>
    <xf numFmtId="0" fontId="51" fillId="8" borderId="0" xfId="6" applyFont="1" applyFill="1" applyBorder="1" applyAlignment="1">
      <alignment vertical="center"/>
    </xf>
    <xf numFmtId="0" fontId="51" fillId="8" borderId="0" xfId="6" applyFont="1" applyFill="1" applyBorder="1" applyAlignment="1">
      <alignment horizontal="center" vertical="center"/>
    </xf>
    <xf numFmtId="3" fontId="51" fillId="8" borderId="0" xfId="6" applyNumberFormat="1" applyFont="1" applyFill="1" applyBorder="1" applyAlignment="1">
      <alignment vertical="center"/>
    </xf>
    <xf numFmtId="3" fontId="51" fillId="8" borderId="66" xfId="6" applyNumberFormat="1" applyFont="1" applyFill="1" applyBorder="1" applyAlignment="1">
      <alignment vertical="center"/>
    </xf>
    <xf numFmtId="3" fontId="51" fillId="8" borderId="8" xfId="6" applyNumberFormat="1" applyFont="1" applyFill="1" applyBorder="1" applyAlignment="1">
      <alignment vertical="center"/>
    </xf>
    <xf numFmtId="0" fontId="51" fillId="8" borderId="67" xfId="6" applyFont="1" applyFill="1" applyBorder="1" applyAlignment="1">
      <alignment vertical="center"/>
    </xf>
    <xf numFmtId="0" fontId="51" fillId="8" borderId="68" xfId="6" applyFont="1" applyFill="1" applyBorder="1" applyAlignment="1">
      <alignment vertical="center"/>
    </xf>
    <xf numFmtId="0" fontId="51" fillId="8" borderId="68" xfId="6" applyFont="1" applyFill="1" applyBorder="1" applyAlignment="1">
      <alignment horizontal="center" vertical="center"/>
    </xf>
    <xf numFmtId="3" fontId="51" fillId="8" borderId="68" xfId="6" applyNumberFormat="1" applyFont="1" applyFill="1" applyBorder="1" applyAlignment="1">
      <alignment vertical="center"/>
    </xf>
    <xf numFmtId="3" fontId="51" fillId="8" borderId="69" xfId="6" applyNumberFormat="1" applyFont="1" applyFill="1" applyBorder="1" applyAlignment="1">
      <alignment vertical="center"/>
    </xf>
    <xf numFmtId="3" fontId="51" fillId="8" borderId="70" xfId="6" applyNumberFormat="1" applyFont="1" applyFill="1" applyBorder="1" applyAlignment="1">
      <alignment vertical="center"/>
    </xf>
    <xf numFmtId="3" fontId="51" fillId="8" borderId="71" xfId="6" applyNumberFormat="1" applyFont="1" applyFill="1" applyBorder="1" applyAlignment="1">
      <alignment vertical="center"/>
    </xf>
    <xf numFmtId="3" fontId="51" fillId="8" borderId="72" xfId="6" applyNumberFormat="1" applyFont="1" applyFill="1" applyBorder="1" applyAlignment="1">
      <alignment vertical="center"/>
    </xf>
    <xf numFmtId="0" fontId="54" fillId="8" borderId="0" xfId="6" applyFont="1" applyFill="1" applyBorder="1" applyAlignment="1">
      <alignment vertical="center"/>
    </xf>
    <xf numFmtId="3" fontId="54" fillId="8" borderId="74" xfId="6" applyNumberFormat="1" applyFont="1" applyFill="1" applyBorder="1" applyAlignment="1">
      <alignment horizontal="right" vertical="center"/>
    </xf>
    <xf numFmtId="14" fontId="54" fillId="8" borderId="74" xfId="6" applyNumberFormat="1" applyFont="1" applyFill="1" applyBorder="1" applyAlignment="1">
      <alignment horizontal="centerContinuous" vertical="center"/>
    </xf>
    <xf numFmtId="3" fontId="51" fillId="8" borderId="75" xfId="6" applyNumberFormat="1" applyFont="1" applyFill="1" applyBorder="1" applyAlignment="1">
      <alignment horizontal="centerContinuous" vertical="center"/>
    </xf>
    <xf numFmtId="0" fontId="54" fillId="8" borderId="0" xfId="7" applyFont="1" applyFill="1" applyBorder="1"/>
    <xf numFmtId="3" fontId="54" fillId="8" borderId="0" xfId="6" quotePrefix="1" applyNumberFormat="1" applyFont="1" applyFill="1" applyBorder="1" applyAlignment="1">
      <alignment horizontal="right" vertical="center"/>
    </xf>
    <xf numFmtId="3" fontId="54" fillId="8" borderId="0" xfId="6" applyNumberFormat="1" applyFont="1" applyFill="1" applyBorder="1" applyAlignment="1">
      <alignment horizontal="centerContinuous" vertical="center"/>
    </xf>
    <xf numFmtId="3" fontId="51" fillId="8" borderId="43" xfId="6" applyNumberFormat="1" applyFont="1" applyFill="1" applyBorder="1" applyAlignment="1">
      <alignment horizontal="centerContinuous" vertical="center"/>
    </xf>
    <xf numFmtId="0" fontId="54" fillId="8" borderId="71" xfId="6" applyFont="1" applyFill="1" applyBorder="1" applyAlignment="1">
      <alignment vertical="center"/>
    </xf>
    <xf numFmtId="0" fontId="54" fillId="3" borderId="73" xfId="6" quotePrefix="1" applyFont="1" applyFill="1" applyBorder="1" applyAlignment="1">
      <alignment horizontal="left" vertical="center"/>
    </xf>
    <xf numFmtId="0" fontId="54" fillId="3" borderId="74" xfId="6" quotePrefix="1" applyFont="1" applyFill="1" applyBorder="1" applyAlignment="1">
      <alignment horizontal="left" vertical="center"/>
    </xf>
    <xf numFmtId="0" fontId="54" fillId="3" borderId="76" xfId="6" applyFont="1" applyFill="1" applyBorder="1" applyAlignment="1">
      <alignment horizontal="center" vertical="center"/>
    </xf>
    <xf numFmtId="0" fontId="54" fillId="3" borderId="60" xfId="6" applyFont="1" applyFill="1" applyBorder="1" applyAlignment="1">
      <alignment horizontal="center" vertical="center"/>
    </xf>
    <xf numFmtId="3" fontId="51" fillId="3" borderId="76" xfId="6" applyNumberFormat="1" applyFont="1" applyFill="1" applyBorder="1" applyAlignment="1">
      <alignment vertical="center"/>
    </xf>
    <xf numFmtId="3" fontId="51" fillId="3" borderId="60" xfId="6" applyNumberFormat="1" applyFont="1" applyFill="1" applyBorder="1" applyAlignment="1">
      <alignment vertical="center"/>
    </xf>
    <xf numFmtId="3" fontId="51" fillId="3" borderId="74" xfId="6" applyNumberFormat="1" applyFont="1" applyFill="1" applyBorder="1" applyAlignment="1">
      <alignment vertical="center"/>
    </xf>
    <xf numFmtId="0" fontId="55" fillId="3" borderId="42" xfId="6" applyFont="1" applyFill="1" applyBorder="1" applyAlignment="1">
      <alignment vertical="center"/>
    </xf>
    <xf numFmtId="0" fontId="55" fillId="3" borderId="0" xfId="6" applyFont="1" applyFill="1" applyBorder="1" applyAlignment="1">
      <alignment vertical="center"/>
    </xf>
    <xf numFmtId="0" fontId="55" fillId="3" borderId="66" xfId="6" applyFont="1" applyFill="1" applyBorder="1" applyAlignment="1">
      <alignment horizontal="center" vertical="center"/>
    </xf>
    <xf numFmtId="3" fontId="55" fillId="3" borderId="0" xfId="6" applyNumberFormat="1" applyFont="1" applyFill="1" applyBorder="1" applyAlignment="1">
      <alignment horizontal="centerContinuous" vertical="center"/>
    </xf>
    <xf numFmtId="4" fontId="59" fillId="0" borderId="0" xfId="6" applyNumberFormat="1" applyFont="1" applyAlignment="1">
      <alignment vertical="center"/>
    </xf>
    <xf numFmtId="0" fontId="59" fillId="0" borderId="0" xfId="6" applyFont="1" applyAlignment="1">
      <alignment vertical="center"/>
    </xf>
    <xf numFmtId="0" fontId="55" fillId="3" borderId="8" xfId="6" applyFont="1" applyFill="1" applyBorder="1" applyAlignment="1">
      <alignment horizontal="center" vertical="center"/>
    </xf>
    <xf numFmtId="3" fontId="55" fillId="3" borderId="66" xfId="6" applyNumberFormat="1" applyFont="1" applyFill="1" applyBorder="1" applyAlignment="1">
      <alignment horizontal="centerContinuous" vertical="center"/>
    </xf>
    <xf numFmtId="3" fontId="55" fillId="3" borderId="71" xfId="6" applyNumberFormat="1" applyFont="1" applyFill="1" applyBorder="1" applyAlignment="1">
      <alignment horizontal="centerContinuous" vertical="center"/>
    </xf>
    <xf numFmtId="0" fontId="55" fillId="3" borderId="80" xfId="6" applyFont="1" applyFill="1" applyBorder="1" applyAlignment="1">
      <alignment horizontal="center" vertical="center"/>
    </xf>
    <xf numFmtId="3" fontId="55" fillId="3" borderId="79" xfId="6" applyNumberFormat="1" applyFont="1" applyFill="1" applyBorder="1" applyAlignment="1">
      <alignment horizontal="center" vertical="center"/>
    </xf>
    <xf numFmtId="3" fontId="55" fillId="3" borderId="78" xfId="6" applyNumberFormat="1" applyFont="1" applyFill="1" applyBorder="1" applyAlignment="1">
      <alignment horizontal="center" vertical="center"/>
    </xf>
    <xf numFmtId="3" fontId="56" fillId="3" borderId="81" xfId="6" applyNumberFormat="1" applyFont="1" applyFill="1" applyBorder="1" applyAlignment="1">
      <alignment horizontal="center" vertical="center"/>
    </xf>
    <xf numFmtId="3" fontId="56" fillId="3" borderId="82" xfId="6" applyNumberFormat="1" applyFont="1" applyFill="1" applyBorder="1" applyAlignment="1">
      <alignment horizontal="center" vertical="center"/>
    </xf>
    <xf numFmtId="3" fontId="57" fillId="3" borderId="79" xfId="6" applyNumberFormat="1" applyFont="1" applyFill="1" applyBorder="1" applyAlignment="1">
      <alignment horizontal="center" vertical="center"/>
    </xf>
    <xf numFmtId="3" fontId="57" fillId="3" borderId="78" xfId="6" applyNumberFormat="1" applyFont="1" applyFill="1" applyBorder="1" applyAlignment="1">
      <alignment horizontal="center" vertical="center"/>
    </xf>
    <xf numFmtId="3" fontId="57" fillId="3" borderId="82" xfId="6" applyNumberFormat="1" applyFont="1" applyFill="1" applyBorder="1" applyAlignment="1">
      <alignment horizontal="center" vertical="center"/>
    </xf>
    <xf numFmtId="0" fontId="60" fillId="0" borderId="42" xfId="6" applyFont="1" applyBorder="1" applyAlignment="1">
      <alignment vertical="center"/>
    </xf>
    <xf numFmtId="0" fontId="60" fillId="0" borderId="0" xfId="6" applyFont="1" applyBorder="1" applyAlignment="1">
      <alignment vertical="center"/>
    </xf>
    <xf numFmtId="0" fontId="60" fillId="0" borderId="83" xfId="6" applyFont="1" applyBorder="1" applyAlignment="1">
      <alignment horizontal="center" vertical="center"/>
    </xf>
    <xf numFmtId="3" fontId="60" fillId="0" borderId="66" xfId="6" applyNumberFormat="1" applyFont="1" applyBorder="1" applyAlignment="1">
      <alignment vertical="center"/>
    </xf>
    <xf numFmtId="3" fontId="60" fillId="0" borderId="0" xfId="6" applyNumberFormat="1" applyFont="1" applyBorder="1" applyAlignment="1">
      <alignment vertical="center"/>
    </xf>
    <xf numFmtId="3" fontId="62" fillId="0" borderId="84" xfId="6" applyNumberFormat="1" applyFont="1" applyBorder="1" applyAlignment="1">
      <alignment vertical="center"/>
    </xf>
    <xf numFmtId="3" fontId="62" fillId="0" borderId="85" xfId="6" applyNumberFormat="1" applyFont="1" applyBorder="1" applyAlignment="1">
      <alignment vertical="center"/>
    </xf>
    <xf numFmtId="3" fontId="61" fillId="0" borderId="66" xfId="6" applyNumberFormat="1" applyFont="1" applyBorder="1" applyAlignment="1">
      <alignment vertical="center"/>
    </xf>
    <xf numFmtId="3" fontId="61" fillId="0" borderId="0" xfId="6" applyNumberFormat="1" applyFont="1" applyBorder="1" applyAlignment="1">
      <alignment vertical="center"/>
    </xf>
    <xf numFmtId="3" fontId="61" fillId="0" borderId="85" xfId="8" applyNumberFormat="1" applyFont="1" applyBorder="1" applyAlignment="1">
      <alignment vertical="center"/>
    </xf>
    <xf numFmtId="0" fontId="59" fillId="0" borderId="42" xfId="6" applyFont="1" applyFill="1" applyBorder="1" applyAlignment="1">
      <alignment horizontal="left" vertical="center"/>
    </xf>
    <xf numFmtId="0" fontId="64" fillId="0" borderId="0" xfId="6" applyFont="1" applyFill="1" applyBorder="1" applyAlignment="1">
      <alignment horizontal="left" vertical="center"/>
    </xf>
    <xf numFmtId="0" fontId="59" fillId="0" borderId="83" xfId="6" applyFont="1" applyFill="1" applyBorder="1" applyAlignment="1">
      <alignment horizontal="center" vertical="center"/>
    </xf>
    <xf numFmtId="3" fontId="59" fillId="0" borderId="83" xfId="6" applyNumberFormat="1" applyFont="1" applyFill="1" applyBorder="1" applyAlignment="1">
      <alignment horizontal="center" vertical="center"/>
    </xf>
    <xf numFmtId="3" fontId="59" fillId="0" borderId="66" xfId="6" applyNumberFormat="1" applyFont="1" applyFill="1" applyBorder="1" applyAlignment="1">
      <alignment horizontal="center" vertical="center"/>
    </xf>
    <xf numFmtId="3" fontId="59" fillId="0" borderId="8" xfId="6" applyNumberFormat="1" applyFont="1" applyFill="1" applyBorder="1" applyAlignment="1">
      <alignment horizontal="center" vertical="center"/>
    </xf>
    <xf numFmtId="4" fontId="59" fillId="0" borderId="0" xfId="6" applyNumberFormat="1" applyFont="1" applyFill="1" applyAlignment="1">
      <alignment vertical="center"/>
    </xf>
    <xf numFmtId="0" fontId="59" fillId="0" borderId="42" xfId="6" quotePrefix="1" applyFont="1" applyBorder="1" applyAlignment="1">
      <alignment horizontal="left" vertical="center"/>
    </xf>
    <xf numFmtId="0" fontId="59" fillId="0" borderId="0" xfId="6" quotePrefix="1" applyFont="1" applyBorder="1" applyAlignment="1">
      <alignment horizontal="left" vertical="center"/>
    </xf>
    <xf numFmtId="0" fontId="59" fillId="0" borderId="83" xfId="6" applyFont="1" applyBorder="1" applyAlignment="1">
      <alignment horizontal="center" vertical="center"/>
    </xf>
    <xf numFmtId="3" fontId="59" fillId="0" borderId="83" xfId="6" applyNumberFormat="1" applyFont="1" applyBorder="1" applyAlignment="1">
      <alignment horizontal="center" vertical="center"/>
    </xf>
    <xf numFmtId="3" fontId="59" fillId="0" borderId="66" xfId="6" applyNumberFormat="1" applyFont="1" applyBorder="1" applyAlignment="1">
      <alignment vertical="center"/>
    </xf>
    <xf numFmtId="3" fontId="56" fillId="0" borderId="84" xfId="6" applyNumberFormat="1" applyFont="1" applyBorder="1" applyAlignment="1">
      <alignment vertical="center"/>
    </xf>
    <xf numFmtId="3" fontId="56" fillId="0" borderId="85" xfId="6" applyNumberFormat="1" applyFont="1" applyBorder="1" applyAlignment="1">
      <alignment vertical="center"/>
    </xf>
    <xf numFmtId="3" fontId="57" fillId="0" borderId="66" xfId="6" applyNumberFormat="1" applyFont="1" applyBorder="1" applyAlignment="1">
      <alignment vertical="center"/>
    </xf>
    <xf numFmtId="3" fontId="57" fillId="0" borderId="0" xfId="6" applyNumberFormat="1" applyFont="1" applyBorder="1" applyAlignment="1">
      <alignment vertical="center"/>
    </xf>
    <xf numFmtId="10" fontId="57" fillId="0" borderId="85" xfId="8" applyNumberFormat="1" applyFont="1" applyBorder="1" applyAlignment="1">
      <alignment vertical="center"/>
    </xf>
    <xf numFmtId="3" fontId="59" fillId="0" borderId="0" xfId="6" applyNumberFormat="1" applyFont="1" applyAlignment="1">
      <alignment vertical="center"/>
    </xf>
    <xf numFmtId="0" fontId="59" fillId="0" borderId="42" xfId="6" applyFont="1" applyBorder="1" applyAlignment="1">
      <alignment vertical="center"/>
    </xf>
    <xf numFmtId="0" fontId="59" fillId="0" borderId="0" xfId="6" applyFont="1" applyBorder="1" applyAlignment="1">
      <alignment vertical="center"/>
    </xf>
    <xf numFmtId="3" fontId="65" fillId="0" borderId="83" xfId="6" applyNumberFormat="1" applyFont="1" applyBorder="1" applyAlignment="1">
      <alignment horizontal="center" vertical="center"/>
    </xf>
    <xf numFmtId="3" fontId="56" fillId="0" borderId="84" xfId="6" applyNumberFormat="1" applyFont="1" applyBorder="1" applyAlignment="1">
      <alignment horizontal="center" vertical="center"/>
    </xf>
    <xf numFmtId="3" fontId="56" fillId="0" borderId="85" xfId="6" applyNumberFormat="1" applyFont="1" applyBorder="1" applyAlignment="1">
      <alignment horizontal="center" vertical="center"/>
    </xf>
    <xf numFmtId="9" fontId="57" fillId="0" borderId="85" xfId="8" applyNumberFormat="1" applyFont="1" applyBorder="1" applyAlignment="1">
      <alignment vertical="center"/>
    </xf>
    <xf numFmtId="3" fontId="59" fillId="0" borderId="66" xfId="6" applyNumberFormat="1" applyFont="1" applyBorder="1" applyAlignment="1">
      <alignment horizontal="center" vertical="center"/>
    </xf>
    <xf numFmtId="166" fontId="60" fillId="0" borderId="0" xfId="6" applyNumberFormat="1" applyFont="1" applyBorder="1" applyAlignment="1">
      <alignment vertical="center"/>
    </xf>
    <xf numFmtId="3" fontId="62" fillId="0" borderId="43" xfId="6" applyNumberFormat="1" applyFont="1" applyBorder="1" applyAlignment="1">
      <alignment vertical="center"/>
    </xf>
    <xf numFmtId="0" fontId="60" fillId="0" borderId="66" xfId="6" applyFont="1" applyBorder="1" applyAlignment="1">
      <alignment vertical="center"/>
    </xf>
    <xf numFmtId="3" fontId="61" fillId="0" borderId="69" xfId="6" applyNumberFormat="1" applyFont="1" applyBorder="1" applyAlignment="1">
      <alignment vertical="center"/>
    </xf>
    <xf numFmtId="0" fontId="51" fillId="8" borderId="89" xfId="6" applyFont="1" applyFill="1" applyBorder="1" applyAlignment="1">
      <alignment horizontal="center" vertical="center"/>
    </xf>
    <xf numFmtId="3" fontId="54" fillId="8" borderId="89" xfId="6" applyNumberFormat="1" applyFont="1" applyFill="1" applyBorder="1" applyAlignment="1">
      <alignment vertical="center"/>
    </xf>
    <xf numFmtId="3" fontId="54" fillId="8" borderId="88" xfId="6" applyNumberFormat="1" applyFont="1" applyFill="1" applyBorder="1" applyAlignment="1">
      <alignment vertical="center"/>
    </xf>
    <xf numFmtId="3" fontId="54" fillId="8" borderId="90" xfId="6" applyNumberFormat="1" applyFont="1" applyFill="1" applyBorder="1" applyAlignment="1">
      <alignment vertical="center"/>
    </xf>
    <xf numFmtId="3" fontId="67" fillId="8" borderId="86" xfId="6" applyNumberFormat="1" applyFont="1" applyFill="1" applyBorder="1" applyAlignment="1">
      <alignment vertical="center"/>
    </xf>
    <xf numFmtId="3" fontId="66" fillId="8" borderId="88" xfId="6" applyNumberFormat="1" applyFont="1" applyFill="1" applyBorder="1" applyAlignment="1">
      <alignment vertical="center"/>
    </xf>
    <xf numFmtId="3" fontId="66" fillId="8" borderId="87" xfId="6" applyNumberFormat="1" applyFont="1" applyFill="1" applyBorder="1" applyAlignment="1">
      <alignment vertical="center"/>
    </xf>
    <xf numFmtId="10" fontId="66" fillId="8" borderId="91" xfId="8" applyNumberFormat="1" applyFont="1" applyFill="1" applyBorder="1" applyAlignment="1">
      <alignment vertical="center"/>
    </xf>
    <xf numFmtId="3" fontId="67" fillId="8" borderId="91" xfId="6" applyNumberFormat="1" applyFont="1" applyFill="1" applyBorder="1" applyAlignment="1">
      <alignment vertical="center"/>
    </xf>
    <xf numFmtId="3" fontId="65" fillId="0" borderId="8" xfId="6" applyNumberFormat="1" applyFont="1" applyBorder="1" applyAlignment="1">
      <alignment horizontal="center" vertical="center"/>
    </xf>
    <xf numFmtId="3" fontId="65" fillId="0" borderId="8" xfId="6" applyNumberFormat="1" applyFont="1" applyBorder="1" applyAlignment="1">
      <alignment vertical="center"/>
    </xf>
    <xf numFmtId="3" fontId="55" fillId="3" borderId="92" xfId="6" applyNumberFormat="1" applyFont="1" applyFill="1" applyBorder="1" applyAlignment="1">
      <alignment horizontal="center" vertical="center"/>
    </xf>
    <xf numFmtId="3" fontId="61" fillId="0" borderId="8" xfId="6" applyNumberFormat="1" applyFont="1" applyBorder="1" applyAlignment="1">
      <alignment vertical="center"/>
    </xf>
    <xf numFmtId="3" fontId="57" fillId="0" borderId="8" xfId="6" applyNumberFormat="1" applyFont="1" applyBorder="1" applyAlignment="1">
      <alignment vertical="center"/>
    </xf>
    <xf numFmtId="3" fontId="66" fillId="8" borderId="90" xfId="6" applyNumberFormat="1" applyFont="1" applyFill="1" applyBorder="1" applyAlignment="1">
      <alignment vertical="center"/>
    </xf>
    <xf numFmtId="3" fontId="65" fillId="0" borderId="66" xfId="6" applyNumberFormat="1" applyFont="1" applyBorder="1" applyAlignment="1">
      <alignment vertical="center"/>
    </xf>
    <xf numFmtId="3" fontId="65" fillId="0" borderId="66" xfId="6" applyNumberFormat="1" applyFont="1" applyBorder="1" applyAlignment="1">
      <alignment horizontal="center" vertical="center"/>
    </xf>
    <xf numFmtId="3" fontId="55" fillId="3" borderId="80" xfId="6" applyNumberFormat="1" applyFont="1" applyFill="1" applyBorder="1" applyAlignment="1">
      <alignment horizontal="center" vertical="center"/>
    </xf>
    <xf numFmtId="3" fontId="61" fillId="0" borderId="83" xfId="6" applyNumberFormat="1" applyFont="1" applyBorder="1" applyAlignment="1">
      <alignment vertical="center"/>
    </xf>
    <xf numFmtId="3" fontId="65" fillId="0" borderId="83" xfId="6" applyNumberFormat="1" applyFont="1" applyBorder="1" applyAlignment="1">
      <alignment vertical="center"/>
    </xf>
    <xf numFmtId="3" fontId="57" fillId="0" borderId="83" xfId="6" applyNumberFormat="1" applyFont="1" applyBorder="1" applyAlignment="1">
      <alignment vertical="center"/>
    </xf>
    <xf numFmtId="3" fontId="66" fillId="8" borderId="89" xfId="6" applyNumberFormat="1" applyFont="1" applyFill="1" applyBorder="1" applyAlignment="1">
      <alignment vertical="center"/>
    </xf>
    <xf numFmtId="49" fontId="68" fillId="0" borderId="0" xfId="9" applyNumberFormat="1" applyFont="1" applyFill="1" applyBorder="1" applyAlignment="1" applyProtection="1">
      <alignment horizontal="center" vertical="center"/>
      <protection locked="0"/>
    </xf>
    <xf numFmtId="0" fontId="32" fillId="0" borderId="0" xfId="9" applyAlignment="1">
      <alignment vertical="center"/>
    </xf>
    <xf numFmtId="0" fontId="32" fillId="0" borderId="0" xfId="9" applyBorder="1" applyAlignment="1">
      <alignment vertical="center"/>
    </xf>
    <xf numFmtId="0" fontId="32" fillId="0" borderId="0" xfId="9" applyFill="1" applyBorder="1" applyAlignment="1">
      <alignment vertical="center"/>
    </xf>
    <xf numFmtId="0" fontId="32" fillId="9" borderId="0" xfId="9" applyFill="1" applyBorder="1" applyAlignment="1">
      <alignment vertical="center"/>
    </xf>
    <xf numFmtId="4" fontId="32" fillId="0" borderId="0" xfId="9" applyNumberFormat="1" applyAlignment="1">
      <alignment vertical="center"/>
    </xf>
    <xf numFmtId="3" fontId="32" fillId="0" borderId="0" xfId="9" applyNumberFormat="1" applyAlignment="1">
      <alignment vertical="center"/>
    </xf>
    <xf numFmtId="49" fontId="69" fillId="9" borderId="0" xfId="9" applyNumberFormat="1" applyFont="1" applyFill="1" applyBorder="1" applyAlignment="1" applyProtection="1">
      <alignment horizontal="center" vertical="center"/>
      <protection locked="0"/>
    </xf>
    <xf numFmtId="4" fontId="20" fillId="0" borderId="0" xfId="9" applyNumberFormat="1" applyFont="1" applyAlignment="1">
      <alignment horizontal="right" vertical="center"/>
    </xf>
    <xf numFmtId="4" fontId="32" fillId="0" borderId="0" xfId="9" applyNumberFormat="1" applyBorder="1" applyAlignment="1">
      <alignment vertical="center"/>
    </xf>
    <xf numFmtId="4" fontId="20" fillId="0" borderId="0" xfId="9" applyNumberFormat="1" applyFont="1" applyBorder="1" applyAlignment="1">
      <alignment vertical="center"/>
    </xf>
    <xf numFmtId="4" fontId="20" fillId="0" borderId="0" xfId="9" applyNumberFormat="1" applyFont="1" applyAlignment="1">
      <alignment vertical="center"/>
    </xf>
    <xf numFmtId="4" fontId="20" fillId="0" borderId="0" xfId="9" applyNumberFormat="1" applyFont="1" applyFill="1" applyBorder="1" applyAlignment="1">
      <alignment vertical="center"/>
    </xf>
    <xf numFmtId="4" fontId="32" fillId="9" borderId="0" xfId="9" applyNumberFormat="1" applyFill="1" applyBorder="1" applyAlignment="1">
      <alignment vertical="center"/>
    </xf>
    <xf numFmtId="3" fontId="20" fillId="0" borderId="0" xfId="9" applyNumberFormat="1" applyFont="1" applyAlignment="1">
      <alignment horizontal="right" vertical="center"/>
    </xf>
    <xf numFmtId="3" fontId="32" fillId="0" borderId="0" xfId="9" applyNumberFormat="1" applyBorder="1" applyAlignment="1">
      <alignment vertical="center"/>
    </xf>
    <xf numFmtId="3" fontId="32" fillId="0" borderId="0" xfId="9" applyNumberFormat="1" applyFill="1" applyBorder="1" applyAlignment="1">
      <alignment vertical="center"/>
    </xf>
    <xf numFmtId="3" fontId="32" fillId="9" borderId="0" xfId="9" applyNumberFormat="1" applyFill="1" applyBorder="1" applyAlignment="1">
      <alignment vertical="center"/>
    </xf>
    <xf numFmtId="0" fontId="70" fillId="0" borderId="0" xfId="9" applyFont="1" applyAlignment="1">
      <alignment vertical="center"/>
    </xf>
    <xf numFmtId="0" fontId="70" fillId="0" borderId="0" xfId="9" applyFont="1" applyBorder="1" applyAlignment="1">
      <alignment vertical="center"/>
    </xf>
    <xf numFmtId="4" fontId="38" fillId="0" borderId="0" xfId="9" applyNumberFormat="1" applyFont="1" applyAlignment="1">
      <alignment vertical="center"/>
    </xf>
    <xf numFmtId="4" fontId="71" fillId="0" borderId="0" xfId="9" applyNumberFormat="1" applyFont="1" applyAlignment="1">
      <alignment vertical="center"/>
    </xf>
    <xf numFmtId="0" fontId="72" fillId="0" borderId="0" xfId="9" applyFont="1" applyAlignment="1">
      <alignment vertical="center"/>
    </xf>
    <xf numFmtId="0" fontId="70" fillId="0" borderId="0" xfId="9" applyFont="1" applyFill="1" applyBorder="1" applyAlignment="1">
      <alignment vertical="center"/>
    </xf>
    <xf numFmtId="0" fontId="70" fillId="9" borderId="0" xfId="9" applyFont="1" applyFill="1" applyBorder="1" applyAlignment="1">
      <alignment vertical="center"/>
    </xf>
    <xf numFmtId="0" fontId="70" fillId="0" borderId="93" xfId="9" applyFont="1" applyBorder="1" applyAlignment="1">
      <alignment vertical="center"/>
    </xf>
    <xf numFmtId="49" fontId="73" fillId="2" borderId="0" xfId="9" applyNumberFormat="1" applyFont="1" applyFill="1" applyBorder="1" applyAlignment="1" applyProtection="1">
      <alignment horizontal="center" vertical="center"/>
      <protection locked="0"/>
    </xf>
    <xf numFmtId="49" fontId="73" fillId="2" borderId="94" xfId="9" applyNumberFormat="1" applyFont="1" applyFill="1" applyBorder="1" applyAlignment="1" applyProtection="1">
      <alignment horizontal="center" vertical="center"/>
      <protection locked="0"/>
    </xf>
    <xf numFmtId="49" fontId="73" fillId="0" borderId="0" xfId="9" applyNumberFormat="1" applyFont="1" applyFill="1" applyBorder="1" applyAlignment="1" applyProtection="1">
      <alignment horizontal="center" vertical="center"/>
      <protection locked="0"/>
    </xf>
    <xf numFmtId="49" fontId="74" fillId="9" borderId="0" xfId="9" applyNumberFormat="1" applyFont="1" applyFill="1" applyBorder="1" applyAlignment="1" applyProtection="1">
      <alignment horizontal="center" vertical="center"/>
      <protection locked="0"/>
    </xf>
    <xf numFmtId="49" fontId="74" fillId="2" borderId="95" xfId="9" applyNumberFormat="1" applyFont="1" applyFill="1" applyBorder="1" applyAlignment="1" applyProtection="1">
      <alignment horizontal="center" vertical="center"/>
      <protection locked="0"/>
    </xf>
    <xf numFmtId="49" fontId="74" fillId="2" borderId="96" xfId="9" applyNumberFormat="1" applyFont="1" applyFill="1" applyBorder="1" applyAlignment="1" applyProtection="1">
      <alignment horizontal="center" vertical="center"/>
      <protection locked="0"/>
    </xf>
    <xf numFmtId="49" fontId="74" fillId="2" borderId="97" xfId="9" applyNumberFormat="1" applyFont="1" applyFill="1" applyBorder="1" applyAlignment="1" applyProtection="1">
      <alignment horizontal="center" vertical="center"/>
      <protection locked="0"/>
    </xf>
    <xf numFmtId="49" fontId="74" fillId="2" borderId="98" xfId="9" applyNumberFormat="1" applyFont="1" applyFill="1" applyBorder="1" applyAlignment="1" applyProtection="1">
      <alignment horizontal="center" vertical="center"/>
      <protection locked="0"/>
    </xf>
    <xf numFmtId="49" fontId="74" fillId="2" borderId="99" xfId="9" applyNumberFormat="1" applyFont="1" applyFill="1" applyBorder="1" applyAlignment="1" applyProtection="1">
      <alignment horizontal="center" vertical="center"/>
      <protection locked="0"/>
    </xf>
    <xf numFmtId="49" fontId="74" fillId="2" borderId="100" xfId="9" applyNumberFormat="1" applyFont="1" applyFill="1" applyBorder="1" applyAlignment="1" applyProtection="1">
      <alignment horizontal="center" vertical="center"/>
      <protection locked="0"/>
    </xf>
    <xf numFmtId="49" fontId="74" fillId="2" borderId="102" xfId="9" applyNumberFormat="1" applyFont="1" applyFill="1" applyBorder="1" applyAlignment="1" applyProtection="1">
      <alignment horizontal="center" vertical="center"/>
      <protection locked="0"/>
    </xf>
    <xf numFmtId="49" fontId="74" fillId="2" borderId="103" xfId="9" applyNumberFormat="1" applyFont="1" applyFill="1" applyBorder="1" applyAlignment="1" applyProtection="1">
      <alignment horizontal="center" vertical="center"/>
      <protection locked="0"/>
    </xf>
    <xf numFmtId="0" fontId="75" fillId="0" borderId="0" xfId="9" applyFont="1" applyBorder="1" applyAlignment="1">
      <alignment vertical="center"/>
    </xf>
    <xf numFmtId="0" fontId="75" fillId="0" borderId="0" xfId="9" applyFont="1" applyBorder="1" applyAlignment="1" applyProtection="1">
      <alignment vertical="center"/>
    </xf>
    <xf numFmtId="0" fontId="75" fillId="0" borderId="0" xfId="9" applyFont="1" applyFill="1" applyBorder="1" applyAlignment="1" applyProtection="1">
      <alignment vertical="center"/>
    </xf>
    <xf numFmtId="4" fontId="74" fillId="9" borderId="0" xfId="9" applyNumberFormat="1" applyFont="1" applyFill="1" applyBorder="1" applyAlignment="1" applyProtection="1">
      <alignment horizontal="right" vertical="center"/>
      <protection locked="0"/>
    </xf>
    <xf numFmtId="0" fontId="20" fillId="0" borderId="0" xfId="9" applyFont="1" applyAlignment="1">
      <alignment vertical="center"/>
    </xf>
    <xf numFmtId="0" fontId="75" fillId="9" borderId="0" xfId="9" applyFont="1" applyFill="1" applyBorder="1" applyAlignment="1">
      <alignment vertical="center"/>
    </xf>
    <xf numFmtId="0" fontId="75" fillId="9" borderId="0" xfId="9" applyFont="1" applyFill="1" applyBorder="1" applyAlignment="1" applyProtection="1">
      <alignment vertical="center"/>
    </xf>
    <xf numFmtId="0" fontId="20" fillId="9" borderId="0" xfId="9" applyFont="1" applyFill="1" applyAlignment="1">
      <alignment vertical="center"/>
    </xf>
    <xf numFmtId="0" fontId="70" fillId="0" borderId="0" xfId="9" applyFont="1" applyBorder="1" applyAlignment="1" applyProtection="1">
      <alignment vertical="center"/>
    </xf>
    <xf numFmtId="0" fontId="70" fillId="0" borderId="0" xfId="9" applyFont="1" applyFill="1" applyBorder="1" applyAlignment="1" applyProtection="1">
      <alignment vertical="center"/>
    </xf>
    <xf numFmtId="4" fontId="76" fillId="9" borderId="0" xfId="9" applyNumberFormat="1" applyFont="1" applyFill="1" applyBorder="1" applyAlignment="1" applyProtection="1">
      <alignment horizontal="right" vertical="center"/>
      <protection locked="0"/>
    </xf>
    <xf numFmtId="0" fontId="32" fillId="0" borderId="0" xfId="9" applyFont="1" applyAlignment="1">
      <alignment vertical="center"/>
    </xf>
    <xf numFmtId="9" fontId="78" fillId="0" borderId="0" xfId="10" applyFont="1" applyBorder="1" applyAlignment="1" applyProtection="1">
      <alignment vertical="center"/>
    </xf>
    <xf numFmtId="0" fontId="32" fillId="0" borderId="0" xfId="9" applyAlignment="1" applyProtection="1">
      <alignment vertical="center"/>
    </xf>
    <xf numFmtId="0" fontId="32" fillId="0" borderId="0" xfId="9" applyBorder="1" applyAlignment="1" applyProtection="1">
      <alignment vertical="center"/>
    </xf>
    <xf numFmtId="0" fontId="32" fillId="0" borderId="0" xfId="9" applyFill="1" applyBorder="1" applyAlignment="1" applyProtection="1">
      <alignment vertical="center"/>
    </xf>
    <xf numFmtId="4" fontId="71" fillId="0" borderId="0" xfId="9" applyNumberFormat="1" applyFont="1" applyAlignment="1" applyProtection="1">
      <alignment vertical="center"/>
    </xf>
    <xf numFmtId="0" fontId="72" fillId="0" borderId="0" xfId="9" applyFont="1" applyAlignment="1" applyProtection="1">
      <alignment vertical="center"/>
    </xf>
    <xf numFmtId="0" fontId="70" fillId="0" borderId="0" xfId="9" applyFont="1" applyAlignment="1" applyProtection="1">
      <alignment vertical="center"/>
    </xf>
    <xf numFmtId="2" fontId="76" fillId="12" borderId="59" xfId="9" applyNumberFormat="1" applyFont="1" applyFill="1" applyBorder="1" applyAlignment="1" applyProtection="1">
      <alignment horizontal="right" vertical="center"/>
    </xf>
    <xf numFmtId="9" fontId="78" fillId="0" borderId="0" xfId="10" applyFont="1" applyBorder="1" applyAlignment="1">
      <alignment vertical="center"/>
    </xf>
    <xf numFmtId="0" fontId="75" fillId="9" borderId="106" xfId="9" applyFont="1" applyFill="1" applyBorder="1" applyAlignment="1" applyProtection="1">
      <alignment vertical="center"/>
    </xf>
    <xf numFmtId="0" fontId="32" fillId="9" borderId="0" xfId="9" applyFill="1" applyAlignment="1">
      <alignment vertical="center"/>
    </xf>
    <xf numFmtId="0" fontId="32" fillId="0" borderId="0" xfId="9" applyAlignment="1">
      <alignment horizontal="right" vertical="center"/>
    </xf>
    <xf numFmtId="0" fontId="75" fillId="0" borderId="0" xfId="9" applyFont="1" applyFill="1" applyBorder="1" applyAlignment="1">
      <alignment vertical="center"/>
    </xf>
    <xf numFmtId="0" fontId="32" fillId="0" borderId="0" xfId="9" applyAlignment="1">
      <alignment horizontal="left" vertical="center"/>
    </xf>
    <xf numFmtId="0" fontId="80" fillId="0" borderId="0" xfId="11" applyFont="1" applyBorder="1" applyAlignment="1">
      <alignment vertical="center"/>
    </xf>
    <xf numFmtId="0" fontId="80" fillId="0" borderId="0" xfId="11" applyFont="1" applyAlignment="1">
      <alignment vertical="center"/>
    </xf>
    <xf numFmtId="3" fontId="80" fillId="0" borderId="0" xfId="11" applyNumberFormat="1" applyFont="1" applyAlignment="1">
      <alignment vertical="center"/>
    </xf>
    <xf numFmtId="0" fontId="83" fillId="14" borderId="0" xfId="11" applyFont="1" applyFill="1" applyBorder="1" applyAlignment="1">
      <alignment horizontal="center" vertical="center"/>
    </xf>
    <xf numFmtId="0" fontId="82" fillId="0" borderId="111" xfId="11" applyFont="1" applyBorder="1" applyAlignment="1">
      <alignment horizontal="center" vertical="center"/>
    </xf>
    <xf numFmtId="0" fontId="82" fillId="0" borderId="112" xfId="11" applyFont="1" applyBorder="1" applyAlignment="1">
      <alignment horizontal="center" vertical="center"/>
    </xf>
    <xf numFmtId="0" fontId="80" fillId="0" borderId="0" xfId="11" applyFont="1" applyAlignment="1">
      <alignment horizontal="center" vertical="center"/>
    </xf>
    <xf numFmtId="0" fontId="82" fillId="0" borderId="114" xfId="11" applyFont="1" applyBorder="1" applyAlignment="1">
      <alignment horizontal="center" vertical="center"/>
    </xf>
    <xf numFmtId="0" fontId="82" fillId="0" borderId="115" xfId="11" applyFont="1" applyBorder="1" applyAlignment="1">
      <alignment horizontal="center" vertical="center"/>
    </xf>
    <xf numFmtId="0" fontId="82" fillId="0" borderId="0" xfId="11" applyFont="1" applyAlignment="1">
      <alignment vertical="center"/>
    </xf>
    <xf numFmtId="9" fontId="80" fillId="0" borderId="0" xfId="12" applyFont="1" applyAlignment="1">
      <alignment vertical="center"/>
    </xf>
    <xf numFmtId="0" fontId="82" fillId="13" borderId="110" xfId="11" applyFont="1" applyFill="1" applyBorder="1" applyAlignment="1">
      <alignment horizontal="center" vertical="center" wrapText="1"/>
    </xf>
    <xf numFmtId="0" fontId="82" fillId="13" borderId="113" xfId="11" applyFont="1" applyFill="1" applyBorder="1" applyAlignment="1">
      <alignment horizontal="center" vertical="center" wrapText="1"/>
    </xf>
    <xf numFmtId="0" fontId="80" fillId="0" borderId="116" xfId="11" applyFont="1" applyBorder="1" applyAlignment="1">
      <alignment horizontal="center" vertical="center"/>
    </xf>
    <xf numFmtId="0" fontId="88" fillId="8" borderId="8" xfId="14" applyFont="1" applyFill="1" applyBorder="1" applyAlignment="1">
      <alignment horizontal="centerContinuous" vertical="center"/>
    </xf>
    <xf numFmtId="0" fontId="52" fillId="8" borderId="0" xfId="14" applyFont="1" applyFill="1" applyBorder="1" applyAlignment="1">
      <alignment horizontal="centerContinuous" vertical="center"/>
    </xf>
    <xf numFmtId="3" fontId="52" fillId="8" borderId="0" xfId="14" applyNumberFormat="1" applyFont="1" applyFill="1" applyBorder="1" applyAlignment="1">
      <alignment horizontal="centerContinuous" vertical="center"/>
    </xf>
    <xf numFmtId="172" fontId="88" fillId="8" borderId="0" xfId="14" applyNumberFormat="1" applyFont="1" applyFill="1" applyBorder="1" applyAlignment="1">
      <alignment vertical="center"/>
    </xf>
    <xf numFmtId="172" fontId="88" fillId="8" borderId="66" xfId="14" applyNumberFormat="1" applyFont="1" applyFill="1" applyBorder="1" applyAlignment="1">
      <alignment vertical="center"/>
    </xf>
    <xf numFmtId="0" fontId="51" fillId="0" borderId="0" xfId="14" applyFont="1" applyAlignment="1">
      <alignment vertical="center"/>
    </xf>
    <xf numFmtId="3" fontId="51" fillId="0" borderId="0" xfId="14" applyNumberFormat="1" applyFont="1" applyAlignment="1">
      <alignment vertical="center"/>
    </xf>
    <xf numFmtId="0" fontId="51" fillId="8" borderId="70" xfId="14" applyFont="1" applyFill="1" applyBorder="1" applyAlignment="1">
      <alignment vertical="center"/>
    </xf>
    <xf numFmtId="0" fontId="51" fillId="8" borderId="71" xfId="14" applyFont="1" applyFill="1" applyBorder="1" applyAlignment="1">
      <alignment vertical="center"/>
    </xf>
    <xf numFmtId="0" fontId="51" fillId="8" borderId="71" xfId="14" applyFont="1" applyFill="1" applyBorder="1" applyAlignment="1">
      <alignment horizontal="right" vertical="center"/>
    </xf>
    <xf numFmtId="3" fontId="51" fillId="8" borderId="71" xfId="14" applyNumberFormat="1" applyFont="1" applyFill="1" applyBorder="1" applyAlignment="1">
      <alignment vertical="center"/>
    </xf>
    <xf numFmtId="0" fontId="51" fillId="8" borderId="69" xfId="14" applyFont="1" applyFill="1" applyBorder="1" applyAlignment="1">
      <alignment vertical="center"/>
    </xf>
    <xf numFmtId="0" fontId="54" fillId="8" borderId="123" xfId="14" applyFont="1" applyFill="1" applyBorder="1" applyAlignment="1">
      <alignment vertical="center"/>
    </xf>
    <xf numFmtId="0" fontId="54" fillId="8" borderId="124" xfId="14" applyFont="1" applyFill="1" applyBorder="1" applyAlignment="1">
      <alignment vertical="center"/>
    </xf>
    <xf numFmtId="0" fontId="55" fillId="8" borderId="124" xfId="6" quotePrefix="1" applyFont="1" applyFill="1" applyBorder="1" applyAlignment="1">
      <alignment horizontal="left" vertical="center"/>
    </xf>
    <xf numFmtId="3" fontId="51" fillId="8" borderId="124" xfId="14" applyNumberFormat="1" applyFont="1" applyFill="1" applyBorder="1" applyAlignment="1">
      <alignment vertical="center"/>
    </xf>
    <xf numFmtId="3" fontId="54" fillId="8" borderId="124" xfId="14" applyNumberFormat="1" applyFont="1" applyFill="1" applyBorder="1" applyAlignment="1">
      <alignment horizontal="right" vertical="center"/>
    </xf>
    <xf numFmtId="14" fontId="55" fillId="8" borderId="124" xfId="14" applyNumberFormat="1" applyFont="1" applyFill="1" applyBorder="1" applyAlignment="1">
      <alignment horizontal="centerContinuous"/>
    </xf>
    <xf numFmtId="0" fontId="51" fillId="8" borderId="125" xfId="14" applyFont="1" applyFill="1" applyBorder="1" applyAlignment="1">
      <alignment horizontal="centerContinuous"/>
    </xf>
    <xf numFmtId="0" fontId="55" fillId="8" borderId="8" xfId="14" quotePrefix="1" applyFont="1" applyFill="1" applyBorder="1" applyAlignment="1">
      <alignment horizontal="left" vertical="center"/>
    </xf>
    <xf numFmtId="0" fontId="55" fillId="8" borderId="0" xfId="14" applyFont="1" applyFill="1" applyBorder="1" applyAlignment="1">
      <alignment vertical="center"/>
    </xf>
    <xf numFmtId="0" fontId="55" fillId="8" borderId="0" xfId="6" quotePrefix="1" applyFont="1" applyFill="1" applyBorder="1" applyAlignment="1">
      <alignment horizontal="left" vertical="center"/>
    </xf>
    <xf numFmtId="3" fontId="51" fillId="8" borderId="0" xfId="14" applyNumberFormat="1" applyFont="1" applyFill="1" applyBorder="1" applyAlignment="1">
      <alignment vertical="center"/>
    </xf>
    <xf numFmtId="3" fontId="54" fillId="8" borderId="0" xfId="14" quotePrefix="1" applyNumberFormat="1" applyFont="1" applyFill="1" applyBorder="1" applyAlignment="1">
      <alignment horizontal="right" vertical="center"/>
    </xf>
    <xf numFmtId="3" fontId="54" fillId="8" borderId="0" xfId="14" applyNumberFormat="1" applyFont="1" applyFill="1" applyBorder="1" applyAlignment="1">
      <alignment horizontal="centerContinuous"/>
    </xf>
    <xf numFmtId="0" fontId="51" fillId="8" borderId="66" xfId="14" applyFont="1" applyFill="1" applyBorder="1" applyAlignment="1">
      <alignment horizontal="centerContinuous"/>
    </xf>
    <xf numFmtId="0" fontId="54" fillId="8" borderId="70" xfId="14" quotePrefix="1" applyFont="1" applyFill="1" applyBorder="1" applyAlignment="1">
      <alignment horizontal="left" vertical="center"/>
    </xf>
    <xf numFmtId="0" fontId="54" fillId="8" borderId="71" xfId="14" applyFont="1" applyFill="1" applyBorder="1" applyAlignment="1">
      <alignment vertical="center"/>
    </xf>
    <xf numFmtId="0" fontId="55" fillId="8" borderId="71" xfId="6" applyFont="1" applyFill="1" applyBorder="1" applyAlignment="1">
      <alignment vertical="center"/>
    </xf>
    <xf numFmtId="0" fontId="54" fillId="3" borderId="8" xfId="14" quotePrefix="1" applyFont="1" applyFill="1" applyBorder="1" applyAlignment="1">
      <alignment horizontal="left" vertical="center"/>
    </xf>
    <xf numFmtId="0" fontId="54" fillId="3" borderId="0" xfId="14" applyFont="1" applyFill="1" applyBorder="1" applyAlignment="1">
      <alignment vertical="center"/>
    </xf>
    <xf numFmtId="0" fontId="54" fillId="3" borderId="0" xfId="14" applyFont="1" applyFill="1" applyBorder="1" applyAlignment="1">
      <alignment horizontal="right" vertical="center"/>
    </xf>
    <xf numFmtId="3" fontId="51" fillId="3" borderId="83" xfId="14" applyNumberFormat="1" applyFont="1" applyFill="1" applyBorder="1" applyAlignment="1">
      <alignment vertical="center"/>
    </xf>
    <xf numFmtId="3" fontId="89" fillId="13" borderId="83" xfId="14" applyNumberFormat="1" applyFont="1" applyFill="1" applyBorder="1" applyAlignment="1">
      <alignment vertical="center"/>
    </xf>
    <xf numFmtId="3" fontId="51" fillId="3" borderId="127" xfId="14" applyNumberFormat="1" applyFont="1" applyFill="1" applyBorder="1" applyAlignment="1">
      <alignment vertical="center"/>
    </xf>
    <xf numFmtId="4" fontId="54" fillId="3" borderId="128" xfId="14" applyNumberFormat="1" applyFont="1" applyFill="1" applyBorder="1" applyAlignment="1">
      <alignment vertical="center"/>
    </xf>
    <xf numFmtId="0" fontId="62" fillId="3" borderId="0" xfId="14" quotePrefix="1" applyFont="1" applyFill="1" applyBorder="1" applyAlignment="1">
      <alignment vertical="center"/>
    </xf>
    <xf numFmtId="0" fontId="62" fillId="3" borderId="66" xfId="14" quotePrefix="1" applyFont="1" applyFill="1" applyBorder="1" applyAlignment="1">
      <alignment horizontal="centerContinuous" vertical="center"/>
    </xf>
    <xf numFmtId="172" fontId="54" fillId="3" borderId="83" xfId="14" applyNumberFormat="1" applyFont="1" applyFill="1" applyBorder="1" applyAlignment="1">
      <alignment horizontal="center" vertical="center"/>
    </xf>
    <xf numFmtId="3" fontId="90" fillId="13" borderId="83" xfId="7" quotePrefix="1" applyNumberFormat="1" applyFont="1" applyFill="1" applyBorder="1" applyAlignment="1">
      <alignment horizontal="center" vertical="center"/>
    </xf>
    <xf numFmtId="4" fontId="54" fillId="3" borderId="129" xfId="14" applyNumberFormat="1" applyFont="1" applyFill="1" applyBorder="1" applyAlignment="1">
      <alignment horizontal="centerContinuous" vertical="center"/>
    </xf>
    <xf numFmtId="0" fontId="67" fillId="3" borderId="43" xfId="14" applyFont="1" applyFill="1" applyBorder="1" applyAlignment="1">
      <alignment horizontal="centerContinuous" vertical="center"/>
    </xf>
    <xf numFmtId="0" fontId="67" fillId="3" borderId="84" xfId="14" applyFont="1" applyFill="1" applyBorder="1" applyAlignment="1">
      <alignment horizontal="centerContinuous" vertical="center"/>
    </xf>
    <xf numFmtId="0" fontId="54" fillId="3" borderId="8" xfId="14" applyFont="1" applyFill="1" applyBorder="1" applyAlignment="1">
      <alignment vertical="center"/>
    </xf>
    <xf numFmtId="2" fontId="54" fillId="3" borderId="122" xfId="14" applyNumberFormat="1" applyFont="1" applyFill="1" applyBorder="1" applyAlignment="1">
      <alignment vertical="center"/>
    </xf>
    <xf numFmtId="3" fontId="90" fillId="13" borderId="83" xfId="14" applyNumberFormat="1" applyFont="1" applyFill="1" applyBorder="1" applyAlignment="1">
      <alignment horizontal="center" vertical="center"/>
    </xf>
    <xf numFmtId="4" fontId="54" fillId="3" borderId="131" xfId="14" applyNumberFormat="1" applyFont="1" applyFill="1" applyBorder="1" applyAlignment="1">
      <alignment horizontal="center" vertical="center"/>
    </xf>
    <xf numFmtId="0" fontId="67" fillId="3" borderId="0" xfId="14" applyFont="1" applyFill="1" applyBorder="1" applyAlignment="1">
      <alignment horizontal="centerContinuous" vertical="center"/>
    </xf>
    <xf numFmtId="0" fontId="67" fillId="3" borderId="66" xfId="14" applyFont="1" applyFill="1" applyBorder="1" applyAlignment="1">
      <alignment horizontal="centerContinuous" vertical="center"/>
    </xf>
    <xf numFmtId="3" fontId="91" fillId="3" borderId="80" xfId="14" quotePrefix="1" applyNumberFormat="1" applyFont="1" applyFill="1" applyBorder="1" applyAlignment="1">
      <alignment horizontal="center" vertical="center"/>
    </xf>
    <xf numFmtId="3" fontId="92" fillId="13" borderId="80" xfId="14" applyNumberFormat="1" applyFont="1" applyFill="1" applyBorder="1" applyAlignment="1">
      <alignment horizontal="center" vertical="center"/>
    </xf>
    <xf numFmtId="3" fontId="91" fillId="3" borderId="82" xfId="14" quotePrefix="1" applyNumberFormat="1" applyFont="1" applyFill="1" applyBorder="1" applyAlignment="1">
      <alignment horizontal="center" vertical="center"/>
    </xf>
    <xf numFmtId="4" fontId="91" fillId="3" borderId="132" xfId="14" quotePrefix="1" applyNumberFormat="1" applyFont="1" applyFill="1" applyBorder="1" applyAlignment="1">
      <alignment horizontal="center" vertical="center"/>
    </xf>
    <xf numFmtId="0" fontId="67" fillId="3" borderId="78" xfId="14" applyFont="1" applyFill="1" applyBorder="1" applyAlignment="1">
      <alignment horizontal="center" vertical="center"/>
    </xf>
    <xf numFmtId="0" fontId="67" fillId="3" borderId="80" xfId="14" applyFont="1" applyFill="1" applyBorder="1" applyAlignment="1">
      <alignment horizontal="center" vertical="center"/>
    </xf>
    <xf numFmtId="3" fontId="60" fillId="0" borderId="83" xfId="14" applyNumberFormat="1" applyFont="1" applyFill="1" applyBorder="1" applyAlignment="1">
      <alignment vertical="center"/>
    </xf>
    <xf numFmtId="3" fontId="94" fillId="0" borderId="83" xfId="14" applyNumberFormat="1" applyFont="1" applyFill="1" applyBorder="1" applyAlignment="1">
      <alignment vertical="center"/>
    </xf>
    <xf numFmtId="3" fontId="60" fillId="0" borderId="43" xfId="14" applyNumberFormat="1" applyFont="1" applyFill="1" applyBorder="1" applyAlignment="1">
      <alignment vertical="center"/>
    </xf>
    <xf numFmtId="3" fontId="91" fillId="0" borderId="128" xfId="14" applyNumberFormat="1" applyFont="1" applyFill="1" applyBorder="1" applyAlignment="1">
      <alignment vertical="center"/>
    </xf>
    <xf numFmtId="3" fontId="95" fillId="0" borderId="66" xfId="14" applyNumberFormat="1" applyFont="1" applyFill="1" applyBorder="1" applyAlignment="1">
      <alignment vertical="center"/>
    </xf>
    <xf numFmtId="9" fontId="95" fillId="0" borderId="83" xfId="8" applyNumberFormat="1" applyFont="1" applyFill="1" applyBorder="1" applyAlignment="1">
      <alignment vertical="center"/>
    </xf>
    <xf numFmtId="0" fontId="60" fillId="0" borderId="8" xfId="7" applyFont="1" applyFill="1" applyBorder="1" applyAlignment="1">
      <alignment vertical="center"/>
    </xf>
    <xf numFmtId="0" fontId="60" fillId="0" borderId="0" xfId="14" applyFont="1" applyFill="1" applyAlignment="1">
      <alignment vertical="center"/>
    </xf>
    <xf numFmtId="0" fontId="60" fillId="0" borderId="0" xfId="14" applyFont="1" applyFill="1" applyBorder="1" applyAlignment="1">
      <alignment vertical="center"/>
    </xf>
    <xf numFmtId="0" fontId="60" fillId="0" borderId="0" xfId="14" applyFont="1" applyFill="1" applyBorder="1" applyAlignment="1">
      <alignment horizontal="right" vertical="center"/>
    </xf>
    <xf numFmtId="3" fontId="60" fillId="0" borderId="129" xfId="14" applyNumberFormat="1" applyFont="1" applyFill="1" applyBorder="1" applyAlignment="1">
      <alignment vertical="center"/>
    </xf>
    <xf numFmtId="0" fontId="51" fillId="0" borderId="0" xfId="14" applyFont="1" applyFill="1" applyAlignment="1">
      <alignment vertical="center"/>
    </xf>
    <xf numFmtId="3" fontId="51" fillId="0" borderId="0" xfId="14" applyNumberFormat="1" applyFont="1" applyFill="1" applyAlignment="1">
      <alignment vertical="center"/>
    </xf>
    <xf numFmtId="0" fontId="51" fillId="0" borderId="0" xfId="14" applyFont="1" applyFill="1" applyAlignment="1">
      <alignment horizontal="center" vertical="center"/>
    </xf>
    <xf numFmtId="4" fontId="51" fillId="0" borderId="0" xfId="14" applyNumberFormat="1" applyFont="1" applyFill="1" applyAlignment="1">
      <alignment vertical="center"/>
    </xf>
    <xf numFmtId="3" fontId="91" fillId="0" borderId="129" xfId="14" applyNumberFormat="1" applyFont="1" applyFill="1" applyBorder="1" applyAlignment="1">
      <alignment vertical="center"/>
    </xf>
    <xf numFmtId="0" fontId="55" fillId="0" borderId="107" xfId="14" applyFont="1" applyFill="1" applyBorder="1" applyAlignment="1">
      <alignment vertical="center"/>
    </xf>
    <xf numFmtId="0" fontId="55" fillId="0" borderId="133" xfId="14" applyFont="1" applyFill="1" applyBorder="1" applyAlignment="1">
      <alignment vertical="center"/>
    </xf>
    <xf numFmtId="3" fontId="91" fillId="0" borderId="105" xfId="14" applyNumberFormat="1" applyFont="1" applyFill="1" applyBorder="1" applyAlignment="1">
      <alignment vertical="center"/>
    </xf>
    <xf numFmtId="3" fontId="92" fillId="0" borderId="105" xfId="14" applyNumberFormat="1" applyFont="1" applyFill="1" applyBorder="1" applyAlignment="1">
      <alignment vertical="center"/>
    </xf>
    <xf numFmtId="3" fontId="91" fillId="0" borderId="104" xfId="14" applyNumberFormat="1" applyFont="1" applyFill="1" applyBorder="1" applyAlignment="1">
      <alignment vertical="center"/>
    </xf>
    <xf numFmtId="3" fontId="91" fillId="0" borderId="37" xfId="14" applyNumberFormat="1" applyFont="1" applyFill="1" applyBorder="1" applyAlignment="1">
      <alignment vertical="center"/>
    </xf>
    <xf numFmtId="0" fontId="49" fillId="8" borderId="123" xfId="14" applyFont="1" applyFill="1" applyBorder="1" applyAlignment="1">
      <alignment vertical="center"/>
    </xf>
    <xf numFmtId="0" fontId="49" fillId="8" borderId="123" xfId="15" applyFont="1" applyFill="1" applyBorder="1" applyAlignment="1">
      <alignment vertical="center"/>
    </xf>
    <xf numFmtId="0" fontId="50" fillId="8" borderId="124" xfId="15" applyFont="1" applyFill="1" applyBorder="1" applyAlignment="1">
      <alignment vertical="center"/>
    </xf>
    <xf numFmtId="3" fontId="50" fillId="8" borderId="124" xfId="15" applyNumberFormat="1" applyFont="1" applyFill="1" applyBorder="1" applyAlignment="1">
      <alignment vertical="center"/>
    </xf>
    <xf numFmtId="165" fontId="51" fillId="8" borderId="125" xfId="10" applyNumberFormat="1" applyFont="1" applyFill="1" applyBorder="1" applyAlignment="1">
      <alignment vertical="center"/>
    </xf>
    <xf numFmtId="0" fontId="51" fillId="0" borderId="0" xfId="15" applyFont="1" applyAlignment="1">
      <alignment vertical="center"/>
    </xf>
    <xf numFmtId="0" fontId="50" fillId="8" borderId="8" xfId="15" applyFont="1" applyFill="1" applyBorder="1" applyAlignment="1">
      <alignment vertical="center"/>
    </xf>
    <xf numFmtId="0" fontId="50" fillId="8" borderId="0" xfId="15" applyFont="1" applyFill="1" applyBorder="1" applyAlignment="1">
      <alignment vertical="center"/>
    </xf>
    <xf numFmtId="3" fontId="50" fillId="8" borderId="0" xfId="15" applyNumberFormat="1" applyFont="1" applyFill="1" applyBorder="1" applyAlignment="1">
      <alignment vertical="center"/>
    </xf>
    <xf numFmtId="165" fontId="51" fillId="8" borderId="66" xfId="10" applyNumberFormat="1" applyFont="1" applyFill="1" applyBorder="1" applyAlignment="1">
      <alignment vertical="center"/>
    </xf>
    <xf numFmtId="0" fontId="51" fillId="8" borderId="70" xfId="15" applyFont="1" applyFill="1" applyBorder="1" applyAlignment="1">
      <alignment vertical="center"/>
    </xf>
    <xf numFmtId="0" fontId="51" fillId="8" borderId="71" xfId="15" applyFont="1" applyFill="1" applyBorder="1" applyAlignment="1">
      <alignment vertical="center"/>
    </xf>
    <xf numFmtId="3" fontId="51" fillId="8" borderId="71" xfId="15" applyNumberFormat="1" applyFont="1" applyFill="1" applyBorder="1" applyAlignment="1">
      <alignment vertical="center"/>
    </xf>
    <xf numFmtId="165" fontId="51" fillId="8" borderId="69" xfId="10" applyNumberFormat="1" applyFont="1" applyFill="1" applyBorder="1" applyAlignment="1">
      <alignment vertical="center"/>
    </xf>
    <xf numFmtId="0" fontId="54" fillId="8" borderId="123" xfId="15" quotePrefix="1" applyFont="1" applyFill="1" applyBorder="1" applyAlignment="1">
      <alignment horizontal="left" vertical="center"/>
    </xf>
    <xf numFmtId="0" fontId="54" fillId="8" borderId="124" xfId="15" applyFont="1" applyFill="1" applyBorder="1" applyAlignment="1">
      <alignment vertical="center"/>
    </xf>
    <xf numFmtId="3" fontId="54" fillId="8" borderId="124" xfId="15" applyNumberFormat="1" applyFont="1" applyFill="1" applyBorder="1" applyAlignment="1">
      <alignment vertical="center"/>
    </xf>
    <xf numFmtId="4" fontId="54" fillId="8" borderId="124" xfId="15" applyNumberFormat="1" applyFont="1" applyFill="1" applyBorder="1" applyAlignment="1">
      <alignment horizontal="right" vertical="center"/>
    </xf>
    <xf numFmtId="14" fontId="54" fillId="8" borderId="125" xfId="15" applyNumberFormat="1" applyFont="1" applyFill="1" applyBorder="1" applyAlignment="1">
      <alignment horizontal="left" vertical="center"/>
    </xf>
    <xf numFmtId="0" fontId="54" fillId="8" borderId="8" xfId="15" quotePrefix="1" applyFont="1" applyFill="1" applyBorder="1" applyAlignment="1">
      <alignment horizontal="left" vertical="center"/>
    </xf>
    <xf numFmtId="0" fontId="54" fillId="8" borderId="0" xfId="15" applyFont="1" applyFill="1" applyBorder="1" applyAlignment="1">
      <alignment vertical="center"/>
    </xf>
    <xf numFmtId="3" fontId="54" fillId="8" borderId="0" xfId="15" applyNumberFormat="1" applyFont="1" applyFill="1" applyBorder="1" applyAlignment="1">
      <alignment vertical="center"/>
    </xf>
    <xf numFmtId="4" fontId="54" fillId="8" borderId="0" xfId="15" quotePrefix="1" applyNumberFormat="1" applyFont="1" applyFill="1" applyBorder="1" applyAlignment="1">
      <alignment horizontal="right" vertical="center"/>
    </xf>
    <xf numFmtId="0" fontId="55" fillId="8" borderId="66" xfId="15" applyFont="1" applyFill="1" applyBorder="1" applyAlignment="1">
      <alignment vertical="center"/>
    </xf>
    <xf numFmtId="0" fontId="54" fillId="8" borderId="70" xfId="15" quotePrefix="1" applyFont="1" applyFill="1" applyBorder="1" applyAlignment="1">
      <alignment horizontal="left" vertical="center"/>
    </xf>
    <xf numFmtId="0" fontId="54" fillId="8" borderId="71" xfId="15" applyFont="1" applyFill="1" applyBorder="1" applyAlignment="1">
      <alignment vertical="center"/>
    </xf>
    <xf numFmtId="165" fontId="51" fillId="8" borderId="69" xfId="15" applyNumberFormat="1" applyFont="1" applyFill="1" applyBorder="1" applyAlignment="1">
      <alignment vertical="center"/>
    </xf>
    <xf numFmtId="0" fontId="54" fillId="3" borderId="123" xfId="15" quotePrefix="1" applyFont="1" applyFill="1" applyBorder="1" applyAlignment="1">
      <alignment horizontal="center" vertical="center"/>
    </xf>
    <xf numFmtId="0" fontId="54" fillId="3" borderId="125" xfId="15" applyFont="1" applyFill="1" applyBorder="1" applyAlignment="1">
      <alignment horizontal="center" vertical="center"/>
    </xf>
    <xf numFmtId="3" fontId="54" fillId="3" borderId="125" xfId="15" applyNumberFormat="1" applyFont="1" applyFill="1" applyBorder="1" applyAlignment="1">
      <alignment horizontal="center" vertical="center"/>
    </xf>
    <xf numFmtId="0" fontId="54" fillId="3" borderId="126" xfId="15" applyFont="1" applyFill="1" applyBorder="1" applyAlignment="1">
      <alignment horizontal="center" vertical="center"/>
    </xf>
    <xf numFmtId="165" fontId="91" fillId="3" borderId="134" xfId="10" applyNumberFormat="1" applyFont="1" applyFill="1" applyBorder="1" applyAlignment="1">
      <alignment horizontal="center" vertical="center"/>
    </xf>
    <xf numFmtId="0" fontId="54" fillId="0" borderId="0" xfId="15" applyFont="1" applyAlignment="1">
      <alignment horizontal="center" vertical="center"/>
    </xf>
    <xf numFmtId="0" fontId="54" fillId="3" borderId="69" xfId="15" applyFont="1" applyFill="1" applyBorder="1" applyAlignment="1">
      <alignment vertical="center"/>
    </xf>
    <xf numFmtId="0" fontId="60" fillId="0" borderId="8" xfId="15" applyFont="1" applyBorder="1" applyAlignment="1">
      <alignment horizontal="left" vertical="center"/>
    </xf>
    <xf numFmtId="0" fontId="60" fillId="0" borderId="66" xfId="15" applyFont="1" applyBorder="1" applyAlignment="1">
      <alignment horizontal="center" vertical="center"/>
    </xf>
    <xf numFmtId="3" fontId="51" fillId="0" borderId="66" xfId="15" applyNumberFormat="1" applyFont="1" applyBorder="1" applyAlignment="1">
      <alignment horizontal="center" vertical="center"/>
    </xf>
    <xf numFmtId="3" fontId="51" fillId="0" borderId="83" xfId="15" applyNumberFormat="1" applyFont="1" applyBorder="1" applyAlignment="1">
      <alignment vertical="center"/>
    </xf>
    <xf numFmtId="166" fontId="51" fillId="0" borderId="83" xfId="15" applyNumberFormat="1" applyFont="1" applyBorder="1" applyAlignment="1">
      <alignment vertical="center"/>
    </xf>
    <xf numFmtId="3" fontId="51" fillId="0" borderId="8" xfId="15" applyNumberFormat="1" applyFont="1" applyBorder="1" applyAlignment="1">
      <alignment vertical="center"/>
    </xf>
    <xf numFmtId="3" fontId="51" fillId="0" borderId="84" xfId="10" applyNumberFormat="1" applyFont="1" applyBorder="1" applyAlignment="1">
      <alignment vertical="center"/>
    </xf>
    <xf numFmtId="3" fontId="51" fillId="0" borderId="0" xfId="15" applyNumberFormat="1" applyFont="1" applyAlignment="1">
      <alignment vertical="center"/>
    </xf>
    <xf numFmtId="4" fontId="51" fillId="0" borderId="83" xfId="15" applyNumberFormat="1" applyFont="1" applyBorder="1" applyAlignment="1">
      <alignment vertical="center"/>
    </xf>
    <xf numFmtId="0" fontId="91" fillId="3" borderId="108" xfId="15" applyFont="1" applyFill="1" applyBorder="1" applyAlignment="1">
      <alignment vertical="center"/>
    </xf>
    <xf numFmtId="0" fontId="60" fillId="3" borderId="136" xfId="15" applyFont="1" applyFill="1" applyBorder="1" applyAlignment="1">
      <alignment horizontal="center" vertical="center"/>
    </xf>
    <xf numFmtId="3" fontId="54" fillId="3" borderId="80" xfId="15" applyNumberFormat="1" applyFont="1" applyFill="1" applyBorder="1" applyAlignment="1">
      <alignment horizontal="center" vertical="center"/>
    </xf>
    <xf numFmtId="3" fontId="54" fillId="3" borderId="80" xfId="15" applyNumberFormat="1" applyFont="1" applyFill="1" applyBorder="1" applyAlignment="1">
      <alignment vertical="center"/>
    </xf>
    <xf numFmtId="3" fontId="54" fillId="3" borderId="108" xfId="15" applyNumberFormat="1" applyFont="1" applyFill="1" applyBorder="1" applyAlignment="1">
      <alignment vertical="center"/>
    </xf>
    <xf numFmtId="3" fontId="54" fillId="3" borderId="81" xfId="15" applyNumberFormat="1" applyFont="1" applyFill="1" applyBorder="1" applyAlignment="1">
      <alignment vertical="center"/>
    </xf>
    <xf numFmtId="3" fontId="66" fillId="0" borderId="0" xfId="15" applyNumberFormat="1" applyFont="1" applyAlignment="1">
      <alignment vertical="center"/>
    </xf>
    <xf numFmtId="0" fontId="91" fillId="0" borderId="8" xfId="15" applyFont="1" applyBorder="1" applyAlignment="1">
      <alignment horizontal="center" vertical="center"/>
    </xf>
    <xf numFmtId="3" fontId="54" fillId="0" borderId="66" xfId="15" applyNumberFormat="1" applyFont="1" applyBorder="1" applyAlignment="1">
      <alignment horizontal="center" vertical="center"/>
    </xf>
    <xf numFmtId="3" fontId="54" fillId="0" borderId="83" xfId="15" applyNumberFormat="1" applyFont="1" applyBorder="1" applyAlignment="1">
      <alignment vertical="center"/>
    </xf>
    <xf numFmtId="166" fontId="54" fillId="0" borderId="83" xfId="15" applyNumberFormat="1" applyFont="1" applyBorder="1" applyAlignment="1">
      <alignment vertical="center"/>
    </xf>
    <xf numFmtId="3" fontId="54" fillId="0" borderId="8" xfId="15" applyNumberFormat="1" applyFont="1" applyBorder="1" applyAlignment="1">
      <alignment vertical="center"/>
    </xf>
    <xf numFmtId="3" fontId="54" fillId="0" borderId="84" xfId="10" applyNumberFormat="1" applyFont="1" applyBorder="1" applyAlignment="1">
      <alignment vertical="center"/>
    </xf>
    <xf numFmtId="0" fontId="91" fillId="0" borderId="66" xfId="15" applyFont="1" applyBorder="1" applyAlignment="1">
      <alignment horizontal="center" vertical="center"/>
    </xf>
    <xf numFmtId="0" fontId="60" fillId="0" borderId="8" xfId="15" applyFont="1" applyBorder="1" applyAlignment="1">
      <alignment vertical="center"/>
    </xf>
    <xf numFmtId="1" fontId="51" fillId="0" borderId="83" xfId="15" applyNumberFormat="1" applyFont="1" applyBorder="1" applyAlignment="1">
      <alignment vertical="center"/>
    </xf>
    <xf numFmtId="1" fontId="51" fillId="0" borderId="8" xfId="15" applyNumberFormat="1" applyFont="1" applyBorder="1" applyAlignment="1">
      <alignment vertical="center"/>
    </xf>
    <xf numFmtId="1" fontId="51" fillId="0" borderId="84" xfId="10" applyNumberFormat="1" applyFont="1" applyBorder="1" applyAlignment="1">
      <alignment vertical="center"/>
    </xf>
    <xf numFmtId="1" fontId="51" fillId="0" borderId="83" xfId="15" applyNumberFormat="1" applyFont="1" applyFill="1" applyBorder="1" applyAlignment="1">
      <alignment vertical="center"/>
    </xf>
    <xf numFmtId="1" fontId="51" fillId="0" borderId="8" xfId="15" applyNumberFormat="1" applyFont="1" applyFill="1" applyBorder="1" applyAlignment="1">
      <alignment vertical="center"/>
    </xf>
    <xf numFmtId="0" fontId="91" fillId="3" borderId="123" xfId="15" applyFont="1" applyFill="1" applyBorder="1" applyAlignment="1">
      <alignment vertical="center"/>
    </xf>
    <xf numFmtId="0" fontId="60" fillId="3" borderId="125" xfId="15" applyFont="1" applyFill="1" applyBorder="1" applyAlignment="1">
      <alignment horizontal="center" vertical="center"/>
    </xf>
    <xf numFmtId="3" fontId="54" fillId="3" borderId="126" xfId="15" applyNumberFormat="1" applyFont="1" applyFill="1" applyBorder="1" applyAlignment="1">
      <alignment horizontal="center" vertical="center"/>
    </xf>
    <xf numFmtId="3" fontId="54" fillId="3" borderId="123" xfId="15" applyNumberFormat="1" applyFont="1" applyFill="1" applyBorder="1" applyAlignment="1">
      <alignment horizontal="center" vertical="center"/>
    </xf>
    <xf numFmtId="3" fontId="54" fillId="3" borderId="134" xfId="15" applyNumberFormat="1" applyFont="1" applyFill="1" applyBorder="1" applyAlignment="1">
      <alignment vertical="center"/>
    </xf>
    <xf numFmtId="0" fontId="91" fillId="8" borderId="137" xfId="15" applyFont="1" applyFill="1" applyBorder="1" applyAlignment="1">
      <alignment vertical="center"/>
    </xf>
    <xf numFmtId="0" fontId="60" fillId="8" borderId="138" xfId="15" applyFont="1" applyFill="1" applyBorder="1" applyAlignment="1">
      <alignment horizontal="center" vertical="center"/>
    </xf>
    <xf numFmtId="3" fontId="54" fillId="8" borderId="139" xfId="15" applyNumberFormat="1" applyFont="1" applyFill="1" applyBorder="1" applyAlignment="1">
      <alignment vertical="center"/>
    </xf>
    <xf numFmtId="3" fontId="54" fillId="8" borderId="139" xfId="15" applyNumberFormat="1" applyFont="1" applyFill="1" applyBorder="1" applyAlignment="1">
      <alignment horizontal="center" vertical="center"/>
    </xf>
    <xf numFmtId="3" fontId="54" fillId="8" borderId="137" xfId="15" applyNumberFormat="1" applyFont="1" applyFill="1" applyBorder="1" applyAlignment="1">
      <alignment horizontal="center" vertical="center"/>
    </xf>
    <xf numFmtId="3" fontId="54" fillId="8" borderId="140" xfId="15" applyNumberFormat="1" applyFont="1" applyFill="1" applyBorder="1" applyAlignment="1">
      <alignment vertical="center"/>
    </xf>
    <xf numFmtId="0" fontId="91" fillId="0" borderId="8" xfId="15" applyFont="1" applyBorder="1" applyAlignment="1">
      <alignment vertical="center"/>
    </xf>
    <xf numFmtId="3" fontId="54" fillId="0" borderId="83" xfId="15" applyNumberFormat="1" applyFont="1" applyBorder="1" applyAlignment="1">
      <alignment horizontal="center" vertical="center"/>
    </xf>
    <xf numFmtId="3" fontId="54" fillId="0" borderId="8" xfId="15" applyNumberFormat="1" applyFont="1" applyBorder="1" applyAlignment="1">
      <alignment horizontal="center" vertical="center"/>
    </xf>
    <xf numFmtId="3" fontId="54" fillId="0" borderId="84" xfId="15" applyNumberFormat="1" applyFont="1" applyBorder="1" applyAlignment="1">
      <alignment vertical="center"/>
    </xf>
    <xf numFmtId="3" fontId="60" fillId="0" borderId="8" xfId="15" applyNumberFormat="1" applyFont="1" applyBorder="1" applyAlignment="1">
      <alignment vertical="center"/>
    </xf>
    <xf numFmtId="3" fontId="54" fillId="3" borderId="108" xfId="15" applyNumberFormat="1" applyFont="1" applyFill="1" applyBorder="1" applyAlignment="1">
      <alignment horizontal="center" vertical="center"/>
    </xf>
    <xf numFmtId="0" fontId="91" fillId="8" borderId="108" xfId="15" applyFont="1" applyFill="1" applyBorder="1" applyAlignment="1">
      <alignment horizontal="left" vertical="center"/>
    </xf>
    <xf numFmtId="0" fontId="60" fillId="8" borderId="136" xfId="15" applyFont="1" applyFill="1" applyBorder="1" applyAlignment="1">
      <alignment horizontal="center" vertical="center"/>
    </xf>
    <xf numFmtId="3" fontId="54" fillId="8" borderId="80" xfId="15" applyNumberFormat="1" applyFont="1" applyFill="1" applyBorder="1" applyAlignment="1">
      <alignment horizontal="center" vertical="center"/>
    </xf>
    <xf numFmtId="3" fontId="54" fillId="8" borderId="108" xfId="15" applyNumberFormat="1" applyFont="1" applyFill="1" applyBorder="1" applyAlignment="1">
      <alignment horizontal="center" vertical="center"/>
    </xf>
    <xf numFmtId="3" fontId="54" fillId="8" borderId="81" xfId="15" applyNumberFormat="1" applyFont="1" applyFill="1" applyBorder="1" applyAlignment="1">
      <alignment horizontal="center" vertical="center"/>
    </xf>
    <xf numFmtId="3" fontId="51" fillId="0" borderId="0" xfId="15" applyNumberFormat="1" applyFont="1" applyAlignment="1">
      <alignment horizontal="center" vertical="center"/>
    </xf>
    <xf numFmtId="0" fontId="51" fillId="0" borderId="0" xfId="15" applyFont="1" applyAlignment="1">
      <alignment horizontal="center" vertical="center"/>
    </xf>
    <xf numFmtId="0" fontId="54" fillId="3" borderId="70" xfId="15" quotePrefix="1" applyFont="1" applyFill="1" applyBorder="1" applyAlignment="1">
      <alignment horizontal="left" vertical="center"/>
    </xf>
    <xf numFmtId="3" fontId="54" fillId="3" borderId="69" xfId="15" applyNumberFormat="1" applyFont="1" applyFill="1" applyBorder="1" applyAlignment="1">
      <alignment horizontal="center" vertical="center"/>
    </xf>
    <xf numFmtId="3" fontId="60" fillId="3" borderId="122" xfId="15" applyNumberFormat="1" applyFont="1" applyFill="1" applyBorder="1" applyAlignment="1">
      <alignment horizontal="center" vertical="center" wrapText="1"/>
    </xf>
    <xf numFmtId="173" fontId="96" fillId="3" borderId="70" xfId="15" applyNumberFormat="1" applyFont="1" applyFill="1" applyBorder="1" applyAlignment="1">
      <alignment horizontal="center" vertical="center" wrapText="1"/>
    </xf>
    <xf numFmtId="165" fontId="91" fillId="3" borderId="135" xfId="10" applyNumberFormat="1" applyFont="1" applyFill="1" applyBorder="1" applyAlignment="1">
      <alignment horizontal="center" vertical="center" wrapText="1"/>
    </xf>
    <xf numFmtId="0" fontId="97" fillId="2" borderId="0" xfId="16" applyFont="1" applyFill="1" applyAlignment="1" applyProtection="1">
      <alignment vertical="center"/>
      <protection locked="0"/>
    </xf>
    <xf numFmtId="3" fontId="97" fillId="2" borderId="0" xfId="16" applyNumberFormat="1" applyFont="1" applyFill="1" applyAlignment="1" applyProtection="1">
      <alignment horizontal="center" vertical="center"/>
      <protection locked="0"/>
    </xf>
    <xf numFmtId="3" fontId="97" fillId="2" borderId="0" xfId="16" applyNumberFormat="1" applyFont="1" applyFill="1" applyAlignment="1" applyProtection="1">
      <alignment vertical="center"/>
      <protection locked="0"/>
    </xf>
    <xf numFmtId="10" fontId="97" fillId="2" borderId="0" xfId="16" applyNumberFormat="1" applyFont="1" applyFill="1" applyAlignment="1" applyProtection="1">
      <alignment vertical="center"/>
      <protection locked="0"/>
    </xf>
    <xf numFmtId="0" fontId="97" fillId="2" borderId="0" xfId="16" applyFont="1" applyFill="1" applyAlignment="1" applyProtection="1">
      <alignment horizontal="center" vertical="center"/>
      <protection locked="0"/>
    </xf>
    <xf numFmtId="0" fontId="98" fillId="2" borderId="0" xfId="16" applyFont="1" applyFill="1" applyAlignment="1" applyProtection="1">
      <alignment vertical="center"/>
    </xf>
    <xf numFmtId="0" fontId="99" fillId="2" borderId="1" xfId="16" applyFont="1" applyFill="1" applyBorder="1" applyAlignment="1" applyProtection="1">
      <alignment vertical="center"/>
      <protection locked="0"/>
    </xf>
    <xf numFmtId="0" fontId="99" fillId="2" borderId="4" xfId="16" applyFont="1" applyFill="1" applyBorder="1" applyAlignment="1" applyProtection="1">
      <alignment vertical="center"/>
      <protection locked="0"/>
    </xf>
    <xf numFmtId="0" fontId="100" fillId="2" borderId="2" xfId="16" applyFont="1" applyFill="1" applyBorder="1" applyAlignment="1" applyProtection="1">
      <alignment vertical="center"/>
      <protection locked="0"/>
    </xf>
    <xf numFmtId="165" fontId="101" fillId="2" borderId="4" xfId="16" applyNumberFormat="1" applyFont="1" applyFill="1" applyBorder="1" applyAlignment="1" applyProtection="1">
      <alignment horizontal="left" vertical="center"/>
      <protection locked="0"/>
    </xf>
    <xf numFmtId="17" fontId="101" fillId="2" borderId="4" xfId="16" applyNumberFormat="1" applyFont="1" applyFill="1" applyBorder="1" applyAlignment="1" applyProtection="1">
      <alignment horizontal="right" vertical="center"/>
      <protection locked="0"/>
    </xf>
    <xf numFmtId="17" fontId="99" fillId="2" borderId="5" xfId="16" applyNumberFormat="1" applyFont="1" applyFill="1" applyBorder="1" applyAlignment="1" applyProtection="1">
      <alignment horizontal="left" vertical="center"/>
      <protection locked="0"/>
    </xf>
    <xf numFmtId="0" fontId="99" fillId="2" borderId="0" xfId="16" applyFont="1" applyFill="1" applyAlignment="1" applyProtection="1">
      <alignment vertical="center"/>
      <protection locked="0"/>
    </xf>
    <xf numFmtId="165" fontId="101" fillId="2" borderId="0" xfId="16" applyNumberFormat="1" applyFont="1" applyFill="1" applyBorder="1" applyAlignment="1" applyProtection="1">
      <alignment horizontal="left" vertical="center"/>
      <protection locked="0"/>
    </xf>
    <xf numFmtId="0" fontId="99" fillId="2" borderId="0" xfId="16" applyFont="1" applyFill="1" applyBorder="1" applyAlignment="1" applyProtection="1">
      <alignment vertical="center"/>
      <protection locked="0"/>
    </xf>
    <xf numFmtId="0" fontId="101" fillId="2" borderId="0" xfId="16" applyFont="1" applyFill="1" applyBorder="1" applyAlignment="1" applyProtection="1">
      <alignment horizontal="right" vertical="center"/>
      <protection locked="0"/>
    </xf>
    <xf numFmtId="0" fontId="99" fillId="2" borderId="9" xfId="16" applyFont="1" applyFill="1" applyBorder="1" applyAlignment="1" applyProtection="1">
      <alignment horizontal="left" vertical="center"/>
      <protection locked="0"/>
    </xf>
    <xf numFmtId="0" fontId="104" fillId="2" borderId="8" xfId="16" applyFont="1" applyFill="1" applyBorder="1" applyAlignment="1" applyProtection="1">
      <alignment horizontal="center" vertical="center"/>
      <protection locked="0"/>
    </xf>
    <xf numFmtId="0" fontId="104" fillId="2" borderId="0" xfId="16" applyFont="1" applyFill="1" applyBorder="1" applyAlignment="1" applyProtection="1">
      <alignment horizontal="center" vertical="center"/>
      <protection locked="0"/>
    </xf>
    <xf numFmtId="0" fontId="104" fillId="2" borderId="66" xfId="16" applyFont="1" applyFill="1" applyBorder="1" applyAlignment="1" applyProtection="1">
      <alignment horizontal="center" vertical="center"/>
      <protection locked="0"/>
    </xf>
    <xf numFmtId="0" fontId="104" fillId="2" borderId="0" xfId="16" applyFont="1" applyFill="1" applyBorder="1" applyAlignment="1" applyProtection="1">
      <alignment horizontal="center" vertical="center"/>
      <protection locked="0"/>
    </xf>
    <xf numFmtId="0" fontId="104" fillId="2" borderId="66" xfId="16" applyFont="1" applyFill="1" applyBorder="1" applyAlignment="1" applyProtection="1">
      <alignment horizontal="center" vertical="center"/>
      <protection locked="0"/>
    </xf>
    <xf numFmtId="3" fontId="101" fillId="2" borderId="0" xfId="16" applyNumberFormat="1" applyFont="1" applyFill="1" applyBorder="1" applyAlignment="1" applyProtection="1">
      <alignment horizontal="right" vertical="center"/>
      <protection locked="0"/>
    </xf>
    <xf numFmtId="0" fontId="98" fillId="2" borderId="0" xfId="16" applyFont="1" applyFill="1" applyBorder="1" applyAlignment="1" applyProtection="1">
      <alignment vertical="center"/>
    </xf>
    <xf numFmtId="0" fontId="99" fillId="2" borderId="10" xfId="16" applyFont="1" applyFill="1" applyBorder="1" applyAlignment="1" applyProtection="1">
      <alignment vertical="center"/>
      <protection locked="0"/>
    </xf>
    <xf numFmtId="0" fontId="99" fillId="2" borderId="11" xfId="16" applyFont="1" applyFill="1" applyBorder="1" applyAlignment="1" applyProtection="1">
      <alignment vertical="center"/>
      <protection locked="0"/>
    </xf>
    <xf numFmtId="0" fontId="99" fillId="2" borderId="13" xfId="16" applyFont="1" applyFill="1" applyBorder="1" applyAlignment="1" applyProtection="1">
      <alignment horizontal="right" vertical="center"/>
      <protection locked="0"/>
    </xf>
    <xf numFmtId="165" fontId="101" fillId="2" borderId="11" xfId="16" applyNumberFormat="1" applyFont="1" applyFill="1" applyBorder="1" applyAlignment="1" applyProtection="1">
      <alignment horizontal="left" vertical="center"/>
      <protection locked="0"/>
    </xf>
    <xf numFmtId="0" fontId="99" fillId="2" borderId="11" xfId="16" applyFont="1" applyFill="1" applyBorder="1" applyAlignment="1" applyProtection="1">
      <alignment vertical="center"/>
    </xf>
    <xf numFmtId="3" fontId="101" fillId="2" borderId="11" xfId="16" applyNumberFormat="1" applyFont="1" applyFill="1" applyBorder="1" applyAlignment="1" applyProtection="1">
      <alignment horizontal="right" vertical="center"/>
      <protection locked="0"/>
    </xf>
    <xf numFmtId="3" fontId="99" fillId="2" borderId="14" xfId="16" applyNumberFormat="1" applyFont="1" applyFill="1" applyBorder="1" applyAlignment="1" applyProtection="1">
      <alignment horizontal="left" vertical="center"/>
      <protection locked="0"/>
    </xf>
    <xf numFmtId="0" fontId="99" fillId="2" borderId="0" xfId="16" applyFont="1" applyFill="1" applyBorder="1" applyAlignment="1" applyProtection="1">
      <alignment vertical="center"/>
    </xf>
    <xf numFmtId="0" fontId="97" fillId="2" borderId="1" xfId="16" applyFont="1" applyFill="1" applyBorder="1" applyAlignment="1" applyProtection="1">
      <alignment vertical="center"/>
      <protection locked="0"/>
    </xf>
    <xf numFmtId="0" fontId="97" fillId="2" borderId="0" xfId="16" applyFont="1" applyFill="1" applyBorder="1" applyAlignment="1" applyProtection="1">
      <alignment vertical="center"/>
      <protection locked="0"/>
    </xf>
    <xf numFmtId="3" fontId="97" fillId="2" borderId="0" xfId="16" applyNumberFormat="1" applyFont="1" applyFill="1" applyBorder="1" applyAlignment="1" applyProtection="1">
      <alignment horizontal="center" vertical="center"/>
      <protection locked="0"/>
    </xf>
    <xf numFmtId="3" fontId="97" fillId="2" borderId="0" xfId="16" applyNumberFormat="1" applyFont="1" applyFill="1" applyBorder="1" applyAlignment="1" applyProtection="1">
      <alignment vertical="center"/>
      <protection locked="0"/>
    </xf>
    <xf numFmtId="10" fontId="97" fillId="2" borderId="0" xfId="16" applyNumberFormat="1" applyFont="1" applyFill="1" applyBorder="1" applyAlignment="1" applyProtection="1">
      <alignment vertical="center"/>
      <protection locked="0"/>
    </xf>
    <xf numFmtId="0" fontId="97" fillId="2" borderId="0" xfId="16" applyFont="1" applyFill="1" applyBorder="1" applyAlignment="1" applyProtection="1">
      <alignment horizontal="center" vertical="center"/>
      <protection locked="0"/>
    </xf>
    <xf numFmtId="0" fontId="97" fillId="2" borderId="9" xfId="16" applyFont="1" applyFill="1" applyBorder="1" applyAlignment="1" applyProtection="1">
      <alignment vertical="center"/>
      <protection locked="0"/>
    </xf>
    <xf numFmtId="0" fontId="98" fillId="2" borderId="0" xfId="16" quotePrefix="1" applyFont="1" applyFill="1" applyBorder="1" applyAlignment="1" applyProtection="1">
      <alignment vertical="center"/>
    </xf>
    <xf numFmtId="0" fontId="97" fillId="2" borderId="6" xfId="16" applyFont="1" applyFill="1" applyBorder="1" applyAlignment="1" applyProtection="1">
      <alignment vertical="center"/>
      <protection locked="0"/>
    </xf>
    <xf numFmtId="0" fontId="101" fillId="2" borderId="0" xfId="16" applyFont="1" applyFill="1" applyAlignment="1" applyProtection="1">
      <alignment vertical="center"/>
      <protection locked="0"/>
    </xf>
    <xf numFmtId="0" fontId="106" fillId="0" borderId="6" xfId="16" applyFont="1" applyBorder="1" applyAlignment="1">
      <alignment horizontal="left" vertical="center"/>
    </xf>
    <xf numFmtId="0" fontId="107" fillId="0" borderId="0" xfId="16" applyFont="1" applyBorder="1" applyAlignment="1">
      <alignment horizontal="left" vertical="center"/>
    </xf>
    <xf numFmtId="0" fontId="101" fillId="2" borderId="0" xfId="16" applyFont="1" applyFill="1" applyBorder="1" applyAlignment="1" applyProtection="1">
      <alignment vertical="center"/>
      <protection locked="0"/>
    </xf>
    <xf numFmtId="3" fontId="101" fillId="2" borderId="0" xfId="1" applyNumberFormat="1" applyFont="1" applyFill="1" applyBorder="1" applyAlignment="1" applyProtection="1">
      <alignment vertical="center"/>
    </xf>
    <xf numFmtId="0" fontId="101" fillId="2" borderId="6" xfId="16" applyFont="1" applyFill="1" applyBorder="1" applyAlignment="1" applyProtection="1">
      <alignment horizontal="left" vertical="center"/>
      <protection locked="0"/>
    </xf>
    <xf numFmtId="0" fontId="101" fillId="2" borderId="0" xfId="16" applyFont="1" applyFill="1" applyBorder="1" applyAlignment="1" applyProtection="1">
      <alignment horizontal="left" vertical="center"/>
      <protection locked="0"/>
    </xf>
    <xf numFmtId="0" fontId="108" fillId="2" borderId="0" xfId="16" applyFont="1" applyFill="1" applyBorder="1" applyAlignment="1" applyProtection="1">
      <alignment horizontal="center" vertical="center"/>
      <protection locked="0"/>
    </xf>
    <xf numFmtId="3" fontId="101" fillId="2" borderId="0" xfId="1" applyNumberFormat="1" applyFont="1" applyFill="1" applyBorder="1" applyAlignment="1" applyProtection="1">
      <alignment horizontal="center" vertical="center" wrapText="1"/>
    </xf>
    <xf numFmtId="3" fontId="101" fillId="2" borderId="0" xfId="1" applyNumberFormat="1" applyFont="1" applyFill="1" applyBorder="1" applyAlignment="1" applyProtection="1">
      <alignment vertical="center" wrapText="1"/>
    </xf>
    <xf numFmtId="3" fontId="101" fillId="2" borderId="9" xfId="1" applyNumberFormat="1" applyFont="1" applyFill="1" applyBorder="1" applyAlignment="1" applyProtection="1">
      <alignment vertical="center" wrapText="1"/>
    </xf>
    <xf numFmtId="3" fontId="99" fillId="2" borderId="0" xfId="16" applyNumberFormat="1" applyFont="1" applyFill="1" applyBorder="1" applyAlignment="1" applyProtection="1">
      <alignment horizontal="center" vertical="center"/>
      <protection locked="0"/>
    </xf>
    <xf numFmtId="3" fontId="99" fillId="2" borderId="0" xfId="1" applyNumberFormat="1" applyFont="1" applyFill="1" applyBorder="1" applyAlignment="1" applyProtection="1">
      <alignment horizontal="center" vertical="center"/>
    </xf>
    <xf numFmtId="10" fontId="99" fillId="2" borderId="0" xfId="1" applyNumberFormat="1" applyFont="1" applyFill="1" applyBorder="1" applyAlignment="1" applyProtection="1">
      <alignment vertical="center"/>
    </xf>
    <xf numFmtId="3" fontId="101" fillId="2" borderId="9" xfId="1" applyNumberFormat="1" applyFont="1" applyFill="1" applyBorder="1" applyAlignment="1" applyProtection="1">
      <alignment vertical="center"/>
    </xf>
    <xf numFmtId="0" fontId="108" fillId="2" borderId="0" xfId="16" applyFont="1" applyFill="1" applyAlignment="1" applyProtection="1">
      <alignment vertical="center"/>
      <protection locked="0"/>
    </xf>
    <xf numFmtId="3" fontId="108" fillId="2" borderId="6" xfId="1" applyNumberFormat="1" applyFont="1" applyFill="1" applyBorder="1" applyAlignment="1" applyProtection="1">
      <alignment horizontal="left" vertical="center"/>
    </xf>
    <xf numFmtId="3" fontId="108" fillId="2" borderId="0" xfId="1" applyNumberFormat="1" applyFont="1" applyFill="1" applyBorder="1" applyAlignment="1" applyProtection="1">
      <alignment horizontal="left" vertical="center"/>
    </xf>
    <xf numFmtId="3" fontId="108" fillId="2" borderId="0" xfId="1" applyNumberFormat="1" applyFont="1" applyFill="1" applyBorder="1" applyAlignment="1" applyProtection="1">
      <alignment vertical="center"/>
    </xf>
    <xf numFmtId="0" fontId="109" fillId="0" borderId="0" xfId="17" applyFont="1" applyBorder="1" applyAlignment="1">
      <alignment horizontal="center" vertical="center"/>
    </xf>
    <xf numFmtId="3" fontId="101" fillId="2" borderId="9" xfId="1" applyNumberFormat="1" applyFont="1" applyFill="1" applyBorder="1" applyAlignment="1" applyProtection="1">
      <alignment horizontal="center" vertical="center" wrapText="1"/>
    </xf>
    <xf numFmtId="0" fontId="99" fillId="0" borderId="0" xfId="17" applyFont="1" applyBorder="1" applyAlignment="1">
      <alignment vertical="center"/>
    </xf>
    <xf numFmtId="0" fontId="110" fillId="0" borderId="108" xfId="6" applyFont="1" applyBorder="1" applyAlignment="1">
      <alignment horizontal="center" vertical="center"/>
    </xf>
    <xf numFmtId="0" fontId="110" fillId="0" borderId="78" xfId="6" applyFont="1" applyBorder="1" applyAlignment="1">
      <alignment horizontal="center" vertical="center"/>
    </xf>
    <xf numFmtId="3" fontId="110" fillId="0" borderId="136" xfId="6" applyNumberFormat="1" applyFont="1" applyBorder="1" applyAlignment="1">
      <alignment vertical="center"/>
    </xf>
    <xf numFmtId="3" fontId="110" fillId="0" borderId="80" xfId="6" applyNumberFormat="1" applyFont="1" applyBorder="1" applyAlignment="1">
      <alignment horizontal="center" vertical="center"/>
    </xf>
    <xf numFmtId="0" fontId="109" fillId="0" borderId="108" xfId="6" applyFont="1" applyBorder="1" applyAlignment="1">
      <alignment vertical="center"/>
    </xf>
    <xf numFmtId="0" fontId="109" fillId="0" borderId="78" xfId="6" applyFont="1" applyBorder="1" applyAlignment="1">
      <alignment horizontal="center" vertical="center"/>
    </xf>
    <xf numFmtId="3" fontId="109" fillId="0" borderId="136" xfId="6" applyNumberFormat="1" applyFont="1" applyBorder="1" applyAlignment="1">
      <alignment vertical="center"/>
    </xf>
    <xf numFmtId="4" fontId="109" fillId="0" borderId="80" xfId="6" applyNumberFormat="1" applyFont="1" applyBorder="1" applyAlignment="1">
      <alignment horizontal="center" vertical="center"/>
    </xf>
    <xf numFmtId="0" fontId="99" fillId="0" borderId="0" xfId="17" applyFont="1" applyFill="1" applyBorder="1" applyAlignment="1">
      <alignment vertical="center"/>
    </xf>
    <xf numFmtId="0" fontId="109" fillId="0" borderId="108" xfId="6" applyFont="1" applyFill="1" applyBorder="1" applyAlignment="1">
      <alignment vertical="center"/>
    </xf>
    <xf numFmtId="0" fontId="109" fillId="0" borderId="78" xfId="6" applyFont="1" applyFill="1" applyBorder="1" applyAlignment="1">
      <alignment horizontal="center" vertical="center"/>
    </xf>
    <xf numFmtId="3" fontId="109" fillId="0" borderId="136" xfId="6" applyNumberFormat="1" applyFont="1" applyFill="1" applyBorder="1" applyAlignment="1">
      <alignment vertical="center"/>
    </xf>
    <xf numFmtId="4" fontId="111" fillId="0" borderId="80" xfId="6" applyNumberFormat="1" applyFont="1" applyFill="1" applyBorder="1" applyAlignment="1">
      <alignment horizontal="center" vertical="center"/>
    </xf>
    <xf numFmtId="0" fontId="99" fillId="0" borderId="0" xfId="17" quotePrefix="1" applyFont="1" applyBorder="1" applyAlignment="1">
      <alignment vertical="center"/>
    </xf>
    <xf numFmtId="0" fontId="112" fillId="0" borderId="0" xfId="6" quotePrefix="1" applyFont="1" applyAlignment="1">
      <alignment vertical="center"/>
    </xf>
    <xf numFmtId="0" fontId="112" fillId="0" borderId="0" xfId="6" applyFont="1" applyAlignment="1">
      <alignment vertical="center"/>
    </xf>
    <xf numFmtId="3" fontId="112" fillId="0" borderId="0" xfId="6" applyNumberFormat="1" applyFont="1" applyAlignment="1">
      <alignment vertical="center"/>
    </xf>
    <xf numFmtId="0" fontId="99" fillId="0" borderId="0" xfId="17" applyFont="1" applyFill="1" applyBorder="1" applyAlignment="1">
      <alignment horizontal="center" vertical="center"/>
    </xf>
    <xf numFmtId="0" fontId="99" fillId="17" borderId="78" xfId="6" applyFont="1" applyFill="1" applyBorder="1" applyAlignment="1">
      <alignment horizontal="center" vertical="center"/>
    </xf>
    <xf numFmtId="3" fontId="99" fillId="17" borderId="78" xfId="6" applyNumberFormat="1" applyFont="1" applyFill="1" applyBorder="1" applyAlignment="1">
      <alignment vertical="center"/>
    </xf>
    <xf numFmtId="10" fontId="101" fillId="2" borderId="0" xfId="16" applyNumberFormat="1" applyFont="1" applyFill="1" applyBorder="1" applyAlignment="1" applyProtection="1">
      <alignment vertical="center"/>
      <protection locked="0"/>
    </xf>
    <xf numFmtId="0" fontId="101" fillId="2" borderId="9" xfId="16" applyFont="1" applyFill="1" applyBorder="1" applyAlignment="1" applyProtection="1">
      <alignment vertical="center"/>
      <protection locked="0"/>
    </xf>
    <xf numFmtId="0" fontId="99" fillId="0" borderId="0" xfId="17" quotePrefix="1" applyFont="1" applyFill="1" applyBorder="1" applyAlignment="1">
      <alignment vertical="center"/>
    </xf>
    <xf numFmtId="0" fontId="109" fillId="17" borderId="108" xfId="6" quotePrefix="1" applyFont="1" applyFill="1" applyBorder="1" applyAlignment="1">
      <alignment vertical="center"/>
    </xf>
    <xf numFmtId="0" fontId="109" fillId="17" borderId="78" xfId="6" applyFont="1" applyFill="1" applyBorder="1" applyAlignment="1">
      <alignment horizontal="center" vertical="center"/>
    </xf>
    <xf numFmtId="3" fontId="109" fillId="17" borderId="136" xfId="6" applyNumberFormat="1" applyFont="1" applyFill="1" applyBorder="1" applyAlignment="1">
      <alignment vertical="center"/>
    </xf>
    <xf numFmtId="3" fontId="109" fillId="17" borderId="80" xfId="6" applyNumberFormat="1" applyFont="1" applyFill="1" applyBorder="1" applyAlignment="1">
      <alignment vertical="center"/>
    </xf>
    <xf numFmtId="0" fontId="99" fillId="0" borderId="0" xfId="17" applyFont="1" applyBorder="1" applyAlignment="1">
      <alignment horizontal="center" vertical="center"/>
    </xf>
    <xf numFmtId="3" fontId="108" fillId="0" borderId="0" xfId="17" applyNumberFormat="1" applyFont="1" applyBorder="1" applyAlignment="1">
      <alignment vertical="center"/>
    </xf>
    <xf numFmtId="3" fontId="101" fillId="0" borderId="0" xfId="17" applyNumberFormat="1" applyFont="1" applyBorder="1" applyAlignment="1">
      <alignment vertical="center"/>
    </xf>
    <xf numFmtId="3" fontId="112" fillId="2" borderId="0" xfId="1" applyNumberFormat="1" applyFont="1" applyFill="1" applyBorder="1" applyAlignment="1" applyProtection="1">
      <alignment vertical="center"/>
    </xf>
    <xf numFmtId="3" fontId="113" fillId="2" borderId="0" xfId="1" applyNumberFormat="1" applyFont="1" applyFill="1" applyBorder="1" applyAlignment="1" applyProtection="1">
      <alignment horizontal="right" vertical="center"/>
    </xf>
    <xf numFmtId="3" fontId="114" fillId="0" borderId="0" xfId="17" applyNumberFormat="1" applyFont="1" applyBorder="1" applyAlignment="1">
      <alignment vertical="center"/>
    </xf>
    <xf numFmtId="3" fontId="114" fillId="2" borderId="0" xfId="1" applyNumberFormat="1" applyFont="1" applyFill="1" applyBorder="1" applyAlignment="1" applyProtection="1">
      <alignment vertical="center"/>
    </xf>
    <xf numFmtId="0" fontId="104" fillId="0" borderId="6" xfId="16" applyFont="1" applyBorder="1" applyAlignment="1">
      <alignment vertical="center"/>
    </xf>
    <xf numFmtId="0" fontId="103" fillId="0" borderId="71" xfId="16" applyFont="1" applyBorder="1" applyAlignment="1">
      <alignment vertical="center"/>
    </xf>
    <xf numFmtId="0" fontId="108" fillId="2" borderId="71" xfId="16" applyFont="1" applyFill="1" applyBorder="1" applyAlignment="1" applyProtection="1">
      <alignment vertical="center"/>
      <protection locked="0"/>
    </xf>
    <xf numFmtId="3" fontId="108" fillId="2" borderId="71" xfId="1" applyNumberFormat="1" applyFont="1" applyFill="1" applyBorder="1" applyAlignment="1" applyProtection="1">
      <alignment vertical="center"/>
    </xf>
    <xf numFmtId="3" fontId="101" fillId="2" borderId="71" xfId="1" applyNumberFormat="1" applyFont="1" applyFill="1" applyBorder="1" applyAlignment="1" applyProtection="1">
      <alignment vertical="center"/>
    </xf>
    <xf numFmtId="0" fontId="101" fillId="2" borderId="6" xfId="16" applyFont="1" applyFill="1" applyBorder="1" applyAlignment="1" applyProtection="1">
      <alignment vertical="center"/>
      <protection locked="0"/>
    </xf>
    <xf numFmtId="0" fontId="109" fillId="0" borderId="108" xfId="6" applyFont="1" applyBorder="1" applyAlignment="1">
      <alignment horizontal="center" vertical="center"/>
    </xf>
    <xf numFmtId="3" fontId="109" fillId="0" borderId="80" xfId="6" applyNumberFormat="1" applyFont="1" applyBorder="1" applyAlignment="1">
      <alignment horizontal="center" vertical="center"/>
    </xf>
    <xf numFmtId="4" fontId="113" fillId="0" borderId="80" xfId="6" applyNumberFormat="1" applyFont="1" applyFill="1" applyBorder="1" applyAlignment="1">
      <alignment horizontal="center" vertical="center"/>
    </xf>
    <xf numFmtId="0" fontId="99" fillId="0" borderId="0" xfId="6" quotePrefix="1" applyFont="1" applyAlignment="1">
      <alignment vertical="center"/>
    </xf>
    <xf numFmtId="0" fontId="99" fillId="0" borderId="0" xfId="6" applyFont="1" applyAlignment="1">
      <alignment vertical="center"/>
    </xf>
    <xf numFmtId="3" fontId="99" fillId="0" borderId="0" xfId="6" applyNumberFormat="1" applyFont="1" applyAlignment="1">
      <alignment vertical="center"/>
    </xf>
    <xf numFmtId="3" fontId="112" fillId="0" borderId="0" xfId="17" applyNumberFormat="1" applyFont="1" applyBorder="1" applyAlignment="1">
      <alignment vertical="center"/>
    </xf>
    <xf numFmtId="3" fontId="101" fillId="2" borderId="0" xfId="1" applyNumberFormat="1" applyFont="1" applyFill="1" applyBorder="1" applyAlignment="1" applyProtection="1">
      <alignment horizontal="center" vertical="center"/>
    </xf>
    <xf numFmtId="3" fontId="109" fillId="2" borderId="0" xfId="1" applyNumberFormat="1" applyFont="1" applyFill="1" applyBorder="1" applyAlignment="1" applyProtection="1">
      <alignment vertical="center"/>
    </xf>
    <xf numFmtId="3" fontId="99" fillId="2" borderId="0" xfId="1" applyNumberFormat="1" applyFont="1" applyFill="1" applyBorder="1" applyAlignment="1" applyProtection="1">
      <alignment vertical="center"/>
    </xf>
    <xf numFmtId="0" fontId="112" fillId="0" borderId="0" xfId="6" quotePrefix="1" applyFont="1" applyBorder="1" applyAlignment="1">
      <alignment vertical="center"/>
    </xf>
    <xf numFmtId="0" fontId="112" fillId="0" borderId="0" xfId="6" applyFont="1" applyBorder="1" applyAlignment="1">
      <alignment vertical="center"/>
    </xf>
    <xf numFmtId="3" fontId="112" fillId="0" borderId="0" xfId="6" applyNumberFormat="1" applyFont="1" applyBorder="1" applyAlignment="1">
      <alignment vertical="center"/>
    </xf>
    <xf numFmtId="174" fontId="99" fillId="2" borderId="0" xfId="1" applyNumberFormat="1" applyFont="1" applyFill="1" applyBorder="1" applyAlignment="1" applyProtection="1">
      <alignment horizontal="center" vertical="center" wrapText="1"/>
    </xf>
    <xf numFmtId="3" fontId="108" fillId="2" borderId="71" xfId="1" applyNumberFormat="1" applyFont="1" applyFill="1" applyBorder="1" applyAlignment="1" applyProtection="1">
      <alignment horizontal="center" vertical="center" wrapText="1"/>
    </xf>
    <xf numFmtId="3" fontId="101" fillId="0" borderId="0" xfId="17" quotePrefix="1" applyNumberFormat="1" applyFont="1" applyBorder="1" applyAlignment="1">
      <alignment vertical="center"/>
    </xf>
    <xf numFmtId="0" fontId="97" fillId="2" borderId="10" xfId="16" applyFont="1" applyFill="1" applyBorder="1" applyAlignment="1" applyProtection="1">
      <alignment vertical="center"/>
      <protection locked="0"/>
    </xf>
    <xf numFmtId="0" fontId="99" fillId="0" borderId="11" xfId="17" applyFont="1" applyBorder="1" applyAlignment="1">
      <alignment horizontal="center" vertical="center"/>
    </xf>
    <xf numFmtId="3" fontId="101" fillId="0" borderId="11" xfId="17" quotePrefix="1" applyNumberFormat="1" applyFont="1" applyBorder="1" applyAlignment="1">
      <alignment vertical="center"/>
    </xf>
    <xf numFmtId="3" fontId="101" fillId="2" borderId="11" xfId="1" applyNumberFormat="1" applyFont="1" applyFill="1" applyBorder="1" applyAlignment="1" applyProtection="1">
      <alignment vertical="center"/>
    </xf>
    <xf numFmtId="3" fontId="112" fillId="2" borderId="11" xfId="1" applyNumberFormat="1" applyFont="1" applyFill="1" applyBorder="1" applyAlignment="1" applyProtection="1">
      <alignment vertical="center"/>
    </xf>
    <xf numFmtId="10" fontId="97" fillId="2" borderId="11" xfId="16" applyNumberFormat="1" applyFont="1" applyFill="1" applyBorder="1" applyAlignment="1" applyProtection="1">
      <alignment vertical="center"/>
      <protection locked="0"/>
    </xf>
    <xf numFmtId="0" fontId="97" fillId="2" borderId="14" xfId="16" applyFont="1" applyFill="1" applyBorder="1" applyAlignment="1" applyProtection="1">
      <alignment vertical="center"/>
      <protection locked="0"/>
    </xf>
    <xf numFmtId="10" fontId="109" fillId="2" borderId="0" xfId="1" applyNumberFormat="1" applyFont="1" applyFill="1" applyBorder="1" applyAlignment="1" applyProtection="1">
      <alignment vertical="center"/>
    </xf>
    <xf numFmtId="3" fontId="101" fillId="2" borderId="0" xfId="1" applyNumberFormat="1" applyFont="1" applyFill="1" applyBorder="1" applyAlignment="1" applyProtection="1">
      <alignment horizontal="center" vertical="center"/>
    </xf>
    <xf numFmtId="3" fontId="101" fillId="2" borderId="0" xfId="1" applyNumberFormat="1" applyFont="1" applyFill="1" applyBorder="1" applyAlignment="1" applyProtection="1">
      <alignment horizontal="center" vertical="center" wrapText="1"/>
    </xf>
    <xf numFmtId="3" fontId="101" fillId="2" borderId="9" xfId="1" applyNumberFormat="1" applyFont="1" applyFill="1" applyBorder="1" applyAlignment="1" applyProtection="1">
      <alignment horizontal="center" vertical="center" wrapText="1"/>
    </xf>
    <xf numFmtId="0" fontId="104" fillId="2" borderId="0" xfId="16" applyFont="1" applyFill="1" applyBorder="1" applyAlignment="1" applyProtection="1">
      <alignment horizontal="center" vertical="center"/>
      <protection locked="0"/>
    </xf>
    <xf numFmtId="0" fontId="104" fillId="2" borderId="66" xfId="16" applyFont="1" applyFill="1" applyBorder="1" applyAlignment="1" applyProtection="1">
      <alignment horizontal="center" vertical="center"/>
      <protection locked="0"/>
    </xf>
    <xf numFmtId="0" fontId="104" fillId="2" borderId="141" xfId="16" applyFont="1" applyFill="1" applyBorder="1" applyAlignment="1" applyProtection="1">
      <alignment horizontal="center" vertical="center"/>
      <protection locked="0"/>
    </xf>
    <xf numFmtId="0" fontId="104" fillId="2" borderId="141" xfId="16" applyFont="1" applyFill="1" applyBorder="1" applyAlignment="1" applyProtection="1">
      <alignment horizontal="center" vertical="center"/>
      <protection locked="0"/>
    </xf>
    <xf numFmtId="0" fontId="117" fillId="2" borderId="6" xfId="16" applyFont="1" applyFill="1" applyBorder="1" applyAlignment="1" applyProtection="1">
      <alignment horizontal="center" vertical="center"/>
      <protection locked="0"/>
    </xf>
    <xf numFmtId="0" fontId="117" fillId="2" borderId="0" xfId="16" applyFont="1" applyFill="1" applyBorder="1" applyAlignment="1" applyProtection="1">
      <alignment horizontal="center" vertical="center"/>
      <protection locked="0"/>
    </xf>
    <xf numFmtId="3" fontId="117" fillId="2" borderId="0" xfId="16" applyNumberFormat="1" applyFont="1" applyFill="1" applyBorder="1" applyAlignment="1" applyProtection="1">
      <alignment horizontal="center" vertical="center" wrapText="1"/>
      <protection locked="0"/>
    </xf>
    <xf numFmtId="0" fontId="117" fillId="2" borderId="0" xfId="16" applyFont="1" applyFill="1" applyBorder="1" applyAlignment="1" applyProtection="1">
      <alignment horizontal="center" vertical="center" wrapText="1"/>
      <protection locked="0"/>
    </xf>
    <xf numFmtId="0" fontId="117" fillId="2" borderId="9" xfId="16" applyFont="1" applyFill="1" applyBorder="1" applyAlignment="1" applyProtection="1">
      <alignment horizontal="center" vertical="center" wrapText="1"/>
      <protection locked="0"/>
    </xf>
    <xf numFmtId="0" fontId="101" fillId="2" borderId="6" xfId="16" applyFont="1" applyFill="1" applyBorder="1" applyAlignment="1" applyProtection="1">
      <alignment horizontal="left" vertical="center" indent="1"/>
      <protection locked="0"/>
    </xf>
    <xf numFmtId="0" fontId="101" fillId="2" borderId="0" xfId="16" applyFont="1" applyFill="1" applyBorder="1" applyAlignment="1" applyProtection="1">
      <alignment horizontal="left" vertical="center" indent="1"/>
      <protection locked="0"/>
    </xf>
    <xf numFmtId="0" fontId="109" fillId="2" borderId="0" xfId="16" applyFont="1" applyFill="1" applyBorder="1" applyAlignment="1" applyProtection="1">
      <alignment horizontal="center" vertical="center"/>
      <protection locked="0"/>
    </xf>
    <xf numFmtId="3" fontId="99" fillId="2" borderId="0" xfId="1" applyNumberFormat="1" applyFont="1" applyFill="1" applyBorder="1" applyAlignment="1" applyProtection="1">
      <alignment vertical="center" wrapText="1"/>
    </xf>
    <xf numFmtId="0" fontId="109" fillId="2" borderId="0" xfId="16" applyFont="1" applyFill="1" applyBorder="1" applyAlignment="1" applyProtection="1">
      <alignment horizontal="center" vertical="center"/>
      <protection locked="0"/>
    </xf>
    <xf numFmtId="3" fontId="118" fillId="2" borderId="0" xfId="16" applyNumberFormat="1" applyFont="1" applyFill="1" applyBorder="1" applyAlignment="1" applyProtection="1">
      <alignment horizontal="center" vertical="center"/>
      <protection locked="0"/>
    </xf>
    <xf numFmtId="3" fontId="118" fillId="2" borderId="0" xfId="1" applyNumberFormat="1" applyFont="1" applyFill="1" applyBorder="1" applyAlignment="1" applyProtection="1">
      <alignment vertical="center"/>
    </xf>
    <xf numFmtId="3" fontId="118" fillId="2" borderId="0" xfId="1" applyNumberFormat="1" applyFont="1" applyFill="1" applyBorder="1" applyAlignment="1" applyProtection="1">
      <alignment horizontal="center" vertical="center"/>
    </xf>
    <xf numFmtId="10" fontId="118" fillId="2" borderId="0" xfId="1" applyNumberFormat="1" applyFont="1" applyFill="1" applyBorder="1" applyAlignment="1" applyProtection="1">
      <alignment vertical="center"/>
    </xf>
    <xf numFmtId="3" fontId="101" fillId="2" borderId="0" xfId="16" applyNumberFormat="1" applyFont="1" applyFill="1" applyAlignment="1" applyProtection="1">
      <alignment vertical="center"/>
      <protection locked="0"/>
    </xf>
    <xf numFmtId="3" fontId="108" fillId="2" borderId="6" xfId="1" applyNumberFormat="1" applyFont="1" applyFill="1" applyBorder="1" applyAlignment="1" applyProtection="1">
      <alignment horizontal="left" vertical="center" indent="1"/>
    </xf>
    <xf numFmtId="3" fontId="108" fillId="2" borderId="0" xfId="1" applyNumberFormat="1" applyFont="1" applyFill="1" applyBorder="1" applyAlignment="1" applyProtection="1">
      <alignment horizontal="left" vertical="center" indent="1"/>
    </xf>
    <xf numFmtId="0" fontId="104" fillId="0" borderId="6" xfId="16" applyFont="1" applyBorder="1"/>
    <xf numFmtId="0" fontId="104" fillId="0" borderId="71" xfId="16" applyFont="1" applyBorder="1"/>
    <xf numFmtId="0" fontId="101" fillId="2" borderId="71" xfId="16" applyFont="1" applyFill="1" applyBorder="1" applyAlignment="1" applyProtection="1">
      <alignment vertical="center"/>
      <protection locked="0"/>
    </xf>
    <xf numFmtId="3" fontId="101" fillId="2" borderId="71" xfId="1" applyNumberFormat="1" applyFont="1" applyFill="1" applyBorder="1" applyAlignment="1" applyProtection="1">
      <alignment horizontal="center" vertical="center" wrapText="1"/>
    </xf>
    <xf numFmtId="3" fontId="102" fillId="2" borderId="71" xfId="1" applyNumberFormat="1" applyFont="1" applyFill="1" applyBorder="1" applyAlignment="1" applyProtection="1">
      <alignment horizontal="center" vertical="center" wrapText="1"/>
    </xf>
    <xf numFmtId="10" fontId="109" fillId="2" borderId="71" xfId="1" applyNumberFormat="1" applyFont="1" applyFill="1" applyBorder="1" applyAlignment="1" applyProtection="1">
      <alignment vertical="center"/>
    </xf>
    <xf numFmtId="10" fontId="101" fillId="2" borderId="0" xfId="10" applyNumberFormat="1" applyFont="1" applyFill="1" applyBorder="1" applyAlignment="1" applyProtection="1">
      <alignment horizontal="center" vertical="center" wrapText="1"/>
    </xf>
    <xf numFmtId="9" fontId="101" fillId="2" borderId="0" xfId="1" applyNumberFormat="1" applyFont="1" applyFill="1" applyBorder="1" applyAlignment="1" applyProtection="1">
      <alignment vertical="center"/>
    </xf>
    <xf numFmtId="3" fontId="99" fillId="2" borderId="0" xfId="1" applyNumberFormat="1" applyFont="1" applyFill="1" applyBorder="1" applyAlignment="1" applyProtection="1">
      <alignment horizontal="center" vertical="center" wrapText="1"/>
    </xf>
    <xf numFmtId="0" fontId="101" fillId="2" borderId="0" xfId="16" applyFont="1" applyFill="1" applyBorder="1" applyAlignment="1" applyProtection="1">
      <alignment horizontal="center" vertical="center"/>
      <protection locked="0"/>
    </xf>
    <xf numFmtId="0" fontId="118" fillId="2" borderId="0" xfId="16" applyFont="1" applyFill="1" applyBorder="1" applyAlignment="1" applyProtection="1">
      <alignment vertical="center"/>
      <protection locked="0"/>
    </xf>
    <xf numFmtId="0" fontId="101" fillId="2" borderId="0" xfId="16" quotePrefix="1" applyFont="1" applyFill="1" applyBorder="1" applyAlignment="1" applyProtection="1">
      <alignment horizontal="left" vertical="center" indent="1"/>
      <protection locked="0"/>
    </xf>
    <xf numFmtId="0" fontId="97" fillId="2" borderId="11" xfId="16" applyFont="1" applyFill="1" applyBorder="1" applyAlignment="1" applyProtection="1">
      <alignment vertical="center"/>
      <protection locked="0"/>
    </xf>
    <xf numFmtId="3" fontId="97" fillId="2" borderId="11" xfId="16" applyNumberFormat="1" applyFont="1" applyFill="1" applyBorder="1" applyAlignment="1" applyProtection="1">
      <alignment horizontal="center" vertical="center"/>
      <protection locked="0"/>
    </xf>
    <xf numFmtId="3" fontId="97" fillId="2" borderId="11" xfId="16" applyNumberFormat="1" applyFont="1" applyFill="1" applyBorder="1" applyAlignment="1" applyProtection="1">
      <alignment vertical="center"/>
      <protection locked="0"/>
    </xf>
    <xf numFmtId="0" fontId="97" fillId="2" borderId="11" xfId="16" applyFont="1" applyFill="1" applyBorder="1" applyAlignment="1" applyProtection="1">
      <alignment horizontal="center" vertical="center"/>
      <protection locked="0"/>
    </xf>
    <xf numFmtId="0" fontId="104" fillId="0" borderId="0" xfId="16" applyFont="1" applyBorder="1"/>
    <xf numFmtId="3" fontId="109" fillId="2" borderId="0" xfId="1" applyNumberFormat="1" applyFont="1" applyFill="1" applyBorder="1" applyAlignment="1" applyProtection="1">
      <alignment horizontal="center" vertical="center" wrapText="1"/>
    </xf>
    <xf numFmtId="0" fontId="118" fillId="0" borderId="0" xfId="16" applyFont="1" applyBorder="1"/>
    <xf numFmtId="3" fontId="118" fillId="2" borderId="0" xfId="1" applyNumberFormat="1" applyFont="1" applyFill="1" applyBorder="1" applyAlignment="1" applyProtection="1">
      <alignment horizontal="center" vertical="center" wrapText="1"/>
    </xf>
    <xf numFmtId="3" fontId="101" fillId="2" borderId="0" xfId="1" quotePrefix="1" applyNumberFormat="1" applyFont="1" applyFill="1" applyBorder="1" applyAlignment="1" applyProtection="1">
      <alignment horizontal="center" vertical="center" wrapText="1"/>
    </xf>
    <xf numFmtId="3" fontId="102" fillId="2" borderId="0" xfId="1" applyNumberFormat="1" applyFont="1" applyFill="1" applyBorder="1" applyAlignment="1" applyProtection="1">
      <alignment horizontal="center" vertical="center" wrapText="1"/>
    </xf>
    <xf numFmtId="0" fontId="108" fillId="2" borderId="0" xfId="16" applyFont="1" applyFill="1" applyBorder="1" applyAlignment="1" applyProtection="1">
      <alignment vertical="center"/>
      <protection locked="0"/>
    </xf>
    <xf numFmtId="0" fontId="32" fillId="0" borderId="0" xfId="16"/>
    <xf numFmtId="0" fontId="32" fillId="0" borderId="0" xfId="16" applyFill="1" applyBorder="1"/>
    <xf numFmtId="3" fontId="32" fillId="0" borderId="0" xfId="16" applyNumberFormat="1"/>
    <xf numFmtId="0" fontId="32" fillId="0" borderId="0" xfId="16" applyFill="1" applyBorder="1" applyAlignment="1">
      <alignment horizontal="center"/>
    </xf>
    <xf numFmtId="0" fontId="32" fillId="0" borderId="0" xfId="16" applyBorder="1"/>
    <xf numFmtId="0" fontId="32" fillId="0" borderId="0" xfId="16" applyFill="1" applyBorder="1" applyAlignment="1">
      <alignment horizontal="center" vertical="center" wrapText="1"/>
    </xf>
    <xf numFmtId="0" fontId="38" fillId="0" borderId="0" xfId="16" applyFont="1" applyFill="1" applyBorder="1" applyAlignment="1">
      <alignment horizontal="center" vertical="center" wrapText="1"/>
    </xf>
    <xf numFmtId="0" fontId="38" fillId="7" borderId="80" xfId="16" applyFont="1" applyFill="1" applyBorder="1" applyAlignment="1">
      <alignment horizontal="center" vertical="center" wrapText="1"/>
    </xf>
    <xf numFmtId="0" fontId="38" fillId="4" borderId="80" xfId="16" applyFont="1" applyFill="1" applyBorder="1" applyAlignment="1">
      <alignment horizontal="center" vertical="center" textRotation="90" wrapText="1"/>
    </xf>
    <xf numFmtId="0" fontId="38" fillId="0" borderId="0" xfId="16" applyFont="1" applyFill="1" applyBorder="1" applyAlignment="1">
      <alignment horizontal="center" vertical="center" textRotation="90" wrapText="1"/>
    </xf>
    <xf numFmtId="3" fontId="38" fillId="4" borderId="80" xfId="16" applyNumberFormat="1" applyFont="1" applyFill="1" applyBorder="1" applyAlignment="1">
      <alignment horizontal="center" vertical="center" textRotation="90" wrapText="1"/>
    </xf>
    <xf numFmtId="0" fontId="38" fillId="7" borderId="80" xfId="16" applyFont="1" applyFill="1" applyBorder="1" applyAlignment="1">
      <alignment horizontal="center" vertical="center" textRotation="90" wrapText="1"/>
    </xf>
    <xf numFmtId="0" fontId="32" fillId="0" borderId="80" xfId="16" applyBorder="1" applyAlignment="1">
      <alignment horizontal="center" vertical="center" wrapText="1"/>
    </xf>
    <xf numFmtId="0" fontId="32" fillId="0" borderId="80" xfId="16" applyFont="1" applyFill="1" applyBorder="1" applyAlignment="1">
      <alignment vertical="center" wrapText="1"/>
    </xf>
    <xf numFmtId="0" fontId="32" fillId="0" borderId="80" xfId="16" applyFont="1" applyFill="1" applyBorder="1" applyAlignment="1">
      <alignment horizontal="center" vertical="center" wrapText="1"/>
    </xf>
    <xf numFmtId="0" fontId="32" fillId="0" borderId="80" xfId="16" applyFill="1" applyBorder="1" applyAlignment="1">
      <alignment horizontal="center" vertical="center" wrapText="1"/>
    </xf>
    <xf numFmtId="0" fontId="32" fillId="0" borderId="80" xfId="16" quotePrefix="1" applyBorder="1" applyAlignment="1">
      <alignment horizontal="center" vertical="center" wrapText="1"/>
    </xf>
    <xf numFmtId="0" fontId="120" fillId="18" borderId="80" xfId="16" quotePrefix="1" applyFont="1" applyFill="1" applyBorder="1" applyAlignment="1">
      <alignment horizontal="center" vertical="center"/>
    </xf>
    <xf numFmtId="3" fontId="32" fillId="0" borderId="80" xfId="16" applyNumberFormat="1" applyFill="1" applyBorder="1" applyAlignment="1">
      <alignment horizontal="center" vertical="center" wrapText="1"/>
    </xf>
    <xf numFmtId="9" fontId="32" fillId="0" borderId="80" xfId="16" applyNumberFormat="1" applyFill="1" applyBorder="1" applyAlignment="1">
      <alignment horizontal="center" vertical="center" wrapText="1"/>
    </xf>
    <xf numFmtId="3" fontId="32" fillId="0" borderId="80" xfId="16" applyNumberFormat="1" applyBorder="1" applyAlignment="1">
      <alignment horizontal="center" vertical="center" wrapText="1"/>
    </xf>
    <xf numFmtId="9" fontId="32" fillId="0" borderId="0" xfId="16" applyNumberFormat="1" applyBorder="1" applyAlignment="1">
      <alignment horizontal="center" vertical="center" wrapText="1"/>
    </xf>
    <xf numFmtId="9" fontId="32" fillId="0" borderId="80" xfId="16" applyNumberFormat="1" applyBorder="1" applyAlignment="1">
      <alignment horizontal="center" vertical="center" wrapText="1"/>
    </xf>
    <xf numFmtId="0" fontId="32" fillId="0" borderId="80" xfId="16" quotePrefix="1" applyFont="1" applyBorder="1" applyAlignment="1">
      <alignment vertical="center" wrapText="1"/>
    </xf>
    <xf numFmtId="3" fontId="32" fillId="19" borderId="80" xfId="16" applyNumberFormat="1" applyFill="1" applyBorder="1" applyAlignment="1">
      <alignment horizontal="center" vertical="center" wrapText="1"/>
    </xf>
    <xf numFmtId="9" fontId="32" fillId="0" borderId="0" xfId="16" applyNumberFormat="1" applyFill="1" applyBorder="1" applyAlignment="1">
      <alignment horizontal="center" vertical="center" wrapText="1"/>
    </xf>
    <xf numFmtId="0" fontId="32" fillId="0" borderId="0" xfId="16" applyFill="1"/>
    <xf numFmtId="0" fontId="32" fillId="0" borderId="80" xfId="16" quotePrefix="1" applyFont="1" applyFill="1" applyBorder="1" applyAlignment="1">
      <alignment vertical="center" wrapText="1"/>
    </xf>
    <xf numFmtId="0" fontId="20" fillId="0" borderId="80" xfId="16" applyFont="1" applyBorder="1" applyAlignment="1">
      <alignment horizontal="right" vertical="center" wrapText="1"/>
    </xf>
    <xf numFmtId="0" fontId="32" fillId="0" borderId="80" xfId="16" quotePrefix="1" applyFont="1" applyFill="1" applyBorder="1" applyAlignment="1">
      <alignment horizontal="center" vertical="center" wrapText="1"/>
    </xf>
    <xf numFmtId="3" fontId="20" fillId="0" borderId="80" xfId="16" applyNumberFormat="1" applyFont="1" applyBorder="1" applyAlignment="1">
      <alignment horizontal="center" vertical="center" wrapText="1"/>
    </xf>
    <xf numFmtId="0" fontId="32" fillId="0" borderId="80" xfId="16" applyBorder="1" applyAlignment="1">
      <alignment vertical="center" wrapText="1"/>
    </xf>
    <xf numFmtId="0" fontId="20" fillId="0" borderId="123" xfId="16" applyFont="1" applyBorder="1"/>
    <xf numFmtId="0" fontId="32" fillId="0" borderId="124" xfId="16" applyBorder="1"/>
    <xf numFmtId="0" fontId="32" fillId="0" borderId="124" xfId="16" applyFill="1" applyBorder="1"/>
    <xf numFmtId="0" fontId="32" fillId="0" borderId="125" xfId="16" applyBorder="1"/>
    <xf numFmtId="0" fontId="32" fillId="0" borderId="0" xfId="16" applyAlignment="1">
      <alignment vertical="center" wrapText="1"/>
    </xf>
    <xf numFmtId="3" fontId="32" fillId="0" borderId="0" xfId="16" applyNumberFormat="1" applyAlignment="1">
      <alignment vertical="center" wrapText="1"/>
    </xf>
    <xf numFmtId="0" fontId="32" fillId="0" borderId="0" xfId="16" applyFont="1"/>
    <xf numFmtId="0" fontId="78" fillId="7" borderId="80" xfId="16" applyFont="1" applyFill="1" applyBorder="1" applyAlignment="1">
      <alignment horizontal="center" vertical="center" wrapText="1"/>
    </xf>
    <xf numFmtId="0" fontId="32" fillId="0" borderId="80" xfId="16" applyBorder="1" applyAlignment="1">
      <alignment horizontal="center" vertical="center"/>
    </xf>
    <xf numFmtId="0" fontId="32" fillId="0" borderId="80" xfId="16" applyFont="1" applyBorder="1" applyAlignment="1">
      <alignment vertical="center" wrapText="1"/>
    </xf>
    <xf numFmtId="0" fontId="32" fillId="0" borderId="0" xfId="16" applyFill="1" applyBorder="1" applyAlignment="1">
      <alignment vertical="center"/>
    </xf>
    <xf numFmtId="0" fontId="32" fillId="0" borderId="80" xfId="16" applyFont="1" applyBorder="1" applyAlignment="1">
      <alignment horizontal="center" vertical="center"/>
    </xf>
    <xf numFmtId="0" fontId="32" fillId="0" borderId="80" xfId="16" quotePrefix="1" applyBorder="1" applyAlignment="1">
      <alignment horizontal="center" vertical="center"/>
    </xf>
    <xf numFmtId="0" fontId="121" fillId="8" borderId="80" xfId="16" quotePrefix="1" applyFont="1" applyFill="1" applyBorder="1" applyAlignment="1">
      <alignment horizontal="center" vertical="center"/>
    </xf>
    <xf numFmtId="3" fontId="32" fillId="0" borderId="80" xfId="16" applyNumberFormat="1" applyBorder="1" applyAlignment="1">
      <alignment horizontal="center" vertical="center"/>
    </xf>
    <xf numFmtId="9" fontId="32" fillId="0" borderId="80" xfId="16" applyNumberFormat="1" applyBorder="1" applyAlignment="1">
      <alignment horizontal="center" vertical="center"/>
    </xf>
    <xf numFmtId="9" fontId="32" fillId="0" borderId="0" xfId="16" applyNumberFormat="1" applyFill="1" applyBorder="1" applyAlignment="1">
      <alignment vertical="center"/>
    </xf>
    <xf numFmtId="3" fontId="32" fillId="19" borderId="80" xfId="16" applyNumberFormat="1" applyFill="1" applyBorder="1" applyAlignment="1">
      <alignment horizontal="center" vertical="center"/>
    </xf>
    <xf numFmtId="0" fontId="32" fillId="0" borderId="0" xfId="16" applyFont="1" applyAlignment="1">
      <alignment vertical="center"/>
    </xf>
    <xf numFmtId="0" fontId="32" fillId="0" borderId="0" xfId="16" applyAlignment="1">
      <alignment vertical="center"/>
    </xf>
    <xf numFmtId="0" fontId="32" fillId="0" borderId="80" xfId="16" applyFill="1" applyBorder="1" applyAlignment="1">
      <alignment horizontal="center" vertical="center"/>
    </xf>
    <xf numFmtId="0" fontId="32" fillId="0" borderId="80" xfId="16" applyFont="1" applyFill="1" applyBorder="1" applyAlignment="1">
      <alignment vertical="center"/>
    </xf>
    <xf numFmtId="0" fontId="32" fillId="0" borderId="0" xfId="16" applyFill="1" applyBorder="1" applyAlignment="1">
      <alignment horizontal="center" vertical="center"/>
    </xf>
    <xf numFmtId="9" fontId="32" fillId="0" borderId="80" xfId="16" applyNumberFormat="1" applyFill="1" applyBorder="1" applyAlignment="1">
      <alignment horizontal="center" vertical="center"/>
    </xf>
    <xf numFmtId="0" fontId="32" fillId="0" borderId="0" xfId="16" applyFont="1" applyFill="1" applyAlignment="1">
      <alignment vertical="center"/>
    </xf>
    <xf numFmtId="0" fontId="32" fillId="0" borderId="0" xfId="16" applyFill="1" applyAlignment="1">
      <alignment vertical="center"/>
    </xf>
    <xf numFmtId="0" fontId="32" fillId="0" borderId="80" xfId="16" applyFont="1" applyFill="1" applyBorder="1" applyAlignment="1">
      <alignment horizontal="center" vertical="center"/>
    </xf>
    <xf numFmtId="0" fontId="32" fillId="0" borderId="80" xfId="16" applyFill="1" applyBorder="1" applyAlignment="1">
      <alignment vertical="center"/>
    </xf>
    <xf numFmtId="0" fontId="32" fillId="0" borderId="80" xfId="16" applyFill="1" applyBorder="1" applyAlignment="1">
      <alignment vertical="center" wrapText="1"/>
    </xf>
    <xf numFmtId="0" fontId="32" fillId="0" borderId="80" xfId="16" applyBorder="1" applyAlignment="1">
      <alignment vertical="center"/>
    </xf>
    <xf numFmtId="0" fontId="20" fillId="0" borderId="80" xfId="16" applyFont="1" applyBorder="1" applyAlignment="1">
      <alignment vertical="center"/>
    </xf>
    <xf numFmtId="3" fontId="20" fillId="0" borderId="80" xfId="16" applyNumberFormat="1" applyFont="1" applyBorder="1" applyAlignment="1">
      <alignment horizontal="center" vertical="center"/>
    </xf>
    <xf numFmtId="0" fontId="32" fillId="0" borderId="0" xfId="16" applyFont="1" applyFill="1" applyBorder="1"/>
    <xf numFmtId="3" fontId="122" fillId="0" borderId="0" xfId="16" applyNumberFormat="1" applyFont="1"/>
    <xf numFmtId="0" fontId="32" fillId="0" borderId="0" xfId="16" applyFont="1" applyBorder="1"/>
    <xf numFmtId="0" fontId="40" fillId="2" borderId="0" xfId="18" applyFont="1" applyFill="1" applyAlignment="1" applyProtection="1">
      <alignment vertical="center"/>
      <protection locked="0"/>
    </xf>
    <xf numFmtId="3" fontId="40" fillId="2" borderId="0" xfId="18" applyNumberFormat="1" applyFont="1" applyFill="1" applyAlignment="1" applyProtection="1">
      <alignment horizontal="center" vertical="center"/>
      <protection locked="0"/>
    </xf>
    <xf numFmtId="3" fontId="40" fillId="2" borderId="0" xfId="18" applyNumberFormat="1" applyFont="1" applyFill="1" applyAlignment="1" applyProtection="1">
      <alignment vertical="center"/>
      <protection locked="0"/>
    </xf>
    <xf numFmtId="10" fontId="40" fillId="2" borderId="0" xfId="18" applyNumberFormat="1" applyFont="1" applyFill="1" applyAlignment="1" applyProtection="1">
      <alignment vertical="center"/>
      <protection locked="0"/>
    </xf>
    <xf numFmtId="0" fontId="40" fillId="2" borderId="0" xfId="18" applyFont="1" applyFill="1" applyAlignment="1" applyProtection="1">
      <alignment horizontal="center" vertical="center"/>
      <protection locked="0"/>
    </xf>
    <xf numFmtId="0" fontId="123" fillId="2" borderId="0" xfId="18" applyFont="1" applyFill="1" applyAlignment="1" applyProtection="1">
      <alignment vertical="center"/>
      <protection locked="0"/>
    </xf>
    <xf numFmtId="0" fontId="22" fillId="2" borderId="0" xfId="18" applyFont="1" applyFill="1" applyAlignment="1" applyProtection="1">
      <alignment vertical="center"/>
    </xf>
    <xf numFmtId="0" fontId="1" fillId="2" borderId="1" xfId="18" applyFont="1" applyFill="1" applyBorder="1" applyAlignment="1" applyProtection="1">
      <alignment vertical="center"/>
      <protection locked="0"/>
    </xf>
    <xf numFmtId="0" fontId="1" fillId="2" borderId="4" xfId="18" applyFont="1" applyFill="1" applyBorder="1" applyAlignment="1" applyProtection="1">
      <alignment vertical="center"/>
      <protection locked="0"/>
    </xf>
    <xf numFmtId="0" fontId="2" fillId="2" borderId="2" xfId="18" applyFont="1" applyFill="1" applyBorder="1" applyAlignment="1" applyProtection="1">
      <alignment vertical="center"/>
      <protection locked="0"/>
    </xf>
    <xf numFmtId="0" fontId="1" fillId="2" borderId="4" xfId="18" applyFont="1" applyFill="1" applyBorder="1" applyAlignment="1" applyProtection="1">
      <alignment horizontal="center" vertical="center"/>
      <protection locked="0"/>
    </xf>
    <xf numFmtId="165" fontId="45" fillId="2" borderId="4" xfId="18" applyNumberFormat="1" applyFont="1" applyFill="1" applyBorder="1" applyAlignment="1" applyProtection="1">
      <alignment horizontal="left" vertical="center"/>
      <protection locked="0"/>
    </xf>
    <xf numFmtId="17" fontId="1" fillId="2" borderId="5" xfId="18" applyNumberFormat="1" applyFont="1" applyFill="1" applyBorder="1" applyAlignment="1" applyProtection="1">
      <alignment horizontal="left" vertical="center"/>
      <protection locked="0"/>
    </xf>
    <xf numFmtId="0" fontId="18" fillId="2" borderId="0" xfId="18" applyFont="1" applyFill="1" applyAlignment="1" applyProtection="1">
      <alignment vertical="center"/>
      <protection locked="0"/>
    </xf>
    <xf numFmtId="0" fontId="1" fillId="2" borderId="0" xfId="18" applyFont="1" applyFill="1" applyAlignment="1" applyProtection="1">
      <alignment vertical="center"/>
      <protection locked="0"/>
    </xf>
    <xf numFmtId="0" fontId="13" fillId="2" borderId="0" xfId="18" applyFont="1" applyFill="1" applyBorder="1" applyAlignment="1" applyProtection="1">
      <alignment horizontal="center" vertical="center"/>
      <protection locked="0"/>
    </xf>
    <xf numFmtId="165" fontId="45" fillId="2" borderId="0" xfId="18" applyNumberFormat="1" applyFont="1" applyFill="1" applyBorder="1" applyAlignment="1" applyProtection="1">
      <alignment horizontal="left" vertical="center"/>
      <protection locked="0"/>
    </xf>
    <xf numFmtId="0" fontId="1" fillId="2" borderId="0" xfId="18" applyFont="1" applyFill="1" applyBorder="1" applyAlignment="1" applyProtection="1">
      <alignment vertical="center"/>
      <protection locked="0"/>
    </xf>
    <xf numFmtId="0" fontId="1" fillId="2" borderId="9" xfId="18" applyFont="1" applyFill="1" applyBorder="1" applyAlignment="1" applyProtection="1">
      <alignment horizontal="left" vertical="center"/>
      <protection locked="0"/>
    </xf>
    <xf numFmtId="0" fontId="15" fillId="2" borderId="141" xfId="18" applyFont="1" applyFill="1" applyBorder="1" applyAlignment="1" applyProtection="1">
      <alignment horizontal="center" vertical="center"/>
      <protection locked="0"/>
    </xf>
    <xf numFmtId="0" fontId="15" fillId="2" borderId="0" xfId="18" applyFont="1" applyFill="1" applyBorder="1" applyAlignment="1" applyProtection="1">
      <alignment horizontal="center" vertical="center"/>
      <protection locked="0"/>
    </xf>
    <xf numFmtId="0" fontId="15" fillId="2" borderId="66" xfId="18" applyFont="1" applyFill="1" applyBorder="1" applyAlignment="1" applyProtection="1">
      <alignment horizontal="center" vertical="center"/>
      <protection locked="0"/>
    </xf>
    <xf numFmtId="0" fontId="29" fillId="2" borderId="0" xfId="18" applyFont="1" applyFill="1" applyBorder="1" applyAlignment="1" applyProtection="1">
      <alignment horizontal="center" vertical="center"/>
      <protection locked="0"/>
    </xf>
    <xf numFmtId="0" fontId="22" fillId="2" borderId="0" xfId="18" applyFont="1" applyFill="1" applyBorder="1" applyAlignment="1" applyProtection="1">
      <alignment vertical="center"/>
    </xf>
    <xf numFmtId="0" fontId="1" fillId="2" borderId="10" xfId="18" applyFont="1" applyFill="1" applyBorder="1" applyAlignment="1" applyProtection="1">
      <alignment vertical="center"/>
      <protection locked="0"/>
    </xf>
    <xf numFmtId="0" fontId="1" fillId="2" borderId="11" xfId="18" applyFont="1" applyFill="1" applyBorder="1" applyAlignment="1" applyProtection="1">
      <alignment vertical="center"/>
      <protection locked="0"/>
    </xf>
    <xf numFmtId="0" fontId="1" fillId="2" borderId="13" xfId="18" applyFont="1" applyFill="1" applyBorder="1" applyAlignment="1" applyProtection="1">
      <alignment horizontal="right" vertical="center"/>
      <protection locked="0"/>
    </xf>
    <xf numFmtId="0" fontId="29" fillId="2" borderId="11" xfId="18" applyFont="1" applyFill="1" applyBorder="1" applyAlignment="1" applyProtection="1">
      <alignment horizontal="center" vertical="center"/>
      <protection locked="0"/>
    </xf>
    <xf numFmtId="165" fontId="45" fillId="2" borderId="11" xfId="18" applyNumberFormat="1" applyFont="1" applyFill="1" applyBorder="1" applyAlignment="1" applyProtection="1">
      <alignment horizontal="left" vertical="center"/>
      <protection locked="0"/>
    </xf>
    <xf numFmtId="0" fontId="1" fillId="2" borderId="11" xfId="18" applyFont="1" applyFill="1" applyBorder="1" applyAlignment="1" applyProtection="1">
      <alignment vertical="center"/>
    </xf>
    <xf numFmtId="3" fontId="1" fillId="2" borderId="14" xfId="18" applyNumberFormat="1" applyFont="1" applyFill="1" applyBorder="1" applyAlignment="1" applyProtection="1">
      <alignment horizontal="left" vertical="center"/>
      <protection locked="0"/>
    </xf>
    <xf numFmtId="0" fontId="18" fillId="2" borderId="0" xfId="18" applyFont="1" applyFill="1" applyBorder="1" applyAlignment="1" applyProtection="1">
      <alignment vertical="center"/>
    </xf>
    <xf numFmtId="0" fontId="1" fillId="2" borderId="0" xfId="18" applyFont="1" applyFill="1" applyBorder="1" applyAlignment="1" applyProtection="1">
      <alignment vertical="center"/>
    </xf>
    <xf numFmtId="0" fontId="40" fillId="2" borderId="1" xfId="18" applyFont="1" applyFill="1" applyBorder="1" applyAlignment="1" applyProtection="1">
      <alignment vertical="center"/>
      <protection locked="0"/>
    </xf>
    <xf numFmtId="0" fontId="40" fillId="2" borderId="0" xfId="18" applyFont="1" applyFill="1" applyBorder="1" applyAlignment="1" applyProtection="1">
      <alignment vertical="center"/>
      <protection locked="0"/>
    </xf>
    <xf numFmtId="3" fontId="40" fillId="2" borderId="0" xfId="18" applyNumberFormat="1" applyFont="1" applyFill="1" applyBorder="1" applyAlignment="1" applyProtection="1">
      <alignment horizontal="center" vertical="center"/>
      <protection locked="0"/>
    </xf>
    <xf numFmtId="3" fontId="40" fillId="2" borderId="0" xfId="18" applyNumberFormat="1" applyFont="1" applyFill="1" applyBorder="1" applyAlignment="1" applyProtection="1">
      <alignment vertical="center"/>
      <protection locked="0"/>
    </xf>
    <xf numFmtId="10" fontId="40" fillId="2" borderId="0" xfId="18" applyNumberFormat="1" applyFont="1" applyFill="1" applyBorder="1" applyAlignment="1" applyProtection="1">
      <alignment vertical="center"/>
      <protection locked="0"/>
    </xf>
    <xf numFmtId="0" fontId="40" fillId="2" borderId="0" xfId="18" applyFont="1" applyFill="1" applyBorder="1" applyAlignment="1" applyProtection="1">
      <alignment horizontal="center" vertical="center"/>
      <protection locked="0"/>
    </xf>
    <xf numFmtId="0" fontId="40" fillId="2" borderId="9" xfId="18" applyFont="1" applyFill="1" applyBorder="1" applyAlignment="1" applyProtection="1">
      <alignment vertical="center"/>
      <protection locked="0"/>
    </xf>
    <xf numFmtId="0" fontId="22" fillId="2" borderId="0" xfId="18" quotePrefix="1" applyFont="1" applyFill="1" applyBorder="1" applyAlignment="1" applyProtection="1">
      <alignment vertical="center"/>
    </xf>
    <xf numFmtId="3" fontId="17" fillId="0" borderId="6" xfId="1" applyNumberFormat="1" applyFont="1" applyFill="1" applyBorder="1" applyAlignment="1" applyProtection="1">
      <alignment horizontal="center" vertical="center"/>
    </xf>
    <xf numFmtId="3" fontId="17" fillId="0" borderId="0" xfId="1" quotePrefix="1" applyNumberFormat="1" applyFont="1" applyFill="1" applyBorder="1" applyAlignment="1" applyProtection="1">
      <alignment horizontal="center" vertical="center"/>
    </xf>
    <xf numFmtId="3" fontId="17" fillId="0" borderId="0" xfId="1" applyNumberFormat="1" applyFont="1" applyFill="1" applyBorder="1" applyAlignment="1" applyProtection="1">
      <alignment horizontal="center" vertical="center"/>
    </xf>
    <xf numFmtId="3" fontId="17" fillId="0" borderId="9" xfId="1" applyNumberFormat="1" applyFont="1" applyFill="1" applyBorder="1" applyAlignment="1" applyProtection="1">
      <alignment horizontal="center" vertical="center"/>
    </xf>
    <xf numFmtId="0" fontId="41" fillId="2" borderId="6" xfId="18" applyFont="1" applyFill="1" applyBorder="1" applyAlignment="1" applyProtection="1">
      <alignment horizontal="center" vertical="center"/>
      <protection locked="0"/>
    </xf>
    <xf numFmtId="0" fontId="41" fillId="2" borderId="0" xfId="18" applyFont="1" applyFill="1" applyBorder="1" applyAlignment="1" applyProtection="1">
      <alignment horizontal="center" vertical="center"/>
      <protection locked="0"/>
    </xf>
    <xf numFmtId="3" fontId="41" fillId="2" borderId="0" xfId="18" applyNumberFormat="1" applyFont="1" applyFill="1" applyBorder="1" applyAlignment="1" applyProtection="1">
      <alignment horizontal="center" vertical="center" wrapText="1"/>
      <protection locked="0"/>
    </xf>
    <xf numFmtId="0" fontId="41" fillId="2" borderId="0" xfId="18" applyFont="1" applyFill="1" applyBorder="1" applyAlignment="1" applyProtection="1">
      <alignment horizontal="center" vertical="center" wrapText="1"/>
      <protection locked="0"/>
    </xf>
    <xf numFmtId="0" fontId="46" fillId="2" borderId="0" xfId="18" applyFont="1" applyFill="1" applyBorder="1" applyAlignment="1" applyProtection="1">
      <alignment horizontal="center" vertical="center" wrapText="1"/>
      <protection locked="0"/>
    </xf>
    <xf numFmtId="0" fontId="41" fillId="2" borderId="9" xfId="18" applyFont="1" applyFill="1" applyBorder="1" applyAlignment="1" applyProtection="1">
      <alignment horizontal="center" vertical="center" wrapText="1"/>
      <protection locked="0"/>
    </xf>
    <xf numFmtId="0" fontId="40" fillId="2" borderId="6" xfId="18" applyFont="1" applyFill="1" applyBorder="1" applyAlignment="1" applyProtection="1">
      <alignment vertical="center"/>
      <protection locked="0"/>
    </xf>
    <xf numFmtId="0" fontId="124" fillId="2" borderId="0" xfId="18" quotePrefix="1" applyFont="1" applyFill="1" applyBorder="1" applyAlignment="1" applyProtection="1">
      <alignment horizontal="right" vertical="center" indent="1"/>
      <protection locked="0"/>
    </xf>
    <xf numFmtId="3" fontId="1" fillId="2" borderId="0" xfId="18" applyNumberFormat="1" applyFont="1" applyFill="1" applyBorder="1" applyAlignment="1" applyProtection="1">
      <alignment horizontal="left" vertical="center"/>
      <protection locked="0"/>
    </xf>
    <xf numFmtId="0" fontId="45" fillId="2" borderId="0" xfId="18" applyFont="1" applyFill="1" applyBorder="1" applyAlignment="1" applyProtection="1">
      <alignment vertical="center"/>
      <protection locked="0"/>
    </xf>
    <xf numFmtId="0" fontId="15" fillId="0" borderId="6" xfId="18" applyFont="1" applyBorder="1"/>
    <xf numFmtId="3" fontId="1" fillId="2" borderId="0" xfId="1" applyNumberFormat="1" applyFont="1" applyFill="1" applyBorder="1" applyAlignment="1" applyProtection="1">
      <alignment horizontal="center" vertical="center" wrapText="1"/>
    </xf>
    <xf numFmtId="9" fontId="45" fillId="2" borderId="0" xfId="1" applyNumberFormat="1" applyFont="1" applyFill="1" applyBorder="1" applyAlignment="1" applyProtection="1">
      <alignment vertical="center"/>
    </xf>
    <xf numFmtId="3" fontId="45" fillId="2" borderId="9" xfId="1" applyNumberFormat="1" applyFont="1" applyFill="1" applyBorder="1" applyAlignment="1" applyProtection="1">
      <alignment horizontal="center" vertical="center" wrapText="1"/>
    </xf>
    <xf numFmtId="0" fontId="42" fillId="2" borderId="0" xfId="18" applyFont="1" applyFill="1" applyBorder="1" applyAlignment="1" applyProtection="1">
      <alignment vertical="center"/>
      <protection locked="0"/>
    </xf>
    <xf numFmtId="0" fontId="15" fillId="0" borderId="0" xfId="18" applyFont="1" applyBorder="1"/>
    <xf numFmtId="0" fontId="45" fillId="2" borderId="6" xfId="18" applyFont="1" applyFill="1" applyBorder="1" applyAlignment="1" applyProtection="1">
      <alignment vertical="center"/>
      <protection locked="0"/>
    </xf>
    <xf numFmtId="0" fontId="1" fillId="2" borderId="0" xfId="18" applyFont="1" applyFill="1" applyBorder="1" applyAlignment="1" applyProtection="1">
      <alignment horizontal="center" vertical="center"/>
      <protection locked="0"/>
    </xf>
    <xf numFmtId="0" fontId="45" fillId="2" borderId="0" xfId="18" applyFont="1" applyFill="1" applyBorder="1" applyAlignment="1" applyProtection="1">
      <alignment horizontal="center" vertical="center"/>
      <protection locked="0"/>
    </xf>
    <xf numFmtId="0" fontId="45" fillId="2" borderId="9" xfId="18" applyFont="1" applyFill="1" applyBorder="1" applyAlignment="1" applyProtection="1">
      <alignment vertical="center"/>
      <protection locked="0"/>
    </xf>
    <xf numFmtId="0" fontId="124" fillId="2" borderId="0" xfId="18" quotePrefix="1" applyFont="1" applyFill="1" applyBorder="1" applyAlignment="1" applyProtection="1">
      <alignment horizontal="right" vertical="top" indent="1"/>
      <protection locked="0"/>
    </xf>
    <xf numFmtId="3" fontId="45" fillId="2" borderId="0" xfId="18" applyNumberFormat="1" applyFont="1" applyFill="1" applyBorder="1" applyAlignment="1" applyProtection="1">
      <alignment horizontal="center" vertical="center"/>
      <protection locked="0"/>
    </xf>
    <xf numFmtId="3" fontId="46" fillId="2" borderId="0" xfId="1" applyNumberFormat="1" applyFont="1" applyFill="1" applyBorder="1" applyAlignment="1" applyProtection="1">
      <alignment horizontal="right" vertical="center"/>
    </xf>
    <xf numFmtId="3" fontId="125" fillId="2" borderId="0" xfId="1" applyNumberFormat="1" applyFont="1" applyFill="1" applyBorder="1" applyAlignment="1" applyProtection="1">
      <alignment horizontal="center" vertical="center" wrapText="1"/>
    </xf>
    <xf numFmtId="9" fontId="19" fillId="2" borderId="0" xfId="1" applyNumberFormat="1" applyFont="1" applyFill="1" applyBorder="1" applyAlignment="1" applyProtection="1">
      <alignment vertical="center"/>
    </xf>
    <xf numFmtId="165" fontId="46" fillId="2" borderId="0" xfId="10" applyNumberFormat="1" applyFont="1" applyFill="1" applyBorder="1" applyAlignment="1" applyProtection="1">
      <alignment horizontal="center" vertical="center" wrapText="1"/>
    </xf>
    <xf numFmtId="0" fontId="40" fillId="2" borderId="10" xfId="18" applyFont="1" applyFill="1" applyBorder="1" applyAlignment="1" applyProtection="1">
      <alignment vertical="center"/>
      <protection locked="0"/>
    </xf>
    <xf numFmtId="0" fontId="40" fillId="2" borderId="11" xfId="18" applyFont="1" applyFill="1" applyBorder="1" applyAlignment="1" applyProtection="1">
      <alignment vertical="center"/>
      <protection locked="0"/>
    </xf>
    <xf numFmtId="3" fontId="40" fillId="2" borderId="11" xfId="18" applyNumberFormat="1" applyFont="1" applyFill="1" applyBorder="1" applyAlignment="1" applyProtection="1">
      <alignment horizontal="center" vertical="center"/>
      <protection locked="0"/>
    </xf>
    <xf numFmtId="3" fontId="40" fillId="2" borderId="11" xfId="18" applyNumberFormat="1" applyFont="1" applyFill="1" applyBorder="1" applyAlignment="1" applyProtection="1">
      <alignment vertical="center"/>
      <protection locked="0"/>
    </xf>
    <xf numFmtId="10" fontId="40" fillId="2" borderId="11" xfId="18" applyNumberFormat="1" applyFont="1" applyFill="1" applyBorder="1" applyAlignment="1" applyProtection="1">
      <alignment vertical="center"/>
      <protection locked="0"/>
    </xf>
    <xf numFmtId="0" fontId="40" fillId="2" borderId="11" xfId="18" applyFont="1" applyFill="1" applyBorder="1" applyAlignment="1" applyProtection="1">
      <alignment horizontal="center" vertical="center"/>
      <protection locked="0"/>
    </xf>
    <xf numFmtId="0" fontId="40" fillId="2" borderId="14" xfId="18" applyFont="1" applyFill="1" applyBorder="1" applyAlignment="1" applyProtection="1">
      <alignment vertical="center"/>
      <protection locked="0"/>
    </xf>
    <xf numFmtId="3" fontId="19" fillId="5" borderId="142" xfId="1" applyNumberFormat="1" applyFont="1" applyFill="1" applyBorder="1" applyAlignment="1" applyProtection="1">
      <alignment horizontal="center" vertical="center" wrapText="1"/>
    </xf>
    <xf numFmtId="0" fontId="60" fillId="0" borderId="141" xfId="7" applyFont="1" applyFill="1" applyBorder="1" applyAlignment="1">
      <alignment vertical="center"/>
    </xf>
    <xf numFmtId="0" fontId="45" fillId="2" borderId="143" xfId="0" applyFont="1" applyFill="1" applyBorder="1" applyAlignment="1" applyProtection="1">
      <alignment vertical="center"/>
      <protection locked="0"/>
    </xf>
    <xf numFmtId="3" fontId="45" fillId="2" borderId="145" xfId="1" applyNumberFormat="1" applyFont="1" applyFill="1" applyBorder="1" applyAlignment="1" applyProtection="1">
      <alignment horizontal="center" vertical="center" wrapText="1"/>
    </xf>
    <xf numFmtId="3" fontId="45" fillId="2" borderId="146" xfId="1" applyNumberFormat="1" applyFont="1" applyFill="1" applyBorder="1" applyAlignment="1" applyProtection="1">
      <alignment horizontal="center" vertical="center" wrapText="1"/>
    </xf>
    <xf numFmtId="3" fontId="45" fillId="2" borderId="144" xfId="1" applyNumberFormat="1" applyFont="1" applyFill="1" applyBorder="1" applyAlignment="1" applyProtection="1">
      <alignment horizontal="center" vertical="center" wrapText="1"/>
    </xf>
    <xf numFmtId="3" fontId="101" fillId="2" borderId="0" xfId="1" applyNumberFormat="1" applyFont="1" applyFill="1" applyBorder="1" applyAlignment="1" applyProtection="1">
      <alignment horizontal="center" vertical="center" wrapText="1"/>
    </xf>
    <xf numFmtId="3" fontId="101" fillId="2" borderId="9" xfId="1" applyNumberFormat="1" applyFont="1" applyFill="1" applyBorder="1" applyAlignment="1" applyProtection="1">
      <alignment horizontal="center" vertical="center" wrapText="1"/>
    </xf>
    <xf numFmtId="3" fontId="101" fillId="2" borderId="0" xfId="1" applyNumberFormat="1" applyFont="1" applyFill="1" applyBorder="1" applyAlignment="1" applyProtection="1">
      <alignment horizontal="center" vertical="center"/>
    </xf>
    <xf numFmtId="0" fontId="15" fillId="2" borderId="41" xfId="0" applyFont="1" applyFill="1" applyBorder="1" applyAlignment="1" applyProtection="1">
      <alignment horizontal="center" vertical="center"/>
      <protection locked="0"/>
    </xf>
    <xf numFmtId="0" fontId="15" fillId="2" borderId="40" xfId="0" applyFont="1" applyFill="1" applyBorder="1" applyAlignment="1" applyProtection="1">
      <alignment horizontal="center" vertical="center"/>
      <protection locked="0"/>
    </xf>
    <xf numFmtId="3" fontId="101" fillId="2" borderId="0" xfId="1" applyNumberFormat="1" applyFont="1" applyFill="1" applyBorder="1" applyAlignment="1" applyProtection="1">
      <alignment horizontal="center" vertical="center" wrapText="1"/>
    </xf>
    <xf numFmtId="3" fontId="11" fillId="3" borderId="145" xfId="1" applyNumberFormat="1" applyFont="1" applyFill="1" applyBorder="1" applyAlignment="1" applyProtection="1">
      <alignment vertical="center"/>
    </xf>
    <xf numFmtId="165" fontId="11" fillId="3" borderId="147" xfId="1" applyNumberFormat="1" applyFont="1" applyFill="1" applyBorder="1" applyAlignment="1" applyProtection="1">
      <alignment vertical="center"/>
    </xf>
    <xf numFmtId="14" fontId="13" fillId="6" borderId="22" xfId="1" applyNumberFormat="1" applyFont="1" applyFill="1" applyBorder="1" applyAlignment="1" applyProtection="1">
      <alignment horizontal="center" vertical="center" wrapText="1"/>
      <protection locked="0"/>
    </xf>
    <xf numFmtId="14" fontId="17" fillId="2" borderId="9" xfId="0" applyNumberFormat="1" applyFont="1" applyFill="1" applyBorder="1" applyAlignment="1" applyProtection="1">
      <alignment horizontal="right" vertical="center"/>
      <protection locked="0"/>
    </xf>
    <xf numFmtId="14" fontId="5" fillId="2" borderId="9" xfId="0" applyNumberFormat="1" applyFont="1" applyFill="1" applyBorder="1" applyAlignment="1" applyProtection="1">
      <alignment horizontal="right" vertical="center"/>
      <protection locked="0"/>
    </xf>
    <xf numFmtId="14" fontId="19" fillId="2" borderId="0" xfId="0" applyNumberFormat="1" applyFont="1" applyFill="1" applyBorder="1" applyAlignment="1">
      <alignment horizontal="right" vertical="center" wrapText="1"/>
    </xf>
    <xf numFmtId="14" fontId="109" fillId="0" borderId="108" xfId="6" applyNumberFormat="1" applyFont="1" applyBorder="1" applyAlignment="1">
      <alignment vertical="center"/>
    </xf>
    <xf numFmtId="0" fontId="54" fillId="8" borderId="124" xfId="15" applyFont="1" applyFill="1" applyBorder="1" applyAlignment="1">
      <alignment horizontal="left" vertical="center"/>
    </xf>
    <xf numFmtId="0" fontId="1" fillId="0" borderId="0" xfId="0" applyFont="1" applyFill="1" applyBorder="1"/>
    <xf numFmtId="3" fontId="19" fillId="0" borderId="0" xfId="1" applyNumberFormat="1" applyFont="1" applyFill="1" applyBorder="1" applyAlignment="1" applyProtection="1">
      <alignment horizontal="center" vertical="center" wrapText="1"/>
    </xf>
    <xf numFmtId="3" fontId="19" fillId="0" borderId="0" xfId="1" applyNumberFormat="1" applyFont="1" applyFill="1" applyBorder="1" applyAlignment="1" applyProtection="1">
      <alignment horizontal="center" vertical="center"/>
    </xf>
    <xf numFmtId="3" fontId="19" fillId="0" borderId="0" xfId="1" applyNumberFormat="1" applyFont="1" applyFill="1" applyBorder="1" applyAlignment="1" applyProtection="1">
      <alignment vertical="center"/>
    </xf>
    <xf numFmtId="3" fontId="1" fillId="0" borderId="0" xfId="1" applyNumberFormat="1" applyFont="1" applyFill="1" applyBorder="1" applyAlignment="1" applyProtection="1">
      <alignment vertical="center"/>
    </xf>
    <xf numFmtId="3" fontId="1" fillId="0" borderId="0" xfId="0" applyNumberFormat="1" applyFont="1" applyFill="1" applyBorder="1"/>
    <xf numFmtId="0" fontId="0" fillId="0" borderId="0" xfId="0" applyFill="1"/>
    <xf numFmtId="14" fontId="18" fillId="0" borderId="9" xfId="0" applyNumberFormat="1" applyFont="1" applyBorder="1" applyAlignment="1">
      <alignment horizontal="right" vertical="center"/>
    </xf>
    <xf numFmtId="14" fontId="42" fillId="0" borderId="0" xfId="0" applyNumberFormat="1" applyFont="1" applyBorder="1" applyAlignment="1">
      <alignment horizontal="right" vertical="center"/>
    </xf>
    <xf numFmtId="0" fontId="82" fillId="13" borderId="119" xfId="11" applyFont="1" applyFill="1" applyBorder="1" applyAlignment="1">
      <alignment horizontal="center" vertical="center" wrapText="1"/>
    </xf>
    <xf numFmtId="3" fontId="95" fillId="0" borderId="133" xfId="14" applyNumberFormat="1" applyFont="1" applyFill="1" applyBorder="1" applyAlignment="1">
      <alignment vertical="center"/>
    </xf>
    <xf numFmtId="9" fontId="95" fillId="0" borderId="37" xfId="8" applyNumberFormat="1" applyFont="1" applyFill="1" applyBorder="1" applyAlignment="1">
      <alignment vertical="center"/>
    </xf>
    <xf numFmtId="3" fontId="1" fillId="2" borderId="147" xfId="0" applyNumberFormat="1" applyFont="1" applyFill="1" applyBorder="1" applyAlignment="1">
      <alignment horizontal="center" vertical="center" wrapText="1"/>
    </xf>
    <xf numFmtId="3" fontId="19" fillId="2" borderId="149" xfId="0" applyNumberFormat="1" applyFont="1" applyFill="1" applyBorder="1" applyAlignment="1">
      <alignment horizontal="center" vertical="center" wrapText="1"/>
    </xf>
    <xf numFmtId="3" fontId="32" fillId="0" borderId="0" xfId="9" applyNumberFormat="1" applyAlignment="1" applyProtection="1">
      <alignment vertical="center"/>
    </xf>
    <xf numFmtId="171" fontId="80" fillId="0" borderId="0" xfId="11" applyNumberFormat="1" applyFont="1" applyAlignment="1">
      <alignment vertical="center"/>
    </xf>
    <xf numFmtId="0" fontId="80" fillId="0" borderId="0" xfId="11" applyFont="1" applyBorder="1" applyAlignment="1">
      <alignment vertical="center"/>
    </xf>
    <xf numFmtId="0" fontId="82" fillId="0" borderId="150" xfId="11" applyFont="1" applyBorder="1" applyAlignment="1">
      <alignment vertical="center"/>
    </xf>
    <xf numFmtId="0" fontId="82" fillId="0" borderId="151" xfId="11" applyFont="1" applyBorder="1" applyAlignment="1">
      <alignment vertical="center"/>
    </xf>
    <xf numFmtId="0" fontId="82" fillId="0" borderId="152" xfId="11" applyFont="1" applyBorder="1" applyAlignment="1">
      <alignment vertical="center"/>
    </xf>
    <xf numFmtId="0" fontId="82" fillId="0" borderId="153" xfId="11" applyFont="1" applyBorder="1" applyAlignment="1">
      <alignment vertical="center"/>
    </xf>
    <xf numFmtId="0" fontId="80" fillId="0" borderId="158" xfId="11" applyFont="1" applyBorder="1" applyAlignment="1">
      <alignment horizontal="center" vertical="center"/>
    </xf>
    <xf numFmtId="0" fontId="82" fillId="0" borderId="159" xfId="11" applyFont="1" applyBorder="1" applyAlignment="1">
      <alignment horizontal="center" vertical="center"/>
    </xf>
    <xf numFmtId="0" fontId="82" fillId="0" borderId="160" xfId="11" applyFont="1" applyBorder="1" applyAlignment="1">
      <alignment horizontal="center" vertical="center"/>
    </xf>
    <xf numFmtId="0" fontId="82" fillId="0" borderId="0" xfId="11" applyFont="1" applyBorder="1" applyAlignment="1">
      <alignment vertical="center"/>
    </xf>
    <xf numFmtId="0" fontId="80" fillId="0" borderId="0" xfId="11" applyFont="1" applyFill="1" applyBorder="1" applyAlignment="1">
      <alignment vertical="center"/>
    </xf>
    <xf numFmtId="171" fontId="80" fillId="0" borderId="161" xfId="11" applyNumberFormat="1" applyFont="1" applyBorder="1" applyAlignment="1">
      <alignment horizontal="center" vertical="center"/>
    </xf>
    <xf numFmtId="171" fontId="80" fillId="0" borderId="162" xfId="11" applyNumberFormat="1" applyFont="1" applyBorder="1" applyAlignment="1">
      <alignment horizontal="center" vertical="center"/>
    </xf>
    <xf numFmtId="171" fontId="86" fillId="15" borderId="164" xfId="0" applyNumberFormat="1" applyFont="1" applyFill="1" applyBorder="1" applyAlignment="1">
      <alignment vertical="center"/>
    </xf>
    <xf numFmtId="171" fontId="86" fillId="20" borderId="164" xfId="0" applyNumberFormat="1" applyFont="1" applyFill="1" applyBorder="1" applyAlignment="1">
      <alignment vertical="center"/>
    </xf>
    <xf numFmtId="171" fontId="86" fillId="16" borderId="164" xfId="0" applyNumberFormat="1" applyFont="1" applyFill="1" applyBorder="1" applyAlignment="1">
      <alignment vertical="center"/>
    </xf>
    <xf numFmtId="171" fontId="129" fillId="0" borderId="164" xfId="0" applyNumberFormat="1" applyFont="1" applyBorder="1" applyAlignment="1">
      <alignment vertical="center"/>
    </xf>
    <xf numFmtId="0" fontId="84" fillId="15" borderId="165" xfId="0" applyFont="1" applyFill="1" applyBorder="1" applyAlignment="1">
      <alignment vertical="center"/>
    </xf>
    <xf numFmtId="171" fontId="86" fillId="15" borderId="166" xfId="0" applyNumberFormat="1" applyFont="1" applyFill="1" applyBorder="1" applyAlignment="1">
      <alignment vertical="center"/>
    </xf>
    <xf numFmtId="171" fontId="86" fillId="15" borderId="167" xfId="0" applyNumberFormat="1" applyFont="1" applyFill="1" applyBorder="1" applyAlignment="1">
      <alignment vertical="center"/>
    </xf>
    <xf numFmtId="0" fontId="84" fillId="20" borderId="165" xfId="0" applyFont="1" applyFill="1" applyBorder="1" applyAlignment="1">
      <alignment vertical="center"/>
    </xf>
    <xf numFmtId="171" fontId="86" fillId="20" borderId="166" xfId="0" applyNumberFormat="1" applyFont="1" applyFill="1" applyBorder="1" applyAlignment="1">
      <alignment vertical="center"/>
    </xf>
    <xf numFmtId="171" fontId="86" fillId="20" borderId="167" xfId="0" applyNumberFormat="1" applyFont="1" applyFill="1" applyBorder="1" applyAlignment="1">
      <alignment vertical="center"/>
    </xf>
    <xf numFmtId="0" fontId="84" fillId="16" borderId="165" xfId="0" applyFont="1" applyFill="1" applyBorder="1" applyAlignment="1">
      <alignment vertical="center"/>
    </xf>
    <xf numFmtId="171" fontId="86" fillId="16" borderId="166" xfId="0" applyNumberFormat="1" applyFont="1" applyFill="1" applyBorder="1" applyAlignment="1">
      <alignment vertical="center"/>
    </xf>
    <xf numFmtId="171" fontId="86" fillId="16" borderId="167" xfId="0" applyNumberFormat="1" applyFont="1" applyFill="1" applyBorder="1" applyAlignment="1">
      <alignment vertical="center"/>
    </xf>
    <xf numFmtId="0" fontId="128" fillId="0" borderId="165" xfId="0" applyFont="1" applyBorder="1" applyAlignment="1">
      <alignment vertical="center"/>
    </xf>
    <xf numFmtId="171" fontId="129" fillId="0" borderId="166" xfId="0" applyNumberFormat="1" applyFont="1" applyBorder="1" applyAlignment="1">
      <alignment vertical="center"/>
    </xf>
    <xf numFmtId="171" fontId="129" fillId="0" borderId="167" xfId="0" applyNumberFormat="1" applyFont="1" applyBorder="1" applyAlignment="1">
      <alignment vertical="center"/>
    </xf>
    <xf numFmtId="0" fontId="86" fillId="15" borderId="163" xfId="0" applyFont="1" applyFill="1" applyBorder="1" applyAlignment="1">
      <alignment vertical="center"/>
    </xf>
    <xf numFmtId="0" fontId="87" fillId="20" borderId="163" xfId="0" applyFont="1" applyFill="1" applyBorder="1" applyAlignment="1">
      <alignment vertical="center"/>
    </xf>
    <xf numFmtId="0" fontId="86" fillId="16" borderId="163" xfId="0" applyFont="1" applyFill="1" applyBorder="1" applyAlignment="1">
      <alignment vertical="center"/>
    </xf>
    <xf numFmtId="0" fontId="129" fillId="0" borderId="163" xfId="0" applyFont="1" applyBorder="1" applyAlignment="1">
      <alignment vertical="center"/>
    </xf>
    <xf numFmtId="171" fontId="86" fillId="15" borderId="165" xfId="0" applyNumberFormat="1" applyFont="1" applyFill="1" applyBorder="1" applyAlignment="1">
      <alignment vertical="center"/>
    </xf>
    <xf numFmtId="171" fontId="86" fillId="20" borderId="165" xfId="0" applyNumberFormat="1" applyFont="1" applyFill="1" applyBorder="1" applyAlignment="1">
      <alignment vertical="center"/>
    </xf>
    <xf numFmtId="171" fontId="86" fillId="16" borderId="165" xfId="0" applyNumberFormat="1" applyFont="1" applyFill="1" applyBorder="1" applyAlignment="1">
      <alignment vertical="center"/>
    </xf>
    <xf numFmtId="171" fontId="129" fillId="0" borderId="165" xfId="0" applyNumberFormat="1" applyFont="1" applyBorder="1" applyAlignment="1">
      <alignment vertical="center"/>
    </xf>
    <xf numFmtId="171" fontId="80" fillId="20" borderId="165" xfId="11" applyNumberFormat="1" applyFont="1" applyFill="1" applyBorder="1" applyAlignment="1">
      <alignment vertical="center"/>
    </xf>
    <xf numFmtId="171" fontId="80" fillId="20" borderId="166" xfId="11" applyNumberFormat="1" applyFont="1" applyFill="1" applyBorder="1" applyAlignment="1">
      <alignment vertical="center"/>
    </xf>
    <xf numFmtId="171" fontId="85" fillId="16" borderId="165" xfId="13" applyNumberFormat="1" applyFont="1" applyFill="1" applyBorder="1" applyAlignment="1">
      <alignment vertical="center"/>
    </xf>
    <xf numFmtId="171" fontId="85" fillId="16" borderId="166" xfId="13" applyNumberFormat="1" applyFont="1" applyFill="1" applyBorder="1" applyAlignment="1">
      <alignment vertical="center"/>
    </xf>
    <xf numFmtId="171" fontId="85" fillId="15" borderId="165" xfId="13" applyNumberFormat="1" applyFont="1" applyFill="1" applyBorder="1" applyAlignment="1">
      <alignment vertical="center"/>
    </xf>
    <xf numFmtId="171" fontId="85" fillId="15" borderId="166" xfId="13" applyNumberFormat="1" applyFont="1" applyFill="1" applyBorder="1" applyAlignment="1">
      <alignment vertical="center"/>
    </xf>
    <xf numFmtId="171" fontId="85" fillId="14" borderId="165" xfId="13" applyNumberFormat="1" applyFont="1" applyFill="1" applyBorder="1" applyAlignment="1">
      <alignment vertical="center"/>
    </xf>
    <xf numFmtId="171" fontId="85" fillId="14" borderId="166" xfId="13" applyNumberFormat="1" applyFont="1" applyFill="1" applyBorder="1" applyAlignment="1">
      <alignment vertical="center"/>
    </xf>
    <xf numFmtId="171" fontId="80" fillId="15" borderId="165" xfId="11" applyNumberFormat="1" applyFont="1" applyFill="1" applyBorder="1" applyAlignment="1">
      <alignment vertical="center"/>
    </xf>
    <xf numFmtId="171" fontId="80" fillId="15" borderId="166" xfId="11" applyNumberFormat="1" applyFont="1" applyFill="1" applyBorder="1" applyAlignment="1">
      <alignment vertical="center"/>
    </xf>
    <xf numFmtId="171" fontId="80" fillId="14" borderId="165" xfId="11" applyNumberFormat="1" applyFont="1" applyFill="1" applyBorder="1" applyAlignment="1">
      <alignment vertical="center"/>
    </xf>
    <xf numFmtId="171" fontId="80" fillId="14" borderId="166" xfId="11" applyNumberFormat="1" applyFont="1" applyFill="1" applyBorder="1" applyAlignment="1">
      <alignment vertical="center"/>
    </xf>
    <xf numFmtId="171" fontId="80" fillId="16" borderId="165" xfId="11" applyNumberFormat="1" applyFont="1" applyFill="1" applyBorder="1" applyAlignment="1">
      <alignment vertical="center"/>
    </xf>
    <xf numFmtId="171" fontId="80" fillId="16" borderId="166" xfId="11" applyNumberFormat="1" applyFont="1" applyFill="1" applyBorder="1" applyAlignment="1">
      <alignment vertical="center"/>
    </xf>
    <xf numFmtId="10" fontId="74" fillId="10" borderId="168" xfId="10" applyNumberFormat="1" applyFont="1" applyFill="1" applyBorder="1" applyAlignment="1" applyProtection="1">
      <alignment horizontal="right" vertical="center"/>
    </xf>
    <xf numFmtId="4" fontId="74" fillId="10" borderId="169" xfId="9" applyNumberFormat="1" applyFont="1" applyFill="1" applyBorder="1" applyAlignment="1" applyProtection="1">
      <alignment horizontal="right" vertical="center"/>
    </xf>
    <xf numFmtId="4" fontId="76" fillId="0" borderId="170" xfId="9" applyNumberFormat="1" applyFont="1" applyFill="1" applyBorder="1" applyAlignment="1" applyProtection="1">
      <alignment horizontal="right" vertical="center"/>
    </xf>
    <xf numFmtId="0" fontId="130" fillId="0" borderId="0" xfId="0" applyFont="1"/>
    <xf numFmtId="4" fontId="20" fillId="0" borderId="171" xfId="9" applyNumberFormat="1" applyFont="1" applyBorder="1" applyAlignment="1">
      <alignment horizontal="center" vertical="center"/>
    </xf>
    <xf numFmtId="3" fontId="32" fillId="0" borderId="171" xfId="9" applyNumberFormat="1" applyBorder="1" applyAlignment="1">
      <alignment horizontal="center" vertical="center"/>
    </xf>
    <xf numFmtId="3" fontId="20" fillId="0" borderId="171" xfId="9" applyNumberFormat="1" applyFont="1" applyBorder="1" applyAlignment="1">
      <alignment horizontal="center" vertical="center"/>
    </xf>
    <xf numFmtId="49" fontId="74" fillId="2" borderId="174" xfId="9" applyNumberFormat="1" applyFont="1" applyFill="1" applyBorder="1" applyAlignment="1" applyProtection="1">
      <alignment horizontal="center" vertical="center"/>
      <protection locked="0"/>
    </xf>
    <xf numFmtId="49" fontId="74" fillId="2" borderId="177" xfId="9" applyNumberFormat="1" applyFont="1" applyFill="1" applyBorder="1" applyAlignment="1" applyProtection="1">
      <alignment horizontal="center" vertical="center"/>
      <protection locked="0"/>
    </xf>
    <xf numFmtId="4" fontId="74" fillId="5" borderId="178" xfId="9" applyNumberFormat="1" applyFont="1" applyFill="1" applyBorder="1" applyAlignment="1" applyProtection="1">
      <alignment horizontal="right" vertical="center"/>
    </xf>
    <xf numFmtId="10" fontId="74" fillId="5" borderId="179" xfId="10" applyNumberFormat="1" applyFont="1" applyFill="1" applyBorder="1" applyAlignment="1" applyProtection="1">
      <alignment horizontal="right" vertical="center"/>
    </xf>
    <xf numFmtId="4" fontId="74" fillId="5" borderId="180" xfId="9" applyNumberFormat="1" applyFont="1" applyFill="1" applyBorder="1" applyAlignment="1" applyProtection="1">
      <alignment horizontal="right" vertical="center"/>
    </xf>
    <xf numFmtId="4" fontId="74" fillId="5" borderId="181" xfId="9" applyNumberFormat="1" applyFont="1" applyFill="1" applyBorder="1" applyAlignment="1" applyProtection="1">
      <alignment horizontal="right" vertical="center"/>
    </xf>
    <xf numFmtId="4" fontId="74" fillId="5" borderId="182" xfId="9" applyNumberFormat="1" applyFont="1" applyFill="1" applyBorder="1" applyAlignment="1" applyProtection="1">
      <alignment horizontal="right" vertical="center"/>
    </xf>
    <xf numFmtId="10" fontId="74" fillId="5" borderId="183" xfId="10" applyNumberFormat="1" applyFont="1" applyFill="1" applyBorder="1" applyAlignment="1" applyProtection="1">
      <alignment horizontal="right" vertical="center"/>
    </xf>
    <xf numFmtId="4" fontId="74" fillId="5" borderId="184" xfId="9" applyNumberFormat="1" applyFont="1" applyFill="1" applyBorder="1" applyAlignment="1" applyProtection="1">
      <alignment horizontal="right" vertical="center"/>
    </xf>
    <xf numFmtId="4" fontId="74" fillId="5" borderId="185" xfId="9" applyNumberFormat="1" applyFont="1" applyFill="1" applyBorder="1" applyAlignment="1" applyProtection="1">
      <alignment horizontal="right" vertical="center"/>
    </xf>
    <xf numFmtId="4" fontId="74" fillId="5" borderId="186" xfId="9" applyNumberFormat="1" applyFont="1" applyFill="1" applyBorder="1" applyAlignment="1" applyProtection="1">
      <alignment horizontal="right" vertical="center"/>
    </xf>
    <xf numFmtId="4" fontId="74" fillId="5" borderId="187" xfId="9" applyNumberFormat="1" applyFont="1" applyFill="1" applyBorder="1" applyAlignment="1" applyProtection="1">
      <alignment horizontal="right" vertical="center"/>
    </xf>
    <xf numFmtId="4" fontId="74" fillId="5" borderId="176" xfId="9" applyNumberFormat="1" applyFont="1" applyFill="1" applyBorder="1" applyAlignment="1" applyProtection="1">
      <alignment horizontal="right" vertical="center"/>
    </xf>
    <xf numFmtId="4" fontId="74" fillId="5" borderId="172" xfId="9" applyNumberFormat="1" applyFont="1" applyFill="1" applyBorder="1" applyAlignment="1" applyProtection="1">
      <alignment horizontal="right" vertical="center"/>
      <protection locked="0"/>
    </xf>
    <xf numFmtId="10" fontId="74" fillId="5" borderId="175" xfId="10" applyNumberFormat="1" applyFont="1" applyFill="1" applyBorder="1" applyAlignment="1" applyProtection="1">
      <alignment horizontal="right" vertical="center"/>
      <protection locked="0"/>
    </xf>
    <xf numFmtId="4" fontId="74" fillId="5" borderId="175" xfId="9" applyNumberFormat="1" applyFont="1" applyFill="1" applyBorder="1" applyAlignment="1" applyProtection="1">
      <alignment horizontal="right" vertical="center"/>
      <protection locked="0"/>
    </xf>
    <xf numFmtId="4" fontId="74" fillId="5" borderId="173" xfId="9" applyNumberFormat="1" applyFont="1" applyFill="1" applyBorder="1" applyAlignment="1" applyProtection="1">
      <alignment horizontal="right" vertical="center"/>
      <protection locked="0"/>
    </xf>
    <xf numFmtId="4" fontId="74" fillId="10" borderId="188" xfId="9" applyNumberFormat="1" applyFont="1" applyFill="1" applyBorder="1" applyAlignment="1" applyProtection="1">
      <alignment horizontal="right" vertical="center"/>
    </xf>
    <xf numFmtId="4" fontId="74" fillId="10" borderId="187" xfId="9" applyNumberFormat="1" applyFont="1" applyFill="1" applyBorder="1" applyAlignment="1" applyProtection="1">
      <alignment horizontal="right" vertical="center"/>
    </xf>
    <xf numFmtId="10" fontId="74" fillId="10" borderId="189" xfId="10" applyNumberFormat="1" applyFont="1" applyFill="1" applyBorder="1" applyAlignment="1" applyProtection="1">
      <alignment horizontal="right" vertical="center"/>
    </xf>
    <xf numFmtId="4" fontId="74" fillId="10" borderId="175" xfId="9" applyNumberFormat="1" applyFont="1" applyFill="1" applyBorder="1" applyAlignment="1" applyProtection="1">
      <alignment horizontal="right" vertical="center"/>
    </xf>
    <xf numFmtId="4" fontId="74" fillId="10" borderId="176" xfId="9" applyNumberFormat="1" applyFont="1" applyFill="1" applyBorder="1" applyAlignment="1" applyProtection="1">
      <alignment horizontal="right" vertical="center"/>
    </xf>
    <xf numFmtId="4" fontId="74" fillId="10" borderId="182" xfId="9" applyNumberFormat="1" applyFont="1" applyFill="1" applyBorder="1" applyAlignment="1" applyProtection="1">
      <alignment horizontal="right" vertical="center"/>
    </xf>
    <xf numFmtId="10" fontId="74" fillId="10" borderId="183" xfId="10" applyNumberFormat="1" applyFont="1" applyFill="1" applyBorder="1" applyAlignment="1" applyProtection="1">
      <alignment horizontal="right" vertical="center"/>
    </xf>
    <xf numFmtId="4" fontId="74" fillId="10" borderId="190" xfId="9" applyNumberFormat="1" applyFont="1" applyFill="1" applyBorder="1" applyAlignment="1" applyProtection="1">
      <alignment horizontal="right" vertical="center"/>
    </xf>
    <xf numFmtId="4" fontId="74" fillId="10" borderId="185" xfId="9" applyNumberFormat="1" applyFont="1" applyFill="1" applyBorder="1" applyAlignment="1" applyProtection="1">
      <alignment horizontal="right" vertical="center"/>
    </xf>
    <xf numFmtId="4" fontId="74" fillId="10" borderId="186" xfId="9" applyNumberFormat="1" applyFont="1" applyFill="1" applyBorder="1" applyAlignment="1" applyProtection="1">
      <alignment horizontal="right" vertical="center"/>
    </xf>
    <xf numFmtId="4" fontId="74" fillId="10" borderId="172" xfId="9" applyNumberFormat="1" applyFont="1" applyFill="1" applyBorder="1" applyAlignment="1" applyProtection="1">
      <alignment horizontal="right" vertical="center"/>
      <protection locked="0"/>
    </xf>
    <xf numFmtId="10" fontId="74" fillId="10" borderId="175" xfId="10" applyNumberFormat="1" applyFont="1" applyFill="1" applyBorder="1" applyAlignment="1" applyProtection="1">
      <alignment horizontal="right" vertical="center"/>
      <protection locked="0"/>
    </xf>
    <xf numFmtId="4" fontId="74" fillId="10" borderId="180" xfId="9" applyNumberFormat="1" applyFont="1" applyFill="1" applyBorder="1" applyAlignment="1" applyProtection="1">
      <alignment horizontal="right" vertical="center"/>
      <protection locked="0"/>
    </xf>
    <xf numFmtId="4" fontId="74" fillId="10" borderId="173" xfId="9" applyNumberFormat="1" applyFont="1" applyFill="1" applyBorder="1" applyAlignment="1" applyProtection="1">
      <alignment horizontal="right" vertical="center"/>
      <protection locked="0"/>
    </xf>
    <xf numFmtId="49" fontId="76" fillId="3" borderId="191" xfId="9" applyNumberFormat="1" applyFont="1" applyFill="1" applyBorder="1" applyAlignment="1" applyProtection="1">
      <alignment horizontal="left" vertical="center"/>
      <protection locked="0"/>
    </xf>
    <xf numFmtId="49" fontId="77" fillId="3" borderId="192" xfId="9" applyNumberFormat="1" applyFont="1" applyFill="1" applyBorder="1" applyAlignment="1" applyProtection="1">
      <alignment horizontal="left" vertical="center"/>
      <protection locked="0"/>
    </xf>
    <xf numFmtId="49" fontId="76" fillId="3" borderId="193" xfId="9" applyNumberFormat="1" applyFont="1" applyFill="1" applyBorder="1" applyAlignment="1" applyProtection="1">
      <alignment horizontal="center" vertical="center"/>
      <protection locked="0"/>
    </xf>
    <xf numFmtId="4" fontId="76" fillId="0" borderId="194" xfId="9" applyNumberFormat="1" applyFont="1" applyFill="1" applyBorder="1" applyAlignment="1" applyProtection="1">
      <alignment horizontal="right" vertical="center"/>
    </xf>
    <xf numFmtId="4" fontId="76" fillId="0" borderId="195" xfId="9" applyNumberFormat="1" applyFont="1" applyFill="1" applyBorder="1" applyAlignment="1" applyProtection="1">
      <alignment horizontal="right" vertical="center"/>
    </xf>
    <xf numFmtId="4" fontId="76" fillId="0" borderId="196" xfId="9" applyNumberFormat="1" applyFont="1" applyFill="1" applyBorder="1" applyAlignment="1" applyProtection="1">
      <alignment horizontal="right" vertical="center"/>
    </xf>
    <xf numFmtId="4" fontId="76" fillId="0" borderId="197" xfId="9" applyNumberFormat="1" applyFont="1" applyFill="1" applyBorder="1" applyAlignment="1" applyProtection="1">
      <alignment horizontal="right" vertical="center"/>
    </xf>
    <xf numFmtId="4" fontId="76" fillId="11" borderId="198" xfId="9" applyNumberFormat="1" applyFont="1" applyFill="1" applyBorder="1" applyAlignment="1" applyProtection="1">
      <alignment horizontal="right" vertical="center"/>
    </xf>
    <xf numFmtId="4" fontId="76" fillId="0" borderId="199" xfId="9" applyNumberFormat="1" applyFont="1" applyFill="1" applyBorder="1" applyAlignment="1" applyProtection="1">
      <alignment horizontal="right" vertical="center"/>
    </xf>
    <xf numFmtId="4" fontId="76" fillId="9" borderId="200" xfId="9" applyNumberFormat="1" applyFont="1" applyFill="1" applyBorder="1" applyAlignment="1" applyProtection="1">
      <alignment horizontal="right" vertical="center"/>
    </xf>
    <xf numFmtId="4" fontId="76" fillId="11" borderId="201" xfId="9" applyNumberFormat="1" applyFont="1" applyFill="1" applyBorder="1" applyAlignment="1" applyProtection="1">
      <alignment horizontal="right" vertical="center"/>
    </xf>
    <xf numFmtId="4" fontId="76" fillId="9" borderId="202" xfId="9" applyNumberFormat="1" applyFont="1" applyFill="1" applyBorder="1" applyAlignment="1" applyProtection="1">
      <alignment horizontal="right" vertical="center"/>
    </xf>
    <xf numFmtId="4" fontId="76" fillId="11" borderId="203" xfId="9" applyNumberFormat="1" applyFont="1" applyFill="1" applyBorder="1" applyAlignment="1" applyProtection="1">
      <alignment horizontal="right" vertical="center"/>
    </xf>
    <xf numFmtId="4" fontId="76" fillId="0" borderId="194" xfId="9" applyNumberFormat="1" applyFont="1" applyFill="1" applyBorder="1" applyAlignment="1" applyProtection="1">
      <alignment horizontal="right" vertical="center"/>
      <protection locked="0"/>
    </xf>
    <xf numFmtId="4" fontId="76" fillId="11" borderId="195" xfId="9" applyNumberFormat="1" applyFont="1" applyFill="1" applyBorder="1" applyAlignment="1" applyProtection="1">
      <alignment horizontal="right" vertical="center"/>
      <protection locked="0"/>
    </xf>
    <xf numFmtId="4" fontId="76" fillId="0" borderId="195" xfId="9" applyNumberFormat="1" applyFont="1" applyFill="1" applyBorder="1" applyAlignment="1" applyProtection="1">
      <alignment horizontal="right" vertical="center"/>
      <protection locked="0"/>
    </xf>
    <xf numFmtId="4" fontId="76" fillId="0" borderId="204" xfId="9" applyNumberFormat="1" applyFont="1" applyFill="1" applyBorder="1" applyAlignment="1" applyProtection="1">
      <alignment horizontal="right" vertical="center"/>
      <protection locked="0"/>
    </xf>
    <xf numFmtId="4" fontId="76" fillId="0" borderId="202" xfId="9" applyNumberFormat="1" applyFont="1" applyFill="1" applyBorder="1" applyAlignment="1" applyProtection="1">
      <alignment horizontal="right" vertical="center"/>
    </xf>
    <xf numFmtId="4" fontId="76" fillId="0" borderId="205" xfId="9" applyNumberFormat="1" applyFont="1" applyFill="1" applyBorder="1" applyAlignment="1" applyProtection="1">
      <alignment horizontal="right" vertical="center"/>
    </xf>
    <xf numFmtId="4" fontId="76" fillId="11" borderId="206" xfId="9" applyNumberFormat="1" applyFont="1" applyFill="1" applyBorder="1" applyAlignment="1" applyProtection="1">
      <alignment horizontal="right" vertical="center"/>
    </xf>
    <xf numFmtId="4" fontId="76" fillId="0" borderId="207" xfId="9" applyNumberFormat="1" applyFont="1" applyFill="1" applyBorder="1" applyAlignment="1" applyProtection="1">
      <alignment horizontal="right" vertical="center"/>
    </xf>
    <xf numFmtId="4" fontId="76" fillId="0" borderId="208" xfId="9" applyNumberFormat="1" applyFont="1" applyFill="1" applyBorder="1" applyAlignment="1" applyProtection="1">
      <alignment horizontal="right" vertical="center"/>
    </xf>
    <xf numFmtId="4" fontId="76" fillId="0" borderId="209" xfId="9" applyNumberFormat="1" applyFont="1" applyFill="1" applyBorder="1" applyAlignment="1" applyProtection="1">
      <alignment horizontal="right" vertical="center"/>
    </xf>
    <xf numFmtId="4" fontId="76" fillId="9" borderId="210" xfId="9" applyNumberFormat="1" applyFont="1" applyFill="1" applyBorder="1" applyAlignment="1" applyProtection="1">
      <alignment horizontal="right" vertical="center"/>
    </xf>
    <xf numFmtId="4" fontId="76" fillId="11" borderId="211" xfId="9" applyNumberFormat="1" applyFont="1" applyFill="1" applyBorder="1" applyAlignment="1" applyProtection="1">
      <alignment horizontal="right" vertical="center"/>
    </xf>
    <xf numFmtId="4" fontId="76" fillId="9" borderId="212" xfId="9" applyNumberFormat="1" applyFont="1" applyFill="1" applyBorder="1" applyAlignment="1" applyProtection="1">
      <alignment horizontal="right" vertical="center"/>
    </xf>
    <xf numFmtId="4" fontId="76" fillId="0" borderId="213" xfId="9" applyNumberFormat="1" applyFont="1" applyFill="1" applyBorder="1" applyAlignment="1" applyProtection="1">
      <alignment horizontal="right" vertical="center"/>
      <protection locked="0"/>
    </xf>
    <xf numFmtId="4" fontId="76" fillId="11" borderId="207" xfId="9" applyNumberFormat="1" applyFont="1" applyFill="1" applyBorder="1" applyAlignment="1" applyProtection="1">
      <alignment horizontal="right" vertical="center"/>
      <protection locked="0"/>
    </xf>
    <xf numFmtId="4" fontId="76" fillId="0" borderId="207" xfId="9" applyNumberFormat="1" applyFont="1" applyFill="1" applyBorder="1" applyAlignment="1" applyProtection="1">
      <alignment horizontal="right" vertical="center"/>
      <protection locked="0"/>
    </xf>
    <xf numFmtId="4" fontId="76" fillId="0" borderId="214" xfId="9" applyNumberFormat="1" applyFont="1" applyFill="1" applyBorder="1" applyAlignment="1" applyProtection="1">
      <alignment horizontal="right" vertical="center"/>
      <protection locked="0"/>
    </xf>
    <xf numFmtId="4" fontId="74" fillId="10" borderId="215" xfId="9" applyNumberFormat="1" applyFont="1" applyFill="1" applyBorder="1" applyAlignment="1" applyProtection="1">
      <alignment horizontal="right" vertical="center"/>
    </xf>
    <xf numFmtId="4" fontId="74" fillId="10" borderId="216" xfId="9" applyNumberFormat="1" applyFont="1" applyFill="1" applyBorder="1" applyAlignment="1" applyProtection="1">
      <alignment horizontal="right" vertical="center"/>
    </xf>
    <xf numFmtId="4" fontId="74" fillId="10" borderId="217" xfId="9" applyNumberFormat="1" applyFont="1" applyFill="1" applyBorder="1" applyAlignment="1" applyProtection="1">
      <alignment horizontal="right" vertical="center"/>
    </xf>
    <xf numFmtId="10" fontId="74" fillId="10" borderId="218" xfId="10" applyNumberFormat="1" applyFont="1" applyFill="1" applyBorder="1" applyAlignment="1" applyProtection="1">
      <alignment horizontal="right" vertical="center"/>
    </xf>
    <xf numFmtId="4" fontId="74" fillId="10" borderId="219" xfId="9" applyNumberFormat="1" applyFont="1" applyFill="1" applyBorder="1" applyAlignment="1" applyProtection="1">
      <alignment horizontal="right" vertical="center"/>
    </xf>
    <xf numFmtId="4" fontId="74" fillId="10" borderId="220" xfId="9" applyNumberFormat="1" applyFont="1" applyFill="1" applyBorder="1" applyAlignment="1" applyProtection="1">
      <alignment horizontal="right" vertical="center"/>
    </xf>
    <xf numFmtId="4" fontId="74" fillId="10" borderId="221" xfId="9" applyNumberFormat="1" applyFont="1" applyFill="1" applyBorder="1" applyAlignment="1" applyProtection="1">
      <alignment horizontal="right" vertical="center"/>
    </xf>
    <xf numFmtId="4" fontId="74" fillId="10" borderId="178" xfId="9" applyNumberFormat="1" applyFont="1" applyFill="1" applyBorder="1" applyAlignment="1" applyProtection="1">
      <alignment horizontal="right" vertical="center"/>
      <protection locked="0"/>
    </xf>
    <xf numFmtId="10" fontId="74" fillId="10" borderId="222" xfId="10" applyNumberFormat="1" applyFont="1" applyFill="1" applyBorder="1" applyAlignment="1" applyProtection="1">
      <alignment horizontal="right" vertical="center"/>
      <protection locked="0"/>
    </xf>
    <xf numFmtId="4" fontId="74" fillId="10" borderId="223" xfId="9" applyNumberFormat="1" applyFont="1" applyFill="1" applyBorder="1" applyAlignment="1" applyProtection="1">
      <alignment horizontal="right" vertical="center"/>
      <protection locked="0"/>
    </xf>
    <xf numFmtId="4" fontId="74" fillId="10" borderId="181" xfId="9" applyNumberFormat="1" applyFont="1" applyFill="1" applyBorder="1" applyAlignment="1" applyProtection="1">
      <alignment horizontal="right" vertical="center"/>
      <protection locked="0"/>
    </xf>
    <xf numFmtId="49" fontId="74" fillId="10" borderId="224" xfId="9" applyNumberFormat="1" applyFont="1" applyFill="1" applyBorder="1" applyAlignment="1" applyProtection="1">
      <alignment horizontal="left" vertical="center"/>
      <protection locked="0"/>
    </xf>
    <xf numFmtId="49" fontId="74" fillId="10" borderId="225" xfId="9" applyNumberFormat="1" applyFont="1" applyFill="1" applyBorder="1" applyAlignment="1" applyProtection="1">
      <alignment horizontal="left" vertical="center"/>
      <protection locked="0"/>
    </xf>
    <xf numFmtId="49" fontId="74" fillId="10" borderId="226" xfId="9" applyNumberFormat="1" applyFont="1" applyFill="1" applyBorder="1" applyAlignment="1" applyProtection="1">
      <alignment horizontal="center" vertical="center"/>
      <protection locked="0"/>
    </xf>
    <xf numFmtId="4" fontId="74" fillId="10" borderId="227" xfId="9" applyNumberFormat="1" applyFont="1" applyFill="1" applyBorder="1" applyAlignment="1" applyProtection="1">
      <alignment horizontal="right" vertical="center"/>
    </xf>
    <xf numFmtId="10" fontId="74" fillId="10" borderId="228" xfId="10" applyNumberFormat="1" applyFont="1" applyFill="1" applyBorder="1" applyAlignment="1" applyProtection="1">
      <alignment horizontal="right" vertical="center"/>
    </xf>
    <xf numFmtId="49" fontId="76" fillId="3" borderId="229" xfId="9" applyNumberFormat="1" applyFont="1" applyFill="1" applyBorder="1" applyAlignment="1" applyProtection="1">
      <alignment horizontal="left" vertical="center"/>
      <protection locked="0"/>
    </xf>
    <xf numFmtId="49" fontId="77" fillId="3" borderId="230" xfId="9" applyNumberFormat="1" applyFont="1" applyFill="1" applyBorder="1" applyAlignment="1" applyProtection="1">
      <alignment horizontal="left" vertical="center"/>
      <protection locked="0"/>
    </xf>
    <xf numFmtId="49" fontId="76" fillId="3" borderId="231" xfId="9" applyNumberFormat="1" applyFont="1" applyFill="1" applyBorder="1" applyAlignment="1" applyProtection="1">
      <alignment horizontal="center" vertical="center"/>
      <protection locked="0"/>
    </xf>
    <xf numFmtId="4" fontId="76" fillId="0" borderId="232" xfId="9" applyNumberFormat="1" applyFont="1" applyFill="1" applyBorder="1" applyAlignment="1" applyProtection="1">
      <alignment horizontal="right" vertical="center"/>
    </xf>
    <xf numFmtId="4" fontId="76" fillId="0" borderId="233" xfId="9" applyNumberFormat="1" applyFont="1" applyFill="1" applyBorder="1" applyAlignment="1" applyProtection="1">
      <alignment horizontal="right" vertical="center"/>
    </xf>
    <xf numFmtId="4" fontId="76" fillId="0" borderId="234" xfId="9" applyNumberFormat="1" applyFont="1" applyFill="1" applyBorder="1" applyAlignment="1" applyProtection="1">
      <alignment horizontal="right" vertical="center"/>
    </xf>
    <xf numFmtId="4" fontId="76" fillId="0" borderId="235" xfId="9" applyNumberFormat="1" applyFont="1" applyFill="1" applyBorder="1" applyAlignment="1" applyProtection="1">
      <alignment horizontal="right" vertical="center"/>
    </xf>
    <xf numFmtId="4" fontId="76" fillId="11" borderId="236" xfId="9" applyNumberFormat="1" applyFont="1" applyFill="1" applyBorder="1" applyAlignment="1" applyProtection="1">
      <alignment horizontal="right" vertical="center"/>
    </xf>
    <xf numFmtId="4" fontId="76" fillId="0" borderId="237" xfId="9" applyNumberFormat="1" applyFont="1" applyFill="1" applyBorder="1" applyAlignment="1" applyProtection="1">
      <alignment horizontal="right" vertical="center"/>
    </xf>
    <xf numFmtId="4" fontId="76" fillId="9" borderId="238" xfId="9" applyNumberFormat="1" applyFont="1" applyFill="1" applyBorder="1" applyAlignment="1" applyProtection="1">
      <alignment horizontal="right" vertical="center"/>
    </xf>
    <xf numFmtId="4" fontId="76" fillId="11" borderId="239" xfId="9" applyNumberFormat="1" applyFont="1" applyFill="1" applyBorder="1" applyAlignment="1" applyProtection="1">
      <alignment horizontal="right" vertical="center"/>
    </xf>
    <xf numFmtId="4" fontId="76" fillId="9" borderId="240" xfId="9" applyNumberFormat="1" applyFont="1" applyFill="1" applyBorder="1" applyAlignment="1" applyProtection="1">
      <alignment horizontal="right" vertical="center"/>
    </xf>
    <xf numFmtId="4" fontId="76" fillId="11" borderId="241" xfId="9" applyNumberFormat="1" applyFont="1" applyFill="1" applyBorder="1" applyAlignment="1" applyProtection="1">
      <alignment horizontal="right" vertical="center"/>
    </xf>
    <xf numFmtId="4" fontId="76" fillId="0" borderId="242" xfId="9" applyNumberFormat="1" applyFont="1" applyFill="1" applyBorder="1" applyAlignment="1" applyProtection="1">
      <alignment horizontal="right" vertical="center"/>
      <protection locked="0"/>
    </xf>
    <xf numFmtId="4" fontId="76" fillId="11" borderId="243" xfId="9" applyNumberFormat="1" applyFont="1" applyFill="1" applyBorder="1" applyAlignment="1" applyProtection="1">
      <alignment horizontal="right" vertical="center"/>
      <protection locked="0"/>
    </xf>
    <xf numFmtId="4" fontId="76" fillId="0" borderId="243" xfId="9" applyNumberFormat="1" applyFont="1" applyFill="1" applyBorder="1" applyAlignment="1" applyProtection="1">
      <alignment horizontal="right" vertical="center"/>
      <protection locked="0"/>
    </xf>
    <xf numFmtId="4" fontId="76" fillId="0" borderId="244" xfId="9" applyNumberFormat="1" applyFont="1" applyFill="1" applyBorder="1" applyAlignment="1" applyProtection="1">
      <alignment horizontal="right" vertical="center"/>
      <protection locked="0"/>
    </xf>
    <xf numFmtId="49" fontId="74" fillId="5" borderId="224" xfId="9" applyNumberFormat="1" applyFont="1" applyFill="1" applyBorder="1" applyAlignment="1" applyProtection="1">
      <alignment horizontal="left" vertical="center"/>
      <protection locked="0"/>
    </xf>
    <xf numFmtId="49" fontId="74" fillId="5" borderId="225" xfId="9" applyNumberFormat="1" applyFont="1" applyFill="1" applyBorder="1" applyAlignment="1" applyProtection="1">
      <alignment horizontal="center" vertical="center"/>
      <protection locked="0"/>
    </xf>
    <xf numFmtId="49" fontId="74" fillId="5" borderId="226" xfId="9" applyNumberFormat="1" applyFont="1" applyFill="1" applyBorder="1" applyAlignment="1" applyProtection="1">
      <alignment horizontal="center" vertical="center"/>
      <protection locked="0"/>
    </xf>
    <xf numFmtId="4" fontId="74" fillId="5" borderId="227" xfId="9" applyNumberFormat="1" applyFont="1" applyFill="1" applyBorder="1" applyAlignment="1" applyProtection="1">
      <alignment horizontal="right" vertical="center"/>
    </xf>
    <xf numFmtId="4" fontId="74" fillId="5" borderId="188" xfId="9" applyNumberFormat="1" applyFont="1" applyFill="1" applyBorder="1" applyAlignment="1" applyProtection="1">
      <alignment horizontal="right" vertical="center"/>
    </xf>
    <xf numFmtId="4" fontId="74" fillId="5" borderId="216" xfId="9" applyNumberFormat="1" applyFont="1" applyFill="1" applyBorder="1" applyAlignment="1" applyProtection="1">
      <alignment horizontal="right" vertical="center"/>
    </xf>
    <xf numFmtId="4" fontId="74" fillId="5" borderId="245" xfId="9" applyNumberFormat="1" applyFont="1" applyFill="1" applyBorder="1" applyAlignment="1" applyProtection="1">
      <alignment horizontal="right" vertical="center"/>
    </xf>
    <xf numFmtId="4" fontId="74" fillId="5" borderId="246" xfId="9" applyNumberFormat="1" applyFont="1" applyFill="1" applyBorder="1" applyAlignment="1" applyProtection="1">
      <alignment horizontal="right" vertical="center"/>
    </xf>
    <xf numFmtId="10" fontId="74" fillId="5" borderId="247" xfId="10" applyNumberFormat="1" applyFont="1" applyFill="1" applyBorder="1" applyAlignment="1" applyProtection="1">
      <alignment horizontal="right" vertical="center"/>
    </xf>
    <xf numFmtId="4" fontId="74" fillId="5" borderId="190" xfId="9" applyNumberFormat="1" applyFont="1" applyFill="1" applyBorder="1" applyAlignment="1" applyProtection="1">
      <alignment horizontal="right" vertical="center"/>
    </xf>
    <xf numFmtId="4" fontId="74" fillId="5" borderId="248" xfId="9" applyNumberFormat="1" applyFont="1" applyFill="1" applyBorder="1" applyAlignment="1" applyProtection="1">
      <alignment horizontal="right" vertical="center"/>
    </xf>
    <xf numFmtId="4" fontId="74" fillId="5" borderId="249" xfId="9" applyNumberFormat="1" applyFont="1" applyFill="1" applyBorder="1" applyAlignment="1" applyProtection="1">
      <alignment horizontal="right" vertical="center"/>
    </xf>
    <xf numFmtId="4" fontId="74" fillId="5" borderId="215" xfId="9" applyNumberFormat="1" applyFont="1" applyFill="1" applyBorder="1" applyAlignment="1" applyProtection="1">
      <alignment horizontal="right" vertical="center"/>
    </xf>
    <xf numFmtId="4" fontId="74" fillId="5" borderId="227" xfId="9" applyNumberFormat="1" applyFont="1" applyFill="1" applyBorder="1" applyAlignment="1" applyProtection="1">
      <alignment horizontal="right" vertical="center"/>
      <protection locked="0"/>
    </xf>
    <xf numFmtId="10" fontId="74" fillId="5" borderId="188" xfId="10" applyNumberFormat="1" applyFont="1" applyFill="1" applyBorder="1" applyAlignment="1" applyProtection="1">
      <alignment horizontal="right" vertical="center"/>
      <protection locked="0"/>
    </xf>
    <xf numFmtId="4" fontId="74" fillId="5" borderId="188" xfId="9" applyNumberFormat="1" applyFont="1" applyFill="1" applyBorder="1" applyAlignment="1" applyProtection="1">
      <alignment horizontal="right" vertical="center"/>
      <protection locked="0"/>
    </xf>
    <xf numFmtId="4" fontId="74" fillId="5" borderId="250" xfId="9" applyNumberFormat="1" applyFont="1" applyFill="1" applyBorder="1" applyAlignment="1" applyProtection="1">
      <alignment horizontal="right" vertical="center"/>
      <protection locked="0"/>
    </xf>
    <xf numFmtId="49" fontId="77" fillId="3" borderId="251" xfId="9" applyNumberFormat="1" applyFont="1" applyFill="1" applyBorder="1" applyAlignment="1" applyProtection="1">
      <alignment horizontal="left" vertical="center"/>
      <protection locked="0"/>
    </xf>
    <xf numFmtId="4" fontId="76" fillId="0" borderId="251" xfId="9" applyNumberFormat="1" applyFont="1" applyFill="1" applyBorder="1" applyAlignment="1" applyProtection="1">
      <alignment horizontal="right" vertical="center"/>
    </xf>
    <xf numFmtId="4" fontId="76" fillId="0" borderId="252" xfId="9" applyNumberFormat="1" applyFont="1" applyFill="1" applyBorder="1" applyAlignment="1" applyProtection="1">
      <alignment horizontal="right" vertical="center"/>
    </xf>
    <xf numFmtId="49" fontId="74" fillId="5" borderId="224" xfId="9" applyNumberFormat="1" applyFont="1" applyFill="1" applyBorder="1" applyAlignment="1" applyProtection="1">
      <alignment horizontal="center" vertical="center"/>
      <protection locked="0"/>
    </xf>
    <xf numFmtId="4" fontId="74" fillId="5" borderId="253" xfId="9" applyNumberFormat="1" applyFont="1" applyFill="1" applyBorder="1" applyAlignment="1" applyProtection="1">
      <alignment horizontal="right" vertical="center"/>
    </xf>
    <xf numFmtId="4" fontId="74" fillId="5" borderId="254" xfId="9" applyNumberFormat="1" applyFont="1" applyFill="1" applyBorder="1" applyAlignment="1" applyProtection="1">
      <alignment horizontal="right" vertical="center"/>
    </xf>
    <xf numFmtId="4" fontId="74" fillId="5" borderId="225" xfId="9" applyNumberFormat="1" applyFont="1" applyFill="1" applyBorder="1" applyAlignment="1" applyProtection="1">
      <alignment horizontal="right" vertical="center"/>
    </xf>
    <xf numFmtId="4" fontId="74" fillId="5" borderId="217" xfId="9" applyNumberFormat="1" applyFont="1" applyFill="1" applyBorder="1" applyAlignment="1" applyProtection="1">
      <alignment horizontal="right" vertical="center"/>
    </xf>
    <xf numFmtId="10" fontId="74" fillId="5" borderId="222" xfId="10" applyNumberFormat="1" applyFont="1" applyFill="1" applyBorder="1" applyAlignment="1" applyProtection="1">
      <alignment horizontal="right" vertical="center"/>
    </xf>
    <xf numFmtId="4" fontId="74" fillId="5" borderId="222" xfId="9" applyNumberFormat="1" applyFont="1" applyFill="1" applyBorder="1" applyAlignment="1" applyProtection="1">
      <alignment horizontal="right" vertical="center"/>
    </xf>
    <xf numFmtId="10" fontId="74" fillId="5" borderId="245" xfId="10" applyNumberFormat="1" applyFont="1" applyFill="1" applyBorder="1" applyAlignment="1" applyProtection="1">
      <alignment horizontal="right" vertical="center"/>
    </xf>
    <xf numFmtId="4" fontId="74" fillId="5" borderId="255" xfId="9" applyNumberFormat="1" applyFont="1" applyFill="1" applyBorder="1" applyAlignment="1" applyProtection="1">
      <alignment horizontal="right" vertical="center"/>
    </xf>
    <xf numFmtId="4" fontId="76" fillId="0" borderId="256" xfId="9" applyNumberFormat="1" applyFont="1" applyFill="1" applyBorder="1" applyAlignment="1" applyProtection="1">
      <alignment horizontal="right" vertical="center"/>
    </xf>
    <xf numFmtId="4" fontId="76" fillId="9" borderId="198" xfId="9" applyNumberFormat="1" applyFont="1" applyFill="1" applyBorder="1" applyAlignment="1" applyProtection="1">
      <alignment horizontal="right" vertical="center"/>
    </xf>
    <xf numFmtId="4" fontId="76" fillId="0" borderId="204" xfId="9" applyNumberFormat="1" applyFont="1" applyFill="1" applyBorder="1" applyAlignment="1" applyProtection="1">
      <alignment horizontal="right" vertical="center"/>
    </xf>
    <xf numFmtId="4" fontId="76" fillId="9" borderId="257" xfId="9" applyNumberFormat="1" applyFont="1" applyFill="1" applyBorder="1" applyAlignment="1" applyProtection="1">
      <alignment horizontal="right" vertical="center"/>
    </xf>
    <xf numFmtId="2" fontId="76" fillId="12" borderId="258" xfId="9" applyNumberFormat="1" applyFont="1" applyFill="1" applyBorder="1" applyAlignment="1" applyProtection="1">
      <alignment horizontal="right" vertical="center"/>
    </xf>
    <xf numFmtId="4" fontId="76" fillId="12" borderId="203" xfId="9" applyNumberFormat="1" applyFont="1" applyFill="1" applyBorder="1" applyAlignment="1" applyProtection="1">
      <alignment horizontal="right" vertical="center"/>
    </xf>
    <xf numFmtId="4" fontId="76" fillId="12" borderId="195" xfId="9" applyNumberFormat="1" applyFont="1" applyFill="1" applyBorder="1" applyAlignment="1" applyProtection="1">
      <alignment horizontal="right" vertical="center"/>
      <protection locked="0"/>
    </xf>
    <xf numFmtId="4" fontId="76" fillId="0" borderId="191" xfId="9" applyNumberFormat="1" applyFont="1" applyFill="1" applyBorder="1" applyAlignment="1" applyProtection="1">
      <alignment horizontal="right" vertical="center"/>
    </xf>
    <xf numFmtId="2" fontId="76" fillId="12" borderId="259" xfId="9" applyNumberFormat="1" applyFont="1" applyFill="1" applyBorder="1" applyAlignment="1" applyProtection="1">
      <alignment horizontal="right" vertical="center"/>
    </xf>
    <xf numFmtId="4" fontId="76" fillId="0" borderId="195" xfId="9" applyNumberFormat="1" applyFont="1" applyFill="1" applyBorder="1" applyAlignment="1" applyProtection="1">
      <alignment horizontal="left" vertical="center"/>
    </xf>
    <xf numFmtId="49" fontId="76" fillId="3" borderId="260" xfId="9" applyNumberFormat="1" applyFont="1" applyFill="1" applyBorder="1" applyAlignment="1" applyProtection="1">
      <alignment horizontal="left" vertical="center"/>
      <protection locked="0"/>
    </xf>
    <xf numFmtId="49" fontId="77" fillId="3" borderId="261" xfId="9" applyNumberFormat="1" applyFont="1" applyFill="1" applyBorder="1" applyAlignment="1" applyProtection="1">
      <alignment horizontal="left" vertical="center"/>
      <protection locked="0"/>
    </xf>
    <xf numFmtId="49" fontId="76" fillId="3" borderId="262" xfId="9" applyNumberFormat="1" applyFont="1" applyFill="1" applyBorder="1" applyAlignment="1" applyProtection="1">
      <alignment horizontal="center" vertical="center"/>
      <protection locked="0"/>
    </xf>
    <xf numFmtId="4" fontId="76" fillId="9" borderId="263" xfId="9" applyNumberFormat="1" applyFont="1" applyFill="1" applyBorder="1" applyAlignment="1" applyProtection="1">
      <alignment horizontal="right" vertical="center"/>
    </xf>
    <xf numFmtId="2" fontId="76" fillId="12" borderId="264" xfId="9" applyNumberFormat="1" applyFont="1" applyFill="1" applyBorder="1" applyAlignment="1" applyProtection="1">
      <alignment horizontal="right" vertical="center"/>
    </xf>
    <xf numFmtId="4" fontId="76" fillId="0" borderId="212" xfId="9" applyNumberFormat="1" applyFont="1" applyFill="1" applyBorder="1" applyAlignment="1" applyProtection="1">
      <alignment horizontal="right" vertical="center"/>
    </xf>
    <xf numFmtId="4" fontId="76" fillId="12" borderId="265" xfId="9" applyNumberFormat="1" applyFont="1" applyFill="1" applyBorder="1" applyAlignment="1" applyProtection="1">
      <alignment horizontal="right" vertical="center"/>
    </xf>
    <xf numFmtId="4" fontId="76" fillId="12" borderId="207" xfId="9" applyNumberFormat="1" applyFont="1" applyFill="1" applyBorder="1" applyAlignment="1" applyProtection="1">
      <alignment horizontal="right" vertical="center"/>
      <protection locked="0"/>
    </xf>
    <xf numFmtId="4" fontId="76" fillId="0" borderId="260" xfId="9" applyNumberFormat="1" applyFont="1" applyFill="1" applyBorder="1" applyAlignment="1" applyProtection="1">
      <alignment horizontal="right" vertical="center"/>
    </xf>
    <xf numFmtId="4" fontId="76" fillId="9" borderId="206" xfId="9" applyNumberFormat="1" applyFont="1" applyFill="1" applyBorder="1" applyAlignment="1" applyProtection="1">
      <alignment horizontal="right" vertical="center"/>
    </xf>
    <xf numFmtId="4" fontId="76" fillId="0" borderId="214" xfId="9" applyNumberFormat="1" applyFont="1" applyFill="1" applyBorder="1" applyAlignment="1" applyProtection="1">
      <alignment horizontal="right" vertical="center"/>
    </xf>
    <xf numFmtId="4" fontId="76" fillId="0" borderId="266" xfId="9" applyNumberFormat="1" applyFont="1" applyFill="1" applyBorder="1" applyAlignment="1" applyProtection="1">
      <alignment horizontal="right" vertical="center"/>
    </xf>
    <xf numFmtId="4" fontId="76" fillId="9" borderId="267" xfId="9" applyNumberFormat="1" applyFont="1" applyFill="1" applyBorder="1" applyAlignment="1" applyProtection="1">
      <alignment horizontal="right" vertical="center"/>
    </xf>
    <xf numFmtId="4" fontId="76" fillId="0" borderId="243" xfId="9" applyNumberFormat="1" applyFont="1" applyFill="1" applyBorder="1" applyAlignment="1" applyProtection="1">
      <alignment horizontal="right" vertical="center"/>
    </xf>
    <xf numFmtId="4" fontId="76" fillId="0" borderId="244" xfId="9" applyNumberFormat="1" applyFont="1" applyFill="1" applyBorder="1" applyAlignment="1" applyProtection="1">
      <alignment horizontal="right" vertical="center"/>
    </xf>
    <xf numFmtId="4" fontId="76" fillId="9" borderId="268" xfId="9" applyNumberFormat="1" applyFont="1" applyFill="1" applyBorder="1" applyAlignment="1" applyProtection="1">
      <alignment horizontal="right" vertical="center"/>
    </xf>
    <xf numFmtId="4" fontId="76" fillId="0" borderId="240" xfId="9" applyNumberFormat="1" applyFont="1" applyFill="1" applyBorder="1" applyAlignment="1" applyProtection="1">
      <alignment horizontal="right" vertical="center"/>
    </xf>
    <xf numFmtId="4" fontId="76" fillId="12" borderId="241" xfId="9" applyNumberFormat="1" applyFont="1" applyFill="1" applyBorder="1" applyAlignment="1" applyProtection="1">
      <alignment horizontal="right" vertical="center"/>
    </xf>
    <xf numFmtId="4" fontId="76" fillId="0" borderId="232" xfId="9" applyNumberFormat="1" applyFont="1" applyFill="1" applyBorder="1" applyAlignment="1" applyProtection="1">
      <alignment horizontal="right" vertical="center"/>
      <protection locked="0"/>
    </xf>
    <xf numFmtId="4" fontId="76" fillId="12" borderId="233" xfId="9" applyNumberFormat="1" applyFont="1" applyFill="1" applyBorder="1" applyAlignment="1" applyProtection="1">
      <alignment horizontal="right" vertical="center"/>
      <protection locked="0"/>
    </xf>
    <xf numFmtId="4" fontId="76" fillId="0" borderId="233" xfId="9" applyNumberFormat="1" applyFont="1" applyFill="1" applyBorder="1" applyAlignment="1" applyProtection="1">
      <alignment horizontal="right" vertical="center"/>
      <protection locked="0"/>
    </xf>
    <xf numFmtId="4" fontId="76" fillId="0" borderId="269" xfId="9" applyNumberFormat="1" applyFont="1" applyFill="1" applyBorder="1" applyAlignment="1" applyProtection="1">
      <alignment horizontal="right" vertical="center"/>
      <protection locked="0"/>
    </xf>
    <xf numFmtId="49" fontId="74" fillId="3" borderId="178" xfId="9" applyNumberFormat="1" applyFont="1" applyFill="1" applyBorder="1" applyAlignment="1" applyProtection="1">
      <alignment horizontal="center" vertical="center"/>
      <protection locked="0"/>
    </xf>
    <xf numFmtId="49" fontId="74" fillId="3" borderId="273" xfId="9" applyNumberFormat="1" applyFont="1" applyFill="1" applyBorder="1" applyAlignment="1" applyProtection="1">
      <alignment horizontal="center" vertical="center"/>
      <protection locked="0"/>
    </xf>
    <xf numFmtId="49" fontId="74" fillId="3" borderId="274" xfId="9" applyNumberFormat="1" applyFont="1" applyFill="1" applyBorder="1" applyAlignment="1" applyProtection="1">
      <alignment horizontal="center" vertical="center"/>
      <protection locked="0"/>
    </xf>
    <xf numFmtId="49" fontId="74" fillId="3" borderId="278" xfId="9" applyNumberFormat="1" applyFont="1" applyFill="1" applyBorder="1" applyAlignment="1" applyProtection="1">
      <alignment horizontal="center" vertical="center"/>
      <protection locked="0"/>
    </xf>
    <xf numFmtId="49" fontId="74" fillId="2" borderId="281" xfId="9" applyNumberFormat="1" applyFont="1" applyFill="1" applyBorder="1" applyAlignment="1" applyProtection="1">
      <alignment horizontal="center" vertical="center"/>
      <protection locked="0"/>
    </xf>
    <xf numFmtId="49" fontId="74" fillId="2" borderId="287" xfId="9" applyNumberFormat="1" applyFont="1" applyFill="1" applyBorder="1" applyAlignment="1" applyProtection="1">
      <alignment horizontal="center" vertical="center"/>
      <protection locked="0"/>
    </xf>
    <xf numFmtId="49" fontId="74" fillId="2" borderId="288" xfId="9" applyNumberFormat="1" applyFont="1" applyFill="1" applyBorder="1" applyAlignment="1" applyProtection="1">
      <alignment horizontal="center" vertical="center"/>
      <protection locked="0"/>
    </xf>
    <xf numFmtId="49" fontId="74" fillId="2" borderId="291" xfId="9" applyNumberFormat="1" applyFont="1" applyFill="1" applyBorder="1" applyAlignment="1" applyProtection="1">
      <alignment horizontal="center" vertical="center"/>
      <protection locked="0"/>
    </xf>
    <xf numFmtId="49" fontId="74" fillId="2" borderId="292" xfId="9" applyNumberFormat="1" applyFont="1" applyFill="1" applyBorder="1" applyAlignment="1" applyProtection="1">
      <alignment horizontal="center" vertical="center"/>
      <protection locked="0"/>
    </xf>
    <xf numFmtId="49" fontId="74" fillId="2" borderId="285" xfId="9" applyNumberFormat="1" applyFont="1" applyFill="1" applyBorder="1" applyAlignment="1" applyProtection="1">
      <alignment horizontal="center" vertical="center"/>
      <protection locked="0"/>
    </xf>
    <xf numFmtId="49" fontId="74" fillId="2" borderId="294" xfId="9" applyNumberFormat="1" applyFont="1" applyFill="1" applyBorder="1" applyAlignment="1" applyProtection="1">
      <alignment horizontal="center" vertical="center"/>
      <protection locked="0"/>
    </xf>
    <xf numFmtId="49" fontId="74" fillId="2" borderId="295" xfId="9" applyNumberFormat="1" applyFont="1" applyFill="1" applyBorder="1" applyAlignment="1" applyProtection="1">
      <alignment horizontal="center" vertical="center"/>
      <protection locked="0"/>
    </xf>
    <xf numFmtId="4" fontId="76" fillId="11" borderId="265" xfId="9" applyNumberFormat="1" applyFont="1" applyFill="1" applyBorder="1" applyAlignment="1" applyProtection="1">
      <alignment horizontal="right" vertical="center"/>
    </xf>
    <xf numFmtId="4" fontId="74" fillId="10" borderId="246" xfId="9" applyNumberFormat="1" applyFont="1" applyFill="1" applyBorder="1" applyAlignment="1" applyProtection="1">
      <alignment horizontal="right" vertical="center"/>
    </xf>
    <xf numFmtId="10" fontId="74" fillId="10" borderId="247" xfId="10" applyNumberFormat="1" applyFont="1" applyFill="1" applyBorder="1" applyAlignment="1" applyProtection="1">
      <alignment horizontal="right" vertical="center"/>
    </xf>
    <xf numFmtId="4" fontId="74" fillId="10" borderId="255" xfId="9" applyNumberFormat="1" applyFont="1" applyFill="1" applyBorder="1" applyAlignment="1" applyProtection="1">
      <alignment horizontal="right" vertical="center"/>
    </xf>
    <xf numFmtId="4" fontId="74" fillId="10" borderId="249" xfId="9" applyNumberFormat="1" applyFont="1" applyFill="1" applyBorder="1" applyAlignment="1" applyProtection="1">
      <alignment horizontal="right" vertical="center"/>
    </xf>
    <xf numFmtId="4" fontId="74" fillId="10" borderId="222" xfId="9" applyNumberFormat="1" applyFont="1" applyFill="1" applyBorder="1" applyAlignment="1" applyProtection="1">
      <alignment horizontal="right" vertical="center"/>
      <protection locked="0"/>
    </xf>
    <xf numFmtId="4" fontId="76" fillId="0" borderId="192" xfId="9" applyNumberFormat="1" applyFont="1" applyFill="1" applyBorder="1" applyAlignment="1" applyProtection="1">
      <alignment horizontal="right" vertical="center"/>
    </xf>
    <xf numFmtId="4" fontId="76" fillId="0" borderId="197" xfId="9" applyNumberFormat="1" applyFont="1" applyFill="1" applyBorder="1" applyAlignment="1" applyProtection="1">
      <alignment horizontal="right" vertical="center"/>
      <protection locked="0"/>
    </xf>
    <xf numFmtId="2" fontId="76" fillId="12" borderId="296" xfId="9" applyNumberFormat="1" applyFont="1" applyFill="1" applyBorder="1" applyAlignment="1" applyProtection="1">
      <alignment horizontal="right" vertical="center"/>
    </xf>
    <xf numFmtId="4" fontId="76" fillId="0" borderId="235" xfId="9" applyNumberFormat="1" applyFont="1" applyFill="1" applyBorder="1" applyAlignment="1" applyProtection="1">
      <alignment horizontal="right" vertical="center"/>
      <protection locked="0"/>
    </xf>
    <xf numFmtId="4" fontId="76" fillId="0" borderId="229" xfId="9" applyNumberFormat="1" applyFont="1" applyFill="1" applyBorder="1" applyAlignment="1" applyProtection="1">
      <alignment horizontal="right" vertical="center"/>
    </xf>
    <xf numFmtId="4" fontId="76" fillId="9" borderId="236" xfId="9" applyNumberFormat="1" applyFont="1" applyFill="1" applyBorder="1" applyAlignment="1" applyProtection="1">
      <alignment horizontal="right" vertical="center"/>
    </xf>
    <xf numFmtId="4" fontId="76" fillId="0" borderId="269" xfId="9" applyNumberFormat="1" applyFont="1" applyFill="1" applyBorder="1" applyAlignment="1" applyProtection="1">
      <alignment horizontal="right" vertical="center"/>
    </xf>
    <xf numFmtId="2" fontId="76" fillId="12" borderId="297" xfId="9" applyNumberFormat="1" applyFont="1" applyFill="1" applyBorder="1" applyAlignment="1" applyProtection="1">
      <alignment horizontal="right" vertical="center"/>
    </xf>
    <xf numFmtId="4" fontId="76" fillId="12" borderId="243" xfId="9" applyNumberFormat="1" applyFont="1" applyFill="1" applyBorder="1" applyAlignment="1" applyProtection="1">
      <alignment horizontal="right" vertical="center"/>
      <protection locked="0"/>
    </xf>
    <xf numFmtId="10" fontId="74" fillId="5" borderId="298" xfId="10" applyNumberFormat="1" applyFont="1" applyFill="1" applyBorder="1" applyAlignment="1" applyProtection="1">
      <alignment horizontal="right" vertical="center"/>
    </xf>
    <xf numFmtId="4" fontId="74" fillId="5" borderId="226" xfId="9" applyNumberFormat="1" applyFont="1" applyFill="1" applyBorder="1" applyAlignment="1" applyProtection="1">
      <alignment horizontal="right" vertical="center"/>
    </xf>
    <xf numFmtId="10" fontId="74" fillId="5" borderId="299" xfId="10" applyNumberFormat="1" applyFont="1" applyFill="1" applyBorder="1" applyAlignment="1" applyProtection="1">
      <alignment horizontal="right" vertical="center"/>
    </xf>
    <xf numFmtId="4" fontId="74" fillId="5" borderId="300" xfId="9" applyNumberFormat="1" applyFont="1" applyFill="1" applyBorder="1" applyAlignment="1" applyProtection="1">
      <alignment horizontal="right" vertical="center"/>
    </xf>
    <xf numFmtId="4" fontId="74" fillId="5" borderId="171" xfId="9" applyNumberFormat="1" applyFont="1" applyFill="1" applyBorder="1" applyAlignment="1" applyProtection="1">
      <alignment horizontal="right" vertical="center"/>
    </xf>
    <xf numFmtId="4" fontId="76" fillId="9" borderId="301" xfId="9" applyNumberFormat="1" applyFont="1" applyFill="1" applyBorder="1" applyAlignment="1" applyProtection="1">
      <alignment horizontal="right" vertical="center"/>
    </xf>
    <xf numFmtId="4" fontId="76" fillId="9" borderId="302" xfId="9" applyNumberFormat="1" applyFont="1" applyFill="1" applyBorder="1" applyAlignment="1" applyProtection="1">
      <alignment horizontal="right" vertical="center"/>
    </xf>
    <xf numFmtId="2" fontId="76" fillId="12" borderId="303" xfId="9" applyNumberFormat="1" applyFont="1" applyFill="1" applyBorder="1" applyAlignment="1" applyProtection="1">
      <alignment horizontal="right" vertical="center"/>
    </xf>
    <xf numFmtId="0" fontId="84" fillId="16" borderId="304" xfId="0" applyFont="1" applyFill="1" applyBorder="1" applyAlignment="1">
      <alignment vertical="center"/>
    </xf>
    <xf numFmtId="171" fontId="86" fillId="16" borderId="305" xfId="0" applyNumberFormat="1" applyFont="1" applyFill="1" applyBorder="1" applyAlignment="1">
      <alignment vertical="center"/>
    </xf>
    <xf numFmtId="171" fontId="86" fillId="16" borderId="306" xfId="0" applyNumberFormat="1" applyFont="1" applyFill="1" applyBorder="1" applyAlignment="1">
      <alignment vertical="center"/>
    </xf>
    <xf numFmtId="0" fontId="86" fillId="16" borderId="307" xfId="0" applyFont="1" applyFill="1" applyBorder="1" applyAlignment="1">
      <alignment vertical="center"/>
    </xf>
    <xf numFmtId="171" fontId="86" fillId="16" borderId="304" xfId="0" applyNumberFormat="1" applyFont="1" applyFill="1" applyBorder="1" applyAlignment="1">
      <alignment vertical="center"/>
    </xf>
    <xf numFmtId="171" fontId="86" fillId="16" borderId="308" xfId="0" applyNumberFormat="1" applyFont="1" applyFill="1" applyBorder="1" applyAlignment="1">
      <alignment vertical="center"/>
    </xf>
    <xf numFmtId="0" fontId="131" fillId="0" borderId="165" xfId="0" applyFont="1" applyBorder="1" applyAlignment="1">
      <alignment vertical="center"/>
    </xf>
    <xf numFmtId="0" fontId="82" fillId="0" borderId="309" xfId="11" applyFont="1" applyBorder="1" applyAlignment="1">
      <alignment vertical="center"/>
    </xf>
    <xf numFmtId="0" fontId="82" fillId="0" borderId="310" xfId="11" applyFont="1" applyBorder="1" applyAlignment="1">
      <alignment vertical="center"/>
    </xf>
    <xf numFmtId="171" fontId="82" fillId="16" borderId="305" xfId="11" applyNumberFormat="1" applyFont="1" applyFill="1" applyBorder="1" applyAlignment="1">
      <alignment vertical="center"/>
    </xf>
    <xf numFmtId="0" fontId="82" fillId="0" borderId="311" xfId="11" applyFont="1" applyBorder="1" applyAlignment="1">
      <alignment vertical="center"/>
    </xf>
    <xf numFmtId="0" fontId="80" fillId="0" borderId="312" xfId="11" applyFont="1" applyBorder="1" applyAlignment="1">
      <alignment vertical="center"/>
    </xf>
    <xf numFmtId="171" fontId="80" fillId="20" borderId="167" xfId="11" applyNumberFormat="1" applyFont="1" applyFill="1" applyBorder="1" applyAlignment="1">
      <alignment vertical="center"/>
    </xf>
    <xf numFmtId="171" fontId="85" fillId="16" borderId="167" xfId="13" applyNumberFormat="1" applyFont="1" applyFill="1" applyBorder="1" applyAlignment="1">
      <alignment vertical="center"/>
    </xf>
    <xf numFmtId="171" fontId="85" fillId="15" borderId="167" xfId="13" applyNumberFormat="1" applyFont="1" applyFill="1" applyBorder="1" applyAlignment="1">
      <alignment vertical="center"/>
    </xf>
    <xf numFmtId="171" fontId="85" fillId="14" borderId="167" xfId="13" applyNumberFormat="1" applyFont="1" applyFill="1" applyBorder="1" applyAlignment="1">
      <alignment vertical="center"/>
    </xf>
    <xf numFmtId="171" fontId="80" fillId="15" borderId="167" xfId="11" applyNumberFormat="1" applyFont="1" applyFill="1" applyBorder="1" applyAlignment="1">
      <alignment vertical="center"/>
    </xf>
    <xf numFmtId="171" fontId="80" fillId="14" borderId="167" xfId="11" applyNumberFormat="1" applyFont="1" applyFill="1" applyBorder="1" applyAlignment="1">
      <alignment vertical="center"/>
    </xf>
    <xf numFmtId="171" fontId="80" fillId="16" borderId="167" xfId="11" applyNumberFormat="1" applyFont="1" applyFill="1" applyBorder="1" applyAlignment="1">
      <alignment vertical="center"/>
    </xf>
    <xf numFmtId="171" fontId="84" fillId="15" borderId="167" xfId="13" applyNumberFormat="1" applyFont="1" applyFill="1" applyBorder="1" applyAlignment="1">
      <alignment vertical="center"/>
    </xf>
    <xf numFmtId="171" fontId="80" fillId="20" borderId="164" xfId="11" applyNumberFormat="1" applyFont="1" applyFill="1" applyBorder="1" applyAlignment="1">
      <alignment vertical="center"/>
    </xf>
    <xf numFmtId="171" fontId="85" fillId="16" borderId="164" xfId="13" applyNumberFormat="1" applyFont="1" applyFill="1" applyBorder="1" applyAlignment="1">
      <alignment vertical="center"/>
    </xf>
    <xf numFmtId="171" fontId="85" fillId="15" borderId="164" xfId="13" applyNumberFormat="1" applyFont="1" applyFill="1" applyBorder="1" applyAlignment="1">
      <alignment vertical="center"/>
    </xf>
    <xf numFmtId="171" fontId="85" fillId="14" borderId="164" xfId="13" applyNumberFormat="1" applyFont="1" applyFill="1" applyBorder="1" applyAlignment="1">
      <alignment vertical="center"/>
    </xf>
    <xf numFmtId="171" fontId="80" fillId="15" borderId="164" xfId="11" applyNumberFormat="1" applyFont="1" applyFill="1" applyBorder="1" applyAlignment="1">
      <alignment vertical="center"/>
    </xf>
    <xf numFmtId="171" fontId="80" fillId="14" borderId="164" xfId="11" applyNumberFormat="1" applyFont="1" applyFill="1" applyBorder="1" applyAlignment="1">
      <alignment vertical="center"/>
    </xf>
    <xf numFmtId="171" fontId="80" fillId="16" borderId="164" xfId="11" applyNumberFormat="1" applyFont="1" applyFill="1" applyBorder="1" applyAlignment="1">
      <alignment vertical="center"/>
    </xf>
    <xf numFmtId="0" fontId="82" fillId="0" borderId="313" xfId="11" applyFont="1" applyBorder="1" applyAlignment="1">
      <alignment vertical="center"/>
    </xf>
    <xf numFmtId="0" fontId="82" fillId="0" borderId="314" xfId="11" applyFont="1" applyBorder="1" applyAlignment="1">
      <alignment vertical="center"/>
    </xf>
    <xf numFmtId="0" fontId="82" fillId="0" borderId="315" xfId="11" applyFont="1" applyBorder="1" applyAlignment="1">
      <alignment vertical="center"/>
    </xf>
    <xf numFmtId="0" fontId="82" fillId="0" borderId="316" xfId="11" applyFont="1" applyBorder="1" applyAlignment="1">
      <alignment vertical="center"/>
    </xf>
    <xf numFmtId="0" fontId="82" fillId="0" borderId="317" xfId="11" applyFont="1" applyBorder="1" applyAlignment="1">
      <alignment vertical="center"/>
    </xf>
    <xf numFmtId="0" fontId="82" fillId="0" borderId="318" xfId="11" applyFont="1" applyBorder="1" applyAlignment="1">
      <alignment vertical="center"/>
    </xf>
    <xf numFmtId="0" fontId="82" fillId="0" borderId="321" xfId="11" applyFont="1" applyBorder="1" applyAlignment="1">
      <alignment vertical="center"/>
    </xf>
    <xf numFmtId="0" fontId="82" fillId="0" borderId="322" xfId="11" applyFont="1" applyBorder="1" applyAlignment="1">
      <alignment vertical="center"/>
    </xf>
    <xf numFmtId="0" fontId="80" fillId="0" borderId="323" xfId="11" quotePrefix="1" applyFont="1" applyBorder="1" applyAlignment="1">
      <alignment horizontal="center" vertical="center"/>
    </xf>
    <xf numFmtId="0" fontId="80" fillId="0" borderId="324" xfId="11" applyFont="1" applyBorder="1" applyAlignment="1">
      <alignment horizontal="center" vertical="center"/>
    </xf>
    <xf numFmtId="0" fontId="80" fillId="0" borderId="325" xfId="11" applyFont="1" applyBorder="1" applyAlignment="1">
      <alignment horizontal="center" vertical="center"/>
    </xf>
    <xf numFmtId="0" fontId="80" fillId="0" borderId="326" xfId="11" quotePrefix="1" applyFont="1" applyBorder="1" applyAlignment="1">
      <alignment horizontal="center" vertical="center"/>
    </xf>
    <xf numFmtId="0" fontId="80" fillId="0" borderId="324" xfId="11" quotePrefix="1" applyFont="1" applyBorder="1" applyAlignment="1">
      <alignment horizontal="center" vertical="center"/>
    </xf>
    <xf numFmtId="0" fontId="80" fillId="0" borderId="325" xfId="11" quotePrefix="1" applyFont="1" applyBorder="1" applyAlignment="1">
      <alignment horizontal="center" vertical="center"/>
    </xf>
    <xf numFmtId="0" fontId="80" fillId="0" borderId="327" xfId="11" quotePrefix="1" applyFont="1" applyBorder="1" applyAlignment="1">
      <alignment horizontal="center" vertical="center"/>
    </xf>
    <xf numFmtId="0" fontId="82" fillId="0" borderId="0" xfId="11" applyFont="1" applyBorder="1" applyAlignment="1">
      <alignment horizontal="center" vertical="center"/>
    </xf>
    <xf numFmtId="0" fontId="15" fillId="2" borderId="41" xfId="0" applyFont="1" applyFill="1" applyBorder="1" applyAlignment="1" applyProtection="1">
      <alignment horizontal="center" vertical="center"/>
      <protection locked="0"/>
    </xf>
    <xf numFmtId="0" fontId="15" fillId="2" borderId="48" xfId="0" applyFont="1" applyFill="1" applyBorder="1" applyAlignment="1" applyProtection="1">
      <alignment horizontal="center" vertical="center"/>
      <protection locked="0"/>
    </xf>
    <xf numFmtId="0" fontId="15" fillId="2" borderId="0" xfId="0" applyFont="1" applyFill="1" applyBorder="1" applyAlignment="1" applyProtection="1">
      <alignment horizontal="center" vertical="center"/>
      <protection locked="0"/>
    </xf>
    <xf numFmtId="3" fontId="10" fillId="2" borderId="28" xfId="1" applyNumberFormat="1" applyFont="1" applyFill="1" applyBorder="1" applyAlignment="1" applyProtection="1">
      <alignment horizontal="left" vertical="center" indent="1"/>
    </xf>
    <xf numFmtId="3" fontId="10" fillId="2" borderId="29" xfId="1" applyNumberFormat="1" applyFont="1" applyFill="1" applyBorder="1" applyAlignment="1" applyProtection="1">
      <alignment horizontal="left" vertical="center" indent="1"/>
    </xf>
    <xf numFmtId="3" fontId="10" fillId="2" borderId="23" xfId="1" applyNumberFormat="1" applyFont="1" applyFill="1" applyBorder="1" applyAlignment="1" applyProtection="1">
      <alignment horizontal="left" vertical="center" indent="1"/>
    </xf>
    <xf numFmtId="3" fontId="10" fillId="2" borderId="24" xfId="1" applyNumberFormat="1" applyFont="1" applyFill="1" applyBorder="1" applyAlignment="1" applyProtection="1">
      <alignment horizontal="left" vertical="center" indent="1"/>
    </xf>
    <xf numFmtId="0" fontId="15" fillId="2" borderId="39" xfId="0" applyFont="1" applyFill="1" applyBorder="1" applyAlignment="1" applyProtection="1">
      <alignment horizontal="center" vertical="center"/>
      <protection locked="0"/>
    </xf>
    <xf numFmtId="0" fontId="15" fillId="2" borderId="45" xfId="0" applyFont="1" applyFill="1" applyBorder="1" applyAlignment="1" applyProtection="1">
      <alignment horizontal="center" vertical="center"/>
      <protection locked="0"/>
    </xf>
    <xf numFmtId="0" fontId="15" fillId="2" borderId="40" xfId="0" applyFont="1" applyFill="1" applyBorder="1" applyAlignment="1" applyProtection="1">
      <alignment horizontal="center" vertical="center"/>
      <protection locked="0"/>
    </xf>
    <xf numFmtId="0" fontId="15" fillId="2" borderId="47" xfId="0" applyFont="1" applyFill="1" applyBorder="1" applyAlignment="1" applyProtection="1">
      <alignment horizontal="center" vertical="center"/>
      <protection locked="0"/>
    </xf>
    <xf numFmtId="0" fontId="4" fillId="2" borderId="8" xfId="0" applyFont="1" applyFill="1" applyBorder="1" applyAlignment="1" applyProtection="1">
      <alignment horizontal="center" vertical="center"/>
      <protection locked="0"/>
    </xf>
    <xf numFmtId="0" fontId="4" fillId="2" borderId="0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10" fillId="2" borderId="32" xfId="0" applyFont="1" applyFill="1" applyBorder="1" applyAlignment="1" applyProtection="1">
      <alignment horizontal="left" vertical="center"/>
      <protection locked="0"/>
    </xf>
    <xf numFmtId="0" fontId="10" fillId="2" borderId="33" xfId="0" applyFont="1" applyFill="1" applyBorder="1" applyAlignment="1" applyProtection="1">
      <alignment horizontal="left" vertical="center"/>
      <protection locked="0"/>
    </xf>
    <xf numFmtId="3" fontId="10" fillId="2" borderId="19" xfId="1" applyNumberFormat="1" applyFont="1" applyFill="1" applyBorder="1" applyAlignment="1" applyProtection="1">
      <alignment horizontal="left" vertical="center" indent="1"/>
    </xf>
    <xf numFmtId="0" fontId="0" fillId="0" borderId="20" xfId="0" applyBorder="1"/>
    <xf numFmtId="0" fontId="10" fillId="2" borderId="28" xfId="0" applyFont="1" applyFill="1" applyBorder="1" applyAlignment="1" applyProtection="1">
      <alignment horizontal="left" vertical="center"/>
      <protection locked="0"/>
    </xf>
    <xf numFmtId="0" fontId="10" fillId="2" borderId="29" xfId="0" applyFont="1" applyFill="1" applyBorder="1" applyAlignment="1" applyProtection="1">
      <alignment horizontal="left" vertical="center"/>
      <protection locked="0"/>
    </xf>
    <xf numFmtId="14" fontId="1" fillId="2" borderId="0" xfId="0" applyNumberFormat="1" applyFont="1" applyFill="1" applyBorder="1" applyAlignment="1" applyProtection="1">
      <alignment horizontal="right" vertical="center"/>
      <protection locked="0"/>
    </xf>
    <xf numFmtId="14" fontId="1" fillId="2" borderId="9" xfId="0" applyNumberFormat="1" applyFont="1" applyFill="1" applyBorder="1" applyAlignment="1" applyProtection="1">
      <alignment horizontal="right" vertical="center"/>
      <protection locked="0"/>
    </xf>
    <xf numFmtId="0" fontId="9" fillId="3" borderId="22" xfId="1" applyFont="1" applyFill="1" applyBorder="1" applyAlignment="1" applyProtection="1">
      <alignment horizontal="center" vertical="center"/>
    </xf>
    <xf numFmtId="3" fontId="14" fillId="3" borderId="16" xfId="1" applyNumberFormat="1" applyFont="1" applyFill="1" applyBorder="1" applyAlignment="1" applyProtection="1">
      <alignment horizontal="center" vertical="center"/>
    </xf>
    <xf numFmtId="165" fontId="14" fillId="2" borderId="18" xfId="1" applyNumberFormat="1" applyFont="1" applyFill="1" applyBorder="1" applyAlignment="1" applyProtection="1">
      <alignment horizontal="center" vertical="center"/>
    </xf>
    <xf numFmtId="0" fontId="8" fillId="3" borderId="19" xfId="1" applyFont="1" applyFill="1" applyBorder="1" applyAlignment="1" applyProtection="1">
      <alignment horizontal="center" vertical="center"/>
      <protection locked="0"/>
    </xf>
    <xf numFmtId="0" fontId="8" fillId="3" borderId="20" xfId="1" applyFont="1" applyFill="1" applyBorder="1" applyAlignment="1" applyProtection="1">
      <alignment horizontal="center" vertical="center"/>
      <protection locked="0"/>
    </xf>
    <xf numFmtId="0" fontId="8" fillId="3" borderId="23" xfId="1" applyFont="1" applyFill="1" applyBorder="1" applyAlignment="1" applyProtection="1">
      <alignment horizontal="center" vertical="center"/>
      <protection locked="0"/>
    </xf>
    <xf numFmtId="0" fontId="8" fillId="3" borderId="24" xfId="1" applyFont="1" applyFill="1" applyBorder="1" applyAlignment="1" applyProtection="1">
      <alignment horizontal="center" vertical="center"/>
      <protection locked="0"/>
    </xf>
    <xf numFmtId="4" fontId="8" fillId="4" borderId="21" xfId="1" applyNumberFormat="1" applyFont="1" applyFill="1" applyBorder="1" applyAlignment="1" applyProtection="1">
      <alignment horizontal="center" vertical="center" wrapText="1"/>
      <protection locked="0"/>
    </xf>
    <xf numFmtId="0" fontId="8" fillId="4" borderId="25" xfId="1" applyFont="1" applyFill="1" applyBorder="1" applyAlignment="1" applyProtection="1">
      <alignment horizontal="center" vertical="center" wrapText="1"/>
      <protection locked="0"/>
    </xf>
    <xf numFmtId="0" fontId="8" fillId="5" borderId="21" xfId="1" applyFont="1" applyFill="1" applyBorder="1" applyAlignment="1" applyProtection="1">
      <alignment horizontal="center" vertical="center" wrapText="1"/>
      <protection locked="0"/>
    </xf>
    <xf numFmtId="0" fontId="8" fillId="5" borderId="25" xfId="1" applyFont="1" applyFill="1" applyBorder="1" applyAlignment="1" applyProtection="1">
      <alignment horizontal="center" vertical="center" wrapText="1"/>
      <protection locked="0"/>
    </xf>
    <xf numFmtId="14" fontId="8" fillId="6" borderId="21" xfId="1" applyNumberFormat="1" applyFont="1" applyFill="1" applyBorder="1" applyAlignment="1" applyProtection="1">
      <alignment horizontal="center" vertical="center" wrapText="1"/>
      <protection locked="0"/>
    </xf>
    <xf numFmtId="0" fontId="8" fillId="6" borderId="25" xfId="1" applyFont="1" applyFill="1" applyBorder="1" applyAlignment="1" applyProtection="1">
      <alignment horizontal="center" vertical="center" wrapText="1"/>
      <protection locked="0"/>
    </xf>
    <xf numFmtId="3" fontId="10" fillId="3" borderId="15" xfId="1" applyNumberFormat="1" applyFont="1" applyFill="1" applyBorder="1" applyAlignment="1" applyProtection="1">
      <alignment horizontal="center" vertical="center"/>
    </xf>
    <xf numFmtId="3" fontId="10" fillId="3" borderId="17" xfId="1" applyNumberFormat="1" applyFont="1" applyFill="1" applyBorder="1" applyAlignment="1" applyProtection="1">
      <alignment horizontal="center" vertical="center"/>
    </xf>
    <xf numFmtId="3" fontId="19" fillId="2" borderId="51" xfId="1" applyNumberFormat="1" applyFont="1" applyFill="1" applyBorder="1" applyAlignment="1" applyProtection="1">
      <alignment horizontal="left" vertical="center" indent="1"/>
    </xf>
    <xf numFmtId="3" fontId="19" fillId="2" borderId="52" xfId="1" applyNumberFormat="1" applyFont="1" applyFill="1" applyBorder="1" applyAlignment="1" applyProtection="1">
      <alignment horizontal="left" vertical="center" indent="1"/>
    </xf>
    <xf numFmtId="0" fontId="18" fillId="0" borderId="0" xfId="0" applyFont="1" applyAlignment="1">
      <alignment horizontal="center"/>
    </xf>
    <xf numFmtId="3" fontId="5" fillId="3" borderId="15" xfId="1" applyNumberFormat="1" applyFont="1" applyFill="1" applyBorder="1" applyAlignment="1" applyProtection="1">
      <alignment horizontal="center" vertical="center"/>
    </xf>
    <xf numFmtId="3" fontId="5" fillId="3" borderId="16" xfId="1" applyNumberFormat="1" applyFont="1" applyFill="1" applyBorder="1" applyAlignment="1" applyProtection="1">
      <alignment horizontal="center" vertical="center"/>
    </xf>
    <xf numFmtId="3" fontId="5" fillId="3" borderId="146" xfId="1" applyNumberFormat="1" applyFont="1" applyFill="1" applyBorder="1" applyAlignment="1" applyProtection="1">
      <alignment horizontal="center" vertical="center"/>
    </xf>
    <xf numFmtId="3" fontId="5" fillId="3" borderId="17" xfId="1" applyNumberFormat="1" applyFont="1" applyFill="1" applyBorder="1" applyAlignment="1" applyProtection="1">
      <alignment horizontal="center" vertical="center"/>
    </xf>
    <xf numFmtId="3" fontId="1" fillId="2" borderId="15" xfId="1" applyNumberFormat="1" applyFont="1" applyFill="1" applyBorder="1" applyAlignment="1" applyProtection="1">
      <alignment horizontal="left" vertical="center" indent="1"/>
    </xf>
    <xf numFmtId="3" fontId="1" fillId="2" borderId="17" xfId="1" applyNumberFormat="1" applyFont="1" applyFill="1" applyBorder="1" applyAlignment="1" applyProtection="1">
      <alignment horizontal="left" vertical="center" indent="1"/>
    </xf>
    <xf numFmtId="14" fontId="1" fillId="2" borderId="0" xfId="0" applyNumberFormat="1" applyFont="1" applyFill="1" applyBorder="1" applyAlignment="1" applyProtection="1">
      <alignment horizontal="right" vertical="center"/>
    </xf>
    <xf numFmtId="14" fontId="1" fillId="2" borderId="9" xfId="0" applyNumberFormat="1" applyFont="1" applyFill="1" applyBorder="1" applyAlignment="1" applyProtection="1">
      <alignment horizontal="right" vertical="center"/>
    </xf>
    <xf numFmtId="3" fontId="23" fillId="3" borderId="16" xfId="1" applyNumberFormat="1" applyFont="1" applyFill="1" applyBorder="1" applyAlignment="1" applyProtection="1">
      <alignment horizontal="center" vertical="center"/>
    </xf>
    <xf numFmtId="0" fontId="14" fillId="2" borderId="18" xfId="1" applyFont="1" applyFill="1" applyBorder="1" applyAlignment="1" applyProtection="1">
      <alignment horizontal="center" vertical="center"/>
    </xf>
    <xf numFmtId="0" fontId="13" fillId="2" borderId="0" xfId="1" applyFont="1" applyFill="1" applyBorder="1" applyAlignment="1" applyProtection="1">
      <alignment horizontal="center" vertical="center" wrapText="1"/>
      <protection locked="0"/>
    </xf>
    <xf numFmtId="0" fontId="13" fillId="5" borderId="15" xfId="1" applyFont="1" applyFill="1" applyBorder="1" applyAlignment="1" applyProtection="1">
      <alignment horizontal="center" vertical="center" wrapText="1"/>
      <protection locked="0"/>
    </xf>
    <xf numFmtId="0" fontId="13" fillId="5" borderId="16" xfId="1" applyFont="1" applyFill="1" applyBorder="1" applyAlignment="1" applyProtection="1">
      <alignment horizontal="center" vertical="center" wrapText="1"/>
      <protection locked="0"/>
    </xf>
    <xf numFmtId="0" fontId="13" fillId="5" borderId="17" xfId="1" applyFont="1" applyFill="1" applyBorder="1" applyAlignment="1" applyProtection="1">
      <alignment horizontal="center" vertical="center" wrapText="1"/>
      <protection locked="0"/>
    </xf>
    <xf numFmtId="0" fontId="24" fillId="3" borderId="22" xfId="1" applyFont="1" applyFill="1" applyBorder="1" applyAlignment="1" applyProtection="1">
      <alignment horizontal="center" vertical="center" wrapText="1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23" fillId="2" borderId="8" xfId="0" applyFont="1" applyFill="1" applyBorder="1" applyAlignment="1" applyProtection="1">
      <alignment horizontal="center" vertical="center"/>
      <protection locked="0"/>
    </xf>
    <xf numFmtId="0" fontId="23" fillId="2" borderId="0" xfId="0" applyFont="1" applyFill="1" applyBorder="1" applyAlignment="1" applyProtection="1">
      <alignment horizontal="center" vertical="center"/>
      <protection locked="0"/>
    </xf>
    <xf numFmtId="0" fontId="23" fillId="2" borderId="7" xfId="0" applyFont="1" applyFill="1" applyBorder="1" applyAlignment="1" applyProtection="1">
      <alignment horizontal="center" vertical="center"/>
      <protection locked="0"/>
    </xf>
    <xf numFmtId="14" fontId="17" fillId="2" borderId="0" xfId="0" applyNumberFormat="1" applyFont="1" applyFill="1" applyBorder="1" applyAlignment="1" applyProtection="1">
      <alignment horizontal="right" vertical="center"/>
      <protection locked="0"/>
    </xf>
    <xf numFmtId="0" fontId="17" fillId="2" borderId="7" xfId="0" applyFont="1" applyFill="1" applyBorder="1" applyAlignment="1" applyProtection="1">
      <alignment horizontal="right" vertical="center"/>
      <protection locked="0"/>
    </xf>
    <xf numFmtId="14" fontId="5" fillId="2" borderId="0" xfId="0" applyNumberFormat="1" applyFont="1" applyFill="1" applyBorder="1" applyAlignment="1" applyProtection="1">
      <alignment horizontal="right" vertical="center"/>
      <protection locked="0"/>
    </xf>
    <xf numFmtId="0" fontId="5" fillId="2" borderId="7" xfId="0" applyFont="1" applyFill="1" applyBorder="1" applyAlignment="1" applyProtection="1">
      <alignment horizontal="right" vertical="center"/>
      <protection locked="0"/>
    </xf>
    <xf numFmtId="0" fontId="8" fillId="2" borderId="0" xfId="0" applyFont="1" applyFill="1" applyBorder="1" applyAlignment="1" applyProtection="1">
      <alignment horizontal="left" vertical="center"/>
      <protection locked="0"/>
    </xf>
    <xf numFmtId="0" fontId="10" fillId="2" borderId="0" xfId="0" applyFont="1" applyFill="1" applyBorder="1" applyAlignment="1" applyProtection="1">
      <alignment horizontal="left" vertical="center"/>
    </xf>
    <xf numFmtId="0" fontId="10" fillId="2" borderId="29" xfId="0" applyFont="1" applyFill="1" applyBorder="1" applyAlignment="1" applyProtection="1">
      <alignment horizontal="left" vertical="center"/>
    </xf>
    <xf numFmtId="3" fontId="23" fillId="2" borderId="18" xfId="1" applyNumberFormat="1" applyFont="1" applyFill="1" applyBorder="1" applyAlignment="1" applyProtection="1">
      <alignment horizontal="center" vertical="center"/>
    </xf>
    <xf numFmtId="10" fontId="9" fillId="3" borderId="15" xfId="1" applyNumberFormat="1" applyFont="1" applyFill="1" applyBorder="1" applyAlignment="1" applyProtection="1">
      <alignment horizontal="center" vertical="center" wrapText="1"/>
    </xf>
    <xf numFmtId="10" fontId="9" fillId="3" borderId="17" xfId="1" applyNumberFormat="1" applyFont="1" applyFill="1" applyBorder="1" applyAlignment="1" applyProtection="1">
      <alignment horizontal="center" vertical="center" wrapText="1"/>
    </xf>
    <xf numFmtId="0" fontId="39" fillId="0" borderId="6" xfId="0" applyFont="1" applyBorder="1" applyAlignment="1">
      <alignment horizontal="center"/>
    </xf>
    <xf numFmtId="0" fontId="39" fillId="0" borderId="0" xfId="0" applyFont="1" applyBorder="1" applyAlignment="1">
      <alignment horizontal="center"/>
    </xf>
    <xf numFmtId="0" fontId="39" fillId="0" borderId="6" xfId="0" applyFont="1" applyBorder="1" applyAlignment="1">
      <alignment horizontal="center" vertical="center"/>
    </xf>
    <xf numFmtId="0" fontId="39" fillId="0" borderId="0" xfId="0" applyFont="1" applyBorder="1" applyAlignment="1">
      <alignment horizontal="center" vertical="center"/>
    </xf>
    <xf numFmtId="3" fontId="29" fillId="3" borderId="15" xfId="1" applyNumberFormat="1" applyFont="1" applyFill="1" applyBorder="1" applyAlignment="1" applyProtection="1">
      <alignment horizontal="center" vertical="center"/>
    </xf>
    <xf numFmtId="3" fontId="29" fillId="3" borderId="16" xfId="1" applyNumberFormat="1" applyFont="1" applyFill="1" applyBorder="1" applyAlignment="1" applyProtection="1">
      <alignment horizontal="center" vertical="center"/>
    </xf>
    <xf numFmtId="3" fontId="29" fillId="3" borderId="17" xfId="1" applyNumberFormat="1" applyFont="1" applyFill="1" applyBorder="1" applyAlignment="1" applyProtection="1">
      <alignment horizontal="center" vertical="center"/>
    </xf>
    <xf numFmtId="0" fontId="29" fillId="2" borderId="18" xfId="0" applyFont="1" applyFill="1" applyBorder="1" applyAlignment="1" applyProtection="1">
      <alignment horizontal="center" vertical="center"/>
      <protection locked="0"/>
    </xf>
    <xf numFmtId="3" fontId="48" fillId="2" borderId="15" xfId="1" applyNumberFormat="1" applyFont="1" applyFill="1" applyBorder="1" applyAlignment="1" applyProtection="1">
      <alignment horizontal="center" vertical="center" wrapText="1"/>
    </xf>
    <xf numFmtId="3" fontId="48" fillId="2" borderId="16" xfId="1" applyNumberFormat="1" applyFont="1" applyFill="1" applyBorder="1" applyAlignment="1" applyProtection="1">
      <alignment horizontal="center" vertical="center" wrapText="1"/>
    </xf>
    <xf numFmtId="3" fontId="48" fillId="2" borderId="17" xfId="1" applyNumberFormat="1" applyFont="1" applyFill="1" applyBorder="1" applyAlignment="1" applyProtection="1">
      <alignment horizontal="center" vertical="center" wrapText="1"/>
    </xf>
    <xf numFmtId="3" fontId="45" fillId="2" borderId="15" xfId="1" applyNumberFormat="1" applyFont="1" applyFill="1" applyBorder="1" applyAlignment="1" applyProtection="1">
      <alignment horizontal="center" vertical="center" wrapText="1"/>
    </xf>
    <xf numFmtId="3" fontId="45" fillId="2" borderId="16" xfId="1" applyNumberFormat="1" applyFont="1" applyFill="1" applyBorder="1" applyAlignment="1" applyProtection="1">
      <alignment horizontal="center" vertical="center" wrapText="1"/>
    </xf>
    <xf numFmtId="3" fontId="45" fillId="2" borderId="17" xfId="1" applyNumberFormat="1" applyFont="1" applyFill="1" applyBorder="1" applyAlignment="1" applyProtection="1">
      <alignment horizontal="center" vertical="center" wrapText="1"/>
    </xf>
    <xf numFmtId="0" fontId="46" fillId="3" borderId="61" xfId="0" applyFont="1" applyFill="1" applyBorder="1" applyAlignment="1" applyProtection="1">
      <alignment horizontal="center" vertical="center"/>
      <protection locked="0"/>
    </xf>
    <xf numFmtId="0" fontId="46" fillId="3" borderId="62" xfId="0" applyFont="1" applyFill="1" applyBorder="1" applyAlignment="1" applyProtection="1">
      <alignment horizontal="center" vertical="center"/>
      <protection locked="0"/>
    </xf>
    <xf numFmtId="0" fontId="46" fillId="3" borderId="61" xfId="0" applyFont="1" applyFill="1" applyBorder="1" applyAlignment="1" applyProtection="1">
      <alignment horizontal="center" vertical="center" wrapText="1"/>
      <protection locked="0"/>
    </xf>
    <xf numFmtId="0" fontId="46" fillId="3" borderId="63" xfId="0" applyFont="1" applyFill="1" applyBorder="1" applyAlignment="1" applyProtection="1">
      <alignment horizontal="center" vertical="center" wrapText="1"/>
      <protection locked="0"/>
    </xf>
    <xf numFmtId="0" fontId="46" fillId="3" borderId="64" xfId="0" applyFont="1" applyFill="1" applyBorder="1" applyAlignment="1" applyProtection="1">
      <alignment horizontal="center" vertical="center" wrapText="1"/>
      <protection locked="0"/>
    </xf>
    <xf numFmtId="0" fontId="43" fillId="0" borderId="8" xfId="0" applyFont="1" applyBorder="1" applyAlignment="1">
      <alignment horizontal="center"/>
    </xf>
    <xf numFmtId="0" fontId="43" fillId="0" borderId="0" xfId="0" applyFont="1" applyBorder="1" applyAlignment="1">
      <alignment horizontal="center"/>
    </xf>
    <xf numFmtId="0" fontId="43" fillId="0" borderId="7" xfId="0" applyFont="1" applyBorder="1" applyAlignment="1">
      <alignment horizontal="center"/>
    </xf>
    <xf numFmtId="3" fontId="15" fillId="3" borderId="15" xfId="1" applyNumberFormat="1" applyFont="1" applyFill="1" applyBorder="1" applyAlignment="1" applyProtection="1">
      <alignment horizontal="center" vertical="center"/>
    </xf>
    <xf numFmtId="3" fontId="15" fillId="3" borderId="16" xfId="1" applyNumberFormat="1" applyFont="1" applyFill="1" applyBorder="1" applyAlignment="1" applyProtection="1">
      <alignment horizontal="center" vertical="center"/>
    </xf>
    <xf numFmtId="3" fontId="15" fillId="3" borderId="17" xfId="1" applyNumberFormat="1" applyFont="1" applyFill="1" applyBorder="1" applyAlignment="1" applyProtection="1">
      <alignment horizontal="center" vertical="center"/>
    </xf>
    <xf numFmtId="3" fontId="29" fillId="2" borderId="18" xfId="1" applyNumberFormat="1" applyFont="1" applyFill="1" applyBorder="1" applyAlignment="1" applyProtection="1">
      <alignment horizontal="center" vertical="center"/>
    </xf>
    <xf numFmtId="0" fontId="55" fillId="3" borderId="77" xfId="6" quotePrefix="1" applyFont="1" applyFill="1" applyBorder="1" applyAlignment="1">
      <alignment horizontal="center" vertical="center"/>
    </xf>
    <xf numFmtId="0" fontId="55" fillId="3" borderId="78" xfId="6" quotePrefix="1" applyFont="1" applyFill="1" applyBorder="1" applyAlignment="1">
      <alignment horizontal="center" vertical="center"/>
    </xf>
    <xf numFmtId="0" fontId="55" fillId="3" borderId="79" xfId="6" quotePrefix="1" applyFont="1" applyFill="1" applyBorder="1" applyAlignment="1">
      <alignment horizontal="center" vertical="center"/>
    </xf>
    <xf numFmtId="0" fontId="54" fillId="8" borderId="86" xfId="6" applyFont="1" applyFill="1" applyBorder="1" applyAlignment="1">
      <alignment horizontal="center" vertical="center"/>
    </xf>
    <xf numFmtId="0" fontId="54" fillId="8" borderId="87" xfId="6" applyFont="1" applyFill="1" applyBorder="1" applyAlignment="1">
      <alignment horizontal="center" vertical="center"/>
    </xf>
    <xf numFmtId="0" fontId="54" fillId="8" borderId="88" xfId="6" applyFont="1" applyFill="1" applyBorder="1" applyAlignment="1">
      <alignment horizontal="center" vertical="center"/>
    </xf>
    <xf numFmtId="3" fontId="52" fillId="8" borderId="8" xfId="6" applyNumberFormat="1" applyFont="1" applyFill="1" applyBorder="1" applyAlignment="1">
      <alignment horizontal="center" vertical="center"/>
    </xf>
    <xf numFmtId="3" fontId="52" fillId="8" borderId="0" xfId="6" applyNumberFormat="1" applyFont="1" applyFill="1" applyBorder="1" applyAlignment="1">
      <alignment horizontal="center" vertical="center"/>
    </xf>
    <xf numFmtId="3" fontId="56" fillId="3" borderId="73" xfId="6" applyNumberFormat="1" applyFont="1" applyFill="1" applyBorder="1" applyAlignment="1">
      <alignment horizontal="center" vertical="center"/>
    </xf>
    <xf numFmtId="3" fontId="56" fillId="3" borderId="75" xfId="6" applyNumberFormat="1" applyFont="1" applyFill="1" applyBorder="1" applyAlignment="1">
      <alignment horizontal="center" vertical="center"/>
    </xf>
    <xf numFmtId="3" fontId="56" fillId="3" borderId="42" xfId="6" applyNumberFormat="1" applyFont="1" applyFill="1" applyBorder="1" applyAlignment="1">
      <alignment horizontal="center" vertical="center"/>
    </xf>
    <xf numFmtId="3" fontId="56" fillId="3" borderId="43" xfId="6" applyNumberFormat="1" applyFont="1" applyFill="1" applyBorder="1" applyAlignment="1">
      <alignment horizontal="center" vertical="center"/>
    </xf>
    <xf numFmtId="3" fontId="56" fillId="3" borderId="67" xfId="6" applyNumberFormat="1" applyFont="1" applyFill="1" applyBorder="1" applyAlignment="1">
      <alignment horizontal="center" vertical="center"/>
    </xf>
    <xf numFmtId="3" fontId="56" fillId="3" borderId="72" xfId="6" applyNumberFormat="1" applyFont="1" applyFill="1" applyBorder="1" applyAlignment="1">
      <alignment horizontal="center" vertical="center"/>
    </xf>
    <xf numFmtId="3" fontId="57" fillId="3" borderId="73" xfId="6" applyNumberFormat="1" applyFont="1" applyFill="1" applyBorder="1" applyAlignment="1">
      <alignment horizontal="center" vertical="center"/>
    </xf>
    <xf numFmtId="3" fontId="57" fillId="3" borderId="74" xfId="6" applyNumberFormat="1" applyFont="1" applyFill="1" applyBorder="1" applyAlignment="1">
      <alignment horizontal="center" vertical="center"/>
    </xf>
    <xf numFmtId="3" fontId="57" fillId="3" borderId="75" xfId="6" applyNumberFormat="1" applyFont="1" applyFill="1" applyBorder="1" applyAlignment="1">
      <alignment horizontal="center" vertical="center"/>
    </xf>
    <xf numFmtId="3" fontId="57" fillId="3" borderId="42" xfId="6" applyNumberFormat="1" applyFont="1" applyFill="1" applyBorder="1" applyAlignment="1">
      <alignment horizontal="center" vertical="center"/>
    </xf>
    <xf numFmtId="3" fontId="57" fillId="3" borderId="0" xfId="6" applyNumberFormat="1" applyFont="1" applyFill="1" applyBorder="1" applyAlignment="1">
      <alignment horizontal="center" vertical="center"/>
    </xf>
    <xf numFmtId="3" fontId="57" fillId="3" borderId="43" xfId="6" applyNumberFormat="1" applyFont="1" applyFill="1" applyBorder="1" applyAlignment="1">
      <alignment horizontal="center" vertical="center"/>
    </xf>
    <xf numFmtId="3" fontId="57" fillId="3" borderId="67" xfId="6" applyNumberFormat="1" applyFont="1" applyFill="1" applyBorder="1" applyAlignment="1">
      <alignment horizontal="center" vertical="center"/>
    </xf>
    <xf numFmtId="3" fontId="57" fillId="3" borderId="71" xfId="6" applyNumberFormat="1" applyFont="1" applyFill="1" applyBorder="1" applyAlignment="1">
      <alignment horizontal="center" vertical="center"/>
    </xf>
    <xf numFmtId="3" fontId="57" fillId="3" borderId="72" xfId="6" applyNumberFormat="1" applyFont="1" applyFill="1" applyBorder="1" applyAlignment="1">
      <alignment horizontal="center" vertical="center"/>
    </xf>
    <xf numFmtId="0" fontId="55" fillId="3" borderId="8" xfId="6" applyFont="1" applyFill="1" applyBorder="1" applyAlignment="1">
      <alignment horizontal="center" vertical="center"/>
    </xf>
    <xf numFmtId="0" fontId="55" fillId="3" borderId="66" xfId="6" applyFont="1" applyFill="1" applyBorder="1" applyAlignment="1">
      <alignment horizontal="center" vertical="center"/>
    </xf>
    <xf numFmtId="3" fontId="58" fillId="3" borderId="8" xfId="6" applyNumberFormat="1" applyFont="1" applyFill="1" applyBorder="1" applyAlignment="1">
      <alignment horizontal="center" vertical="center"/>
    </xf>
    <xf numFmtId="3" fontId="58" fillId="3" borderId="66" xfId="6" quotePrefix="1" applyNumberFormat="1" applyFont="1" applyFill="1" applyBorder="1" applyAlignment="1">
      <alignment horizontal="center" vertical="center"/>
    </xf>
    <xf numFmtId="3" fontId="55" fillId="3" borderId="70" xfId="6" quotePrefix="1" applyNumberFormat="1" applyFont="1" applyFill="1" applyBorder="1" applyAlignment="1">
      <alignment horizontal="center" vertical="center"/>
    </xf>
    <xf numFmtId="3" fontId="55" fillId="3" borderId="69" xfId="6" quotePrefix="1" applyNumberFormat="1" applyFont="1" applyFill="1" applyBorder="1" applyAlignment="1">
      <alignment horizontal="center" vertical="center"/>
    </xf>
    <xf numFmtId="0" fontId="55" fillId="8" borderId="42" xfId="7" quotePrefix="1" applyFont="1" applyFill="1" applyBorder="1" applyAlignment="1">
      <alignment horizontal="left" vertical="center"/>
    </xf>
    <xf numFmtId="0" fontId="55" fillId="8" borderId="0" xfId="7" quotePrefix="1" applyFont="1" applyFill="1" applyBorder="1" applyAlignment="1">
      <alignment horizontal="left" vertical="center"/>
    </xf>
    <xf numFmtId="0" fontId="54" fillId="8" borderId="148" xfId="7" applyFont="1" applyFill="1" applyBorder="1" applyAlignment="1">
      <alignment horizontal="left" vertical="center"/>
    </xf>
    <xf numFmtId="0" fontId="54" fillId="8" borderId="124" xfId="7" applyFont="1" applyFill="1" applyBorder="1" applyAlignment="1">
      <alignment horizontal="left" vertical="center"/>
    </xf>
    <xf numFmtId="0" fontId="54" fillId="8" borderId="67" xfId="6" quotePrefix="1" applyFont="1" applyFill="1" applyBorder="1" applyAlignment="1">
      <alignment horizontal="left" vertical="center"/>
    </xf>
    <xf numFmtId="0" fontId="54" fillId="8" borderId="71" xfId="6" quotePrefix="1" applyFont="1" applyFill="1" applyBorder="1" applyAlignment="1">
      <alignment horizontal="left" vertical="center"/>
    </xf>
    <xf numFmtId="0" fontId="54" fillId="8" borderId="124" xfId="7" applyFont="1" applyFill="1" applyBorder="1" applyAlignment="1">
      <alignment horizontal="left"/>
    </xf>
    <xf numFmtId="49" fontId="74" fillId="2" borderId="279" xfId="9" applyNumberFormat="1" applyFont="1" applyFill="1" applyBorder="1" applyAlignment="1" applyProtection="1">
      <alignment horizontal="center" vertical="center"/>
      <protection locked="0"/>
    </xf>
    <xf numFmtId="49" fontId="74" fillId="2" borderId="172" xfId="9" applyNumberFormat="1" applyFont="1" applyFill="1" applyBorder="1" applyAlignment="1" applyProtection="1">
      <alignment horizontal="center" vertical="center"/>
      <protection locked="0"/>
    </xf>
    <xf numFmtId="49" fontId="74" fillId="2" borderId="280" xfId="9" applyNumberFormat="1" applyFont="1" applyFill="1" applyBorder="1" applyAlignment="1" applyProtection="1">
      <alignment horizontal="center" vertical="center"/>
      <protection locked="0"/>
    </xf>
    <xf numFmtId="49" fontId="74" fillId="2" borderId="173" xfId="9" applyNumberFormat="1" applyFont="1" applyFill="1" applyBorder="1" applyAlignment="1" applyProtection="1">
      <alignment horizontal="center" vertical="center"/>
      <protection locked="0"/>
    </xf>
    <xf numFmtId="49" fontId="74" fillId="2" borderId="282" xfId="9" applyNumberFormat="1" applyFont="1" applyFill="1" applyBorder="1" applyAlignment="1" applyProtection="1">
      <alignment horizontal="center" vertical="center"/>
      <protection locked="0"/>
    </xf>
    <xf numFmtId="49" fontId="74" fillId="2" borderId="283" xfId="9" applyNumberFormat="1" applyFont="1" applyFill="1" applyBorder="1" applyAlignment="1" applyProtection="1">
      <alignment horizontal="center" vertical="center"/>
      <protection locked="0"/>
    </xf>
    <xf numFmtId="49" fontId="74" fillId="2" borderId="175" xfId="9" applyNumberFormat="1" applyFont="1" applyFill="1" applyBorder="1" applyAlignment="1" applyProtection="1">
      <alignment horizontal="center" vertical="center"/>
      <protection locked="0"/>
    </xf>
    <xf numFmtId="49" fontId="69" fillId="3" borderId="270" xfId="9" applyNumberFormat="1" applyFont="1" applyFill="1" applyBorder="1" applyAlignment="1" applyProtection="1">
      <alignment horizontal="center" vertical="center"/>
      <protection locked="0"/>
    </xf>
    <xf numFmtId="49" fontId="69" fillId="3" borderId="271" xfId="9" applyNumberFormat="1" applyFont="1" applyFill="1" applyBorder="1" applyAlignment="1" applyProtection="1">
      <alignment horizontal="center" vertical="center"/>
      <protection locked="0"/>
    </xf>
    <xf numFmtId="49" fontId="69" fillId="3" borderId="272" xfId="9" applyNumberFormat="1" applyFont="1" applyFill="1" applyBorder="1" applyAlignment="1" applyProtection="1">
      <alignment horizontal="center" vertical="center"/>
      <protection locked="0"/>
    </xf>
    <xf numFmtId="2" fontId="74" fillId="3" borderId="275" xfId="9" applyNumberFormat="1" applyFont="1" applyFill="1" applyBorder="1" applyAlignment="1" applyProtection="1">
      <alignment horizontal="center" vertical="center"/>
    </xf>
    <xf numFmtId="2" fontId="74" fillId="3" borderId="276" xfId="9" quotePrefix="1" applyNumberFormat="1" applyFont="1" applyFill="1" applyBorder="1" applyAlignment="1" applyProtection="1">
      <alignment horizontal="center" vertical="center"/>
    </xf>
    <xf numFmtId="2" fontId="74" fillId="3" borderId="277" xfId="9" quotePrefix="1" applyNumberFormat="1" applyFont="1" applyFill="1" applyBorder="1" applyAlignment="1" applyProtection="1">
      <alignment horizontal="center" vertical="center"/>
    </xf>
    <xf numFmtId="2" fontId="74" fillId="3" borderId="270" xfId="9" applyNumberFormat="1" applyFont="1" applyFill="1" applyBorder="1" applyAlignment="1" applyProtection="1">
      <alignment horizontal="center" vertical="center"/>
    </xf>
    <xf numFmtId="2" fontId="74" fillId="3" borderId="271" xfId="9" applyNumberFormat="1" applyFont="1" applyFill="1" applyBorder="1" applyAlignment="1" applyProtection="1">
      <alignment horizontal="center" vertical="center"/>
    </xf>
    <xf numFmtId="2" fontId="74" fillId="3" borderId="272" xfId="9" applyNumberFormat="1" applyFont="1" applyFill="1" applyBorder="1" applyAlignment="1" applyProtection="1">
      <alignment horizontal="center" vertical="center"/>
    </xf>
    <xf numFmtId="49" fontId="74" fillId="3" borderId="275" xfId="9" applyNumberFormat="1" applyFont="1" applyFill="1" applyBorder="1" applyAlignment="1" applyProtection="1">
      <alignment horizontal="center" vertical="center"/>
      <protection locked="0"/>
    </xf>
    <xf numFmtId="49" fontId="74" fillId="3" borderId="277" xfId="9" applyNumberFormat="1" applyFont="1" applyFill="1" applyBorder="1" applyAlignment="1" applyProtection="1">
      <alignment horizontal="center" vertical="center"/>
      <protection locked="0"/>
    </xf>
    <xf numFmtId="2" fontId="74" fillId="3" borderId="270" xfId="9" quotePrefix="1" applyNumberFormat="1" applyFont="1" applyFill="1" applyBorder="1" applyAlignment="1" applyProtection="1">
      <alignment horizontal="center" vertical="center"/>
    </xf>
    <xf numFmtId="2" fontId="74" fillId="3" borderId="271" xfId="9" quotePrefix="1" applyNumberFormat="1" applyFont="1" applyFill="1" applyBorder="1" applyAlignment="1" applyProtection="1">
      <alignment horizontal="center" vertical="center"/>
    </xf>
    <xf numFmtId="2" fontId="74" fillId="3" borderId="272" xfId="9" quotePrefix="1" applyNumberFormat="1" applyFont="1" applyFill="1" applyBorder="1" applyAlignment="1" applyProtection="1">
      <alignment horizontal="center" vertical="center"/>
    </xf>
    <xf numFmtId="49" fontId="74" fillId="2" borderId="284" xfId="9" applyNumberFormat="1" applyFont="1" applyFill="1" applyBorder="1" applyAlignment="1" applyProtection="1">
      <alignment horizontal="center" vertical="center"/>
      <protection locked="0"/>
    </xf>
    <xf numFmtId="49" fontId="74" fillId="2" borderId="176" xfId="9" applyNumberFormat="1" applyFont="1" applyFill="1" applyBorder="1" applyAlignment="1" applyProtection="1">
      <alignment horizontal="center" vertical="center"/>
      <protection locked="0"/>
    </xf>
    <xf numFmtId="49" fontId="74" fillId="2" borderId="285" xfId="9" applyNumberFormat="1" applyFont="1" applyFill="1" applyBorder="1" applyAlignment="1" applyProtection="1">
      <alignment horizontal="center" vertical="center"/>
      <protection locked="0"/>
    </xf>
    <xf numFmtId="49" fontId="74" fillId="2" borderId="286" xfId="9" applyNumberFormat="1" applyFont="1" applyFill="1" applyBorder="1" applyAlignment="1" applyProtection="1">
      <alignment horizontal="center" vertical="center"/>
      <protection locked="0"/>
    </xf>
    <xf numFmtId="49" fontId="74" fillId="2" borderId="289" xfId="9" applyNumberFormat="1" applyFont="1" applyFill="1" applyBorder="1" applyAlignment="1" applyProtection="1">
      <alignment horizontal="center" vertical="center"/>
      <protection locked="0"/>
    </xf>
    <xf numFmtId="49" fontId="74" fillId="2" borderId="290" xfId="9" applyNumberFormat="1" applyFont="1" applyFill="1" applyBorder="1" applyAlignment="1" applyProtection="1">
      <alignment horizontal="center" vertical="center"/>
      <protection locked="0"/>
    </xf>
    <xf numFmtId="49" fontId="74" fillId="2" borderId="293" xfId="9" applyNumberFormat="1" applyFont="1" applyFill="1" applyBorder="1" applyAlignment="1" applyProtection="1">
      <alignment horizontal="center" vertical="center"/>
      <protection locked="0"/>
    </xf>
    <xf numFmtId="49" fontId="74" fillId="2" borderId="101" xfId="9" applyNumberFormat="1" applyFont="1" applyFill="1" applyBorder="1" applyAlignment="1" applyProtection="1">
      <alignment horizontal="center" vertical="center"/>
      <protection locked="0"/>
    </xf>
    <xf numFmtId="0" fontId="82" fillId="13" borderId="110" xfId="11" applyFont="1" applyFill="1" applyBorder="1" applyAlignment="1">
      <alignment horizontal="center" vertical="center" wrapText="1"/>
    </xf>
    <xf numFmtId="0" fontId="82" fillId="13" borderId="119" xfId="11" applyFont="1" applyFill="1" applyBorder="1" applyAlignment="1">
      <alignment horizontal="center" vertical="center" wrapText="1"/>
    </xf>
    <xf numFmtId="0" fontId="82" fillId="0" borderId="109" xfId="11" applyFont="1" applyBorder="1" applyAlignment="1">
      <alignment horizontal="center" vertical="center"/>
    </xf>
    <xf numFmtId="0" fontId="82" fillId="0" borderId="154" xfId="11" applyFont="1" applyBorder="1" applyAlignment="1">
      <alignment horizontal="center" vertical="center"/>
    </xf>
    <xf numFmtId="0" fontId="82" fillId="0" borderId="118" xfId="11" applyFont="1" applyBorder="1" applyAlignment="1">
      <alignment horizontal="center" vertical="center"/>
    </xf>
    <xf numFmtId="0" fontId="82" fillId="0" borderId="155" xfId="11" applyFont="1" applyBorder="1" applyAlignment="1">
      <alignment horizontal="center" vertical="center"/>
    </xf>
    <xf numFmtId="0" fontId="82" fillId="0" borderId="120" xfId="11" applyFont="1" applyBorder="1" applyAlignment="1">
      <alignment horizontal="center" vertical="center"/>
    </xf>
    <xf numFmtId="0" fontId="82" fillId="0" borderId="117" xfId="11" applyFont="1" applyBorder="1" applyAlignment="1">
      <alignment horizontal="center" vertical="center"/>
    </xf>
    <xf numFmtId="0" fontId="82" fillId="0" borderId="121" xfId="11" applyFont="1" applyBorder="1" applyAlignment="1">
      <alignment horizontal="center" vertical="center"/>
    </xf>
    <xf numFmtId="0" fontId="82" fillId="0" borderId="156" xfId="11" applyFont="1" applyBorder="1" applyAlignment="1">
      <alignment horizontal="center" vertical="center"/>
    </xf>
    <xf numFmtId="0" fontId="82" fillId="0" borderId="0" xfId="11" applyFont="1" applyBorder="1" applyAlignment="1">
      <alignment horizontal="center" vertical="center"/>
    </xf>
    <xf numFmtId="0" fontId="82" fillId="0" borderId="157" xfId="11" applyFont="1" applyBorder="1" applyAlignment="1">
      <alignment horizontal="center" vertical="center"/>
    </xf>
    <xf numFmtId="0" fontId="80" fillId="0" borderId="0" xfId="11" applyFont="1" applyBorder="1" applyAlignment="1">
      <alignment vertical="center"/>
    </xf>
    <xf numFmtId="0" fontId="81" fillId="0" borderId="0" xfId="11" applyFont="1" applyAlignment="1">
      <alignment horizontal="center" vertical="center"/>
    </xf>
    <xf numFmtId="0" fontId="80" fillId="13" borderId="110" xfId="11" applyFont="1" applyFill="1" applyBorder="1" applyAlignment="1">
      <alignment horizontal="center" vertical="center"/>
    </xf>
    <xf numFmtId="0" fontId="80" fillId="13" borderId="113" xfId="11" applyFont="1" applyFill="1" applyBorder="1" applyAlignment="1">
      <alignment horizontal="center" vertical="center"/>
    </xf>
    <xf numFmtId="0" fontId="80" fillId="13" borderId="119" xfId="11" applyFont="1" applyFill="1" applyBorder="1" applyAlignment="1">
      <alignment horizontal="center" vertical="center"/>
    </xf>
    <xf numFmtId="0" fontId="82" fillId="13" borderId="110" xfId="11" applyFont="1" applyFill="1" applyBorder="1" applyAlignment="1">
      <alignment horizontal="center" vertical="center"/>
    </xf>
    <xf numFmtId="0" fontId="82" fillId="13" borderId="113" xfId="11" applyFont="1" applyFill="1" applyBorder="1" applyAlignment="1">
      <alignment horizontal="center" vertical="center"/>
    </xf>
    <xf numFmtId="0" fontId="82" fillId="13" borderId="119" xfId="11" applyFont="1" applyFill="1" applyBorder="1" applyAlignment="1">
      <alignment horizontal="center" vertical="center"/>
    </xf>
    <xf numFmtId="0" fontId="82" fillId="0" borderId="110" xfId="11" applyFont="1" applyBorder="1" applyAlignment="1">
      <alignment horizontal="center" vertical="center"/>
    </xf>
    <xf numFmtId="0" fontId="82" fillId="0" borderId="116" xfId="11" applyFont="1" applyBorder="1" applyAlignment="1">
      <alignment horizontal="center" vertical="center"/>
    </xf>
    <xf numFmtId="0" fontId="82" fillId="0" borderId="113" xfId="11" applyFont="1" applyBorder="1" applyAlignment="1">
      <alignment horizontal="center" vertical="center"/>
    </xf>
    <xf numFmtId="0" fontId="82" fillId="0" borderId="111" xfId="11" applyFont="1" applyBorder="1" applyAlignment="1">
      <alignment horizontal="center" vertical="center"/>
    </xf>
    <xf numFmtId="0" fontId="82" fillId="0" borderId="119" xfId="11" applyFont="1" applyBorder="1" applyAlignment="1">
      <alignment horizontal="center" vertical="center"/>
    </xf>
    <xf numFmtId="0" fontId="82" fillId="0" borderId="112" xfId="11" applyFont="1" applyBorder="1" applyAlignment="1">
      <alignment horizontal="center" vertical="center"/>
    </xf>
    <xf numFmtId="0" fontId="82" fillId="0" borderId="319" xfId="11" applyFont="1" applyBorder="1" applyAlignment="1">
      <alignment horizontal="center" vertical="center"/>
    </xf>
    <xf numFmtId="0" fontId="82" fillId="0" borderId="66" xfId="11" applyFont="1" applyBorder="1" applyAlignment="1">
      <alignment horizontal="center" vertical="center"/>
    </xf>
    <xf numFmtId="0" fontId="82" fillId="0" borderId="141" xfId="11" applyFont="1" applyBorder="1" applyAlignment="1">
      <alignment horizontal="center" vertical="center"/>
    </xf>
    <xf numFmtId="0" fontId="80" fillId="0" borderId="0" xfId="11" applyFont="1" applyBorder="1" applyAlignment="1">
      <alignment horizontal="center" vertical="center"/>
    </xf>
    <xf numFmtId="0" fontId="82" fillId="0" borderId="320" xfId="11" applyFont="1" applyBorder="1" applyAlignment="1">
      <alignment horizontal="center" vertical="center"/>
    </xf>
    <xf numFmtId="0" fontId="58" fillId="3" borderId="8" xfId="14" applyFont="1" applyFill="1" applyBorder="1" applyAlignment="1">
      <alignment horizontal="center" vertical="center"/>
    </xf>
    <xf numFmtId="0" fontId="58" fillId="3" borderId="0" xfId="14" applyFont="1" applyFill="1" applyBorder="1" applyAlignment="1">
      <alignment horizontal="center" vertical="center"/>
    </xf>
    <xf numFmtId="4" fontId="54" fillId="3" borderId="85" xfId="14" applyNumberFormat="1" applyFont="1" applyFill="1" applyBorder="1" applyAlignment="1">
      <alignment horizontal="center" vertical="center" wrapText="1"/>
    </xf>
    <xf numFmtId="4" fontId="54" fillId="3" borderId="130" xfId="14" applyNumberFormat="1" applyFont="1" applyFill="1" applyBorder="1" applyAlignment="1">
      <alignment horizontal="center" vertical="center" wrapText="1"/>
    </xf>
    <xf numFmtId="0" fontId="55" fillId="3" borderId="108" xfId="14" quotePrefix="1" applyFont="1" applyFill="1" applyBorder="1" applyAlignment="1">
      <alignment horizontal="center" vertical="center"/>
    </xf>
    <xf numFmtId="0" fontId="55" fillId="3" borderId="78" xfId="14" quotePrefix="1" applyFont="1" applyFill="1" applyBorder="1" applyAlignment="1">
      <alignment horizontal="center" vertical="center"/>
    </xf>
    <xf numFmtId="0" fontId="93" fillId="0" borderId="8" xfId="7" applyFont="1" applyBorder="1" applyAlignment="1">
      <alignment vertical="center"/>
    </xf>
    <xf numFmtId="0" fontId="93" fillId="0" borderId="0" xfId="7" applyFont="1" applyBorder="1" applyAlignment="1">
      <alignment vertical="center"/>
    </xf>
    <xf numFmtId="0" fontId="52" fillId="8" borderId="8" xfId="15" applyFont="1" applyFill="1" applyBorder="1" applyAlignment="1">
      <alignment horizontal="center" vertical="center"/>
    </xf>
    <xf numFmtId="0" fontId="52" fillId="8" borderId="0" xfId="15" applyFont="1" applyFill="1" applyBorder="1" applyAlignment="1">
      <alignment horizontal="center" vertical="center"/>
    </xf>
    <xf numFmtId="0" fontId="52" fillId="8" borderId="66" xfId="15" applyFont="1" applyFill="1" applyBorder="1" applyAlignment="1">
      <alignment horizontal="center" vertical="center"/>
    </xf>
    <xf numFmtId="0" fontId="91" fillId="8" borderId="137" xfId="15" applyFont="1" applyFill="1" applyBorder="1" applyAlignment="1">
      <alignment horizontal="center" vertical="center"/>
    </xf>
    <xf numFmtId="0" fontId="91" fillId="8" borderId="138" xfId="15" applyFont="1" applyFill="1" applyBorder="1" applyAlignment="1">
      <alignment horizontal="center" vertical="center"/>
    </xf>
    <xf numFmtId="3" fontId="101" fillId="2" borderId="0" xfId="1" applyNumberFormat="1" applyFont="1" applyFill="1" applyBorder="1" applyAlignment="1" applyProtection="1">
      <alignment horizontal="center" vertical="center"/>
    </xf>
    <xf numFmtId="3" fontId="101" fillId="2" borderId="11" xfId="1" applyNumberFormat="1" applyFont="1" applyFill="1" applyBorder="1" applyAlignment="1" applyProtection="1">
      <alignment horizontal="center" vertical="center"/>
    </xf>
    <xf numFmtId="165" fontId="109" fillId="17" borderId="108" xfId="8" applyNumberFormat="1" applyFont="1" applyFill="1" applyBorder="1" applyAlignment="1">
      <alignment horizontal="center" vertical="center"/>
    </xf>
    <xf numFmtId="165" fontId="109" fillId="17" borderId="136" xfId="8" applyNumberFormat="1" applyFont="1" applyFill="1" applyBorder="1" applyAlignment="1">
      <alignment horizontal="center" vertical="center"/>
    </xf>
    <xf numFmtId="3" fontId="109" fillId="17" borderId="108" xfId="6" applyNumberFormat="1" applyFont="1" applyFill="1" applyBorder="1" applyAlignment="1">
      <alignment horizontal="center" vertical="center"/>
    </xf>
    <xf numFmtId="3" fontId="109" fillId="17" borderId="136" xfId="6" applyNumberFormat="1" applyFont="1" applyFill="1" applyBorder="1" applyAlignment="1">
      <alignment horizontal="center" vertical="center"/>
    </xf>
    <xf numFmtId="166" fontId="108" fillId="2" borderId="71" xfId="1" applyNumberFormat="1" applyFont="1" applyFill="1" applyBorder="1" applyAlignment="1" applyProtection="1">
      <alignment horizontal="center" vertical="center" wrapText="1"/>
    </xf>
    <xf numFmtId="3" fontId="113" fillId="0" borderId="108" xfId="6" applyNumberFormat="1" applyFont="1" applyFill="1" applyBorder="1" applyAlignment="1">
      <alignment horizontal="center" vertical="center"/>
    </xf>
    <xf numFmtId="3" fontId="113" fillId="0" borderId="136" xfId="6" applyNumberFormat="1" applyFont="1" applyFill="1" applyBorder="1" applyAlignment="1">
      <alignment horizontal="center" vertical="center"/>
    </xf>
    <xf numFmtId="3" fontId="109" fillId="17" borderId="78" xfId="6" applyNumberFormat="1" applyFont="1" applyFill="1" applyBorder="1" applyAlignment="1">
      <alignment horizontal="center" vertical="center"/>
    </xf>
    <xf numFmtId="3" fontId="109" fillId="0" borderId="108" xfId="6" applyNumberFormat="1" applyFont="1" applyBorder="1" applyAlignment="1">
      <alignment horizontal="center" vertical="center"/>
    </xf>
    <xf numFmtId="3" fontId="109" fillId="0" borderId="136" xfId="6" applyNumberFormat="1" applyFont="1" applyBorder="1" applyAlignment="1">
      <alignment horizontal="center" vertical="center"/>
    </xf>
    <xf numFmtId="3" fontId="111" fillId="0" borderId="108" xfId="6" applyNumberFormat="1" applyFont="1" applyFill="1" applyBorder="1" applyAlignment="1">
      <alignment horizontal="center" vertical="center"/>
    </xf>
    <xf numFmtId="3" fontId="111" fillId="0" borderId="136" xfId="6" applyNumberFormat="1" applyFont="1" applyFill="1" applyBorder="1" applyAlignment="1">
      <alignment horizontal="center" vertical="center"/>
    </xf>
    <xf numFmtId="3" fontId="110" fillId="0" borderId="108" xfId="6" applyNumberFormat="1" applyFont="1" applyBorder="1" applyAlignment="1">
      <alignment horizontal="center" vertical="center"/>
    </xf>
    <xf numFmtId="3" fontId="110" fillId="0" borderId="136" xfId="6" applyNumberFormat="1" applyFont="1" applyBorder="1" applyAlignment="1">
      <alignment horizontal="center" vertical="center"/>
    </xf>
    <xf numFmtId="14" fontId="101" fillId="2" borderId="6" xfId="16" applyNumberFormat="1" applyFont="1" applyFill="1" applyBorder="1" applyAlignment="1" applyProtection="1">
      <alignment horizontal="center" vertical="center"/>
      <protection locked="0"/>
    </xf>
    <xf numFmtId="14" fontId="101" fillId="2" borderId="0" xfId="16" applyNumberFormat="1" applyFont="1" applyFill="1" applyBorder="1" applyAlignment="1" applyProtection="1">
      <alignment horizontal="center" vertical="center"/>
      <protection locked="0"/>
    </xf>
    <xf numFmtId="14" fontId="101" fillId="2" borderId="66" xfId="16" applyNumberFormat="1" applyFont="1" applyFill="1" applyBorder="1" applyAlignment="1" applyProtection="1">
      <alignment horizontal="center" vertical="center"/>
      <protection locked="0"/>
    </xf>
    <xf numFmtId="0" fontId="103" fillId="2" borderId="8" xfId="16" applyFont="1" applyFill="1" applyBorder="1" applyAlignment="1" applyProtection="1">
      <alignment horizontal="center" vertical="center"/>
      <protection locked="0"/>
    </xf>
    <xf numFmtId="0" fontId="103" fillId="2" borderId="0" xfId="16" applyFont="1" applyFill="1" applyBorder="1" applyAlignment="1" applyProtection="1">
      <alignment horizontal="center" vertical="center"/>
      <protection locked="0"/>
    </xf>
    <xf numFmtId="0" fontId="103" fillId="2" borderId="66" xfId="16" applyFont="1" applyFill="1" applyBorder="1" applyAlignment="1" applyProtection="1">
      <alignment horizontal="center" vertical="center"/>
      <protection locked="0"/>
    </xf>
    <xf numFmtId="0" fontId="105" fillId="2" borderId="12" xfId="16" applyFont="1" applyFill="1" applyBorder="1" applyAlignment="1" applyProtection="1">
      <alignment horizontal="center" vertical="center"/>
      <protection locked="0"/>
    </xf>
    <xf numFmtId="0" fontId="105" fillId="2" borderId="11" xfId="16" applyFont="1" applyFill="1" applyBorder="1" applyAlignment="1" applyProtection="1">
      <alignment horizontal="center" vertical="center"/>
      <protection locked="0"/>
    </xf>
    <xf numFmtId="0" fontId="105" fillId="2" borderId="13" xfId="16" applyFont="1" applyFill="1" applyBorder="1" applyAlignment="1" applyProtection="1">
      <alignment horizontal="center" vertical="center"/>
      <protection locked="0"/>
    </xf>
    <xf numFmtId="3" fontId="104" fillId="0" borderId="6" xfId="1" quotePrefix="1" applyNumberFormat="1" applyFont="1" applyFill="1" applyBorder="1" applyAlignment="1" applyProtection="1">
      <alignment horizontal="center" vertical="center"/>
    </xf>
    <xf numFmtId="3" fontId="104" fillId="0" borderId="0" xfId="1" quotePrefix="1" applyNumberFormat="1" applyFont="1" applyFill="1" applyBorder="1" applyAlignment="1" applyProtection="1">
      <alignment horizontal="center" vertical="center"/>
    </xf>
    <xf numFmtId="3" fontId="104" fillId="0" borderId="0" xfId="1" applyNumberFormat="1" applyFont="1" applyFill="1" applyBorder="1" applyAlignment="1" applyProtection="1">
      <alignment horizontal="center" vertical="center"/>
    </xf>
    <xf numFmtId="3" fontId="104" fillId="0" borderId="9" xfId="1" applyNumberFormat="1" applyFont="1" applyFill="1" applyBorder="1" applyAlignment="1" applyProtection="1">
      <alignment horizontal="center" vertical="center"/>
    </xf>
    <xf numFmtId="3" fontId="104" fillId="0" borderId="6" xfId="1" applyNumberFormat="1" applyFont="1" applyFill="1" applyBorder="1" applyAlignment="1" applyProtection="1">
      <alignment horizontal="center" vertical="center" wrapText="1"/>
    </xf>
    <xf numFmtId="3" fontId="104" fillId="0" borderId="0" xfId="1" applyNumberFormat="1" applyFont="1" applyFill="1" applyBorder="1" applyAlignment="1" applyProtection="1">
      <alignment horizontal="center" vertical="center" wrapText="1"/>
    </xf>
    <xf numFmtId="3" fontId="101" fillId="2" borderId="0" xfId="1" applyNumberFormat="1" applyFont="1" applyFill="1" applyBorder="1" applyAlignment="1" applyProtection="1">
      <alignment horizontal="center" vertical="center" wrapText="1"/>
    </xf>
    <xf numFmtId="3" fontId="101" fillId="2" borderId="9" xfId="1" applyNumberFormat="1" applyFont="1" applyFill="1" applyBorder="1" applyAlignment="1" applyProtection="1">
      <alignment horizontal="center" vertical="center" wrapText="1"/>
    </xf>
    <xf numFmtId="0" fontId="108" fillId="2" borderId="0" xfId="16" applyFont="1" applyFill="1" applyBorder="1" applyAlignment="1" applyProtection="1">
      <alignment horizontal="center" vertical="center"/>
      <protection locked="0"/>
    </xf>
    <xf numFmtId="0" fontId="108" fillId="2" borderId="0" xfId="16" applyFont="1" applyFill="1" applyBorder="1" applyAlignment="1" applyProtection="1">
      <alignment horizontal="left" vertical="center"/>
      <protection locked="0"/>
    </xf>
    <xf numFmtId="3" fontId="99" fillId="2" borderId="0" xfId="1" applyNumberFormat="1" applyFont="1" applyFill="1" applyBorder="1" applyAlignment="1" applyProtection="1">
      <alignment horizontal="center" vertical="center"/>
    </xf>
    <xf numFmtId="0" fontId="99" fillId="2" borderId="3" xfId="16" applyFont="1" applyFill="1" applyBorder="1" applyAlignment="1" applyProtection="1">
      <alignment horizontal="center" vertical="center"/>
      <protection locked="0"/>
    </xf>
    <xf numFmtId="0" fontId="99" fillId="2" borderId="4" xfId="16" applyFont="1" applyFill="1" applyBorder="1" applyAlignment="1" applyProtection="1">
      <alignment horizontal="center" vertical="center"/>
      <protection locked="0"/>
    </xf>
    <xf numFmtId="0" fontId="99" fillId="2" borderId="2" xfId="16" applyFont="1" applyFill="1" applyBorder="1" applyAlignment="1" applyProtection="1">
      <alignment horizontal="center" vertical="center"/>
      <protection locked="0"/>
    </xf>
    <xf numFmtId="14" fontId="102" fillId="2" borderId="6" xfId="16" applyNumberFormat="1" applyFont="1" applyFill="1" applyBorder="1" applyAlignment="1" applyProtection="1">
      <alignment horizontal="center" vertical="center"/>
      <protection locked="0"/>
    </xf>
    <xf numFmtId="14" fontId="102" fillId="2" borderId="0" xfId="16" applyNumberFormat="1" applyFont="1" applyFill="1" applyBorder="1" applyAlignment="1" applyProtection="1">
      <alignment horizontal="center" vertical="center"/>
      <protection locked="0"/>
    </xf>
    <xf numFmtId="14" fontId="102" fillId="2" borderId="66" xfId="16" applyNumberFormat="1" applyFont="1" applyFill="1" applyBorder="1" applyAlignment="1" applyProtection="1">
      <alignment horizontal="center" vertical="center"/>
      <protection locked="0"/>
    </xf>
    <xf numFmtId="0" fontId="104" fillId="2" borderId="8" xfId="16" applyFont="1" applyFill="1" applyBorder="1" applyAlignment="1" applyProtection="1">
      <alignment horizontal="center" vertical="center"/>
      <protection locked="0"/>
    </xf>
    <xf numFmtId="0" fontId="104" fillId="2" borderId="0" xfId="16" applyFont="1" applyFill="1" applyBorder="1" applyAlignment="1" applyProtection="1">
      <alignment horizontal="center" vertical="center"/>
      <protection locked="0"/>
    </xf>
    <xf numFmtId="0" fontId="104" fillId="2" borderId="66" xfId="16" applyFont="1" applyFill="1" applyBorder="1" applyAlignment="1" applyProtection="1">
      <alignment horizontal="center" vertical="center"/>
      <protection locked="0"/>
    </xf>
    <xf numFmtId="0" fontId="103" fillId="2" borderId="141" xfId="16" applyFont="1" applyFill="1" applyBorder="1" applyAlignment="1" applyProtection="1">
      <alignment horizontal="center" vertical="center"/>
      <protection locked="0"/>
    </xf>
    <xf numFmtId="0" fontId="104" fillId="2" borderId="141" xfId="16" applyFont="1" applyFill="1" applyBorder="1" applyAlignment="1" applyProtection="1">
      <alignment horizontal="center" vertical="center"/>
      <protection locked="0"/>
    </xf>
    <xf numFmtId="3" fontId="101" fillId="2" borderId="0" xfId="1" applyNumberFormat="1" applyFont="1" applyFill="1" applyBorder="1" applyAlignment="1" applyProtection="1">
      <alignment horizontal="left" vertical="center" wrapText="1"/>
    </xf>
    <xf numFmtId="3" fontId="116" fillId="0" borderId="6" xfId="1" quotePrefix="1" applyNumberFormat="1" applyFont="1" applyFill="1" applyBorder="1" applyAlignment="1" applyProtection="1">
      <alignment horizontal="center" vertical="center"/>
    </xf>
    <xf numFmtId="3" fontId="116" fillId="0" borderId="0" xfId="1" quotePrefix="1" applyNumberFormat="1" applyFont="1" applyFill="1" applyBorder="1" applyAlignment="1" applyProtection="1">
      <alignment horizontal="center" vertical="center"/>
    </xf>
    <xf numFmtId="3" fontId="116" fillId="0" borderId="0" xfId="1" applyNumberFormat="1" applyFont="1" applyFill="1" applyBorder="1" applyAlignment="1" applyProtection="1">
      <alignment horizontal="center" vertical="center"/>
    </xf>
    <xf numFmtId="3" fontId="116" fillId="0" borderId="9" xfId="1" applyNumberFormat="1" applyFont="1" applyFill="1" applyBorder="1" applyAlignment="1" applyProtection="1">
      <alignment horizontal="center" vertical="center"/>
    </xf>
    <xf numFmtId="3" fontId="116" fillId="0" borderId="6" xfId="1" applyNumberFormat="1" applyFont="1" applyFill="1" applyBorder="1" applyAlignment="1" applyProtection="1">
      <alignment horizontal="center" vertical="center" wrapText="1"/>
    </xf>
    <xf numFmtId="3" fontId="116" fillId="0" borderId="0" xfId="1" applyNumberFormat="1" applyFont="1" applyFill="1" applyBorder="1" applyAlignment="1" applyProtection="1">
      <alignment horizontal="center" vertical="center" wrapText="1"/>
    </xf>
    <xf numFmtId="0" fontId="109" fillId="2" borderId="0" xfId="16" applyFont="1" applyFill="1" applyBorder="1" applyAlignment="1" applyProtection="1">
      <alignment horizontal="center" vertical="center"/>
      <protection locked="0"/>
    </xf>
    <xf numFmtId="0" fontId="109" fillId="2" borderId="0" xfId="16" applyFont="1" applyFill="1" applyBorder="1" applyAlignment="1" applyProtection="1">
      <alignment horizontal="left" vertical="center"/>
      <protection locked="0"/>
    </xf>
    <xf numFmtId="3" fontId="118" fillId="2" borderId="0" xfId="1" applyNumberFormat="1" applyFont="1" applyFill="1" applyBorder="1" applyAlignment="1" applyProtection="1">
      <alignment horizontal="center" vertical="center"/>
    </xf>
    <xf numFmtId="0" fontId="32" fillId="0" borderId="141" xfId="16" applyBorder="1" applyAlignment="1">
      <alignment horizontal="left" vertical="center" wrapText="1"/>
    </xf>
    <xf numFmtId="0" fontId="32" fillId="0" borderId="0" xfId="16" applyBorder="1" applyAlignment="1">
      <alignment horizontal="left" vertical="center" wrapText="1"/>
    </xf>
    <xf numFmtId="0" fontId="32" fillId="0" borderId="66" xfId="16" applyBorder="1" applyAlignment="1">
      <alignment horizontal="left" vertical="center" wrapText="1"/>
    </xf>
    <xf numFmtId="0" fontId="32" fillId="0" borderId="70" xfId="16" applyBorder="1" applyAlignment="1">
      <alignment horizontal="left" vertical="center" wrapText="1"/>
    </xf>
    <xf numFmtId="0" fontId="32" fillId="0" borderId="71" xfId="16" applyBorder="1" applyAlignment="1">
      <alignment horizontal="left" vertical="center" wrapText="1"/>
    </xf>
    <xf numFmtId="0" fontId="32" fillId="0" borderId="69" xfId="16" applyBorder="1" applyAlignment="1">
      <alignment horizontal="left" vertical="center" wrapText="1"/>
    </xf>
    <xf numFmtId="0" fontId="119" fillId="0" borderId="0" xfId="16" applyFont="1" applyAlignment="1">
      <alignment horizontal="center" vertical="center"/>
    </xf>
    <xf numFmtId="0" fontId="38" fillId="7" borderId="80" xfId="16" applyFont="1" applyFill="1" applyBorder="1" applyAlignment="1">
      <alignment horizontal="center" vertical="center" wrapText="1"/>
    </xf>
    <xf numFmtId="0" fontId="38" fillId="7" borderId="108" xfId="16" applyFont="1" applyFill="1" applyBorder="1" applyAlignment="1">
      <alignment horizontal="center" vertical="center" wrapText="1"/>
    </xf>
    <xf numFmtId="0" fontId="38" fillId="7" borderId="136" xfId="16" applyFont="1" applyFill="1" applyBorder="1" applyAlignment="1">
      <alignment horizontal="center" vertical="center" wrapText="1"/>
    </xf>
    <xf numFmtId="0" fontId="78" fillId="7" borderId="80" xfId="16" applyFont="1" applyFill="1" applyBorder="1" applyAlignment="1">
      <alignment horizontal="center" vertical="center" wrapText="1"/>
    </xf>
    <xf numFmtId="3" fontId="1" fillId="2" borderId="0" xfId="18" applyNumberFormat="1" applyFont="1" applyFill="1" applyBorder="1" applyAlignment="1" applyProtection="1">
      <alignment horizontal="left" vertical="center" wrapText="1"/>
      <protection locked="0"/>
    </xf>
    <xf numFmtId="14" fontId="45" fillId="2" borderId="6" xfId="18" applyNumberFormat="1" applyFont="1" applyFill="1" applyBorder="1" applyAlignment="1" applyProtection="1">
      <alignment horizontal="center" vertical="center"/>
      <protection locked="0"/>
    </xf>
    <xf numFmtId="14" fontId="45" fillId="2" borderId="0" xfId="18" applyNumberFormat="1" applyFont="1" applyFill="1" applyBorder="1" applyAlignment="1" applyProtection="1">
      <alignment horizontal="center" vertical="center"/>
      <protection locked="0"/>
    </xf>
    <xf numFmtId="14" fontId="45" fillId="2" borderId="66" xfId="18" applyNumberFormat="1" applyFont="1" applyFill="1" applyBorder="1" applyAlignment="1" applyProtection="1">
      <alignment horizontal="center" vertical="center"/>
      <protection locked="0"/>
    </xf>
    <xf numFmtId="0" fontId="13" fillId="2" borderId="141" xfId="18" applyFont="1" applyFill="1" applyBorder="1" applyAlignment="1" applyProtection="1">
      <alignment horizontal="center" vertical="center"/>
      <protection locked="0"/>
    </xf>
    <xf numFmtId="0" fontId="13" fillId="2" borderId="0" xfId="18" applyFont="1" applyFill="1" applyBorder="1" applyAlignment="1" applyProtection="1">
      <alignment horizontal="center" vertical="center"/>
      <protection locked="0"/>
    </xf>
    <xf numFmtId="0" fontId="13" fillId="2" borderId="66" xfId="18" applyFont="1" applyFill="1" applyBorder="1" applyAlignment="1" applyProtection="1">
      <alignment horizontal="center" vertical="center"/>
      <protection locked="0"/>
    </xf>
    <xf numFmtId="0" fontId="29" fillId="2" borderId="12" xfId="18" applyFont="1" applyFill="1" applyBorder="1" applyAlignment="1" applyProtection="1">
      <alignment horizontal="center" vertical="center"/>
      <protection locked="0"/>
    </xf>
    <xf numFmtId="0" fontId="29" fillId="2" borderId="11" xfId="18" applyFont="1" applyFill="1" applyBorder="1" applyAlignment="1" applyProtection="1">
      <alignment horizontal="center" vertical="center"/>
      <protection locked="0"/>
    </xf>
    <xf numFmtId="0" fontId="29" fillId="2" borderId="13" xfId="18" applyFont="1" applyFill="1" applyBorder="1" applyAlignment="1" applyProtection="1">
      <alignment horizontal="center" vertical="center"/>
      <protection locked="0"/>
    </xf>
    <xf numFmtId="3" fontId="15" fillId="0" borderId="6" xfId="1" applyNumberFormat="1" applyFont="1" applyFill="1" applyBorder="1" applyAlignment="1" applyProtection="1">
      <alignment horizontal="center" vertical="center"/>
    </xf>
    <xf numFmtId="3" fontId="15" fillId="0" borderId="0" xfId="1" quotePrefix="1" applyNumberFormat="1" applyFont="1" applyFill="1" applyBorder="1" applyAlignment="1" applyProtection="1">
      <alignment horizontal="center" vertical="center"/>
    </xf>
    <xf numFmtId="3" fontId="15" fillId="0" borderId="0" xfId="1" applyNumberFormat="1" applyFont="1" applyFill="1" applyBorder="1" applyAlignment="1" applyProtection="1">
      <alignment horizontal="center" vertical="center"/>
    </xf>
    <xf numFmtId="3" fontId="15" fillId="0" borderId="9" xfId="1" applyNumberFormat="1" applyFont="1" applyFill="1" applyBorder="1" applyAlignment="1" applyProtection="1">
      <alignment horizontal="center" vertical="center"/>
    </xf>
    <xf numFmtId="3" fontId="17" fillId="0" borderId="6" xfId="1" applyNumberFormat="1" applyFont="1" applyFill="1" applyBorder="1" applyAlignment="1" applyProtection="1">
      <alignment horizontal="center" vertical="center"/>
    </xf>
    <xf numFmtId="3" fontId="17" fillId="0" borderId="0" xfId="1" applyNumberFormat="1" applyFont="1" applyFill="1" applyBorder="1" applyAlignment="1" applyProtection="1">
      <alignment horizontal="center" vertical="center"/>
    </xf>
    <xf numFmtId="3" fontId="17" fillId="0" borderId="9" xfId="1" applyNumberFormat="1" applyFont="1" applyFill="1" applyBorder="1" applyAlignment="1" applyProtection="1">
      <alignment horizontal="center" vertical="center"/>
    </xf>
    <xf numFmtId="0" fontId="1" fillId="2" borderId="3" xfId="18" applyFont="1" applyFill="1" applyBorder="1" applyAlignment="1" applyProtection="1">
      <alignment horizontal="center" vertical="center"/>
      <protection locked="0"/>
    </xf>
    <xf numFmtId="0" fontId="1" fillId="2" borderId="4" xfId="18" applyFont="1" applyFill="1" applyBorder="1" applyAlignment="1" applyProtection="1">
      <alignment horizontal="center" vertical="center"/>
      <protection locked="0"/>
    </xf>
    <xf numFmtId="0" fontId="1" fillId="2" borderId="2" xfId="18" applyFont="1" applyFill="1" applyBorder="1" applyAlignment="1" applyProtection="1">
      <alignment horizontal="center" vertical="center"/>
      <protection locked="0"/>
    </xf>
    <xf numFmtId="14" fontId="8" fillId="2" borderId="6" xfId="18" applyNumberFormat="1" applyFont="1" applyFill="1" applyBorder="1" applyAlignment="1" applyProtection="1">
      <alignment horizontal="center" vertical="center"/>
      <protection locked="0"/>
    </xf>
    <xf numFmtId="14" fontId="8" fillId="2" borderId="0" xfId="18" applyNumberFormat="1" applyFont="1" applyFill="1" applyBorder="1" applyAlignment="1" applyProtection="1">
      <alignment horizontal="center" vertical="center"/>
      <protection locked="0"/>
    </xf>
    <xf numFmtId="14" fontId="8" fillId="2" borderId="66" xfId="18" applyNumberFormat="1" applyFont="1" applyFill="1" applyBorder="1" applyAlignment="1" applyProtection="1">
      <alignment horizontal="center" vertical="center"/>
      <protection locked="0"/>
    </xf>
    <xf numFmtId="0" fontId="15" fillId="2" borderId="141" xfId="18" applyFont="1" applyFill="1" applyBorder="1" applyAlignment="1" applyProtection="1">
      <alignment horizontal="center" vertical="center"/>
      <protection locked="0"/>
    </xf>
    <xf numFmtId="0" fontId="15" fillId="2" borderId="0" xfId="18" applyFont="1" applyFill="1" applyBorder="1" applyAlignment="1" applyProtection="1">
      <alignment horizontal="center" vertical="center"/>
      <protection locked="0"/>
    </xf>
    <xf numFmtId="0" fontId="15" fillId="2" borderId="66" xfId="18" applyFont="1" applyFill="1" applyBorder="1" applyAlignment="1" applyProtection="1">
      <alignment horizontal="center" vertical="center"/>
      <protection locked="0"/>
    </xf>
    <xf numFmtId="0" fontId="82" fillId="0" borderId="328" xfId="11" applyFont="1" applyBorder="1" applyAlignment="1">
      <alignment vertical="center"/>
    </xf>
    <xf numFmtId="0" fontId="82" fillId="0" borderId="329" xfId="11" applyFont="1" applyBorder="1" applyAlignment="1">
      <alignment vertical="center"/>
    </xf>
    <xf numFmtId="0" fontId="82" fillId="0" borderId="330" xfId="11" applyFont="1" applyBorder="1" applyAlignment="1">
      <alignment vertical="center"/>
    </xf>
    <xf numFmtId="0" fontId="82" fillId="0" borderId="331" xfId="11" applyFont="1" applyBorder="1" applyAlignment="1">
      <alignment vertical="center"/>
    </xf>
    <xf numFmtId="0" fontId="82" fillId="0" borderId="332" xfId="11" applyFont="1" applyBorder="1" applyAlignment="1">
      <alignment vertical="center"/>
    </xf>
    <xf numFmtId="0" fontId="82" fillId="0" borderId="333" xfId="11" applyFont="1" applyBorder="1" applyAlignment="1">
      <alignment vertical="center"/>
    </xf>
    <xf numFmtId="0" fontId="82" fillId="0" borderId="334" xfId="11" applyFont="1" applyBorder="1" applyAlignment="1">
      <alignment vertical="center"/>
    </xf>
    <xf numFmtId="0" fontId="84" fillId="15" borderId="335" xfId="0" applyFont="1" applyFill="1" applyBorder="1" applyAlignment="1">
      <alignment vertical="center"/>
    </xf>
    <xf numFmtId="0" fontId="86" fillId="15" borderId="336" xfId="0" applyFont="1" applyFill="1" applyBorder="1" applyAlignment="1">
      <alignment vertical="center"/>
    </xf>
    <xf numFmtId="171" fontId="86" fillId="15" borderId="335" xfId="0" applyNumberFormat="1" applyFont="1" applyFill="1" applyBorder="1" applyAlignment="1">
      <alignment vertical="center"/>
    </xf>
    <xf numFmtId="171" fontId="86" fillId="15" borderId="337" xfId="0" applyNumberFormat="1" applyFont="1" applyFill="1" applyBorder="1" applyAlignment="1">
      <alignment vertical="center"/>
    </xf>
    <xf numFmtId="171" fontId="86" fillId="15" borderId="338" xfId="0" applyNumberFormat="1" applyFont="1" applyFill="1" applyBorder="1" applyAlignment="1">
      <alignment vertical="center"/>
    </xf>
    <xf numFmtId="171" fontId="86" fillId="15" borderId="339" xfId="0" applyNumberFormat="1" applyFont="1" applyFill="1" applyBorder="1" applyAlignment="1">
      <alignment vertical="center"/>
    </xf>
    <xf numFmtId="171" fontId="80" fillId="15" borderId="335" xfId="11" applyNumberFormat="1" applyFont="1" applyFill="1" applyBorder="1" applyAlignment="1">
      <alignment vertical="center"/>
    </xf>
    <xf numFmtId="171" fontId="80" fillId="15" borderId="339" xfId="11" applyNumberFormat="1" applyFont="1" applyFill="1" applyBorder="1" applyAlignment="1">
      <alignment vertical="center"/>
    </xf>
    <xf numFmtId="171" fontId="85" fillId="15" borderId="338" xfId="13" applyNumberFormat="1" applyFont="1" applyFill="1" applyBorder="1" applyAlignment="1">
      <alignment vertical="center"/>
    </xf>
    <xf numFmtId="171" fontId="80" fillId="15" borderId="337" xfId="11" applyNumberFormat="1" applyFont="1" applyFill="1" applyBorder="1" applyAlignment="1">
      <alignment vertical="center"/>
    </xf>
    <xf numFmtId="171" fontId="84" fillId="15" borderId="338" xfId="13" applyNumberFormat="1" applyFont="1" applyFill="1" applyBorder="1" applyAlignment="1">
      <alignment vertical="center"/>
    </xf>
  </cellXfs>
  <cellStyles count="79"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Milliers" xfId="3" builtinId="3"/>
    <cellStyle name="Normal" xfId="0" builtinId="0"/>
    <cellStyle name="Normal 10 2" xfId="16"/>
    <cellStyle name="Normal 2" xfId="9"/>
    <cellStyle name="Normal 2 3" xfId="18"/>
    <cellStyle name="Normal 3" xfId="11"/>
    <cellStyle name="Normal 7" xfId="13"/>
    <cellStyle name="Normal_Autre Matériau -" xfId="14"/>
    <cellStyle name="Normal_ecartpp" xfId="15"/>
    <cellStyle name="Normal_Frais de Service 2 2" xfId="6"/>
    <cellStyle name="Normal_Frais de Service 3" xfId="17"/>
    <cellStyle name="Normal_MO Directe - 2 2" xfId="7"/>
    <cellStyle name="Normal_VENTE" xfId="1"/>
    <cellStyle name="Pourcentage" xfId="2" builtinId="5"/>
    <cellStyle name="Pourcentage 2" xfId="10"/>
    <cellStyle name="Pourcentage 3" xfId="8"/>
    <cellStyle name="Pourcentage 4" xfId="12"/>
    <cellStyle name="Protected" xfId="5"/>
    <cellStyle name="UnProtected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EVOLUTION DU RESULTAT COURANT</a:t>
            </a:r>
          </a:p>
        </c:rich>
      </c:tx>
      <c:layout>
        <c:manualLayout>
          <c:xMode val="edge"/>
          <c:yMode val="edge"/>
          <c:x val="0.237322515212982"/>
          <c:y val="3.0364372469635598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8.9249492900608504E-2"/>
          <c:y val="0.25708502024291502"/>
          <c:w val="0.89249492900608496"/>
          <c:h val="0.48178137651821901"/>
        </c:manualLayout>
      </c:layout>
      <c:lineChart>
        <c:grouping val="standard"/>
        <c:varyColors val="0"/>
        <c:ser>
          <c:idx val="0"/>
          <c:order val="0"/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SYNTHESE!$D$50:$G$50</c:f>
              <c:strCache>
                <c:ptCount val="4"/>
                <c:pt idx="0">
                  <c:v>Transfert</c:v>
                </c:pt>
                <c:pt idx="1">
                  <c:v>Objectif</c:v>
                </c:pt>
                <c:pt idx="2">
                  <c:v>Point 20%</c:v>
                </c:pt>
                <c:pt idx="3">
                  <c:v>Point 50%</c:v>
                </c:pt>
              </c:strCache>
            </c:strRef>
          </c:cat>
          <c:val>
            <c:numRef>
              <c:f>SYNTHESE!$D$55:$G$55</c:f>
              <c:numCache>
                <c:formatCode>0.00%</c:formatCode>
                <c:ptCount val="4"/>
                <c:pt idx="0">
                  <c:v>3.5000000000000003E-2</c:v>
                </c:pt>
                <c:pt idx="1">
                  <c:v>0.04</c:v>
                </c:pt>
                <c:pt idx="2">
                  <c:v>7.0000000000000007E-2</c:v>
                </c:pt>
                <c:pt idx="3">
                  <c:v>7.0000000000000007E-2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2060160"/>
        <c:axId val="142684928"/>
      </c:lineChart>
      <c:catAx>
        <c:axId val="142060160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268492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2684928"/>
        <c:scaling>
          <c:orientation val="minMax"/>
        </c:scaling>
        <c:delete val="0"/>
        <c:axPos val="l"/>
        <c:majorGridlines>
          <c:spPr>
            <a:ln w="3175">
              <a:solidFill>
                <a:srgbClr val="808080"/>
              </a:solidFill>
              <a:prstDash val="sysDash"/>
            </a:ln>
          </c:spPr>
        </c:majorGridlines>
        <c:numFmt formatCode="0.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6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206016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1009650</xdr:colOff>
      <xdr:row>48</xdr:row>
      <xdr:rowOff>766762</xdr:rowOff>
    </xdr:from>
    <xdr:to>
      <xdr:col>13</xdr:col>
      <xdr:colOff>738187</xdr:colOff>
      <xdr:row>58</xdr:row>
      <xdr:rowOff>109538</xdr:rowOff>
    </xdr:to>
    <xdr:graphicFrame macro="">
      <xdr:nvGraphicFramePr>
        <xdr:cNvPr id="5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3175</xdr:colOff>
      <xdr:row>3</xdr:row>
      <xdr:rowOff>47625</xdr:rowOff>
    </xdr:from>
    <xdr:to>
      <xdr:col>19</xdr:col>
      <xdr:colOff>758825</xdr:colOff>
      <xdr:row>4</xdr:row>
      <xdr:rowOff>152400</xdr:rowOff>
    </xdr:to>
    <xdr:sp macro="[0]!CopieDS" textlink="">
      <xdr:nvSpPr>
        <xdr:cNvPr id="2" name="Copie DS"/>
        <xdr:cNvSpPr/>
      </xdr:nvSpPr>
      <xdr:spPr>
        <a:xfrm>
          <a:off x="10467975" y="6953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Copier DS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42</xdr:col>
      <xdr:colOff>116681</xdr:colOff>
      <xdr:row>0</xdr:row>
      <xdr:rowOff>57150</xdr:rowOff>
    </xdr:from>
    <xdr:to>
      <xdr:col>47</xdr:col>
      <xdr:colOff>345282</xdr:colOff>
      <xdr:row>0</xdr:row>
      <xdr:rowOff>320675</xdr:rowOff>
    </xdr:to>
    <xdr:sp macro="[0]!CopieMatrice" textlink="">
      <xdr:nvSpPr>
        <xdr:cNvPr id="2" name="Copie Matrice"/>
        <xdr:cNvSpPr/>
      </xdr:nvSpPr>
      <xdr:spPr>
        <a:xfrm>
          <a:off x="2094547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Copier Matrice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28575</xdr:colOff>
      <xdr:row>0</xdr:row>
      <xdr:rowOff>57150</xdr:rowOff>
    </xdr:from>
    <xdr:to>
      <xdr:col>13</xdr:col>
      <xdr:colOff>757238</xdr:colOff>
      <xdr:row>1</xdr:row>
      <xdr:rowOff>138113</xdr:rowOff>
    </xdr:to>
    <xdr:sp macro="" textlink="">
      <xdr:nvSpPr>
        <xdr:cNvPr id="2" name="MAJ"/>
        <xdr:cNvSpPr/>
      </xdr:nvSpPr>
      <xdr:spPr>
        <a:xfrm>
          <a:off x="7572375" y="57150"/>
          <a:ext cx="1490663" cy="271463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Mise à jour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3</xdr:row>
      <xdr:rowOff>0</xdr:rowOff>
    </xdr:from>
    <xdr:to>
      <xdr:col>12</xdr:col>
      <xdr:colOff>0</xdr:colOff>
      <xdr:row>3</xdr:row>
      <xdr:rowOff>647700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>
          <a:off x="6238875" y="790575"/>
          <a:ext cx="295275" cy="647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</xdr:colOff>
      <xdr:row>3</xdr:row>
      <xdr:rowOff>0</xdr:rowOff>
    </xdr:from>
    <xdr:to>
      <xdr:col>10</xdr:col>
      <xdr:colOff>304800</xdr:colOff>
      <xdr:row>3</xdr:row>
      <xdr:rowOff>647700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>
          <a:off x="5934075" y="790575"/>
          <a:ext cx="276225" cy="647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C1:N56"/>
  <sheetViews>
    <sheetView showGridLines="0" zoomScale="40" zoomScaleNormal="40" zoomScalePageLayoutView="40" workbookViewId="0">
      <selection activeCell="A2" sqref="A2"/>
    </sheetView>
  </sheetViews>
  <sheetFormatPr baseColWidth="10" defaultRowHeight="15"/>
  <cols>
    <col min="1" max="2" width="11.7109375" customWidth="1"/>
    <col min="3" max="4" width="40.42578125" customWidth="1"/>
    <col min="5" max="5" width="26.7109375" customWidth="1"/>
    <col min="6" max="6" width="30.7109375" customWidth="1"/>
    <col min="7" max="7" width="26.7109375" customWidth="1"/>
    <col min="8" max="8" width="30.7109375" customWidth="1"/>
    <col min="9" max="9" width="26.7109375" customWidth="1"/>
    <col min="10" max="10" width="30.7109375" customWidth="1"/>
    <col min="11" max="11" width="19.7109375" customWidth="1"/>
    <col min="12" max="12" width="6.7109375" customWidth="1"/>
    <col min="13" max="13" width="30.7109375" customWidth="1"/>
    <col min="14" max="14" width="20.7109375" customWidth="1"/>
  </cols>
  <sheetData>
    <row r="1" spans="3:14" ht="19.5" customHeight="1" thickBot="1"/>
    <row r="2" spans="3:14" ht="29.25" customHeight="1" thickTop="1">
      <c r="C2" s="1"/>
      <c r="D2" s="2"/>
      <c r="E2" s="3"/>
      <c r="F2" s="4"/>
      <c r="G2" s="5"/>
      <c r="H2" s="4"/>
      <c r="I2" s="6"/>
      <c r="J2" s="7"/>
      <c r="K2" s="8" t="s">
        <v>19</v>
      </c>
      <c r="L2" s="9"/>
      <c r="M2" s="10"/>
      <c r="N2" s="11">
        <v>42736</v>
      </c>
    </row>
    <row r="3" spans="3:14" ht="29.25" customHeight="1">
      <c r="C3" s="12"/>
      <c r="D3" s="13"/>
      <c r="E3" s="1591" t="s">
        <v>15</v>
      </c>
      <c r="F3" s="1592"/>
      <c r="G3" s="1592"/>
      <c r="H3" s="1592"/>
      <c r="I3" s="1592"/>
      <c r="J3" s="1593"/>
      <c r="K3" s="14" t="s">
        <v>20</v>
      </c>
      <c r="L3" s="15"/>
      <c r="M3" s="16"/>
      <c r="N3" s="17" t="s">
        <v>21</v>
      </c>
    </row>
    <row r="4" spans="3:14" ht="29.25" customHeight="1">
      <c r="C4" s="12"/>
      <c r="D4" s="18" t="s">
        <v>18</v>
      </c>
      <c r="E4" s="1591"/>
      <c r="F4" s="1592"/>
      <c r="G4" s="1592"/>
      <c r="H4" s="1592"/>
      <c r="I4" s="1592"/>
      <c r="J4" s="1593"/>
      <c r="K4" s="14" t="s">
        <v>22</v>
      </c>
      <c r="L4" s="15"/>
      <c r="M4" s="16"/>
      <c r="N4" s="17" t="s">
        <v>44</v>
      </c>
    </row>
    <row r="5" spans="3:14" ht="29.25" customHeight="1">
      <c r="C5" s="12"/>
      <c r="D5" s="19"/>
      <c r="E5" s="1591"/>
      <c r="F5" s="1592"/>
      <c r="G5" s="1592"/>
      <c r="H5" s="1592"/>
      <c r="I5" s="1592"/>
      <c r="J5" s="1593"/>
      <c r="K5" s="14" t="s">
        <v>23</v>
      </c>
      <c r="L5" s="15"/>
      <c r="M5" s="1600">
        <v>42289</v>
      </c>
      <c r="N5" s="1601"/>
    </row>
    <row r="6" spans="3:14" ht="29.25" customHeight="1">
      <c r="C6" s="12"/>
      <c r="D6" s="19"/>
      <c r="E6" s="1591" t="s">
        <v>17</v>
      </c>
      <c r="F6" s="1592"/>
      <c r="G6" s="1592"/>
      <c r="H6" s="1592"/>
      <c r="I6" s="1592"/>
      <c r="J6" s="1593"/>
      <c r="K6" s="14" t="s">
        <v>24</v>
      </c>
      <c r="L6" s="15"/>
      <c r="M6" s="16"/>
      <c r="N6" s="17" t="s">
        <v>25</v>
      </c>
    </row>
    <row r="7" spans="3:14" ht="29.25" customHeight="1">
      <c r="C7" s="12"/>
      <c r="D7" s="19">
        <v>42800</v>
      </c>
      <c r="E7" s="1591" t="s">
        <v>16</v>
      </c>
      <c r="F7" s="1592"/>
      <c r="G7" s="1592"/>
      <c r="H7" s="1592"/>
      <c r="I7" s="1592"/>
      <c r="J7" s="1593"/>
      <c r="K7" s="14" t="s">
        <v>26</v>
      </c>
      <c r="L7" s="15"/>
      <c r="M7" s="20"/>
      <c r="N7" s="17" t="s">
        <v>27</v>
      </c>
    </row>
    <row r="8" spans="3:14" ht="29.25" customHeight="1" thickBot="1">
      <c r="C8" s="21"/>
      <c r="D8" s="22"/>
      <c r="E8" s="23"/>
      <c r="F8" s="24"/>
      <c r="G8" s="25"/>
      <c r="H8" s="24"/>
      <c r="I8" s="26"/>
      <c r="J8" s="27"/>
      <c r="K8" s="28" t="s">
        <v>28</v>
      </c>
      <c r="L8" s="29"/>
      <c r="M8" s="30"/>
      <c r="N8" s="31"/>
    </row>
    <row r="9" spans="3:14" ht="58.5" customHeight="1" thickTop="1"/>
    <row r="10" spans="3:14" ht="63" customHeight="1">
      <c r="C10" s="32"/>
      <c r="D10" s="33"/>
      <c r="E10" s="1603" t="s">
        <v>0</v>
      </c>
      <c r="F10" s="1603"/>
      <c r="G10" s="1603"/>
      <c r="H10" s="1603"/>
      <c r="I10" s="1603"/>
      <c r="J10" s="1603"/>
      <c r="K10" s="34"/>
      <c r="L10" s="33"/>
      <c r="M10" s="35"/>
      <c r="N10" s="36"/>
    </row>
    <row r="11" spans="3:14" ht="145.5" customHeight="1">
      <c r="G11" s="1604" t="s">
        <v>1</v>
      </c>
      <c r="H11" s="1604"/>
    </row>
    <row r="12" spans="3:14" ht="37.5" customHeight="1">
      <c r="C12" s="1605" t="s">
        <v>29</v>
      </c>
      <c r="D12" s="1606"/>
      <c r="E12" s="37"/>
      <c r="F12" s="1609" t="s">
        <v>54</v>
      </c>
      <c r="G12" s="38"/>
      <c r="H12" s="1611" t="s">
        <v>573</v>
      </c>
      <c r="I12" s="39"/>
      <c r="J12" s="1613" t="str">
        <f>D4</f>
        <v>POINT 50%</v>
      </c>
      <c r="K12" s="40"/>
      <c r="L12" s="41"/>
      <c r="M12" s="1602" t="s">
        <v>41</v>
      </c>
      <c r="N12" s="1602"/>
    </row>
    <row r="13" spans="3:14" ht="37.5" customHeight="1">
      <c r="C13" s="1607"/>
      <c r="D13" s="1608"/>
      <c r="E13" s="42"/>
      <c r="F13" s="1610"/>
      <c r="G13" s="43"/>
      <c r="H13" s="1612"/>
      <c r="I13" s="44"/>
      <c r="J13" s="1614"/>
      <c r="K13" s="45"/>
      <c r="L13" s="46"/>
      <c r="M13" s="47" t="s">
        <v>42</v>
      </c>
      <c r="N13" s="47" t="s">
        <v>43</v>
      </c>
    </row>
    <row r="14" spans="3:14" ht="30" customHeight="1"/>
    <row r="15" spans="3:14" ht="30" customHeight="1"/>
    <row r="16" spans="3:14" ht="30" customHeight="1"/>
    <row r="17" spans="3:14" ht="39.75" customHeight="1">
      <c r="C17" s="1615" t="s">
        <v>30</v>
      </c>
      <c r="D17" s="1616"/>
      <c r="E17" s="50"/>
      <c r="F17" s="51">
        <f>RECETTES!F54</f>
        <v>303500000</v>
      </c>
      <c r="G17" s="52"/>
      <c r="H17" s="53">
        <f>RECETTES!H54</f>
        <v>304850964</v>
      </c>
      <c r="I17" s="54"/>
      <c r="J17" s="55">
        <f>RECETTES!J54</f>
        <v>304850964</v>
      </c>
      <c r="K17" s="56"/>
      <c r="L17" s="57"/>
      <c r="M17" s="1266">
        <f>J17-H17</f>
        <v>0</v>
      </c>
      <c r="N17" s="1267">
        <f>IF(H17=0,0,M17/H17)</f>
        <v>0</v>
      </c>
    </row>
    <row r="18" spans="3:14" ht="33" customHeight="1"/>
    <row r="19" spans="3:14" ht="33" customHeight="1"/>
    <row r="20" spans="3:14" ht="33" customHeight="1"/>
    <row r="21" spans="3:14" ht="39.75" customHeight="1">
      <c r="C21" s="60"/>
      <c r="D21" s="61"/>
      <c r="E21" s="62"/>
      <c r="F21" s="63"/>
      <c r="G21" s="54"/>
      <c r="H21" s="63"/>
      <c r="I21" s="54"/>
      <c r="J21" s="63"/>
      <c r="K21" s="56"/>
      <c r="L21" s="62"/>
      <c r="M21" s="63"/>
      <c r="N21" s="63"/>
    </row>
    <row r="22" spans="3:14" ht="39.75" customHeight="1">
      <c r="C22" s="130" t="s">
        <v>2</v>
      </c>
      <c r="D22" s="64"/>
      <c r="E22" s="65"/>
      <c r="F22" s="66" t="e">
        <f>DCH!F20</f>
        <v>#REF!</v>
      </c>
      <c r="G22" s="54"/>
      <c r="H22" s="66" t="e">
        <f>DCH!K20</f>
        <v>#REF!</v>
      </c>
      <c r="I22" s="54"/>
      <c r="J22" s="66" t="e">
        <f>DCH!M20</f>
        <v>#REF!</v>
      </c>
      <c r="K22" s="56"/>
      <c r="L22" s="57"/>
      <c r="M22" s="67" t="e">
        <f t="shared" ref="M22:M28" si="0">H22-J22</f>
        <v>#REF!</v>
      </c>
      <c r="N22" s="68" t="e">
        <f>M22/H22</f>
        <v>#REF!</v>
      </c>
    </row>
    <row r="23" spans="3:14" ht="39.75" customHeight="1">
      <c r="C23" s="1598" t="s">
        <v>3</v>
      </c>
      <c r="D23" s="1599"/>
      <c r="E23" s="69"/>
      <c r="F23" s="70">
        <f>DCH!F26</f>
        <v>13949104</v>
      </c>
      <c r="G23" s="71"/>
      <c r="H23" s="70">
        <f>DCH!K26</f>
        <v>13949104</v>
      </c>
      <c r="I23" s="71"/>
      <c r="J23" s="70">
        <f>DCH!M26</f>
        <v>0</v>
      </c>
      <c r="K23" s="72"/>
      <c r="L23" s="57"/>
      <c r="M23" s="67">
        <f t="shared" si="0"/>
        <v>13949104</v>
      </c>
      <c r="N23" s="68">
        <f t="shared" ref="N23:N26" si="1">M23/H23</f>
        <v>1</v>
      </c>
    </row>
    <row r="24" spans="3:14" ht="39.75" customHeight="1">
      <c r="C24" s="1598" t="s">
        <v>4</v>
      </c>
      <c r="D24" s="1599"/>
      <c r="E24" s="69"/>
      <c r="F24" s="70" t="e">
        <f>DCH!F41</f>
        <v>#REF!</v>
      </c>
      <c r="G24" s="71"/>
      <c r="H24" s="70" t="e">
        <f>DCH!K41</f>
        <v>#REF!</v>
      </c>
      <c r="I24" s="72"/>
      <c r="J24" s="70" t="e">
        <f>DCH!M41</f>
        <v>#REF!</v>
      </c>
      <c r="K24" s="72"/>
      <c r="L24" s="57"/>
      <c r="M24" s="67" t="e">
        <f t="shared" si="0"/>
        <v>#REF!</v>
      </c>
      <c r="N24" s="68" t="e">
        <f t="shared" si="1"/>
        <v>#REF!</v>
      </c>
    </row>
    <row r="25" spans="3:14" ht="39.75" customHeight="1">
      <c r="C25" s="1598" t="s">
        <v>5</v>
      </c>
      <c r="D25" s="1599"/>
      <c r="E25" s="69"/>
      <c r="F25" s="70" t="e">
        <f>DCH!F46</f>
        <v>#REF!</v>
      </c>
      <c r="G25" s="71"/>
      <c r="H25" s="70" t="e">
        <f>DCH!K46</f>
        <v>#REF!</v>
      </c>
      <c r="I25" s="72"/>
      <c r="J25" s="70" t="e">
        <f>DCH!M46</f>
        <v>#REF!</v>
      </c>
      <c r="K25" s="72"/>
      <c r="L25" s="57"/>
      <c r="M25" s="67" t="e">
        <f t="shared" si="0"/>
        <v>#REF!</v>
      </c>
      <c r="N25" s="68" t="e">
        <f t="shared" si="1"/>
        <v>#REF!</v>
      </c>
    </row>
    <row r="26" spans="3:14" ht="39.75" customHeight="1">
      <c r="C26" s="131" t="s">
        <v>6</v>
      </c>
      <c r="D26" s="132"/>
      <c r="E26" s="69"/>
      <c r="F26" s="70" t="e">
        <f>DCH!F47</f>
        <v>#REF!</v>
      </c>
      <c r="G26" s="71"/>
      <c r="H26" s="70" t="e">
        <f>DCH!K47</f>
        <v>#REF!</v>
      </c>
      <c r="I26" s="72"/>
      <c r="J26" s="70" t="e">
        <f>DCH!M47</f>
        <v>#REF!</v>
      </c>
      <c r="K26" s="72"/>
      <c r="L26" s="57"/>
      <c r="M26" s="67" t="e">
        <f t="shared" si="0"/>
        <v>#REF!</v>
      </c>
      <c r="N26" s="68" t="e">
        <f t="shared" si="1"/>
        <v>#REF!</v>
      </c>
    </row>
    <row r="27" spans="3:14" ht="39.75" customHeight="1">
      <c r="C27" s="73"/>
      <c r="D27" s="74"/>
      <c r="E27" s="69"/>
      <c r="F27" s="75"/>
      <c r="G27" s="71"/>
      <c r="H27" s="75"/>
      <c r="I27" s="71"/>
      <c r="J27" s="75"/>
      <c r="K27" s="72"/>
      <c r="L27" s="57"/>
      <c r="M27" s="76"/>
      <c r="N27" s="76"/>
    </row>
    <row r="28" spans="3:14" ht="40.5" customHeight="1">
      <c r="C28" s="137" t="s">
        <v>7</v>
      </c>
      <c r="D28" s="77"/>
      <c r="E28" s="65"/>
      <c r="F28" s="78" t="e">
        <f>SUM(F22:F26)</f>
        <v>#REF!</v>
      </c>
      <c r="G28" s="54"/>
      <c r="H28" s="79" t="e">
        <f>SUM(H22:H26)</f>
        <v>#REF!</v>
      </c>
      <c r="I28" s="54"/>
      <c r="J28" s="55" t="e">
        <f>SUM(J22:J26)</f>
        <v>#REF!</v>
      </c>
      <c r="K28" s="56"/>
      <c r="L28" s="57"/>
      <c r="M28" s="80" t="e">
        <f t="shared" si="0"/>
        <v>#REF!</v>
      </c>
      <c r="N28" s="59" t="e">
        <f>IF(H28=0,0,M28/H28)</f>
        <v>#REF!</v>
      </c>
    </row>
    <row r="29" spans="3:14" ht="76.5" customHeight="1"/>
    <row r="30" spans="3:14" ht="39.75" customHeight="1">
      <c r="C30" s="1594" t="s">
        <v>31</v>
      </c>
      <c r="D30" s="1595"/>
      <c r="E30" s="81"/>
      <c r="F30" s="82">
        <f>CHAPEAU!H22+CHAPEAU!H23</f>
        <v>25342250</v>
      </c>
      <c r="G30" s="83"/>
      <c r="H30" s="82">
        <f>CHAPEAU!K22+CHAPEAU!K23</f>
        <v>25455055.493999999</v>
      </c>
      <c r="I30" s="83"/>
      <c r="J30" s="82">
        <f>CHAPEAU!N22+CHAPEAU!N23</f>
        <v>25455055.493999999</v>
      </c>
      <c r="K30" s="83"/>
      <c r="L30" s="41"/>
      <c r="M30" s="84">
        <f>J30-H30</f>
        <v>0</v>
      </c>
      <c r="N30" s="85">
        <f>M30/H30</f>
        <v>0</v>
      </c>
    </row>
    <row r="31" spans="3:14" ht="39.75" customHeight="1">
      <c r="C31" s="1594" t="s">
        <v>32</v>
      </c>
      <c r="D31" s="1595"/>
      <c r="E31" s="81"/>
      <c r="F31" s="82">
        <f>SUM(CHAPEAU!H24:H27)</f>
        <v>1881700</v>
      </c>
      <c r="G31" s="83"/>
      <c r="H31" s="82">
        <f>SUM(CHAPEAU!K24:K27)</f>
        <v>1890075.9768000001</v>
      </c>
      <c r="I31" s="83"/>
      <c r="J31" s="82">
        <f>SUM(CHAPEAU!N24:N27)</f>
        <v>1890075.9768000001</v>
      </c>
      <c r="K31" s="83"/>
      <c r="L31" s="41"/>
      <c r="M31" s="84">
        <f>J31-H31</f>
        <v>0</v>
      </c>
      <c r="N31" s="85">
        <f>M31/H31</f>
        <v>0</v>
      </c>
    </row>
    <row r="32" spans="3:14" ht="39.75" customHeight="1">
      <c r="C32" s="48" t="s">
        <v>33</v>
      </c>
      <c r="D32" s="49"/>
      <c r="E32" s="86"/>
      <c r="F32" s="87">
        <f>SUM(F30:F31)</f>
        <v>27223950</v>
      </c>
      <c r="G32" s="88">
        <f>F32/F17</f>
        <v>8.9700000000000002E-2</v>
      </c>
      <c r="H32" s="89">
        <f>SUM(H30:H31)</f>
        <v>27345131.470799997</v>
      </c>
      <c r="I32" s="88">
        <f>H32/H17</f>
        <v>8.9699999999999988E-2</v>
      </c>
      <c r="J32" s="90">
        <f>SUM(J30:J31)</f>
        <v>27345131.470799997</v>
      </c>
      <c r="K32" s="88">
        <f>J32/J17</f>
        <v>8.9699999999999988E-2</v>
      </c>
      <c r="L32" s="57"/>
      <c r="M32" s="58"/>
      <c r="N32" s="59"/>
    </row>
    <row r="33" spans="3:14" ht="57" customHeight="1"/>
    <row r="34" spans="3:14" ht="57" customHeight="1"/>
    <row r="35" spans="3:14" ht="39.75" customHeight="1">
      <c r="C35" s="91" t="s">
        <v>34</v>
      </c>
      <c r="D35" s="92"/>
      <c r="E35" s="81"/>
      <c r="F35" s="93" t="e">
        <f>F17-F32-F28</f>
        <v>#REF!</v>
      </c>
      <c r="G35" s="94" t="e">
        <f>F35/F17</f>
        <v>#REF!</v>
      </c>
      <c r="H35" s="95" t="e">
        <f>H17-H32-H28</f>
        <v>#REF!</v>
      </c>
      <c r="I35" s="94" t="e">
        <f>H35/H17</f>
        <v>#REF!</v>
      </c>
      <c r="J35" s="96" t="e">
        <f>J17-J32-J28</f>
        <v>#REF!</v>
      </c>
      <c r="K35" s="94" t="e">
        <f>J35/J17</f>
        <v>#REF!</v>
      </c>
      <c r="L35" s="41"/>
      <c r="M35" s="97" t="e">
        <f>J35-H35</f>
        <v>#REF!</v>
      </c>
      <c r="N35" s="98" t="e">
        <f>M35/H35</f>
        <v>#REF!</v>
      </c>
    </row>
    <row r="36" spans="3:14" ht="39.75" customHeight="1"/>
    <row r="37" spans="3:14" ht="39.75" customHeight="1"/>
    <row r="38" spans="3:14" ht="39.75" customHeight="1">
      <c r="C38" s="1596" t="s">
        <v>35</v>
      </c>
      <c r="D38" s="1597"/>
      <c r="E38" s="86"/>
      <c r="F38" s="99"/>
      <c r="G38" s="88"/>
      <c r="H38" s="100"/>
      <c r="I38" s="88"/>
      <c r="J38" s="99">
        <v>670850</v>
      </c>
      <c r="K38" s="88"/>
      <c r="L38" s="57"/>
      <c r="M38" s="101">
        <f>J38-H38</f>
        <v>670850</v>
      </c>
      <c r="N38" s="102"/>
    </row>
    <row r="39" spans="3:14" ht="39.75" customHeight="1">
      <c r="C39" s="1583" t="s">
        <v>36</v>
      </c>
      <c r="D39" s="1584"/>
      <c r="E39" s="86"/>
      <c r="F39" s="66"/>
      <c r="G39" s="88"/>
      <c r="H39" s="66"/>
      <c r="I39" s="88"/>
      <c r="J39" s="66"/>
      <c r="K39" s="88"/>
      <c r="L39" s="57"/>
      <c r="M39" s="67"/>
      <c r="N39" s="68"/>
    </row>
    <row r="40" spans="3:14" ht="39.75" customHeight="1">
      <c r="C40" s="1585" t="s">
        <v>37</v>
      </c>
      <c r="D40" s="1586"/>
      <c r="E40" s="86"/>
      <c r="F40" s="75"/>
      <c r="G40" s="88"/>
      <c r="H40" s="75"/>
      <c r="I40" s="88"/>
      <c r="J40" s="75"/>
      <c r="K40" s="88"/>
      <c r="L40" s="57"/>
      <c r="M40" s="103"/>
      <c r="N40" s="104"/>
    </row>
    <row r="41" spans="3:14" ht="39.75" customHeight="1" thickBot="1"/>
    <row r="42" spans="3:14" ht="39.75" customHeight="1" thickBot="1">
      <c r="C42" s="105" t="s">
        <v>38</v>
      </c>
      <c r="D42" s="106"/>
      <c r="E42" s="81"/>
      <c r="F42" s="107" t="e">
        <f>F35+F38+F39+F40</f>
        <v>#REF!</v>
      </c>
      <c r="G42" s="94" t="e">
        <f>F42/F17</f>
        <v>#REF!</v>
      </c>
      <c r="H42" s="108" t="e">
        <f>H35+H38+H39+H40</f>
        <v>#REF!</v>
      </c>
      <c r="I42" s="94" t="e">
        <f>H42/H17</f>
        <v>#REF!</v>
      </c>
      <c r="J42" s="109" t="e">
        <f>J35+J38+J39+J40</f>
        <v>#REF!</v>
      </c>
      <c r="K42" s="94" t="e">
        <f>J42/J17</f>
        <v>#REF!</v>
      </c>
      <c r="L42" s="41"/>
      <c r="M42" s="110" t="e">
        <f>J42-H42</f>
        <v>#REF!</v>
      </c>
      <c r="N42" s="111" t="e">
        <f>M42/H42</f>
        <v>#REF!</v>
      </c>
    </row>
    <row r="43" spans="3:14" ht="39.75" customHeight="1"/>
    <row r="44" spans="3:14" ht="39.75" customHeight="1"/>
    <row r="45" spans="3:14" ht="39.75" customHeight="1">
      <c r="C45" s="112" t="s">
        <v>39</v>
      </c>
      <c r="D45" s="113"/>
      <c r="E45" s="86"/>
      <c r="F45" s="114"/>
      <c r="G45" s="83"/>
      <c r="H45" s="114"/>
      <c r="I45" s="83"/>
      <c r="J45" s="114"/>
      <c r="K45" s="83"/>
      <c r="L45" s="57"/>
      <c r="M45" s="84">
        <f>J45-H45</f>
        <v>0</v>
      </c>
      <c r="N45" s="85">
        <f>IF(H45=0,0,M45/H45)</f>
        <v>0</v>
      </c>
    </row>
    <row r="46" spans="3:14" ht="39.75" customHeight="1"/>
    <row r="47" spans="3:14" ht="39.75" customHeight="1">
      <c r="C47" s="91" t="s">
        <v>40</v>
      </c>
      <c r="D47" s="92"/>
      <c r="E47" s="81"/>
      <c r="F47" s="93" t="e">
        <f>F42-F45</f>
        <v>#REF!</v>
      </c>
      <c r="G47" s="94" t="e">
        <f>F47/F17</f>
        <v>#REF!</v>
      </c>
      <c r="H47" s="95" t="e">
        <f>H42-H45</f>
        <v>#REF!</v>
      </c>
      <c r="I47" s="94" t="e">
        <f>H47/H17</f>
        <v>#REF!</v>
      </c>
      <c r="J47" s="96" t="e">
        <f>J42-J45</f>
        <v>#REF!</v>
      </c>
      <c r="K47" s="94" t="e">
        <f>J47/J17</f>
        <v>#REF!</v>
      </c>
      <c r="L47" s="41"/>
      <c r="M47" s="97" t="e">
        <f>J47-H47</f>
        <v>#REF!</v>
      </c>
      <c r="N47" s="98" t="e">
        <f>M47/H47</f>
        <v>#REF!</v>
      </c>
    </row>
    <row r="48" spans="3:14" ht="39.75" customHeight="1"/>
    <row r="49" spans="3:9" ht="111.75" customHeight="1" thickBot="1"/>
    <row r="50" spans="3:9" ht="39.75" customHeight="1">
      <c r="C50" s="115"/>
      <c r="D50" s="1587" t="s">
        <v>8</v>
      </c>
      <c r="E50" s="1589" t="s">
        <v>9</v>
      </c>
      <c r="F50" s="1589" t="s">
        <v>10</v>
      </c>
      <c r="G50" s="1580" t="s">
        <v>11</v>
      </c>
      <c r="H50" s="1582"/>
      <c r="I50" s="1582"/>
    </row>
    <row r="51" spans="3:9" ht="39.75" customHeight="1" thickBot="1">
      <c r="C51" s="116"/>
      <c r="D51" s="1588"/>
      <c r="E51" s="1590"/>
      <c r="F51" s="1590"/>
      <c r="G51" s="1581"/>
      <c r="H51" s="1582"/>
      <c r="I51" s="1582"/>
    </row>
    <row r="52" spans="3:9" ht="39.75" customHeight="1">
      <c r="C52" s="117"/>
      <c r="D52" s="118"/>
      <c r="E52" s="119"/>
      <c r="F52" s="1264"/>
      <c r="G52" s="1263"/>
      <c r="H52" s="125"/>
      <c r="I52" s="125"/>
    </row>
    <row r="53" spans="3:9" ht="39.75" customHeight="1">
      <c r="C53" s="120" t="s">
        <v>12</v>
      </c>
      <c r="D53" s="126">
        <v>303500000</v>
      </c>
      <c r="E53" s="127">
        <v>303500000</v>
      </c>
      <c r="F53" s="127">
        <v>305547666.02999997</v>
      </c>
      <c r="G53" s="134">
        <v>305547666.02999997</v>
      </c>
      <c r="H53" s="133"/>
      <c r="I53" s="133"/>
    </row>
    <row r="54" spans="3:9" ht="39.75" customHeight="1">
      <c r="C54" s="120" t="s">
        <v>13</v>
      </c>
      <c r="D54" s="126">
        <v>6087424</v>
      </c>
      <c r="E54" s="127">
        <v>83464.962659537792</v>
      </c>
      <c r="F54" s="127">
        <v>5716973.1736590266</v>
      </c>
      <c r="G54" s="134">
        <v>5716973.1736590266</v>
      </c>
      <c r="H54" s="133"/>
      <c r="I54" s="133"/>
    </row>
    <row r="55" spans="3:9" ht="39.75" customHeight="1">
      <c r="C55" s="120" t="s">
        <v>14</v>
      </c>
      <c r="D55" s="128">
        <v>3.5000000000000003E-2</v>
      </c>
      <c r="E55" s="129">
        <v>0.04</v>
      </c>
      <c r="F55" s="129">
        <v>7.0000000000000007E-2</v>
      </c>
      <c r="G55" s="135">
        <v>7.0000000000000007E-2</v>
      </c>
      <c r="H55" s="133"/>
      <c r="I55" s="133"/>
    </row>
    <row r="56" spans="3:9" ht="39.75" customHeight="1" thickBot="1">
      <c r="C56" s="121"/>
      <c r="D56" s="122"/>
      <c r="E56" s="123"/>
      <c r="F56" s="123"/>
      <c r="G56" s="124"/>
      <c r="H56" s="125"/>
      <c r="I56" s="125"/>
    </row>
  </sheetData>
  <mergeCells count="28">
    <mergeCell ref="M12:N12"/>
    <mergeCell ref="C23:D23"/>
    <mergeCell ref="E10:J10"/>
    <mergeCell ref="G11:H11"/>
    <mergeCell ref="C12:D13"/>
    <mergeCell ref="F12:F13"/>
    <mergeCell ref="H12:H13"/>
    <mergeCell ref="J12:J13"/>
    <mergeCell ref="C17:D17"/>
    <mergeCell ref="E3:J3"/>
    <mergeCell ref="E5:J5"/>
    <mergeCell ref="M5:N5"/>
    <mergeCell ref="E6:J6"/>
    <mergeCell ref="E4:J4"/>
    <mergeCell ref="E7:J7"/>
    <mergeCell ref="C30:D30"/>
    <mergeCell ref="C31:D31"/>
    <mergeCell ref="C38:D38"/>
    <mergeCell ref="C25:D25"/>
    <mergeCell ref="C24:D24"/>
    <mergeCell ref="G50:G51"/>
    <mergeCell ref="H50:H51"/>
    <mergeCell ref="I50:I51"/>
    <mergeCell ref="C39:D39"/>
    <mergeCell ref="C40:D40"/>
    <mergeCell ref="D50:D51"/>
    <mergeCell ref="E50:E51"/>
    <mergeCell ref="F50:F51"/>
  </mergeCells>
  <pageMargins left="0.7" right="0.7" top="0.75" bottom="0.75" header="0.3" footer="0.3"/>
  <pageSetup paperSize="9" scale="23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C57"/>
  <sheetViews>
    <sheetView showGridLines="0" zoomScale="50" zoomScaleNormal="50" zoomScalePageLayoutView="50" workbookViewId="0">
      <selection activeCell="S12" sqref="S12"/>
    </sheetView>
  </sheetViews>
  <sheetFormatPr baseColWidth="10" defaultRowHeight="15"/>
  <cols>
    <col min="1" max="1" width="11.7109375" customWidth="1"/>
    <col min="2" max="2" width="14.7109375" customWidth="1"/>
    <col min="3" max="3" width="38.7109375" customWidth="1"/>
    <col min="4" max="4" width="34.7109375" customWidth="1"/>
    <col min="5" max="5" width="10.7109375" customWidth="1"/>
    <col min="6" max="6" width="30.7109375" customWidth="1"/>
    <col min="7" max="7" width="9.7109375" customWidth="1"/>
    <col min="8" max="8" width="30.7109375" customWidth="1"/>
    <col min="9" max="9" width="9.7109375" customWidth="1"/>
    <col min="10" max="10" width="30.7109375" customWidth="1"/>
    <col min="11" max="11" width="9.42578125" customWidth="1"/>
    <col min="12" max="12" width="15.7109375" customWidth="1"/>
  </cols>
  <sheetData>
    <row r="1" spans="1:29" ht="13.5" customHeight="1" thickBot="1"/>
    <row r="2" spans="1:29" ht="30" customHeight="1" thickTop="1">
      <c r="B2" s="1"/>
      <c r="C2" s="2"/>
      <c r="D2" s="3"/>
      <c r="E2" s="4"/>
      <c r="F2" s="5"/>
      <c r="G2" s="4"/>
      <c r="H2" s="141"/>
      <c r="I2" s="8" t="s">
        <v>19</v>
      </c>
      <c r="J2" s="8"/>
      <c r="K2" s="8"/>
      <c r="L2" s="143">
        <f>SYNTHESE!N2</f>
        <v>42736</v>
      </c>
    </row>
    <row r="3" spans="1:29" ht="30" customHeight="1">
      <c r="B3" s="12"/>
      <c r="C3" s="13"/>
      <c r="D3" s="1591" t="s">
        <v>15</v>
      </c>
      <c r="E3" s="1592"/>
      <c r="F3" s="1592"/>
      <c r="G3" s="1592"/>
      <c r="H3" s="1593"/>
      <c r="I3" s="14" t="s">
        <v>20</v>
      </c>
      <c r="J3" s="14"/>
      <c r="K3" s="14"/>
      <c r="L3" s="17" t="str">
        <f>SYNTHESE!N3</f>
        <v>Dirhams</v>
      </c>
    </row>
    <row r="4" spans="1:29" ht="30" customHeight="1">
      <c r="B4" s="12"/>
      <c r="C4" s="145" t="str">
        <f>SYNTHESE!D4</f>
        <v>POINT 50%</v>
      </c>
      <c r="D4" s="138"/>
      <c r="E4" s="139"/>
      <c r="F4" s="139"/>
      <c r="G4" s="139"/>
      <c r="H4" s="140"/>
      <c r="I4" s="14" t="s">
        <v>22</v>
      </c>
      <c r="J4" s="14"/>
      <c r="K4" s="14"/>
      <c r="L4" s="17" t="str">
        <f>SYNTHESE!N4</f>
        <v>1 € = 10,85dh</v>
      </c>
    </row>
    <row r="5" spans="1:29" ht="30" customHeight="1">
      <c r="B5" s="12"/>
      <c r="C5" s="19"/>
      <c r="D5" s="138"/>
      <c r="E5" s="139"/>
      <c r="F5" s="139"/>
      <c r="G5" s="139"/>
      <c r="H5" s="140"/>
      <c r="I5" s="14" t="s">
        <v>23</v>
      </c>
      <c r="J5" s="14"/>
      <c r="K5" s="1626">
        <f>SYNTHESE!M5</f>
        <v>42289</v>
      </c>
      <c r="L5" s="1627"/>
    </row>
    <row r="6" spans="1:29" ht="30" customHeight="1">
      <c r="B6" s="12"/>
      <c r="C6" s="19"/>
      <c r="D6" s="1591" t="str">
        <f>SYNTHESE!E6</f>
        <v xml:space="preserve">LES FAUBOURGS D'ANFA </v>
      </c>
      <c r="E6" s="1592"/>
      <c r="F6" s="1592"/>
      <c r="G6" s="1592"/>
      <c r="H6" s="1593"/>
      <c r="I6" s="14" t="s">
        <v>24</v>
      </c>
      <c r="J6" s="14"/>
      <c r="K6" s="14"/>
      <c r="L6" s="17" t="str">
        <f>SYNTHESE!N6</f>
        <v>26 mois</v>
      </c>
    </row>
    <row r="7" spans="1:29" ht="30" customHeight="1">
      <c r="B7" s="12"/>
      <c r="C7" s="146">
        <f>SYNTHESE!D7</f>
        <v>42800</v>
      </c>
      <c r="D7" s="1591" t="str">
        <f>SYNTHESE!E7</f>
        <v>CASABLANCA</v>
      </c>
      <c r="E7" s="1592"/>
      <c r="F7" s="1592"/>
      <c r="G7" s="1592"/>
      <c r="H7" s="1593"/>
      <c r="I7" s="14" t="s">
        <v>26</v>
      </c>
      <c r="J7" s="14"/>
      <c r="K7" s="14"/>
      <c r="L7" s="17" t="str">
        <f>SYNTHESE!N7</f>
        <v>4783m² SHO</v>
      </c>
    </row>
    <row r="8" spans="1:29" ht="30" customHeight="1" thickBot="1">
      <c r="B8" s="21"/>
      <c r="C8" s="22"/>
      <c r="D8" s="23"/>
      <c r="E8" s="24"/>
      <c r="F8" s="25"/>
      <c r="G8" s="24"/>
      <c r="H8" s="142"/>
      <c r="I8" s="28" t="s">
        <v>28</v>
      </c>
      <c r="J8" s="28"/>
      <c r="K8" s="28"/>
      <c r="L8" s="144"/>
    </row>
    <row r="9" spans="1:29" ht="63" customHeight="1" thickTop="1"/>
    <row r="10" spans="1:29" ht="43.5" customHeight="1">
      <c r="A10" s="147"/>
      <c r="B10" s="1620" t="s">
        <v>45</v>
      </c>
      <c r="C10" s="1621"/>
      <c r="D10" s="1621"/>
      <c r="E10" s="1621"/>
      <c r="F10" s="1621"/>
      <c r="G10" s="1621"/>
      <c r="H10" s="1621"/>
      <c r="I10" s="1621"/>
      <c r="J10" s="1621"/>
      <c r="K10" s="1622"/>
      <c r="L10" s="1623"/>
      <c r="M10" s="147"/>
      <c r="N10" s="147"/>
      <c r="O10" s="147"/>
      <c r="P10" s="147"/>
      <c r="Q10" s="147"/>
      <c r="R10" s="147"/>
      <c r="S10" s="147"/>
      <c r="T10" s="147"/>
      <c r="U10" s="147"/>
      <c r="V10" s="147"/>
      <c r="W10" s="147"/>
      <c r="X10" s="147"/>
      <c r="Y10" s="147"/>
      <c r="Z10" s="147"/>
      <c r="AA10" s="147"/>
      <c r="AB10" s="147"/>
    </row>
    <row r="11" spans="1:29" ht="56.25" customHeight="1">
      <c r="F11" s="148" t="s">
        <v>1</v>
      </c>
    </row>
    <row r="12" spans="1:29" ht="87" customHeight="1">
      <c r="B12" s="1619" t="s">
        <v>46</v>
      </c>
      <c r="C12" s="1619"/>
      <c r="D12" s="1619"/>
      <c r="E12" s="1619"/>
      <c r="F12" s="1619"/>
      <c r="G12" s="1619"/>
      <c r="H12" s="1619"/>
      <c r="I12" s="1619"/>
      <c r="J12" s="1619"/>
      <c r="K12" s="1619"/>
      <c r="L12" s="1619"/>
    </row>
    <row r="13" spans="1:29" ht="27.75" customHeight="1">
      <c r="A13" s="147"/>
      <c r="B13" s="149"/>
      <c r="C13" s="149"/>
      <c r="D13" s="149"/>
      <c r="E13" s="149"/>
      <c r="F13" s="125"/>
      <c r="G13" s="149"/>
      <c r="H13" s="149"/>
      <c r="I13" s="149"/>
      <c r="J13" s="149"/>
      <c r="K13" s="1274"/>
      <c r="L13" s="149"/>
      <c r="M13" s="150"/>
      <c r="N13" s="147"/>
      <c r="O13" s="147"/>
      <c r="P13" s="147"/>
      <c r="Q13" s="147"/>
      <c r="R13" s="147"/>
      <c r="S13" s="147"/>
      <c r="T13" s="147"/>
      <c r="U13" s="147"/>
      <c r="V13" s="147"/>
      <c r="W13" s="147"/>
      <c r="X13" s="147"/>
      <c r="Y13" s="147"/>
      <c r="Z13" s="147"/>
      <c r="AA13" s="147"/>
      <c r="AB13" s="147"/>
      <c r="AC13" s="147"/>
    </row>
    <row r="14" spans="1:29" s="153" customFormat="1" ht="61.5" customHeight="1">
      <c r="A14" s="151"/>
      <c r="B14" s="152"/>
      <c r="D14" s="152"/>
      <c r="E14" s="152"/>
      <c r="F14" s="154" t="s">
        <v>47</v>
      </c>
      <c r="G14" s="155"/>
      <c r="H14" s="156" t="s">
        <v>575</v>
      </c>
      <c r="I14" s="155"/>
      <c r="J14" s="157" t="str">
        <f>CONCATENATE("Au ", SYNTHESE!D4)</f>
        <v>Au POINT 50%</v>
      </c>
      <c r="K14" s="1275"/>
      <c r="L14" s="152"/>
      <c r="M14" s="158"/>
      <c r="N14" s="151"/>
      <c r="O14" s="151"/>
      <c r="P14" s="151"/>
      <c r="Q14" s="151"/>
      <c r="R14" s="151"/>
      <c r="S14" s="151"/>
      <c r="T14" s="151"/>
      <c r="U14" s="151"/>
      <c r="V14" s="151"/>
      <c r="W14" s="151"/>
      <c r="X14" s="151"/>
      <c r="Y14" s="151"/>
      <c r="Z14" s="151"/>
      <c r="AA14" s="151"/>
      <c r="AB14" s="151"/>
      <c r="AC14" s="151"/>
    </row>
    <row r="15" spans="1:29" ht="22.5" customHeight="1">
      <c r="A15" s="147"/>
      <c r="B15" s="149"/>
      <c r="C15" s="159"/>
      <c r="D15" s="149"/>
      <c r="E15" s="149"/>
      <c r="F15" s="149"/>
      <c r="G15" s="149"/>
      <c r="H15" s="149"/>
      <c r="I15" s="149"/>
      <c r="J15" s="149"/>
      <c r="K15" s="1274"/>
      <c r="L15" s="149"/>
      <c r="M15" s="150"/>
      <c r="N15" s="147"/>
      <c r="O15" s="147"/>
      <c r="P15" s="147"/>
      <c r="Q15" s="147"/>
      <c r="R15" s="147"/>
      <c r="S15" s="147"/>
      <c r="T15" s="147"/>
      <c r="U15" s="147"/>
      <c r="V15" s="147"/>
      <c r="W15" s="147"/>
      <c r="X15" s="147"/>
      <c r="Y15" s="147"/>
      <c r="Z15" s="147"/>
      <c r="AA15" s="147"/>
      <c r="AB15" s="147"/>
      <c r="AC15" s="147"/>
    </row>
    <row r="16" spans="1:29" ht="22.5" customHeight="1">
      <c r="A16" s="147"/>
      <c r="B16" s="149"/>
      <c r="C16" s="160"/>
      <c r="D16" s="149"/>
      <c r="E16" s="149"/>
      <c r="F16" s="149"/>
      <c r="G16" s="149"/>
      <c r="H16" s="149"/>
      <c r="I16" s="149"/>
      <c r="J16" s="149"/>
      <c r="K16" s="1274"/>
      <c r="L16" s="149"/>
      <c r="M16" s="150"/>
      <c r="N16" s="147"/>
      <c r="O16" s="147"/>
      <c r="P16" s="147"/>
      <c r="Q16" s="147"/>
      <c r="R16" s="147"/>
      <c r="S16" s="147"/>
      <c r="T16" s="147"/>
      <c r="U16" s="147"/>
      <c r="V16" s="147"/>
      <c r="W16" s="147"/>
      <c r="X16" s="147"/>
      <c r="Y16" s="147"/>
      <c r="Z16" s="147"/>
      <c r="AA16" s="147"/>
      <c r="AB16" s="147"/>
      <c r="AC16" s="147"/>
    </row>
    <row r="17" spans="1:29" ht="22.5" customHeight="1">
      <c r="A17" s="147"/>
      <c r="B17" s="149"/>
      <c r="C17" s="160"/>
      <c r="D17" s="149"/>
      <c r="E17" s="149"/>
      <c r="F17" s="149"/>
      <c r="G17" s="149"/>
      <c r="H17" s="149"/>
      <c r="I17" s="149"/>
      <c r="J17" s="149"/>
      <c r="K17" s="1274"/>
      <c r="L17" s="149"/>
      <c r="M17" s="150"/>
      <c r="N17" s="147"/>
      <c r="O17" s="147"/>
      <c r="P17" s="147"/>
      <c r="Q17" s="147"/>
      <c r="R17" s="147"/>
      <c r="S17" s="147"/>
      <c r="T17" s="147"/>
      <c r="U17" s="147"/>
      <c r="V17" s="147"/>
      <c r="W17" s="147"/>
      <c r="X17" s="147"/>
      <c r="Y17" s="147"/>
      <c r="Z17" s="147"/>
      <c r="AA17" s="147"/>
      <c r="AB17" s="147"/>
      <c r="AC17" s="147"/>
    </row>
    <row r="18" spans="1:29" ht="24.75" customHeight="1">
      <c r="A18" s="147"/>
      <c r="B18" s="149"/>
      <c r="C18" s="161"/>
      <c r="D18" s="162"/>
      <c r="E18" s="149"/>
      <c r="F18" s="163"/>
      <c r="G18" s="164"/>
      <c r="H18" s="163"/>
      <c r="I18" s="164"/>
      <c r="J18" s="163"/>
      <c r="K18" s="1279"/>
      <c r="L18" s="164"/>
      <c r="M18" s="150"/>
      <c r="N18" s="147"/>
      <c r="O18" s="147"/>
      <c r="P18" s="147"/>
      <c r="Q18" s="147"/>
      <c r="R18" s="147"/>
      <c r="S18" s="147"/>
      <c r="T18" s="147"/>
      <c r="U18" s="147"/>
      <c r="V18" s="147"/>
      <c r="W18" s="147"/>
      <c r="X18" s="147"/>
      <c r="Y18" s="147"/>
      <c r="Z18" s="147"/>
      <c r="AA18" s="147"/>
      <c r="AB18" s="147"/>
      <c r="AC18" s="147"/>
    </row>
    <row r="19" spans="1:29" ht="24.75" customHeight="1">
      <c r="A19" s="147"/>
      <c r="B19" s="149"/>
      <c r="C19" s="165" t="s">
        <v>50</v>
      </c>
      <c r="D19" s="166"/>
      <c r="E19" s="149"/>
      <c r="F19" s="167">
        <v>303500000</v>
      </c>
      <c r="G19" s="164"/>
      <c r="H19" s="167">
        <f>F19</f>
        <v>303500000</v>
      </c>
      <c r="I19" s="164"/>
      <c r="J19" s="167">
        <f>H19</f>
        <v>303500000</v>
      </c>
      <c r="K19" s="1279"/>
      <c r="L19" s="164"/>
      <c r="M19" s="150"/>
      <c r="N19" s="147"/>
      <c r="O19" s="147"/>
      <c r="P19" s="147"/>
      <c r="Q19" s="147"/>
      <c r="R19" s="147"/>
      <c r="S19" s="147"/>
      <c r="T19" s="147"/>
      <c r="U19" s="147"/>
      <c r="V19" s="147"/>
      <c r="W19" s="147"/>
      <c r="X19" s="147"/>
      <c r="Y19" s="147"/>
      <c r="Z19" s="147"/>
      <c r="AA19" s="147"/>
      <c r="AB19" s="147"/>
      <c r="AC19" s="147"/>
    </row>
    <row r="20" spans="1:29" ht="24.75" customHeight="1">
      <c r="A20" s="147"/>
      <c r="B20" s="149"/>
      <c r="C20" s="165" t="s">
        <v>48</v>
      </c>
      <c r="D20" s="166"/>
      <c r="E20" s="149"/>
      <c r="F20" s="167"/>
      <c r="G20" s="164"/>
      <c r="H20" s="167">
        <f>H42</f>
        <v>714643</v>
      </c>
      <c r="I20" s="164"/>
      <c r="J20" s="167">
        <f>J42</f>
        <v>714643</v>
      </c>
      <c r="K20" s="1279"/>
      <c r="L20" s="164"/>
      <c r="M20" s="150"/>
      <c r="N20" s="147"/>
      <c r="O20" s="147"/>
      <c r="P20" s="147"/>
      <c r="Q20" s="147"/>
      <c r="R20" s="147"/>
      <c r="S20" s="147"/>
      <c r="T20" s="147"/>
      <c r="U20" s="147"/>
      <c r="V20" s="147"/>
      <c r="W20" s="147"/>
      <c r="X20" s="147"/>
      <c r="Y20" s="147"/>
      <c r="Z20" s="147"/>
      <c r="AA20" s="147"/>
      <c r="AB20" s="147"/>
      <c r="AC20" s="147"/>
    </row>
    <row r="21" spans="1:29" ht="24.95" customHeight="1">
      <c r="A21" s="147"/>
      <c r="B21" s="149"/>
      <c r="C21" s="165"/>
      <c r="D21" s="166"/>
      <c r="E21" s="149"/>
      <c r="F21" s="167"/>
      <c r="G21" s="164"/>
      <c r="H21" s="167"/>
      <c r="I21" s="164"/>
      <c r="J21" s="167"/>
      <c r="K21" s="1279"/>
      <c r="L21" s="164"/>
      <c r="M21" s="150"/>
      <c r="N21" s="147"/>
      <c r="O21" s="147"/>
      <c r="P21" s="147"/>
      <c r="Q21" s="147"/>
      <c r="R21" s="147"/>
      <c r="S21" s="147"/>
      <c r="T21" s="147"/>
      <c r="U21" s="147"/>
      <c r="V21" s="147"/>
      <c r="W21" s="147"/>
      <c r="X21" s="147"/>
      <c r="Y21" s="147"/>
      <c r="Z21" s="147"/>
      <c r="AA21" s="147"/>
      <c r="AB21" s="147"/>
      <c r="AC21" s="147"/>
    </row>
    <row r="22" spans="1:29" ht="24.95" customHeight="1">
      <c r="A22" s="147"/>
      <c r="B22" s="149"/>
      <c r="C22" s="165"/>
      <c r="D22" s="166"/>
      <c r="E22" s="149"/>
      <c r="F22" s="167"/>
      <c r="G22" s="164"/>
      <c r="H22" s="167"/>
      <c r="I22" s="164"/>
      <c r="J22" s="167"/>
      <c r="K22" s="1279"/>
      <c r="L22" s="164"/>
      <c r="M22" s="150"/>
      <c r="N22" s="147"/>
      <c r="O22" s="147"/>
      <c r="P22" s="147"/>
      <c r="Q22" s="147"/>
      <c r="R22" s="147"/>
      <c r="S22" s="147"/>
      <c r="T22" s="147"/>
      <c r="U22" s="147"/>
      <c r="V22" s="147"/>
      <c r="W22" s="147"/>
      <c r="X22" s="147"/>
      <c r="Y22" s="147"/>
      <c r="Z22" s="147"/>
      <c r="AA22" s="147"/>
      <c r="AB22" s="147"/>
      <c r="AC22" s="147"/>
    </row>
    <row r="23" spans="1:29" ht="24.95" customHeight="1">
      <c r="A23" s="147"/>
      <c r="B23" s="149"/>
      <c r="C23" s="165"/>
      <c r="D23" s="166"/>
      <c r="E23" s="149"/>
      <c r="F23" s="167"/>
      <c r="G23" s="164"/>
      <c r="H23" s="167"/>
      <c r="I23" s="164"/>
      <c r="J23" s="167"/>
      <c r="K23" s="1279"/>
      <c r="L23" s="164"/>
      <c r="M23" s="150"/>
      <c r="N23" s="147"/>
      <c r="O23" s="147"/>
      <c r="P23" s="147"/>
      <c r="Q23" s="147"/>
      <c r="R23" s="147"/>
      <c r="S23" s="147"/>
      <c r="T23" s="147"/>
      <c r="U23" s="147"/>
      <c r="V23" s="147"/>
      <c r="W23" s="147"/>
      <c r="X23" s="147"/>
      <c r="Y23" s="147"/>
      <c r="Z23" s="147"/>
      <c r="AA23" s="147"/>
      <c r="AB23" s="147"/>
      <c r="AC23" s="147"/>
    </row>
    <row r="24" spans="1:29" ht="24.95" customHeight="1">
      <c r="A24" s="147"/>
      <c r="B24" s="149"/>
      <c r="C24" s="165"/>
      <c r="D24" s="166"/>
      <c r="E24" s="149"/>
      <c r="F24" s="167"/>
      <c r="G24" s="164"/>
      <c r="H24" s="167"/>
      <c r="I24" s="164"/>
      <c r="J24" s="167"/>
      <c r="K24" s="1279"/>
      <c r="L24" s="164"/>
      <c r="M24" s="150"/>
      <c r="N24" s="147"/>
      <c r="O24" s="147"/>
      <c r="P24" s="147"/>
      <c r="Q24" s="147"/>
      <c r="R24" s="147"/>
      <c r="S24" s="147"/>
      <c r="T24" s="147"/>
      <c r="U24" s="147"/>
      <c r="V24" s="147"/>
      <c r="W24" s="147"/>
      <c r="X24" s="147"/>
      <c r="Y24" s="147"/>
      <c r="Z24" s="147"/>
      <c r="AA24" s="147"/>
      <c r="AB24" s="147"/>
      <c r="AC24" s="147"/>
    </row>
    <row r="25" spans="1:29" ht="24.95" customHeight="1">
      <c r="A25" s="147"/>
      <c r="B25" s="149"/>
      <c r="C25" s="165"/>
      <c r="D25" s="166"/>
      <c r="E25" s="149"/>
      <c r="F25" s="167"/>
      <c r="G25" s="164"/>
      <c r="H25" s="167"/>
      <c r="I25" s="164"/>
      <c r="J25" s="167"/>
      <c r="K25" s="1279"/>
      <c r="L25" s="164"/>
      <c r="M25" s="150"/>
      <c r="N25" s="147"/>
      <c r="O25" s="147"/>
      <c r="P25" s="147"/>
      <c r="Q25" s="147"/>
      <c r="R25" s="147"/>
      <c r="S25" s="147"/>
      <c r="T25" s="147"/>
      <c r="U25" s="147"/>
      <c r="V25" s="147"/>
      <c r="W25" s="147"/>
      <c r="X25" s="147"/>
      <c r="Y25" s="147"/>
      <c r="Z25" s="147"/>
      <c r="AA25" s="147"/>
      <c r="AB25" s="147"/>
      <c r="AC25" s="147"/>
    </row>
    <row r="26" spans="1:29" ht="24.95" customHeight="1">
      <c r="A26" s="147"/>
      <c r="B26" s="149"/>
      <c r="C26" s="168"/>
      <c r="D26" s="169"/>
      <c r="E26" s="149"/>
      <c r="F26" s="170"/>
      <c r="G26" s="164"/>
      <c r="H26" s="170"/>
      <c r="I26" s="164"/>
      <c r="J26" s="170"/>
      <c r="K26" s="1279"/>
      <c r="L26" s="164"/>
      <c r="M26" s="150"/>
      <c r="N26" s="147"/>
      <c r="O26" s="147"/>
      <c r="P26" s="147"/>
      <c r="Q26" s="147"/>
      <c r="R26" s="147"/>
      <c r="S26" s="147"/>
      <c r="T26" s="147"/>
      <c r="U26" s="147"/>
      <c r="V26" s="147"/>
      <c r="W26" s="147"/>
      <c r="X26" s="147"/>
      <c r="Y26" s="147"/>
      <c r="Z26" s="147"/>
      <c r="AA26" s="147"/>
      <c r="AB26" s="147"/>
      <c r="AC26" s="147"/>
    </row>
    <row r="27" spans="1:29" ht="24.75" customHeight="1">
      <c r="A27" s="147"/>
      <c r="B27" s="149"/>
      <c r="C27" s="159"/>
      <c r="D27" s="149"/>
      <c r="E27" s="149"/>
      <c r="F27" s="164"/>
      <c r="G27" s="164"/>
      <c r="H27" s="164"/>
      <c r="I27" s="164"/>
      <c r="J27" s="164"/>
      <c r="K27" s="1279"/>
      <c r="L27" s="164"/>
      <c r="M27" s="150"/>
      <c r="N27" s="147"/>
      <c r="O27" s="147"/>
      <c r="P27" s="147"/>
      <c r="Q27" s="147"/>
      <c r="R27" s="147"/>
      <c r="S27" s="147"/>
      <c r="T27" s="147"/>
      <c r="U27" s="147"/>
      <c r="V27" s="147"/>
      <c r="W27" s="147"/>
      <c r="X27" s="147"/>
      <c r="Y27" s="147"/>
      <c r="Z27" s="147"/>
      <c r="AA27" s="147"/>
      <c r="AB27" s="147"/>
      <c r="AC27" s="147"/>
    </row>
    <row r="28" spans="1:29" ht="30" customHeight="1">
      <c r="A28" s="147"/>
      <c r="B28" s="149"/>
      <c r="C28" s="171" t="s">
        <v>49</v>
      </c>
      <c r="D28" s="172"/>
      <c r="E28" s="149"/>
      <c r="F28" s="173">
        <f>SUM(F18:F26)</f>
        <v>303500000</v>
      </c>
      <c r="G28" s="164"/>
      <c r="H28" s="173">
        <f>SUM(H18:H26)</f>
        <v>304214643</v>
      </c>
      <c r="I28" s="164"/>
      <c r="J28" s="173">
        <f>SUM(J18:J26)</f>
        <v>304214643</v>
      </c>
      <c r="K28" s="1279"/>
      <c r="L28" s="164"/>
      <c r="M28" s="150"/>
      <c r="N28" s="147"/>
      <c r="O28" s="147"/>
      <c r="P28" s="147"/>
      <c r="Q28" s="147"/>
      <c r="R28" s="147"/>
      <c r="S28" s="147"/>
      <c r="T28" s="147"/>
      <c r="U28" s="147"/>
      <c r="V28" s="147"/>
      <c r="W28" s="147"/>
      <c r="X28" s="147"/>
      <c r="Y28" s="147"/>
      <c r="Z28" s="147"/>
      <c r="AA28" s="147"/>
      <c r="AB28" s="147"/>
      <c r="AC28" s="147"/>
    </row>
    <row r="29" spans="1:29" ht="24.95" customHeight="1">
      <c r="A29" s="147"/>
      <c r="B29" s="149"/>
      <c r="C29" s="149"/>
      <c r="D29" s="149"/>
      <c r="E29" s="149"/>
      <c r="F29" s="164"/>
      <c r="G29" s="164"/>
      <c r="H29" s="164"/>
      <c r="I29" s="164"/>
      <c r="J29" s="164"/>
      <c r="K29" s="1279"/>
      <c r="L29" s="164"/>
      <c r="M29" s="150"/>
      <c r="N29" s="147"/>
      <c r="O29" s="147"/>
      <c r="P29" s="147"/>
      <c r="Q29" s="147"/>
      <c r="R29" s="147"/>
      <c r="S29" s="147"/>
      <c r="T29" s="147"/>
      <c r="U29" s="147"/>
      <c r="V29" s="147"/>
      <c r="W29" s="147"/>
      <c r="X29" s="147"/>
      <c r="Y29" s="147"/>
      <c r="Z29" s="147"/>
      <c r="AA29" s="147"/>
      <c r="AB29" s="147"/>
      <c r="AC29" s="147"/>
    </row>
    <row r="30" spans="1:29" ht="103.5" customHeight="1">
      <c r="A30" s="147"/>
      <c r="B30" s="149"/>
      <c r="C30" s="174"/>
      <c r="D30" s="174"/>
      <c r="E30" s="174"/>
      <c r="F30" s="174"/>
      <c r="G30" s="174"/>
      <c r="H30" s="174"/>
      <c r="I30" s="174"/>
      <c r="J30" s="174"/>
      <c r="K30" s="1274"/>
      <c r="L30" s="149"/>
      <c r="M30" s="150"/>
      <c r="N30" s="147"/>
      <c r="O30" s="147"/>
      <c r="P30" s="147"/>
      <c r="Q30" s="147"/>
      <c r="R30" s="147"/>
      <c r="S30" s="147"/>
      <c r="T30" s="147"/>
      <c r="U30" s="147"/>
      <c r="V30" s="147"/>
      <c r="W30" s="147"/>
      <c r="X30" s="147"/>
      <c r="Y30" s="147"/>
      <c r="Z30" s="147"/>
      <c r="AA30" s="147"/>
      <c r="AB30" s="147"/>
      <c r="AC30" s="147"/>
    </row>
    <row r="31" spans="1:29" ht="75" customHeight="1">
      <c r="A31" s="147"/>
      <c r="B31" s="149"/>
      <c r="C31" s="149"/>
      <c r="D31" s="149"/>
      <c r="E31" s="149"/>
      <c r="F31" s="175" t="s">
        <v>51</v>
      </c>
      <c r="G31" s="149"/>
      <c r="H31" s="149"/>
      <c r="I31" s="149"/>
      <c r="J31" s="149"/>
      <c r="K31" s="1274"/>
      <c r="L31" s="149"/>
      <c r="M31" s="150"/>
      <c r="N31" s="147"/>
      <c r="O31" s="147"/>
      <c r="P31" s="147"/>
      <c r="Q31" s="147"/>
      <c r="R31" s="147"/>
      <c r="S31" s="147"/>
      <c r="T31" s="147"/>
      <c r="U31" s="147"/>
      <c r="V31" s="147"/>
      <c r="W31" s="147"/>
      <c r="X31" s="147"/>
      <c r="Y31" s="147"/>
      <c r="Z31" s="147"/>
      <c r="AA31" s="147"/>
      <c r="AB31" s="147"/>
      <c r="AC31" s="147"/>
    </row>
    <row r="32" spans="1:29" ht="61.5" customHeight="1">
      <c r="A32" s="147"/>
      <c r="B32" s="149"/>
      <c r="C32" s="149"/>
      <c r="D32" s="149"/>
      <c r="E32" s="149"/>
      <c r="F32" s="149"/>
      <c r="G32" s="149"/>
      <c r="H32" s="149"/>
      <c r="I32" s="149"/>
      <c r="J32" s="149"/>
      <c r="K32" s="1274"/>
      <c r="L32" s="149"/>
      <c r="M32" s="150"/>
      <c r="N32" s="147"/>
      <c r="O32" s="147"/>
      <c r="P32" s="147"/>
      <c r="Q32" s="147"/>
      <c r="R32" s="147"/>
      <c r="S32" s="147"/>
      <c r="T32" s="147"/>
      <c r="U32" s="147"/>
      <c r="V32" s="147"/>
      <c r="W32" s="147"/>
      <c r="X32" s="147"/>
      <c r="Y32" s="147"/>
      <c r="Z32" s="147"/>
      <c r="AA32" s="147"/>
      <c r="AB32" s="147"/>
      <c r="AC32" s="147"/>
    </row>
    <row r="33" spans="1:29" ht="61.5" customHeight="1">
      <c r="A33" s="147"/>
      <c r="B33" s="149"/>
      <c r="C33" s="176"/>
      <c r="D33" s="149"/>
      <c r="E33" s="149"/>
      <c r="F33" s="177" t="s">
        <v>52</v>
      </c>
      <c r="G33" s="178"/>
      <c r="H33" s="1254" t="s">
        <v>576</v>
      </c>
      <c r="I33" s="178"/>
      <c r="J33" s="179" t="str">
        <f>SYNTHESE!D4</f>
        <v>POINT 50%</v>
      </c>
      <c r="K33" s="1276"/>
      <c r="L33" s="149"/>
      <c r="M33" s="150"/>
      <c r="N33" s="147"/>
      <c r="O33" s="147"/>
      <c r="P33" s="147"/>
      <c r="Q33" s="147"/>
      <c r="R33" s="147"/>
      <c r="S33" s="147"/>
      <c r="T33" s="147"/>
      <c r="U33" s="147"/>
      <c r="V33" s="147"/>
      <c r="W33" s="147"/>
      <c r="X33" s="147"/>
      <c r="Y33" s="147"/>
      <c r="Z33" s="147"/>
      <c r="AA33" s="147"/>
      <c r="AB33" s="147"/>
      <c r="AC33" s="147"/>
    </row>
    <row r="34" spans="1:29" ht="24.75" customHeight="1">
      <c r="A34" s="147"/>
      <c r="B34" s="149"/>
      <c r="C34" s="149"/>
      <c r="D34" s="149"/>
      <c r="E34" s="149"/>
      <c r="F34" s="149"/>
      <c r="G34" s="149"/>
      <c r="H34" s="149"/>
      <c r="I34" s="149"/>
      <c r="J34" s="149"/>
      <c r="K34" s="1274"/>
      <c r="L34" s="149"/>
      <c r="M34" s="150"/>
      <c r="N34" s="147"/>
      <c r="O34" s="147"/>
      <c r="P34" s="147"/>
      <c r="Q34" s="147"/>
      <c r="R34" s="147"/>
      <c r="S34" s="147"/>
      <c r="T34" s="147"/>
      <c r="U34" s="147"/>
      <c r="V34" s="147"/>
      <c r="W34" s="147"/>
      <c r="X34" s="147"/>
      <c r="Y34" s="147"/>
      <c r="Z34" s="147"/>
      <c r="AA34" s="147"/>
      <c r="AB34" s="147"/>
      <c r="AC34" s="147"/>
    </row>
    <row r="35" spans="1:29" ht="24.75" customHeight="1">
      <c r="A35" s="147"/>
      <c r="B35" s="149"/>
      <c r="C35" s="159"/>
      <c r="D35" s="159"/>
      <c r="E35" s="149"/>
      <c r="F35" s="149"/>
      <c r="G35" s="149"/>
      <c r="H35" s="149"/>
      <c r="I35" s="149"/>
      <c r="J35" s="149"/>
      <c r="K35" s="1274"/>
      <c r="L35" s="149"/>
      <c r="M35" s="150"/>
      <c r="N35" s="150"/>
      <c r="O35" s="147"/>
      <c r="P35" s="147"/>
      <c r="Q35" s="147"/>
      <c r="R35" s="147"/>
      <c r="S35" s="147"/>
      <c r="T35" s="147"/>
      <c r="U35" s="147"/>
      <c r="V35" s="147"/>
      <c r="W35" s="147"/>
      <c r="X35" s="147"/>
      <c r="Y35" s="147"/>
      <c r="Z35" s="147"/>
      <c r="AA35" s="147"/>
      <c r="AB35" s="147"/>
      <c r="AC35" s="147"/>
    </row>
    <row r="36" spans="1:29" s="187" customFormat="1" ht="24.75" customHeight="1">
      <c r="A36" s="180"/>
      <c r="B36" s="181"/>
      <c r="C36" s="1617" t="s">
        <v>55</v>
      </c>
      <c r="D36" s="1618"/>
      <c r="E36" s="181"/>
      <c r="F36" s="182">
        <f>F28</f>
        <v>303500000</v>
      </c>
      <c r="G36" s="183"/>
      <c r="H36" s="184">
        <f>F36</f>
        <v>303500000</v>
      </c>
      <c r="I36" s="183"/>
      <c r="J36" s="185">
        <f>F36</f>
        <v>303500000</v>
      </c>
      <c r="K36" s="1277"/>
      <c r="L36" s="181"/>
      <c r="M36" s="186"/>
      <c r="N36" s="186"/>
      <c r="O36" s="180"/>
      <c r="P36" s="180"/>
      <c r="Q36" s="180"/>
      <c r="R36" s="180"/>
      <c r="S36" s="180"/>
      <c r="T36" s="180"/>
      <c r="U36" s="180"/>
      <c r="V36" s="180"/>
      <c r="W36" s="180"/>
      <c r="X36" s="180"/>
      <c r="Y36" s="180"/>
      <c r="Z36" s="180"/>
      <c r="AA36" s="180"/>
      <c r="AB36" s="180"/>
      <c r="AC36" s="180"/>
    </row>
    <row r="37" spans="1:29" ht="50.25" customHeight="1">
      <c r="A37" s="147"/>
      <c r="B37" s="149"/>
      <c r="C37" s="188"/>
      <c r="D37" s="159"/>
      <c r="E37" s="149"/>
      <c r="F37" s="189"/>
      <c r="G37" s="190"/>
      <c r="H37" s="189"/>
      <c r="I37" s="190"/>
      <c r="J37" s="189"/>
      <c r="K37" s="1278"/>
      <c r="L37" s="149"/>
      <c r="M37" s="186"/>
      <c r="N37" s="191"/>
      <c r="O37" s="147"/>
      <c r="P37" s="147"/>
      <c r="Q37" s="147"/>
      <c r="R37" s="147"/>
      <c r="S37" s="147"/>
      <c r="T37" s="147"/>
      <c r="U37" s="147"/>
      <c r="V37" s="147"/>
      <c r="W37" s="147"/>
      <c r="X37" s="147"/>
      <c r="Y37" s="147"/>
      <c r="Z37" s="147"/>
      <c r="AA37" s="147"/>
      <c r="AB37" s="147"/>
      <c r="AC37" s="147"/>
    </row>
    <row r="38" spans="1:29" ht="24.75" customHeight="1">
      <c r="A38" s="147"/>
      <c r="B38" s="149"/>
      <c r="C38" s="192" t="s">
        <v>56</v>
      </c>
      <c r="D38" s="162"/>
      <c r="E38" s="149"/>
      <c r="F38" s="163"/>
      <c r="G38" s="164"/>
      <c r="H38" s="163">
        <v>367000</v>
      </c>
      <c r="I38" s="164"/>
      <c r="J38" s="163">
        <v>367000</v>
      </c>
      <c r="K38" s="1279"/>
      <c r="L38" s="164"/>
      <c r="M38" s="150"/>
      <c r="N38" s="147"/>
      <c r="O38" s="147"/>
      <c r="P38" s="147"/>
      <c r="Q38" s="147"/>
      <c r="R38" s="147"/>
      <c r="S38" s="147"/>
      <c r="T38" s="147"/>
      <c r="U38" s="147"/>
      <c r="V38" s="147"/>
      <c r="W38" s="147"/>
      <c r="X38" s="147"/>
      <c r="Y38" s="147"/>
      <c r="Z38" s="147"/>
      <c r="AA38" s="147"/>
      <c r="AB38" s="147"/>
      <c r="AC38" s="147"/>
    </row>
    <row r="39" spans="1:29" ht="24.95" customHeight="1">
      <c r="A39" s="147"/>
      <c r="B39" s="149"/>
      <c r="C39" s="165" t="s">
        <v>57</v>
      </c>
      <c r="D39" s="193"/>
      <c r="E39" s="149"/>
      <c r="F39" s="194"/>
      <c r="G39" s="190"/>
      <c r="H39" s="194">
        <v>316460</v>
      </c>
      <c r="I39" s="190"/>
      <c r="J39" s="194">
        <v>316460</v>
      </c>
      <c r="K39" s="1278"/>
      <c r="L39" s="149"/>
      <c r="M39" s="186"/>
      <c r="N39" s="191"/>
      <c r="O39" s="147"/>
      <c r="P39" s="147"/>
      <c r="Q39" s="147"/>
      <c r="R39" s="147"/>
      <c r="S39" s="147"/>
      <c r="T39" s="147"/>
      <c r="U39" s="147"/>
      <c r="V39" s="147"/>
      <c r="W39" s="147"/>
      <c r="X39" s="147"/>
      <c r="Y39" s="147"/>
      <c r="Z39" s="147"/>
      <c r="AA39" s="147"/>
      <c r="AB39" s="147"/>
      <c r="AC39" s="147"/>
    </row>
    <row r="40" spans="1:29" ht="24.95" customHeight="1">
      <c r="A40" s="147"/>
      <c r="B40" s="149"/>
      <c r="C40" s="165" t="s">
        <v>58</v>
      </c>
      <c r="D40" s="193"/>
      <c r="E40" s="149"/>
      <c r="F40" s="194"/>
      <c r="G40" s="190"/>
      <c r="H40" s="194">
        <v>31183</v>
      </c>
      <c r="I40" s="190"/>
      <c r="J40" s="194">
        <v>31183</v>
      </c>
      <c r="K40" s="1278"/>
      <c r="L40" s="149"/>
      <c r="M40" s="186"/>
      <c r="N40" s="191"/>
      <c r="O40" s="147"/>
      <c r="P40" s="147"/>
      <c r="Q40" s="147"/>
      <c r="R40" s="147"/>
      <c r="S40" s="147"/>
      <c r="T40" s="147"/>
      <c r="U40" s="147"/>
      <c r="V40" s="147"/>
      <c r="W40" s="147"/>
      <c r="X40" s="147"/>
      <c r="Y40" s="147"/>
      <c r="Z40" s="147"/>
      <c r="AA40" s="147"/>
      <c r="AB40" s="147"/>
      <c r="AC40" s="147"/>
    </row>
    <row r="41" spans="1:29" ht="24.95" customHeight="1">
      <c r="A41" s="147"/>
      <c r="B41" s="149"/>
      <c r="C41" s="165" t="s">
        <v>59</v>
      </c>
      <c r="D41" s="193"/>
      <c r="E41" s="149"/>
      <c r="F41" s="194"/>
      <c r="G41" s="190"/>
      <c r="H41" s="194"/>
      <c r="I41" s="190"/>
      <c r="J41" s="194"/>
      <c r="K41" s="1278"/>
      <c r="L41" s="149"/>
      <c r="M41" s="186"/>
      <c r="N41" s="191"/>
      <c r="O41" s="147"/>
      <c r="P41" s="147"/>
      <c r="Q41" s="147"/>
      <c r="R41" s="147"/>
      <c r="S41" s="147"/>
      <c r="T41" s="147"/>
      <c r="U41" s="147"/>
      <c r="V41" s="147"/>
      <c r="W41" s="147"/>
      <c r="X41" s="147"/>
      <c r="Y41" s="147"/>
      <c r="Z41" s="147"/>
      <c r="AA41" s="147"/>
      <c r="AB41" s="147"/>
      <c r="AC41" s="147"/>
    </row>
    <row r="42" spans="1:29" ht="24.75" customHeight="1">
      <c r="A42" s="147"/>
      <c r="B42" s="149"/>
      <c r="C42" s="1624" t="s">
        <v>60</v>
      </c>
      <c r="D42" s="1625"/>
      <c r="E42" s="149"/>
      <c r="F42" s="195">
        <f>SUM(F38:F41)</f>
        <v>0</v>
      </c>
      <c r="G42" s="190"/>
      <c r="H42" s="195">
        <f>SUM(H38:H41)</f>
        <v>714643</v>
      </c>
      <c r="I42" s="190"/>
      <c r="J42" s="195">
        <f>SUM(J38:J41)</f>
        <v>714643</v>
      </c>
      <c r="K42" s="1278"/>
      <c r="L42" s="149"/>
      <c r="M42" s="186"/>
      <c r="N42" s="191"/>
      <c r="O42" s="147"/>
      <c r="P42" s="147"/>
      <c r="Q42" s="147"/>
      <c r="R42" s="147"/>
      <c r="S42" s="147"/>
      <c r="T42" s="147"/>
      <c r="U42" s="147"/>
      <c r="V42" s="147"/>
      <c r="W42" s="147"/>
      <c r="X42" s="147"/>
      <c r="Y42" s="147"/>
      <c r="Z42" s="147"/>
      <c r="AA42" s="147"/>
      <c r="AB42" s="147"/>
      <c r="AC42" s="147"/>
    </row>
    <row r="43" spans="1:29" s="125" customFormat="1" ht="24.75" customHeight="1">
      <c r="A43" s="150"/>
      <c r="B43" s="149"/>
      <c r="C43" s="188"/>
      <c r="D43" s="188"/>
      <c r="E43" s="149"/>
      <c r="F43" s="189"/>
      <c r="G43" s="190"/>
      <c r="H43" s="189"/>
      <c r="I43" s="190"/>
      <c r="J43" s="189"/>
      <c r="K43" s="1278"/>
      <c r="L43" s="149"/>
      <c r="M43" s="186"/>
      <c r="N43" s="191"/>
      <c r="O43" s="150"/>
      <c r="P43" s="150"/>
      <c r="Q43" s="150"/>
      <c r="R43" s="150"/>
      <c r="S43" s="150"/>
      <c r="T43" s="150"/>
      <c r="U43" s="150"/>
      <c r="V43" s="150"/>
      <c r="W43" s="150"/>
      <c r="X43" s="150"/>
      <c r="Y43" s="150"/>
      <c r="Z43" s="150"/>
      <c r="AA43" s="150"/>
      <c r="AB43" s="150"/>
      <c r="AC43" s="150"/>
    </row>
    <row r="44" spans="1:29" ht="24.75" customHeight="1">
      <c r="A44" s="147"/>
      <c r="B44" s="149"/>
      <c r="C44" s="1624" t="s">
        <v>64</v>
      </c>
      <c r="D44" s="1625"/>
      <c r="E44" s="149"/>
      <c r="F44" s="196"/>
      <c r="G44" s="190"/>
      <c r="H44" s="196"/>
      <c r="I44" s="190"/>
      <c r="J44" s="196"/>
      <c r="K44" s="1278"/>
      <c r="L44" s="149"/>
      <c r="M44" s="186"/>
      <c r="N44" s="197"/>
      <c r="O44" s="147"/>
      <c r="P44" s="147"/>
      <c r="Q44" s="147"/>
      <c r="R44" s="147"/>
      <c r="S44" s="147"/>
      <c r="T44" s="147"/>
      <c r="U44" s="147"/>
      <c r="V44" s="147"/>
      <c r="W44" s="147"/>
      <c r="X44" s="147"/>
      <c r="Y44" s="147"/>
      <c r="Z44" s="147"/>
      <c r="AA44" s="147"/>
      <c r="AB44" s="147"/>
      <c r="AC44" s="147"/>
    </row>
    <row r="45" spans="1:29" ht="28.5" customHeight="1">
      <c r="A45" s="147"/>
      <c r="B45" s="149"/>
      <c r="C45" s="188"/>
      <c r="D45" s="159"/>
      <c r="E45" s="149"/>
      <c r="F45" s="189"/>
      <c r="G45" s="190"/>
      <c r="H45" s="189"/>
      <c r="I45" s="190"/>
      <c r="J45" s="189"/>
      <c r="K45" s="1278"/>
      <c r="L45" s="149"/>
      <c r="M45" s="186"/>
      <c r="N45" s="198"/>
      <c r="O45" s="147"/>
      <c r="P45" s="147"/>
      <c r="Q45" s="147"/>
      <c r="R45" s="147"/>
      <c r="S45" s="147"/>
      <c r="T45" s="147"/>
      <c r="U45" s="147"/>
      <c r="V45" s="147"/>
      <c r="W45" s="147"/>
      <c r="X45" s="147"/>
      <c r="Y45" s="147"/>
      <c r="Z45" s="147"/>
      <c r="AA45" s="147"/>
      <c r="AB45" s="147"/>
      <c r="AC45" s="147"/>
    </row>
    <row r="46" spans="1:29" s="187" customFormat="1" ht="24.75" customHeight="1">
      <c r="A46" s="180"/>
      <c r="B46" s="181"/>
      <c r="C46" s="1617" t="s">
        <v>61</v>
      </c>
      <c r="D46" s="1618"/>
      <c r="E46" s="149"/>
      <c r="F46" s="182">
        <f>F36+F42+F44</f>
        <v>303500000</v>
      </c>
      <c r="G46" s="183"/>
      <c r="H46" s="184">
        <f>H36+H42+H44</f>
        <v>304214643</v>
      </c>
      <c r="I46" s="183"/>
      <c r="J46" s="185">
        <f>J36+J42+J44</f>
        <v>304214643</v>
      </c>
      <c r="K46" s="1277"/>
      <c r="L46" s="181"/>
      <c r="M46" s="186"/>
      <c r="N46" s="198"/>
      <c r="O46" s="180"/>
      <c r="P46" s="180"/>
      <c r="Q46" s="180"/>
      <c r="R46" s="180"/>
      <c r="S46" s="180"/>
      <c r="T46" s="180"/>
      <c r="U46" s="180"/>
      <c r="V46" s="180"/>
      <c r="W46" s="180"/>
      <c r="X46" s="180"/>
      <c r="Y46" s="180"/>
      <c r="Z46" s="180"/>
      <c r="AA46" s="180"/>
      <c r="AB46" s="180"/>
      <c r="AC46" s="180"/>
    </row>
    <row r="47" spans="1:29" ht="24.75" customHeight="1">
      <c r="A47" s="147"/>
      <c r="B47" s="149"/>
      <c r="C47" s="188"/>
      <c r="D47" s="159"/>
      <c r="E47" s="149"/>
      <c r="F47" s="189"/>
      <c r="G47" s="190"/>
      <c r="H47" s="189"/>
      <c r="I47" s="190"/>
      <c r="J47" s="189"/>
      <c r="K47" s="1278"/>
      <c r="L47" s="149"/>
      <c r="M47" s="186"/>
      <c r="N47" s="198"/>
      <c r="O47" s="147"/>
      <c r="P47" s="147"/>
      <c r="Q47" s="147"/>
      <c r="R47" s="147"/>
      <c r="S47" s="147"/>
      <c r="T47" s="147"/>
      <c r="U47" s="147"/>
      <c r="V47" s="147"/>
      <c r="W47" s="147"/>
      <c r="X47" s="147"/>
      <c r="Y47" s="147"/>
      <c r="Z47" s="147"/>
      <c r="AA47" s="147"/>
      <c r="AB47" s="147"/>
      <c r="AC47" s="147"/>
    </row>
    <row r="48" spans="1:29" ht="24.75" customHeight="1">
      <c r="A48" s="147"/>
      <c r="B48" s="149"/>
      <c r="C48" s="188"/>
      <c r="D48" s="159"/>
      <c r="E48" s="149"/>
      <c r="F48" s="189"/>
      <c r="G48" s="190"/>
      <c r="H48" s="189"/>
      <c r="I48" s="190"/>
      <c r="J48" s="189"/>
      <c r="K48" s="1278"/>
      <c r="L48" s="149"/>
      <c r="M48" s="186"/>
      <c r="N48" s="198"/>
      <c r="O48" s="147"/>
      <c r="P48" s="147"/>
      <c r="Q48" s="147"/>
      <c r="R48" s="147"/>
      <c r="S48" s="147"/>
      <c r="T48" s="147"/>
      <c r="U48" s="147"/>
      <c r="V48" s="147"/>
      <c r="W48" s="147"/>
      <c r="X48" s="147"/>
      <c r="Y48" s="147"/>
      <c r="Z48" s="147"/>
      <c r="AA48" s="147"/>
      <c r="AB48" s="147"/>
      <c r="AC48" s="147"/>
    </row>
    <row r="49" spans="1:29" ht="24.95" customHeight="1">
      <c r="A49" s="147"/>
      <c r="B49" s="149"/>
      <c r="C49" s="188"/>
      <c r="D49" s="159"/>
      <c r="E49" s="149"/>
      <c r="F49" s="189"/>
      <c r="G49" s="190"/>
      <c r="H49" s="189"/>
      <c r="I49" s="190"/>
      <c r="J49" s="189"/>
      <c r="K49" s="1278"/>
      <c r="L49" s="149"/>
      <c r="M49" s="186"/>
      <c r="N49" s="197"/>
      <c r="O49" s="147"/>
      <c r="P49" s="147"/>
      <c r="Q49" s="147"/>
      <c r="R49" s="147"/>
      <c r="S49" s="147"/>
      <c r="T49" s="147"/>
      <c r="U49" s="147"/>
      <c r="V49" s="147"/>
      <c r="W49" s="147"/>
      <c r="X49" s="147"/>
      <c r="Y49" s="147"/>
      <c r="Z49" s="147"/>
      <c r="AA49" s="147"/>
      <c r="AB49" s="147"/>
      <c r="AC49" s="147"/>
    </row>
    <row r="50" spans="1:29" ht="24.75" customHeight="1">
      <c r="A50" s="147"/>
      <c r="B50" s="149"/>
      <c r="C50" s="192" t="s">
        <v>66</v>
      </c>
      <c r="D50" s="199"/>
      <c r="E50" s="149"/>
      <c r="F50" s="200"/>
      <c r="G50" s="190"/>
      <c r="H50" s="200">
        <v>636321</v>
      </c>
      <c r="I50" s="190"/>
      <c r="J50" s="200">
        <f>H50</f>
        <v>636321</v>
      </c>
      <c r="K50" s="1278"/>
      <c r="L50" s="149"/>
      <c r="M50" s="186"/>
      <c r="N50" s="191"/>
      <c r="O50" s="147"/>
      <c r="P50" s="147"/>
      <c r="Q50" s="147"/>
      <c r="R50" s="147"/>
      <c r="S50" s="147"/>
      <c r="T50" s="147"/>
      <c r="U50" s="147"/>
      <c r="V50" s="147"/>
      <c r="W50" s="147"/>
      <c r="X50" s="147"/>
      <c r="Y50" s="147"/>
      <c r="Z50" s="147"/>
      <c r="AA50" s="147"/>
      <c r="AB50" s="147"/>
      <c r="AC50" s="147"/>
    </row>
    <row r="51" spans="1:29" ht="24.75" customHeight="1">
      <c r="A51" s="147"/>
      <c r="B51" s="149"/>
      <c r="C51" s="165" t="s">
        <v>65</v>
      </c>
      <c r="D51" s="193"/>
      <c r="E51" s="149"/>
      <c r="F51" s="194"/>
      <c r="G51" s="190"/>
      <c r="H51" s="194"/>
      <c r="I51" s="190"/>
      <c r="J51" s="194"/>
      <c r="K51" s="1278"/>
      <c r="L51" s="149"/>
      <c r="M51" s="186"/>
      <c r="N51" s="191"/>
      <c r="O51" s="147"/>
      <c r="P51" s="147"/>
      <c r="Q51" s="147"/>
      <c r="R51" s="147"/>
      <c r="S51" s="147"/>
      <c r="T51" s="147"/>
      <c r="U51" s="147"/>
      <c r="V51" s="147"/>
      <c r="W51" s="147"/>
      <c r="X51" s="147"/>
      <c r="Y51" s="147"/>
      <c r="Z51" s="147"/>
      <c r="AA51" s="147"/>
      <c r="AB51" s="147"/>
      <c r="AC51" s="147"/>
    </row>
    <row r="52" spans="1:29" ht="24.75" customHeight="1">
      <c r="A52" s="147"/>
      <c r="B52" s="149"/>
      <c r="C52" s="1624" t="s">
        <v>62</v>
      </c>
      <c r="D52" s="1625"/>
      <c r="E52" s="149"/>
      <c r="F52" s="195">
        <f>SUM(F50:F51)</f>
        <v>0</v>
      </c>
      <c r="G52" s="190"/>
      <c r="H52" s="195">
        <f>SUM(H50:H51)</f>
        <v>636321</v>
      </c>
      <c r="I52" s="190"/>
      <c r="J52" s="195">
        <f>SUM(J50:J51)</f>
        <v>636321</v>
      </c>
      <c r="K52" s="1278"/>
      <c r="L52" s="149"/>
      <c r="M52" s="186"/>
      <c r="N52" s="191"/>
      <c r="O52" s="147"/>
      <c r="P52" s="147"/>
      <c r="Q52" s="147"/>
      <c r="R52" s="147"/>
      <c r="S52" s="147"/>
      <c r="T52" s="147"/>
      <c r="U52" s="147"/>
      <c r="V52" s="147"/>
      <c r="W52" s="147"/>
      <c r="X52" s="147"/>
      <c r="Y52" s="147"/>
      <c r="Z52" s="147"/>
      <c r="AA52" s="147"/>
      <c r="AB52" s="147"/>
      <c r="AC52" s="147"/>
    </row>
    <row r="53" spans="1:29" ht="28.5" customHeight="1">
      <c r="A53" s="147"/>
      <c r="B53" s="149"/>
      <c r="C53" s="188"/>
      <c r="D53" s="188"/>
      <c r="E53" s="149"/>
      <c r="F53" s="189"/>
      <c r="G53" s="190"/>
      <c r="H53" s="189"/>
      <c r="I53" s="190"/>
      <c r="J53" s="189"/>
      <c r="K53" s="1278"/>
      <c r="L53" s="149"/>
      <c r="M53" s="186"/>
      <c r="N53" s="197"/>
      <c r="O53" s="147"/>
      <c r="P53" s="147"/>
      <c r="Q53" s="147"/>
      <c r="R53" s="147"/>
      <c r="S53" s="147"/>
      <c r="T53" s="147"/>
      <c r="U53" s="147"/>
      <c r="V53" s="147"/>
      <c r="W53" s="147"/>
      <c r="X53" s="147"/>
      <c r="Y53" s="147"/>
      <c r="Z53" s="147"/>
      <c r="AA53" s="147"/>
      <c r="AB53" s="147"/>
      <c r="AC53" s="147"/>
    </row>
    <row r="54" spans="1:29" s="187" customFormat="1" ht="24.75" customHeight="1">
      <c r="A54" s="180"/>
      <c r="B54" s="181"/>
      <c r="C54" s="1617" t="s">
        <v>63</v>
      </c>
      <c r="D54" s="1618"/>
      <c r="E54" s="149"/>
      <c r="F54" s="182">
        <f>SUM(F46,F52)</f>
        <v>303500000</v>
      </c>
      <c r="G54" s="183"/>
      <c r="H54" s="184">
        <f>SUM(H46,H52)</f>
        <v>304850964</v>
      </c>
      <c r="I54" s="183"/>
      <c r="J54" s="185">
        <f>SUM(J46,J52)</f>
        <v>304850964</v>
      </c>
      <c r="K54" s="1277"/>
      <c r="L54" s="181"/>
      <c r="M54" s="186"/>
      <c r="N54" s="198"/>
      <c r="O54" s="180"/>
      <c r="P54" s="180"/>
      <c r="Q54" s="180"/>
      <c r="R54" s="180"/>
      <c r="S54" s="180"/>
      <c r="T54" s="180"/>
      <c r="U54" s="180"/>
      <c r="V54" s="180"/>
      <c r="W54" s="180"/>
      <c r="X54" s="180"/>
      <c r="Y54" s="180"/>
      <c r="Z54" s="180"/>
      <c r="AA54" s="180"/>
      <c r="AB54" s="180"/>
      <c r="AC54" s="180"/>
    </row>
    <row r="55" spans="1:29">
      <c r="K55" s="1280"/>
    </row>
    <row r="56" spans="1:29">
      <c r="K56" s="1280"/>
    </row>
    <row r="57" spans="1:29">
      <c r="K57" s="1280"/>
    </row>
  </sheetData>
  <mergeCells count="12">
    <mergeCell ref="C54:D54"/>
    <mergeCell ref="D3:H3"/>
    <mergeCell ref="D6:H6"/>
    <mergeCell ref="D7:H7"/>
    <mergeCell ref="B12:L12"/>
    <mergeCell ref="B10:L10"/>
    <mergeCell ref="C36:D36"/>
    <mergeCell ref="C42:D42"/>
    <mergeCell ref="C44:D44"/>
    <mergeCell ref="C46:D46"/>
    <mergeCell ref="C52:D52"/>
    <mergeCell ref="K5:L5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B1:R49"/>
  <sheetViews>
    <sheetView showGridLines="0" topLeftCell="A16" zoomScale="40" zoomScaleNormal="40" zoomScalePageLayoutView="40" workbookViewId="0">
      <selection activeCell="B50" sqref="B50"/>
    </sheetView>
  </sheetViews>
  <sheetFormatPr baseColWidth="10" defaultRowHeight="15"/>
  <cols>
    <col min="1" max="1" width="10.7109375" customWidth="1"/>
    <col min="2" max="3" width="39.7109375" customWidth="1"/>
    <col min="4" max="5" width="10.140625" customWidth="1"/>
    <col min="6" max="6" width="27.7109375" customWidth="1"/>
    <col min="7" max="7" width="12.7109375" customWidth="1"/>
    <col min="8" max="10" width="23.7109375" customWidth="1"/>
    <col min="11" max="11" width="26.7109375" customWidth="1"/>
    <col min="12" max="12" width="12.7109375" customWidth="1"/>
    <col min="13" max="13" width="27.7109375" customWidth="1"/>
    <col min="14" max="14" width="12.85546875" customWidth="1"/>
    <col min="15" max="15" width="7.7109375" customWidth="1"/>
    <col min="16" max="16" width="26.42578125" customWidth="1"/>
    <col min="17" max="17" width="36.7109375" customWidth="1"/>
  </cols>
  <sheetData>
    <row r="1" spans="2:18" s="208" customFormat="1" ht="19.5" customHeight="1" thickBot="1">
      <c r="B1" s="201"/>
      <c r="C1" s="201"/>
      <c r="D1" s="202"/>
      <c r="E1" s="201"/>
      <c r="F1" s="203"/>
      <c r="G1" s="201"/>
      <c r="H1" s="204"/>
      <c r="I1" s="201"/>
      <c r="J1" s="205"/>
      <c r="K1" s="206"/>
      <c r="L1" s="207"/>
      <c r="M1" s="206"/>
    </row>
    <row r="2" spans="2:18" s="208" customFormat="1" ht="35.1" customHeight="1" thickTop="1">
      <c r="B2" s="1"/>
      <c r="C2" s="209"/>
      <c r="D2" s="3"/>
      <c r="E2" s="4"/>
      <c r="F2" s="5"/>
      <c r="G2" s="4"/>
      <c r="H2" s="6"/>
      <c r="I2" s="4"/>
      <c r="J2" s="4"/>
      <c r="K2" s="4"/>
      <c r="L2" s="7"/>
      <c r="M2" s="210" t="s">
        <v>19</v>
      </c>
      <c r="N2" s="4"/>
      <c r="O2" s="4"/>
      <c r="P2" s="10"/>
      <c r="Q2" s="11">
        <f>SYNTHESE!N2</f>
        <v>42736</v>
      </c>
    </row>
    <row r="3" spans="2:18" s="208" customFormat="1" ht="35.1" customHeight="1">
      <c r="B3" s="12"/>
      <c r="C3" s="211"/>
      <c r="D3" s="1638" t="s">
        <v>15</v>
      </c>
      <c r="E3" s="1639"/>
      <c r="F3" s="1639"/>
      <c r="G3" s="1639"/>
      <c r="H3" s="1639"/>
      <c r="I3" s="1639"/>
      <c r="J3" s="1639"/>
      <c r="K3" s="1639"/>
      <c r="L3" s="1640"/>
      <c r="M3" s="212" t="s">
        <v>20</v>
      </c>
      <c r="N3" s="201"/>
      <c r="O3" s="201"/>
      <c r="P3" s="16"/>
      <c r="Q3" s="17" t="str">
        <f>SYNTHESE!N3</f>
        <v>Dirhams</v>
      </c>
    </row>
    <row r="4" spans="2:18" s="208" customFormat="1" ht="35.1" customHeight="1">
      <c r="B4" s="12"/>
      <c r="C4" s="145" t="str">
        <f>SYNTHESE!D4</f>
        <v>POINT 50%</v>
      </c>
      <c r="D4" s="1638"/>
      <c r="E4" s="1639"/>
      <c r="F4" s="1639"/>
      <c r="G4" s="1639"/>
      <c r="H4" s="1639"/>
      <c r="I4" s="1639"/>
      <c r="J4" s="1639"/>
      <c r="K4" s="1639"/>
      <c r="L4" s="1640"/>
      <c r="M4" s="212" t="s">
        <v>22</v>
      </c>
      <c r="N4" s="201"/>
      <c r="O4" s="201"/>
      <c r="P4" s="16"/>
      <c r="Q4" s="17" t="str">
        <f>SYNTHESE!N4</f>
        <v>1 € = 10,85dh</v>
      </c>
    </row>
    <row r="5" spans="2:18" s="208" customFormat="1" ht="35.1" customHeight="1">
      <c r="B5" s="12"/>
      <c r="C5" s="19"/>
      <c r="D5" s="1638"/>
      <c r="E5" s="1639"/>
      <c r="F5" s="1639"/>
      <c r="G5" s="1639"/>
      <c r="H5" s="1639"/>
      <c r="I5" s="1639"/>
      <c r="J5" s="1639"/>
      <c r="K5" s="1639"/>
      <c r="L5" s="1640"/>
      <c r="M5" s="212" t="s">
        <v>23</v>
      </c>
      <c r="N5" s="201"/>
      <c r="O5" s="201"/>
      <c r="P5" s="213"/>
      <c r="Q5" s="136">
        <f>SYNTHESE!M5</f>
        <v>42289</v>
      </c>
    </row>
    <row r="6" spans="2:18" s="208" customFormat="1" ht="35.1" customHeight="1">
      <c r="B6" s="12"/>
      <c r="C6" s="146">
        <f>SYNTHESE!D7</f>
        <v>42800</v>
      </c>
      <c r="D6" s="1638" t="str">
        <f>SYNTHESE!E6</f>
        <v xml:space="preserve">LES FAUBOURGS D'ANFA </v>
      </c>
      <c r="E6" s="1639"/>
      <c r="F6" s="1639"/>
      <c r="G6" s="1639"/>
      <c r="H6" s="1639"/>
      <c r="I6" s="1639"/>
      <c r="J6" s="1639"/>
      <c r="K6" s="1639"/>
      <c r="L6" s="1640"/>
      <c r="M6" s="212" t="s">
        <v>24</v>
      </c>
      <c r="N6" s="201"/>
      <c r="O6" s="201"/>
      <c r="P6" s="16"/>
      <c r="Q6" s="17" t="str">
        <f>SYNTHESE!N6</f>
        <v>26 mois</v>
      </c>
    </row>
    <row r="7" spans="2:18" s="208" customFormat="1" ht="35.1" customHeight="1">
      <c r="B7" s="12"/>
      <c r="C7" s="19"/>
      <c r="D7" s="1638" t="str">
        <f>SYNTHESE!E7</f>
        <v>CASABLANCA</v>
      </c>
      <c r="E7" s="1639"/>
      <c r="F7" s="1639"/>
      <c r="G7" s="1639"/>
      <c r="H7" s="1639"/>
      <c r="I7" s="1639"/>
      <c r="J7" s="1639"/>
      <c r="K7" s="1639"/>
      <c r="L7" s="1640"/>
      <c r="M7" s="212" t="s">
        <v>26</v>
      </c>
      <c r="N7" s="201"/>
      <c r="O7" s="201"/>
      <c r="P7" s="214"/>
      <c r="Q7" s="17" t="str">
        <f>SYNTHESE!N7</f>
        <v>4783m² SHO</v>
      </c>
    </row>
    <row r="8" spans="2:18" s="219" customFormat="1" ht="35.1" customHeight="1" thickBot="1">
      <c r="B8" s="21"/>
      <c r="C8" s="22"/>
      <c r="D8" s="1635"/>
      <c r="E8" s="1636"/>
      <c r="F8" s="1636"/>
      <c r="G8" s="1636"/>
      <c r="H8" s="1636"/>
      <c r="I8" s="1636"/>
      <c r="J8" s="1636"/>
      <c r="K8" s="1636"/>
      <c r="L8" s="1637"/>
      <c r="M8" s="216" t="s">
        <v>28</v>
      </c>
      <c r="N8" s="217"/>
      <c r="O8" s="217"/>
      <c r="P8" s="218"/>
      <c r="Q8" s="31"/>
    </row>
    <row r="9" spans="2:18" s="219" customFormat="1" ht="75.75" customHeight="1" thickTop="1">
      <c r="B9" s="221"/>
      <c r="C9" s="221"/>
      <c r="D9" s="189"/>
      <c r="E9" s="221"/>
      <c r="F9" s="222"/>
      <c r="G9" s="221"/>
      <c r="H9" s="223"/>
      <c r="I9" s="221"/>
      <c r="N9" s="224"/>
      <c r="O9" s="221"/>
      <c r="P9" s="225"/>
      <c r="Q9" s="226"/>
    </row>
    <row r="10" spans="2:18" s="219" customFormat="1" ht="63" customHeight="1">
      <c r="B10" s="32"/>
      <c r="C10" s="33"/>
      <c r="D10" s="1628" t="s">
        <v>68</v>
      </c>
      <c r="E10" s="1628"/>
      <c r="F10" s="1628"/>
      <c r="G10" s="1628"/>
      <c r="H10" s="1628"/>
      <c r="I10" s="1628"/>
      <c r="J10" s="1628"/>
      <c r="K10" s="1628"/>
      <c r="L10" s="1628"/>
      <c r="M10" s="35"/>
      <c r="N10" s="35"/>
      <c r="O10" s="35"/>
      <c r="P10" s="35"/>
      <c r="Q10" s="36"/>
    </row>
    <row r="11" spans="2:18" s="227" customFormat="1" ht="72" customHeight="1">
      <c r="B11" s="228"/>
      <c r="C11" s="228"/>
      <c r="D11" s="228"/>
      <c r="E11" s="229"/>
      <c r="F11" s="230"/>
      <c r="G11" s="230"/>
      <c r="H11" s="1629" t="s">
        <v>83</v>
      </c>
      <c r="I11" s="1629"/>
      <c r="J11" s="230"/>
      <c r="K11" s="231"/>
      <c r="L11" s="230"/>
      <c r="M11" s="230"/>
      <c r="N11" s="230"/>
      <c r="O11" s="230"/>
      <c r="P11" s="230"/>
      <c r="Q11" s="230"/>
    </row>
    <row r="12" spans="2:18" s="227" customFormat="1" ht="94.5" customHeight="1">
      <c r="B12" s="228"/>
      <c r="C12" s="228"/>
      <c r="D12" s="228"/>
      <c r="E12" s="229"/>
      <c r="F12" s="230"/>
      <c r="G12" s="230"/>
      <c r="H12" s="232"/>
      <c r="I12" s="232"/>
      <c r="J12" s="230"/>
      <c r="K12" s="231"/>
      <c r="L12" s="230"/>
      <c r="M12" s="230"/>
      <c r="N12" s="230"/>
      <c r="O12" s="230"/>
      <c r="P12" s="230"/>
      <c r="Q12" s="230"/>
    </row>
    <row r="13" spans="2:18" s="233" customFormat="1" ht="68.25" customHeight="1">
      <c r="B13" s="1630"/>
      <c r="C13" s="1630"/>
      <c r="D13" s="234"/>
      <c r="F13" s="235" t="s">
        <v>54</v>
      </c>
      <c r="H13" s="1631" t="s">
        <v>573</v>
      </c>
      <c r="I13" s="1632"/>
      <c r="J13" s="1632"/>
      <c r="K13" s="1633"/>
      <c r="L13" s="234"/>
      <c r="M13" s="1268" t="str">
        <f>SYNTHESE!D4</f>
        <v>POINT 50%</v>
      </c>
      <c r="O13" s="236"/>
      <c r="P13" s="1634" t="s">
        <v>41</v>
      </c>
      <c r="Q13" s="1634"/>
    </row>
    <row r="14" spans="2:18" s="237" customFormat="1" ht="75" customHeight="1">
      <c r="B14" s="238"/>
      <c r="C14" s="238"/>
      <c r="D14" s="236"/>
      <c r="F14" s="239" t="s">
        <v>69</v>
      </c>
      <c r="H14" s="239" t="s">
        <v>70</v>
      </c>
      <c r="I14" s="239" t="s">
        <v>71</v>
      </c>
      <c r="J14" s="239" t="s">
        <v>72</v>
      </c>
      <c r="K14" s="239" t="s">
        <v>432</v>
      </c>
      <c r="L14" s="240"/>
      <c r="M14" s="241" t="s">
        <v>73</v>
      </c>
      <c r="O14" s="236"/>
      <c r="P14" s="242" t="s">
        <v>42</v>
      </c>
      <c r="Q14" s="242" t="s">
        <v>43</v>
      </c>
    </row>
    <row r="15" spans="2:18" s="243" customFormat="1" ht="109.5" customHeight="1">
      <c r="B15" s="244"/>
      <c r="C15" s="244"/>
      <c r="D15" s="244"/>
      <c r="F15" s="229"/>
      <c r="H15" s="230"/>
      <c r="I15" s="230"/>
      <c r="J15" s="230"/>
      <c r="K15" s="230"/>
      <c r="L15" s="230"/>
      <c r="M15" s="229"/>
      <c r="O15" s="230"/>
      <c r="P15" s="230"/>
      <c r="Q15" s="230"/>
    </row>
    <row r="16" spans="2:18" s="245" customFormat="1" ht="50.1" customHeight="1">
      <c r="B16" s="246" t="s">
        <v>74</v>
      </c>
      <c r="C16" s="247"/>
      <c r="D16" s="248"/>
      <c r="F16" s="249" t="e">
        <f>'Synthese DS'!#REF!</f>
        <v>#REF!</v>
      </c>
      <c r="H16" s="250" t="e">
        <f>'Synthese DS'!#REF!</f>
        <v>#REF!</v>
      </c>
      <c r="I16" s="250" t="e">
        <f>'Synthese DS'!#REF!</f>
        <v>#REF!</v>
      </c>
      <c r="J16" s="250"/>
      <c r="K16" s="251" t="e">
        <f>F16+H16+I16+J16</f>
        <v>#REF!</v>
      </c>
      <c r="L16" s="252"/>
      <c r="M16" s="249" t="e">
        <f>'Synthese DS'!#REF!</f>
        <v>#REF!</v>
      </c>
      <c r="O16" s="244"/>
      <c r="P16" s="253" t="e">
        <f>K16-M16</f>
        <v>#REF!</v>
      </c>
      <c r="Q16" s="254" t="e">
        <f>IF(K16=0,0,P16/K16)</f>
        <v>#REF!</v>
      </c>
      <c r="R16" s="243"/>
    </row>
    <row r="17" spans="2:18" s="245" customFormat="1" ht="50.1" customHeight="1">
      <c r="B17" s="246" t="s">
        <v>84</v>
      </c>
      <c r="C17" s="247"/>
      <c r="D17" s="248"/>
      <c r="F17" s="249" t="e">
        <f>'Synthese DS'!#REF!</f>
        <v>#REF!</v>
      </c>
      <c r="H17" s="250" t="e">
        <f>'Synthese DS'!#REF!</f>
        <v>#REF!</v>
      </c>
      <c r="I17" s="250" t="e">
        <f>'Synthese DS'!#REF!</f>
        <v>#REF!</v>
      </c>
      <c r="J17" s="250"/>
      <c r="K17" s="251" t="e">
        <f>F17+H17+I17+J17</f>
        <v>#REF!</v>
      </c>
      <c r="L17" s="252"/>
      <c r="M17" s="249" t="e">
        <f>'Synthese DS'!#REF!</f>
        <v>#REF!</v>
      </c>
      <c r="O17" s="244"/>
      <c r="P17" s="253" t="e">
        <f>K17-M17</f>
        <v>#REF!</v>
      </c>
      <c r="Q17" s="254" t="e">
        <f>IF(K17=0,0,P17/K17)</f>
        <v>#REF!</v>
      </c>
      <c r="R17" s="243"/>
    </row>
    <row r="18" spans="2:18" s="245" customFormat="1" ht="50.1" customHeight="1">
      <c r="B18" s="246" t="s">
        <v>85</v>
      </c>
      <c r="C18" s="247"/>
      <c r="D18" s="248"/>
      <c r="F18" s="249" t="e">
        <f>'Synthese DS'!#REF!</f>
        <v>#REF!</v>
      </c>
      <c r="H18" s="250" t="e">
        <f>'Synthese DS'!#REF!</f>
        <v>#REF!</v>
      </c>
      <c r="I18" s="250" t="e">
        <f>'Synthese DS'!#REF!</f>
        <v>#REF!</v>
      </c>
      <c r="J18" s="250"/>
      <c r="K18" s="251" t="e">
        <f>F18+H18+I18+J18</f>
        <v>#REF!</v>
      </c>
      <c r="L18" s="252"/>
      <c r="M18" s="249" t="e">
        <f>'Synthese DS'!#REF!</f>
        <v>#REF!</v>
      </c>
      <c r="O18" s="244"/>
      <c r="P18" s="253" t="e">
        <f>K18-M18</f>
        <v>#REF!</v>
      </c>
      <c r="Q18" s="254" t="e">
        <f>IF(K18=0,0,P18/K18)</f>
        <v>#REF!</v>
      </c>
      <c r="R18" s="243"/>
    </row>
    <row r="19" spans="2:18" s="245" customFormat="1" ht="50.1" customHeight="1">
      <c r="B19" s="246" t="s">
        <v>86</v>
      </c>
      <c r="C19" s="247"/>
      <c r="D19" s="248"/>
      <c r="F19" s="249" t="e">
        <f>'Synthese DS'!#REF!</f>
        <v>#REF!</v>
      </c>
      <c r="H19" s="250" t="e">
        <f>'Synthese DS'!#REF!</f>
        <v>#REF!</v>
      </c>
      <c r="I19" s="250" t="e">
        <f>'Synthese DS'!#REF!</f>
        <v>#REF!</v>
      </c>
      <c r="J19" s="250"/>
      <c r="K19" s="251" t="e">
        <f>F19+H19+I19+J19</f>
        <v>#REF!</v>
      </c>
      <c r="L19" s="252"/>
      <c r="M19" s="249" t="e">
        <f>'Synthese DS'!#REF!</f>
        <v>#REF!</v>
      </c>
      <c r="O19" s="244"/>
      <c r="P19" s="253" t="e">
        <f>K19-M19</f>
        <v>#REF!</v>
      </c>
      <c r="Q19" s="254" t="e">
        <f>IF(K19=0,0,P19/K19)</f>
        <v>#REF!</v>
      </c>
      <c r="R19" s="243"/>
    </row>
    <row r="20" spans="2:18" s="227" customFormat="1" ht="50.1" customHeight="1">
      <c r="B20" s="255" t="s">
        <v>75</v>
      </c>
      <c r="C20" s="256"/>
      <c r="D20" s="228"/>
      <c r="F20" s="257" t="e">
        <f>SUM(F16:F19)</f>
        <v>#REF!</v>
      </c>
      <c r="H20" s="258" t="e">
        <f>SUM(H16:H19)</f>
        <v>#REF!</v>
      </c>
      <c r="I20" s="258" t="e">
        <f>SUM(I16:I19)</f>
        <v>#REF!</v>
      </c>
      <c r="J20" s="258">
        <f>SUM(J16:J19)</f>
        <v>0</v>
      </c>
      <c r="K20" s="258" t="e">
        <f>F20+H20+I20+J20</f>
        <v>#REF!</v>
      </c>
      <c r="L20" s="259"/>
      <c r="M20" s="260" t="e">
        <f>SUM(M16:M19)</f>
        <v>#REF!</v>
      </c>
      <c r="O20" s="228"/>
      <c r="P20" s="261" t="e">
        <f>K20-M20</f>
        <v>#REF!</v>
      </c>
      <c r="Q20" s="262" t="e">
        <f>IF(K20=0,0,P20/K20)</f>
        <v>#REF!</v>
      </c>
    </row>
    <row r="21" spans="2:18" s="243" customFormat="1" ht="50.1" customHeight="1">
      <c r="B21" s="263"/>
      <c r="C21" s="244"/>
      <c r="D21" s="244"/>
      <c r="F21" s="264"/>
      <c r="H21" s="244"/>
      <c r="I21" s="244"/>
      <c r="J21" s="244"/>
      <c r="K21" s="244"/>
      <c r="L21" s="244"/>
      <c r="M21" s="264"/>
      <c r="O21" s="244"/>
      <c r="P21" s="265"/>
      <c r="Q21" s="265"/>
    </row>
    <row r="22" spans="2:18" s="243" customFormat="1" ht="50.1" customHeight="1">
      <c r="B22" s="263"/>
      <c r="C22" s="244"/>
      <c r="D22" s="244"/>
      <c r="F22" s="264"/>
      <c r="H22" s="244"/>
      <c r="I22" s="244"/>
      <c r="J22" s="244"/>
      <c r="K22" s="244"/>
      <c r="L22" s="244"/>
      <c r="M22" s="264"/>
      <c r="O22" s="266"/>
      <c r="P22" s="267"/>
      <c r="Q22" s="268"/>
    </row>
    <row r="23" spans="2:18" s="245" customFormat="1" ht="50.1" customHeight="1">
      <c r="B23" s="246" t="s">
        <v>76</v>
      </c>
      <c r="C23" s="247"/>
      <c r="D23" s="248"/>
      <c r="F23" s="249">
        <f>DETAILS!C34</f>
        <v>1240449</v>
      </c>
      <c r="H23" s="250">
        <f>DETAILS!D34</f>
        <v>0</v>
      </c>
      <c r="I23" s="250">
        <f>DETAILS!E34</f>
        <v>0</v>
      </c>
      <c r="J23" s="270"/>
      <c r="K23" s="251">
        <f t="shared" ref="K23:K25" si="0">F23+H23+I23+J23</f>
        <v>1240449</v>
      </c>
      <c r="L23" s="252"/>
      <c r="M23" s="249">
        <f>DETAILS!AY34</f>
        <v>0</v>
      </c>
      <c r="O23" s="244"/>
      <c r="P23" s="253">
        <f>K23-M23</f>
        <v>1240449</v>
      </c>
      <c r="Q23" s="254">
        <f>IF(K23=0,0,P23/K23)</f>
        <v>1</v>
      </c>
      <c r="R23" s="243"/>
    </row>
    <row r="24" spans="2:18" s="245" customFormat="1" ht="50.1" customHeight="1">
      <c r="B24" s="246" t="s">
        <v>77</v>
      </c>
      <c r="C24" s="247"/>
      <c r="D24" s="248"/>
      <c r="F24" s="249">
        <f>DETAILS!C50</f>
        <v>12000000</v>
      </c>
      <c r="H24" s="250">
        <f>DETAILS!D50</f>
        <v>0</v>
      </c>
      <c r="I24" s="250">
        <f>DETAILS!E50</f>
        <v>0</v>
      </c>
      <c r="J24" s="270"/>
      <c r="K24" s="251">
        <f t="shared" si="0"/>
        <v>12000000</v>
      </c>
      <c r="L24" s="252"/>
      <c r="M24" s="249">
        <f>DETAILS!AY50</f>
        <v>0</v>
      </c>
      <c r="O24" s="244"/>
      <c r="P24" s="253">
        <f>K24-M24</f>
        <v>12000000</v>
      </c>
      <c r="Q24" s="254">
        <f>IF(K24=0,0,P24/K24)</f>
        <v>1</v>
      </c>
      <c r="R24" s="243"/>
    </row>
    <row r="25" spans="2:18" s="245" customFormat="1" ht="50.1" customHeight="1">
      <c r="B25" s="246" t="s">
        <v>78</v>
      </c>
      <c r="C25" s="247"/>
      <c r="D25" s="248"/>
      <c r="F25" s="249">
        <f>DETAILS!C78</f>
        <v>708655</v>
      </c>
      <c r="H25" s="250">
        <f>DETAILS!D78</f>
        <v>0</v>
      </c>
      <c r="I25" s="250">
        <f>DETAILS!E78</f>
        <v>0</v>
      </c>
      <c r="J25" s="270"/>
      <c r="K25" s="251">
        <f t="shared" si="0"/>
        <v>708655</v>
      </c>
      <c r="L25" s="252"/>
      <c r="M25" s="249">
        <f>DETAILS!AY78</f>
        <v>0</v>
      </c>
      <c r="O25" s="244"/>
      <c r="P25" s="253">
        <f>K25-M25</f>
        <v>708655</v>
      </c>
      <c r="Q25" s="254">
        <f>IF(K25=0,0,P25/K25)</f>
        <v>1</v>
      </c>
      <c r="R25" s="243"/>
    </row>
    <row r="26" spans="2:18" s="227" customFormat="1" ht="50.1" customHeight="1">
      <c r="B26" s="255" t="s">
        <v>79</v>
      </c>
      <c r="C26" s="256"/>
      <c r="D26" s="228"/>
      <c r="F26" s="257">
        <f>SUM(F23:F25)</f>
        <v>13949104</v>
      </c>
      <c r="H26" s="258">
        <f>SUM(H23:H25)</f>
        <v>0</v>
      </c>
      <c r="I26" s="258">
        <f>SUM(I23:I25)</f>
        <v>0</v>
      </c>
      <c r="J26" s="258">
        <f>SUM(J23:J25)</f>
        <v>0</v>
      </c>
      <c r="K26" s="258">
        <f>F26+H26+I26+J26</f>
        <v>13949104</v>
      </c>
      <c r="L26" s="259"/>
      <c r="M26" s="260">
        <f>SUM(M23:M25)</f>
        <v>0</v>
      </c>
      <c r="O26" s="228"/>
      <c r="P26" s="261">
        <f>K26-M26</f>
        <v>13949104</v>
      </c>
      <c r="Q26" s="262">
        <f>IF(K26=0,0,P26/K26)</f>
        <v>1</v>
      </c>
    </row>
    <row r="27" spans="2:18" s="243" customFormat="1" ht="50.1" customHeight="1">
      <c r="B27" s="263"/>
      <c r="C27" s="244"/>
      <c r="D27" s="244"/>
      <c r="F27" s="264"/>
      <c r="H27" s="244"/>
      <c r="I27" s="244"/>
      <c r="J27" s="244"/>
      <c r="K27" s="244"/>
      <c r="L27" s="244"/>
      <c r="M27" s="264"/>
      <c r="O27" s="266"/>
      <c r="P27" s="267"/>
      <c r="Q27" s="268"/>
    </row>
    <row r="28" spans="2:18" s="243" customFormat="1" ht="50.1" customHeight="1">
      <c r="B28" s="263"/>
      <c r="C28" s="244"/>
      <c r="D28" s="244"/>
      <c r="F28" s="264"/>
      <c r="H28" s="244"/>
      <c r="I28" s="244"/>
      <c r="J28" s="244"/>
      <c r="K28" s="244"/>
      <c r="L28" s="244"/>
      <c r="M28" s="264"/>
      <c r="O28" s="244"/>
      <c r="P28" s="265"/>
      <c r="Q28" s="265"/>
    </row>
    <row r="29" spans="2:18" s="245" customFormat="1" ht="50.1" customHeight="1">
      <c r="B29" s="246" t="e">
        <f>'RECAP IND'!A13</f>
        <v>#REF!</v>
      </c>
      <c r="C29" s="247"/>
      <c r="D29" s="248"/>
      <c r="F29" s="249" t="e">
        <f>'RECAP IND'!E13</f>
        <v>#REF!</v>
      </c>
      <c r="H29" s="250" t="e">
        <f>'RECAP IND'!F13</f>
        <v>#REF!</v>
      </c>
      <c r="I29" s="271" t="e">
        <f>'RECAP IND'!G13</f>
        <v>#REF!</v>
      </c>
      <c r="J29" s="272"/>
      <c r="K29" s="251" t="e">
        <f t="shared" ref="K29:K40" si="1">F29+H29+I29+J29</f>
        <v>#REF!</v>
      </c>
      <c r="L29" s="273"/>
      <c r="M29" s="249" t="e">
        <f>'RECAP IND'!I13</f>
        <v>#REF!</v>
      </c>
      <c r="O29" s="244"/>
      <c r="P29" s="253" t="e">
        <f t="shared" ref="P29:P40" si="2">K29-M29</f>
        <v>#REF!</v>
      </c>
      <c r="Q29" s="254" t="e">
        <f t="shared" ref="Q29:Q40" si="3">IF(K29=0,0,P29/K29)</f>
        <v>#REF!</v>
      </c>
      <c r="R29" s="243"/>
    </row>
    <row r="30" spans="2:18" s="245" customFormat="1" ht="50.1" customHeight="1">
      <c r="B30" s="246" t="e">
        <f>'RECAP IND'!A14</f>
        <v>#REF!</v>
      </c>
      <c r="C30" s="247"/>
      <c r="D30" s="248"/>
      <c r="F30" s="249" t="e">
        <f>'RECAP IND'!E14</f>
        <v>#REF!</v>
      </c>
      <c r="H30" s="250" t="e">
        <f>'RECAP IND'!F14</f>
        <v>#REF!</v>
      </c>
      <c r="I30" s="271" t="e">
        <f>'RECAP IND'!G14</f>
        <v>#REF!</v>
      </c>
      <c r="J30" s="272"/>
      <c r="K30" s="251" t="e">
        <f t="shared" si="1"/>
        <v>#REF!</v>
      </c>
      <c r="L30" s="273"/>
      <c r="M30" s="249" t="e">
        <f>'RECAP IND'!I14</f>
        <v>#REF!</v>
      </c>
      <c r="O30" s="244"/>
      <c r="P30" s="253" t="e">
        <f t="shared" ref="P30:P34" si="4">K30-M30</f>
        <v>#REF!</v>
      </c>
      <c r="Q30" s="254" t="e">
        <f t="shared" ref="Q30:Q34" si="5">IF(K30=0,0,P30/K30)</f>
        <v>#REF!</v>
      </c>
      <c r="R30" s="243"/>
    </row>
    <row r="31" spans="2:18" s="245" customFormat="1" ht="50.1" customHeight="1">
      <c r="B31" s="246" t="e">
        <f>'RECAP IND'!A15</f>
        <v>#REF!</v>
      </c>
      <c r="C31" s="247"/>
      <c r="D31" s="248"/>
      <c r="F31" s="249" t="e">
        <f>'RECAP IND'!E15</f>
        <v>#REF!</v>
      </c>
      <c r="H31" s="250" t="e">
        <f>'RECAP IND'!F15</f>
        <v>#REF!</v>
      </c>
      <c r="I31" s="271" t="e">
        <f>'RECAP IND'!G15</f>
        <v>#REF!</v>
      </c>
      <c r="J31" s="272"/>
      <c r="K31" s="251" t="e">
        <f t="shared" si="1"/>
        <v>#REF!</v>
      </c>
      <c r="L31" s="273"/>
      <c r="M31" s="249" t="e">
        <f>'RECAP IND'!I15</f>
        <v>#REF!</v>
      </c>
      <c r="O31" s="244"/>
      <c r="P31" s="253" t="e">
        <f t="shared" si="4"/>
        <v>#REF!</v>
      </c>
      <c r="Q31" s="254" t="e">
        <f t="shared" si="5"/>
        <v>#REF!</v>
      </c>
      <c r="R31" s="243"/>
    </row>
    <row r="32" spans="2:18" s="245" customFormat="1" ht="50.1" customHeight="1">
      <c r="B32" s="246" t="e">
        <f>'RECAP IND'!A16</f>
        <v>#REF!</v>
      </c>
      <c r="C32" s="247"/>
      <c r="D32" s="248"/>
      <c r="F32" s="249" t="e">
        <f>'RECAP IND'!E16</f>
        <v>#REF!</v>
      </c>
      <c r="H32" s="250" t="e">
        <f>'RECAP IND'!F16</f>
        <v>#REF!</v>
      </c>
      <c r="I32" s="271" t="e">
        <f>'RECAP IND'!G16</f>
        <v>#REF!</v>
      </c>
      <c r="J32" s="272"/>
      <c r="K32" s="251" t="e">
        <f t="shared" si="1"/>
        <v>#REF!</v>
      </c>
      <c r="L32" s="273"/>
      <c r="M32" s="249" t="e">
        <f>'RECAP IND'!I16</f>
        <v>#REF!</v>
      </c>
      <c r="O32" s="244"/>
      <c r="P32" s="253" t="e">
        <f t="shared" si="4"/>
        <v>#REF!</v>
      </c>
      <c r="Q32" s="254" t="e">
        <f t="shared" si="5"/>
        <v>#REF!</v>
      </c>
      <c r="R32" s="243"/>
    </row>
    <row r="33" spans="2:18" s="245" customFormat="1" ht="50.1" customHeight="1">
      <c r="B33" s="246" t="e">
        <f>'RECAP IND'!A17</f>
        <v>#REF!</v>
      </c>
      <c r="C33" s="247"/>
      <c r="D33" s="248"/>
      <c r="F33" s="249" t="e">
        <f>'RECAP IND'!E17</f>
        <v>#REF!</v>
      </c>
      <c r="H33" s="250" t="e">
        <f>'RECAP IND'!F17</f>
        <v>#REF!</v>
      </c>
      <c r="I33" s="271" t="e">
        <f>'RECAP IND'!G17</f>
        <v>#REF!</v>
      </c>
      <c r="J33" s="272"/>
      <c r="K33" s="251" t="e">
        <f t="shared" si="1"/>
        <v>#REF!</v>
      </c>
      <c r="L33" s="273"/>
      <c r="M33" s="249" t="e">
        <f>'RECAP IND'!I17</f>
        <v>#REF!</v>
      </c>
      <c r="O33" s="244"/>
      <c r="P33" s="253" t="e">
        <f t="shared" si="4"/>
        <v>#REF!</v>
      </c>
      <c r="Q33" s="254" t="e">
        <f t="shared" si="5"/>
        <v>#REF!</v>
      </c>
      <c r="R33" s="243"/>
    </row>
    <row r="34" spans="2:18" s="245" customFormat="1" ht="50.1" customHeight="1">
      <c r="B34" s="246" t="e">
        <f>'RECAP IND'!A18</f>
        <v>#REF!</v>
      </c>
      <c r="C34" s="247"/>
      <c r="D34" s="248"/>
      <c r="F34" s="249" t="e">
        <f>'RECAP IND'!E18</f>
        <v>#REF!</v>
      </c>
      <c r="H34" s="250" t="e">
        <f>'RECAP IND'!F18</f>
        <v>#REF!</v>
      </c>
      <c r="I34" s="271" t="e">
        <f>'RECAP IND'!G18</f>
        <v>#REF!</v>
      </c>
      <c r="J34" s="272"/>
      <c r="K34" s="251" t="e">
        <f t="shared" si="1"/>
        <v>#REF!</v>
      </c>
      <c r="L34" s="273"/>
      <c r="M34" s="249" t="e">
        <f>'RECAP IND'!I18</f>
        <v>#REF!</v>
      </c>
      <c r="O34" s="244"/>
      <c r="P34" s="253" t="e">
        <f t="shared" si="4"/>
        <v>#REF!</v>
      </c>
      <c r="Q34" s="254" t="e">
        <f t="shared" si="5"/>
        <v>#REF!</v>
      </c>
      <c r="R34" s="243"/>
    </row>
    <row r="35" spans="2:18" s="245" customFormat="1" ht="50.1" customHeight="1">
      <c r="B35" s="246" t="e">
        <f>'RECAP IND'!A19</f>
        <v>#REF!</v>
      </c>
      <c r="C35" s="247"/>
      <c r="D35" s="248"/>
      <c r="F35" s="249" t="e">
        <f>'RECAP IND'!E19</f>
        <v>#REF!</v>
      </c>
      <c r="H35" s="250" t="e">
        <f>'RECAP IND'!F19</f>
        <v>#REF!</v>
      </c>
      <c r="I35" s="271" t="e">
        <f>'RECAP IND'!G19</f>
        <v>#REF!</v>
      </c>
      <c r="J35" s="272"/>
      <c r="K35" s="251" t="e">
        <f t="shared" si="1"/>
        <v>#REF!</v>
      </c>
      <c r="L35" s="273"/>
      <c r="M35" s="249" t="e">
        <f>'RECAP IND'!I19</f>
        <v>#REF!</v>
      </c>
      <c r="O35" s="244"/>
      <c r="P35" s="253" t="e">
        <f t="shared" si="2"/>
        <v>#REF!</v>
      </c>
      <c r="Q35" s="254" t="e">
        <f t="shared" si="3"/>
        <v>#REF!</v>
      </c>
      <c r="R35" s="243"/>
    </row>
    <row r="36" spans="2:18" s="245" customFormat="1" ht="50.1" customHeight="1">
      <c r="B36" s="246" t="e">
        <f>'RECAP IND'!A20</f>
        <v>#REF!</v>
      </c>
      <c r="C36" s="247"/>
      <c r="D36" s="248"/>
      <c r="F36" s="249" t="e">
        <f>'RECAP IND'!E20</f>
        <v>#REF!</v>
      </c>
      <c r="H36" s="250" t="e">
        <f>'RECAP IND'!F20</f>
        <v>#REF!</v>
      </c>
      <c r="I36" s="271" t="e">
        <f>'RECAP IND'!G20</f>
        <v>#REF!</v>
      </c>
      <c r="J36" s="272"/>
      <c r="K36" s="251" t="e">
        <f t="shared" si="1"/>
        <v>#REF!</v>
      </c>
      <c r="L36" s="273"/>
      <c r="M36" s="249" t="e">
        <f>'RECAP IND'!I20</f>
        <v>#REF!</v>
      </c>
      <c r="O36" s="244"/>
      <c r="P36" s="253" t="e">
        <f t="shared" si="2"/>
        <v>#REF!</v>
      </c>
      <c r="Q36" s="254" t="e">
        <f t="shared" si="3"/>
        <v>#REF!</v>
      </c>
      <c r="R36" s="243"/>
    </row>
    <row r="37" spans="2:18" s="245" customFormat="1" ht="50.1" customHeight="1">
      <c r="B37" s="246" t="e">
        <f>'RECAP IND'!A21</f>
        <v>#REF!</v>
      </c>
      <c r="C37" s="247"/>
      <c r="D37" s="248"/>
      <c r="F37" s="249" t="e">
        <f>'RECAP IND'!E21</f>
        <v>#REF!</v>
      </c>
      <c r="H37" s="250" t="e">
        <f>'RECAP IND'!F21</f>
        <v>#REF!</v>
      </c>
      <c r="I37" s="271" t="e">
        <f>'RECAP IND'!G21</f>
        <v>#REF!</v>
      </c>
      <c r="J37" s="272"/>
      <c r="K37" s="251" t="e">
        <f t="shared" si="1"/>
        <v>#REF!</v>
      </c>
      <c r="L37" s="273"/>
      <c r="M37" s="249" t="e">
        <f>'RECAP IND'!I21</f>
        <v>#REF!</v>
      </c>
      <c r="O37" s="244"/>
      <c r="P37" s="253" t="e">
        <f t="shared" si="2"/>
        <v>#REF!</v>
      </c>
      <c r="Q37" s="254" t="e">
        <f t="shared" si="3"/>
        <v>#REF!</v>
      </c>
      <c r="R37" s="243"/>
    </row>
    <row r="38" spans="2:18" s="245" customFormat="1" ht="50.1" customHeight="1">
      <c r="B38" s="246" t="e">
        <f>'RECAP IND'!A22</f>
        <v>#REF!</v>
      </c>
      <c r="C38" s="247"/>
      <c r="D38" s="248"/>
      <c r="F38" s="249" t="e">
        <f>'RECAP IND'!E22</f>
        <v>#REF!</v>
      </c>
      <c r="H38" s="250" t="e">
        <f>'RECAP IND'!F22</f>
        <v>#REF!</v>
      </c>
      <c r="I38" s="271" t="e">
        <f>'RECAP IND'!G22</f>
        <v>#REF!</v>
      </c>
      <c r="J38" s="272"/>
      <c r="K38" s="251" t="e">
        <f t="shared" si="1"/>
        <v>#REF!</v>
      </c>
      <c r="L38" s="273"/>
      <c r="M38" s="249" t="e">
        <f>'RECAP IND'!I22</f>
        <v>#REF!</v>
      </c>
      <c r="O38" s="244"/>
      <c r="P38" s="253" t="e">
        <f t="shared" si="2"/>
        <v>#REF!</v>
      </c>
      <c r="Q38" s="254" t="e">
        <f t="shared" si="3"/>
        <v>#REF!</v>
      </c>
      <c r="R38" s="243"/>
    </row>
    <row r="39" spans="2:18" s="245" customFormat="1" ht="50.1" customHeight="1">
      <c r="B39" s="246" t="e">
        <f>'RECAP IND'!A23</f>
        <v>#REF!</v>
      </c>
      <c r="C39" s="247"/>
      <c r="D39" s="248"/>
      <c r="F39" s="249" t="e">
        <f>'RECAP IND'!E23</f>
        <v>#REF!</v>
      </c>
      <c r="H39" s="250" t="e">
        <f>'RECAP IND'!F23</f>
        <v>#REF!</v>
      </c>
      <c r="I39" s="271" t="e">
        <f>'RECAP IND'!G23</f>
        <v>#REF!</v>
      </c>
      <c r="J39" s="272"/>
      <c r="K39" s="251" t="e">
        <f t="shared" si="1"/>
        <v>#REF!</v>
      </c>
      <c r="L39" s="273"/>
      <c r="M39" s="249" t="e">
        <f>'RECAP IND'!I23</f>
        <v>#REF!</v>
      </c>
      <c r="O39" s="244"/>
      <c r="P39" s="253" t="e">
        <f t="shared" si="2"/>
        <v>#REF!</v>
      </c>
      <c r="Q39" s="254" t="e">
        <f t="shared" si="3"/>
        <v>#REF!</v>
      </c>
      <c r="R39" s="243"/>
    </row>
    <row r="40" spans="2:18" s="245" customFormat="1" ht="50.1" customHeight="1">
      <c r="B40" s="246" t="e">
        <f>'RECAP IND'!A24</f>
        <v>#REF!</v>
      </c>
      <c r="C40" s="247"/>
      <c r="D40" s="248"/>
      <c r="F40" s="249" t="e">
        <f>'RECAP IND'!E24</f>
        <v>#REF!</v>
      </c>
      <c r="H40" s="250" t="e">
        <f>'RECAP IND'!F24</f>
        <v>#REF!</v>
      </c>
      <c r="I40" s="271"/>
      <c r="J40" s="272" t="e">
        <f>'RECAP IND'!G24</f>
        <v>#REF!</v>
      </c>
      <c r="K40" s="251" t="e">
        <f t="shared" si="1"/>
        <v>#REF!</v>
      </c>
      <c r="L40" s="273"/>
      <c r="M40" s="249" t="e">
        <f>'RECAP IND'!I24</f>
        <v>#REF!</v>
      </c>
      <c r="O40" s="244"/>
      <c r="P40" s="253" t="e">
        <f t="shared" si="2"/>
        <v>#REF!</v>
      </c>
      <c r="Q40" s="254" t="e">
        <f t="shared" si="3"/>
        <v>#REF!</v>
      </c>
      <c r="R40" s="243"/>
    </row>
    <row r="41" spans="2:18" s="227" customFormat="1" ht="50.1" customHeight="1">
      <c r="B41" s="255" t="s">
        <v>80</v>
      </c>
      <c r="C41" s="256"/>
      <c r="D41" s="228"/>
      <c r="F41" s="257" t="e">
        <f>SUM(F29:F40)</f>
        <v>#REF!</v>
      </c>
      <c r="H41" s="258" t="e">
        <f>SUM(H29:H40)</f>
        <v>#REF!</v>
      </c>
      <c r="I41" s="258" t="e">
        <f>SUM(I29:I40)</f>
        <v>#REF!</v>
      </c>
      <c r="J41" s="258" t="e">
        <f>SUM(J29:J40)</f>
        <v>#REF!</v>
      </c>
      <c r="K41" s="258" t="e">
        <f>SUM(K29:K40)</f>
        <v>#REF!</v>
      </c>
      <c r="L41" s="259"/>
      <c r="M41" s="260" t="e">
        <f>SUM(M29:M40)</f>
        <v>#REF!</v>
      </c>
      <c r="O41" s="228"/>
      <c r="P41" s="261" t="e">
        <f>K41-M41</f>
        <v>#REF!</v>
      </c>
      <c r="Q41" s="262" t="e">
        <f>IF(K41=0,0,P41/K41)</f>
        <v>#REF!</v>
      </c>
    </row>
    <row r="42" spans="2:18" s="243" customFormat="1" ht="50.1" customHeight="1">
      <c r="B42" s="263"/>
      <c r="C42" s="244"/>
      <c r="D42" s="244"/>
      <c r="F42" s="264"/>
      <c r="H42" s="244"/>
      <c r="I42" s="244"/>
      <c r="J42" s="244"/>
      <c r="K42" s="244"/>
      <c r="L42" s="244"/>
      <c r="M42" s="264"/>
      <c r="O42" s="266"/>
      <c r="P42" s="267"/>
      <c r="Q42" s="268"/>
    </row>
    <row r="43" spans="2:18" s="243" customFormat="1" ht="50.1" customHeight="1">
      <c r="B43" s="263"/>
      <c r="C43" s="244"/>
      <c r="D43" s="244"/>
      <c r="F43" s="264"/>
      <c r="H43" s="274"/>
      <c r="I43" s="244"/>
      <c r="J43" s="244"/>
      <c r="K43" s="244"/>
      <c r="L43" s="244"/>
      <c r="M43" s="264"/>
      <c r="O43" s="266"/>
      <c r="P43" s="267"/>
      <c r="Q43" s="268"/>
    </row>
    <row r="44" spans="2:18" s="227" customFormat="1" ht="50.1" customHeight="1">
      <c r="B44" s="255" t="s">
        <v>81</v>
      </c>
      <c r="C44" s="256"/>
      <c r="D44" s="228"/>
      <c r="F44" s="257" t="e">
        <f>SUM(F26,F41,F20)</f>
        <v>#REF!</v>
      </c>
      <c r="H44" s="258" t="e">
        <f>SUM(H26,H41,H20)</f>
        <v>#REF!</v>
      </c>
      <c r="I44" s="258" t="e">
        <f>SUM(I26,I41,I20)</f>
        <v>#REF!</v>
      </c>
      <c r="J44" s="258" t="e">
        <f>SUM(J26,J41,J20)</f>
        <v>#REF!</v>
      </c>
      <c r="K44" s="258" t="e">
        <f>SUM(K26,K41,K20)</f>
        <v>#REF!</v>
      </c>
      <c r="L44" s="259"/>
      <c r="M44" s="260" t="e">
        <f>SUM(M26,M41,M20)</f>
        <v>#REF!</v>
      </c>
      <c r="O44" s="228"/>
      <c r="P44" s="261" t="e">
        <f>K44-M44</f>
        <v>#REF!</v>
      </c>
      <c r="Q44" s="262" t="e">
        <f>IF(K44=0,0,P44/K44)</f>
        <v>#REF!</v>
      </c>
    </row>
    <row r="45" spans="2:18" s="243" customFormat="1" ht="50.1" customHeight="1">
      <c r="B45" s="275"/>
      <c r="F45" s="276"/>
      <c r="I45" s="276"/>
      <c r="J45" s="276"/>
      <c r="K45" s="276"/>
      <c r="L45" s="276"/>
      <c r="M45" s="276"/>
      <c r="O45" s="266"/>
      <c r="P45" s="267"/>
      <c r="Q45" s="268"/>
    </row>
    <row r="46" spans="2:18" s="245" customFormat="1" ht="50.1" customHeight="1">
      <c r="B46" s="246" t="s">
        <v>94</v>
      </c>
      <c r="C46" s="247"/>
      <c r="D46" s="248"/>
      <c r="F46" s="249" t="e">
        <f>DETAILS!#REF!</f>
        <v>#REF!</v>
      </c>
      <c r="H46" s="269" t="e">
        <f>DETAILS!#REF!</f>
        <v>#REF!</v>
      </c>
      <c r="I46" s="269" t="e">
        <f>DETAILS!#REF!</f>
        <v>#REF!</v>
      </c>
      <c r="J46" s="269"/>
      <c r="K46" s="277" t="e">
        <f>F46+H46+I46+J46</f>
        <v>#REF!</v>
      </c>
      <c r="L46" s="252"/>
      <c r="M46" s="249" t="e">
        <f>DETAILS!#REF!</f>
        <v>#REF!</v>
      </c>
      <c r="O46" s="244"/>
      <c r="P46" s="253" t="e">
        <f>K46-M46</f>
        <v>#REF!</v>
      </c>
      <c r="Q46" s="254" t="e">
        <f>IF(K46=0,0,P46/K46)</f>
        <v>#REF!</v>
      </c>
      <c r="R46" s="243"/>
    </row>
    <row r="47" spans="2:18" s="245" customFormat="1" ht="50.1" customHeight="1">
      <c r="B47" s="246" t="s">
        <v>95</v>
      </c>
      <c r="C47" s="247"/>
      <c r="D47" s="248"/>
      <c r="F47" s="249" t="e">
        <f>DETAILS!#REF!</f>
        <v>#REF!</v>
      </c>
      <c r="H47" s="269" t="e">
        <f>DETAILS!#REF!</f>
        <v>#REF!</v>
      </c>
      <c r="I47" s="269" t="e">
        <f>DETAILS!#REF!</f>
        <v>#REF!</v>
      </c>
      <c r="J47" s="269"/>
      <c r="K47" s="277" t="e">
        <f>F47+H47+I47+J47</f>
        <v>#REF!</v>
      </c>
      <c r="L47" s="252"/>
      <c r="M47" s="249" t="e">
        <f>K47</f>
        <v>#REF!</v>
      </c>
      <c r="O47" s="244"/>
      <c r="P47" s="253" t="e">
        <f>K47-M47</f>
        <v>#REF!</v>
      </c>
      <c r="Q47" s="254" t="e">
        <f>IF(K47=0,0,P47/K47)</f>
        <v>#REF!</v>
      </c>
      <c r="R47" s="243"/>
    </row>
    <row r="48" spans="2:18" s="243" customFormat="1" ht="50.1" customHeight="1">
      <c r="B48" s="263"/>
      <c r="C48" s="244"/>
      <c r="D48" s="244"/>
      <c r="F48" s="264"/>
      <c r="H48" s="244"/>
      <c r="I48" s="244"/>
      <c r="J48" s="244"/>
      <c r="K48" s="244"/>
      <c r="L48" s="244"/>
      <c r="M48" s="264"/>
      <c r="O48" s="244"/>
      <c r="P48" s="265"/>
      <c r="Q48" s="278"/>
    </row>
    <row r="49" spans="2:17" s="227" customFormat="1" ht="50.1" customHeight="1">
      <c r="B49" s="255" t="s">
        <v>82</v>
      </c>
      <c r="C49" s="256"/>
      <c r="D49" s="228"/>
      <c r="F49" s="257" t="e">
        <f>F44+SUM(F46:F47)</f>
        <v>#REF!</v>
      </c>
      <c r="H49" s="258" t="e">
        <f>SUM(H44:H47)</f>
        <v>#REF!</v>
      </c>
      <c r="I49" s="258" t="e">
        <f>I44+SUM(I46:I47)</f>
        <v>#REF!</v>
      </c>
      <c r="J49" s="258" t="e">
        <f>J44+SUM(J46:J47)</f>
        <v>#REF!</v>
      </c>
      <c r="K49" s="258" t="e">
        <f>F49+H49+I49+J49</f>
        <v>#REF!</v>
      </c>
      <c r="L49" s="259"/>
      <c r="M49" s="260" t="e">
        <f>M44+SUM(M46:M47)</f>
        <v>#REF!</v>
      </c>
      <c r="O49" s="228"/>
      <c r="P49" s="279" t="e">
        <f>K49-M49</f>
        <v>#REF!</v>
      </c>
      <c r="Q49" s="262" t="e">
        <f>IF(K49=0,0,P49/K49)</f>
        <v>#REF!</v>
      </c>
    </row>
  </sheetData>
  <mergeCells count="11">
    <mergeCell ref="D8:L8"/>
    <mergeCell ref="D3:L3"/>
    <mergeCell ref="D4:L4"/>
    <mergeCell ref="D5:L5"/>
    <mergeCell ref="D6:L6"/>
    <mergeCell ref="D7:L7"/>
    <mergeCell ref="D10:L10"/>
    <mergeCell ref="H11:I11"/>
    <mergeCell ref="B13:C13"/>
    <mergeCell ref="H13:K13"/>
    <mergeCell ref="P13:Q1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X53"/>
  <sheetViews>
    <sheetView showGridLines="0" topLeftCell="A20" zoomScale="50" zoomScaleNormal="50" zoomScalePageLayoutView="50" workbookViewId="0">
      <selection activeCell="F32" sqref="F32"/>
    </sheetView>
  </sheetViews>
  <sheetFormatPr baseColWidth="10" defaultRowHeight="15"/>
  <cols>
    <col min="1" max="1" width="6.7109375" customWidth="1"/>
    <col min="2" max="2" width="2.7109375" customWidth="1"/>
    <col min="3" max="3" width="24.7109375" customWidth="1"/>
    <col min="4" max="4" width="33.7109375" customWidth="1"/>
    <col min="5" max="5" width="14.7109375" customWidth="1"/>
    <col min="6" max="6" width="27.7109375" customWidth="1"/>
    <col min="8" max="8" width="24.7109375" customWidth="1"/>
    <col min="9" max="9" width="12.85546875" customWidth="1"/>
    <col min="10" max="10" width="7.42578125" customWidth="1"/>
    <col min="11" max="11" width="24.7109375" customWidth="1"/>
    <col min="12" max="12" width="12.7109375" customWidth="1"/>
    <col min="13" max="13" width="4.7109375" customWidth="1"/>
    <col min="14" max="14" width="24.7109375" customWidth="1"/>
    <col min="15" max="15" width="12.7109375" customWidth="1"/>
    <col min="16" max="16" width="4.7109375" customWidth="1"/>
    <col min="17" max="18" width="23.7109375" customWidth="1"/>
  </cols>
  <sheetData>
    <row r="1" spans="1:18" ht="19.5" customHeight="1" thickBot="1"/>
    <row r="2" spans="1:18" s="208" customFormat="1" ht="30" customHeight="1" thickTop="1">
      <c r="B2" s="1"/>
      <c r="C2" s="209"/>
      <c r="D2" s="284"/>
      <c r="E2" s="7"/>
      <c r="F2" s="5"/>
      <c r="G2" s="4"/>
      <c r="H2" s="6"/>
      <c r="I2" s="4"/>
      <c r="J2" s="4"/>
      <c r="K2" s="4"/>
      <c r="L2" s="4"/>
      <c r="M2" s="285"/>
      <c r="N2" s="210" t="s">
        <v>19</v>
      </c>
      <c r="O2" s="4"/>
      <c r="P2" s="10"/>
      <c r="Q2" s="10"/>
      <c r="R2" s="11">
        <f>SYNTHESE!N2</f>
        <v>42736</v>
      </c>
    </row>
    <row r="3" spans="1:18" s="208" customFormat="1" ht="30" customHeight="1">
      <c r="B3" s="12"/>
      <c r="C3" s="211"/>
      <c r="D3" s="280"/>
      <c r="E3" s="281"/>
      <c r="F3" s="1638" t="s">
        <v>15</v>
      </c>
      <c r="G3" s="1639"/>
      <c r="H3" s="1639"/>
      <c r="I3" s="1639"/>
      <c r="J3" s="1639"/>
      <c r="K3" s="1639"/>
      <c r="L3" s="1639"/>
      <c r="M3" s="1640"/>
      <c r="N3" s="212" t="s">
        <v>20</v>
      </c>
      <c r="O3" s="201"/>
      <c r="P3" s="16"/>
      <c r="Q3" s="16"/>
      <c r="R3" s="17" t="str">
        <f>SYNTHESE!N3</f>
        <v>Dirhams</v>
      </c>
    </row>
    <row r="4" spans="1:18" s="208" customFormat="1" ht="30" customHeight="1">
      <c r="B4" s="12"/>
      <c r="C4" s="145"/>
      <c r="D4" s="1641" t="str">
        <f>SYNTHESE!D4</f>
        <v>POINT 50%</v>
      </c>
      <c r="E4" s="1642"/>
      <c r="F4" s="280"/>
      <c r="G4" s="280"/>
      <c r="H4" s="280"/>
      <c r="I4" s="280"/>
      <c r="J4" s="280"/>
      <c r="K4" s="280"/>
      <c r="L4" s="280"/>
      <c r="M4" s="286"/>
      <c r="N4" s="212" t="s">
        <v>22</v>
      </c>
      <c r="O4" s="201"/>
      <c r="P4" s="16"/>
      <c r="Q4" s="16"/>
      <c r="R4" s="17" t="str">
        <f>SYNTHESE!N4</f>
        <v>1 € = 10,85dh</v>
      </c>
    </row>
    <row r="5" spans="1:18" s="208" customFormat="1" ht="30" customHeight="1">
      <c r="B5" s="12"/>
      <c r="C5" s="19"/>
      <c r="D5" s="280"/>
      <c r="E5" s="281"/>
      <c r="F5" s="280"/>
      <c r="G5" s="280"/>
      <c r="H5" s="280"/>
      <c r="I5" s="280"/>
      <c r="J5" s="280"/>
      <c r="K5" s="280"/>
      <c r="L5" s="280"/>
      <c r="M5" s="286"/>
      <c r="N5" s="212" t="s">
        <v>23</v>
      </c>
      <c r="O5" s="201"/>
      <c r="P5" s="213"/>
      <c r="Q5" s="213"/>
      <c r="R5" s="136">
        <f>SYNTHESE!M5</f>
        <v>42289</v>
      </c>
    </row>
    <row r="6" spans="1:18" s="208" customFormat="1" ht="30" customHeight="1">
      <c r="B6" s="12"/>
      <c r="C6" s="146"/>
      <c r="D6" s="1643">
        <f>SYNTHESE!D7</f>
        <v>42800</v>
      </c>
      <c r="E6" s="1644"/>
      <c r="F6" s="1638" t="str">
        <f>SYNTHESE!E6</f>
        <v xml:space="preserve">LES FAUBOURGS D'ANFA </v>
      </c>
      <c r="G6" s="1639"/>
      <c r="H6" s="1639"/>
      <c r="I6" s="1639"/>
      <c r="J6" s="1639"/>
      <c r="K6" s="1639"/>
      <c r="L6" s="1639"/>
      <c r="M6" s="1640"/>
      <c r="N6" s="212" t="s">
        <v>24</v>
      </c>
      <c r="O6" s="201"/>
      <c r="P6" s="16"/>
      <c r="Q6" s="16"/>
      <c r="R6" s="17" t="str">
        <f>SYNTHESE!N6</f>
        <v>26 mois</v>
      </c>
    </row>
    <row r="7" spans="1:18" s="208" customFormat="1" ht="30" customHeight="1">
      <c r="B7" s="12"/>
      <c r="C7" s="19"/>
      <c r="D7" s="280"/>
      <c r="E7" s="281"/>
      <c r="F7" s="1638" t="str">
        <f>SYNTHESE!E7</f>
        <v>CASABLANCA</v>
      </c>
      <c r="G7" s="1639"/>
      <c r="H7" s="1639"/>
      <c r="I7" s="1639"/>
      <c r="J7" s="1639"/>
      <c r="K7" s="1639"/>
      <c r="L7" s="1639"/>
      <c r="M7" s="1640"/>
      <c r="N7" s="212" t="s">
        <v>26</v>
      </c>
      <c r="O7" s="201"/>
      <c r="P7" s="214"/>
      <c r="Q7" s="214"/>
      <c r="R7" s="17" t="str">
        <f>SYNTHESE!N7</f>
        <v>4783m² SHO</v>
      </c>
    </row>
    <row r="8" spans="1:18" s="219" customFormat="1" ht="30" customHeight="1" thickBot="1">
      <c r="B8" s="21"/>
      <c r="C8" s="22"/>
      <c r="D8" s="282"/>
      <c r="E8" s="283"/>
      <c r="F8" s="282"/>
      <c r="G8" s="282"/>
      <c r="H8" s="282"/>
      <c r="I8" s="282"/>
      <c r="J8" s="282"/>
      <c r="K8" s="282"/>
      <c r="L8" s="282"/>
      <c r="M8" s="287"/>
      <c r="N8" s="216" t="s">
        <v>28</v>
      </c>
      <c r="O8" s="217"/>
      <c r="P8" s="218"/>
      <c r="Q8" s="218"/>
      <c r="R8" s="31"/>
    </row>
    <row r="9" spans="1:18" s="219" customFormat="1" ht="61.5" customHeight="1" thickTop="1">
      <c r="A9" s="220" t="s">
        <v>67</v>
      </c>
      <c r="B9" s="215"/>
      <c r="C9" s="221"/>
      <c r="D9" s="221"/>
      <c r="E9" s="288"/>
      <c r="F9" s="289"/>
      <c r="G9" s="290"/>
      <c r="H9" s="289"/>
      <c r="I9" s="291"/>
      <c r="J9" s="289"/>
      <c r="K9" s="292"/>
      <c r="L9" s="292"/>
      <c r="M9" s="292"/>
      <c r="O9" s="224"/>
      <c r="P9" s="221"/>
      <c r="Q9" s="225"/>
      <c r="R9" s="226"/>
    </row>
    <row r="10" spans="1:18" s="219" customFormat="1" ht="60" customHeight="1">
      <c r="A10" s="220"/>
      <c r="B10" s="215"/>
      <c r="C10" s="32"/>
      <c r="D10" s="33"/>
      <c r="E10" s="1628" t="s">
        <v>96</v>
      </c>
      <c r="F10" s="1628"/>
      <c r="G10" s="1628"/>
      <c r="H10" s="1628"/>
      <c r="I10" s="1628"/>
      <c r="J10" s="1628"/>
      <c r="K10" s="1628"/>
      <c r="L10" s="1628"/>
      <c r="M10" s="1628"/>
      <c r="N10" s="35"/>
      <c r="O10" s="35"/>
      <c r="P10" s="35"/>
      <c r="Q10" s="35"/>
      <c r="R10" s="36"/>
    </row>
    <row r="11" spans="1:18" s="219" customFormat="1" ht="60" customHeight="1">
      <c r="A11" s="220"/>
      <c r="B11" s="215"/>
      <c r="C11" s="221"/>
      <c r="D11" s="221"/>
      <c r="E11" s="293"/>
      <c r="F11" s="293"/>
      <c r="G11" s="293"/>
      <c r="H11" s="1648" t="s">
        <v>1</v>
      </c>
      <c r="I11" s="1648"/>
      <c r="J11" s="293"/>
      <c r="K11" s="293"/>
      <c r="L11" s="293"/>
      <c r="M11" s="293"/>
      <c r="N11" s="225"/>
      <c r="O11" s="225"/>
      <c r="P11" s="225"/>
      <c r="Q11" s="294"/>
      <c r="R11" s="295"/>
    </row>
    <row r="12" spans="1:18" s="300" customFormat="1" ht="75.75" customHeight="1">
      <c r="A12" s="296"/>
      <c r="B12" s="57"/>
      <c r="C12" s="297"/>
      <c r="D12" s="297"/>
      <c r="E12" s="297"/>
      <c r="F12" s="297"/>
      <c r="G12" s="57"/>
      <c r="H12" s="57"/>
      <c r="I12" s="57"/>
      <c r="J12" s="297"/>
      <c r="K12" s="297"/>
      <c r="L12" s="298"/>
      <c r="M12" s="297"/>
      <c r="N12" s="299"/>
      <c r="O12" s="297"/>
      <c r="Q12" s="301"/>
      <c r="R12" s="301"/>
    </row>
    <row r="13" spans="1:18" s="300" customFormat="1" ht="35.1" customHeight="1">
      <c r="A13" s="296"/>
      <c r="B13" s="302">
        <v>1</v>
      </c>
      <c r="C13" s="303" t="s">
        <v>45</v>
      </c>
      <c r="D13" s="304"/>
      <c r="E13" s="305"/>
      <c r="F13" s="57"/>
      <c r="G13" s="86"/>
      <c r="H13" s="306">
        <f>RECETTES!F54</f>
        <v>303500000</v>
      </c>
      <c r="I13" s="307"/>
      <c r="J13" s="307"/>
      <c r="K13" s="306">
        <f>RECETTES!H54</f>
        <v>304850964</v>
      </c>
      <c r="L13" s="65"/>
      <c r="M13" s="86"/>
      <c r="N13" s="306">
        <f>RECETTES!J54</f>
        <v>304850964</v>
      </c>
      <c r="O13" s="308"/>
      <c r="P13" s="309"/>
      <c r="Q13" s="310">
        <f>N13-K13</f>
        <v>0</v>
      </c>
      <c r="R13" s="311">
        <f>IF(K13=0,0,Q13/K13)</f>
        <v>0</v>
      </c>
    </row>
    <row r="14" spans="1:18" s="86" customFormat="1" ht="15.75" customHeight="1">
      <c r="A14" s="302"/>
      <c r="B14" s="302"/>
      <c r="C14" s="305"/>
      <c r="D14" s="305"/>
      <c r="E14" s="305"/>
      <c r="F14" s="57"/>
      <c r="G14" s="312"/>
      <c r="H14" s="313"/>
      <c r="I14" s="307"/>
      <c r="J14" s="312"/>
      <c r="K14" s="313"/>
      <c r="L14" s="65"/>
      <c r="M14" s="312"/>
      <c r="N14" s="313"/>
      <c r="O14" s="313"/>
      <c r="P14" s="309"/>
      <c r="Q14" s="314"/>
      <c r="R14" s="315"/>
    </row>
    <row r="15" spans="1:18" s="81" customFormat="1" ht="35.1" customHeight="1">
      <c r="A15" s="316"/>
      <c r="B15" s="317">
        <v>1</v>
      </c>
      <c r="C15" s="303" t="s">
        <v>97</v>
      </c>
      <c r="D15" s="304"/>
      <c r="E15" s="41"/>
      <c r="F15" s="318"/>
      <c r="G15" s="308"/>
      <c r="H15" s="306" t="e">
        <f>DCH!F44</f>
        <v>#REF!</v>
      </c>
      <c r="I15" s="319"/>
      <c r="J15" s="319"/>
      <c r="K15" s="306" t="e">
        <f>DCH!K44</f>
        <v>#REF!</v>
      </c>
      <c r="L15" s="305"/>
      <c r="M15" s="308"/>
      <c r="N15" s="306" t="e">
        <f>DCH!M44</f>
        <v>#REF!</v>
      </c>
      <c r="O15" s="308"/>
      <c r="P15" s="41"/>
      <c r="Q15" s="310" t="e">
        <f>K15-N15</f>
        <v>#REF!</v>
      </c>
      <c r="R15" s="311" t="e">
        <f>IF(K15=0,0,Q15/K15)</f>
        <v>#REF!</v>
      </c>
    </row>
    <row r="16" spans="1:18" s="81" customFormat="1" ht="151.5" customHeight="1">
      <c r="A16" s="316"/>
      <c r="B16" s="317"/>
      <c r="C16" s="305"/>
      <c r="D16" s="305"/>
      <c r="E16" s="41"/>
      <c r="F16" s="307"/>
      <c r="G16" s="308"/>
      <c r="H16" s="320"/>
      <c r="I16" s="319"/>
      <c r="J16" s="319"/>
      <c r="K16" s="320"/>
      <c r="L16" s="305"/>
      <c r="M16" s="308"/>
      <c r="N16" s="320"/>
      <c r="O16" s="308"/>
      <c r="P16" s="41"/>
      <c r="Q16" s="321"/>
      <c r="R16" s="322"/>
    </row>
    <row r="17" spans="1:24" s="324" customFormat="1" ht="71.25" customHeight="1">
      <c r="A17" s="316"/>
      <c r="B17" s="41"/>
      <c r="C17" s="41"/>
      <c r="D17" s="323"/>
      <c r="E17" s="323"/>
      <c r="F17" s="323"/>
      <c r="H17" s="325" t="s">
        <v>54</v>
      </c>
      <c r="I17" s="81"/>
      <c r="K17" s="326" t="s">
        <v>131</v>
      </c>
      <c r="L17" s="46"/>
      <c r="M17" s="327"/>
      <c r="N17" s="328" t="str">
        <f>SYNTHESE!D4</f>
        <v>POINT 50%</v>
      </c>
      <c r="O17" s="329"/>
      <c r="P17" s="46"/>
      <c r="Q17" s="1649" t="s">
        <v>41</v>
      </c>
      <c r="R17" s="1650"/>
    </row>
    <row r="18" spans="1:24" s="86" customFormat="1" ht="15" customHeight="1">
      <c r="A18" s="302"/>
      <c r="B18" s="330"/>
      <c r="C18" s="57"/>
      <c r="D18" s="57"/>
      <c r="E18" s="57"/>
      <c r="F18" s="57"/>
      <c r="G18" s="331"/>
      <c r="H18" s="332"/>
      <c r="I18" s="307"/>
      <c r="J18" s="332"/>
      <c r="K18" s="332"/>
      <c r="L18" s="65"/>
      <c r="M18" s="331"/>
      <c r="N18" s="332"/>
      <c r="O18" s="332"/>
      <c r="P18" s="41"/>
      <c r="Q18" s="333"/>
      <c r="R18" s="334"/>
    </row>
    <row r="19" spans="1:24" s="339" customFormat="1" ht="15" customHeight="1">
      <c r="A19" s="335"/>
      <c r="B19" s="302"/>
      <c r="C19" s="305"/>
      <c r="D19" s="305"/>
      <c r="E19" s="41"/>
      <c r="F19" s="336"/>
      <c r="G19" s="329"/>
      <c r="H19" s="337"/>
      <c r="I19" s="319"/>
      <c r="J19" s="329"/>
      <c r="K19" s="337"/>
      <c r="L19" s="305"/>
      <c r="M19" s="329"/>
      <c r="N19" s="337"/>
      <c r="O19" s="305"/>
      <c r="P19" s="41"/>
      <c r="Q19" s="338"/>
      <c r="R19" s="315"/>
      <c r="S19" s="324"/>
      <c r="T19" s="324"/>
      <c r="U19" s="324"/>
      <c r="V19" s="324"/>
      <c r="W19" s="324"/>
      <c r="X19" s="324"/>
    </row>
    <row r="20" spans="1:24" s="339" customFormat="1" ht="35.1" customHeight="1">
      <c r="A20" s="335"/>
      <c r="B20" s="302"/>
      <c r="C20" s="1645" t="s">
        <v>98</v>
      </c>
      <c r="D20" s="1645"/>
      <c r="E20" s="340" t="s">
        <v>99</v>
      </c>
      <c r="F20" s="340" t="s">
        <v>100</v>
      </c>
      <c r="G20" s="305"/>
      <c r="H20" s="341"/>
      <c r="I20" s="319"/>
      <c r="J20" s="305"/>
      <c r="K20" s="341"/>
      <c r="L20" s="342"/>
      <c r="M20" s="305"/>
      <c r="N20" s="341"/>
      <c r="O20" s="341"/>
      <c r="P20" s="323"/>
      <c r="Q20" s="338"/>
      <c r="R20" s="315"/>
      <c r="S20" s="324"/>
      <c r="T20" s="324"/>
      <c r="U20" s="324"/>
      <c r="V20" s="324"/>
      <c r="W20" s="324"/>
      <c r="X20" s="324"/>
    </row>
    <row r="21" spans="1:24" s="339" customFormat="1" ht="35.1" customHeight="1">
      <c r="A21" s="335"/>
      <c r="B21" s="302"/>
      <c r="C21" s="343"/>
      <c r="D21" s="343"/>
      <c r="E21" s="340"/>
      <c r="F21" s="340"/>
      <c r="G21" s="305"/>
      <c r="H21" s="341"/>
      <c r="I21" s="319"/>
      <c r="J21" s="305"/>
      <c r="K21" s="341"/>
      <c r="L21" s="342"/>
      <c r="M21" s="305"/>
      <c r="N21" s="341"/>
      <c r="O21" s="341"/>
      <c r="P21" s="323"/>
      <c r="Q21" s="338"/>
      <c r="R21" s="315"/>
      <c r="S21" s="324"/>
      <c r="T21" s="324"/>
      <c r="U21" s="324"/>
      <c r="V21" s="324"/>
      <c r="W21" s="324"/>
      <c r="X21" s="324"/>
    </row>
    <row r="22" spans="1:24" s="354" customFormat="1" ht="35.1" customHeight="1">
      <c r="A22" s="296"/>
      <c r="B22" s="344"/>
      <c r="C22" s="345" t="s">
        <v>101</v>
      </c>
      <c r="D22" s="346"/>
      <c r="E22" s="347">
        <v>2.5999999999999999E-2</v>
      </c>
      <c r="F22" s="348" t="s">
        <v>102</v>
      </c>
      <c r="G22" s="65"/>
      <c r="H22" s="349">
        <f t="shared" ref="H22:H27" si="0">IF(E22=0,"",E22*$H$13)</f>
        <v>7891000</v>
      </c>
      <c r="I22" s="307"/>
      <c r="J22" s="65"/>
      <c r="K22" s="349">
        <f t="shared" ref="K22:K27" si="1">IF(E22=0,"",E22*$K$13)</f>
        <v>7926125.0639999993</v>
      </c>
      <c r="L22" s="298"/>
      <c r="M22" s="65"/>
      <c r="N22" s="350">
        <f t="shared" ref="N22:N27" si="2">IF(E22=0,"",E22*$N$13)</f>
        <v>7926125.0639999993</v>
      </c>
      <c r="O22" s="69"/>
      <c r="P22" s="351"/>
      <c r="Q22" s="352">
        <f t="shared" ref="Q22:Q27" si="3">IFERROR(K22-N22,"")</f>
        <v>0</v>
      </c>
      <c r="R22" s="353">
        <f t="shared" ref="R22:R27" si="4">IFERROR(IF(K22=0,"",Q22/K22),"")</f>
        <v>0</v>
      </c>
      <c r="S22" s="300"/>
      <c r="T22" s="300"/>
      <c r="U22" s="300"/>
      <c r="V22" s="300"/>
      <c r="W22" s="300"/>
      <c r="X22" s="300"/>
    </row>
    <row r="23" spans="1:24" s="354" customFormat="1" ht="35.1" customHeight="1">
      <c r="A23" s="296"/>
      <c r="B23" s="355"/>
      <c r="C23" s="356" t="s">
        <v>103</v>
      </c>
      <c r="D23" s="357"/>
      <c r="E23" s="347">
        <v>5.7500000000000002E-2</v>
      </c>
      <c r="F23" s="348" t="s">
        <v>102</v>
      </c>
      <c r="G23" s="65"/>
      <c r="H23" s="349">
        <f t="shared" si="0"/>
        <v>17451250</v>
      </c>
      <c r="I23" s="358"/>
      <c r="J23" s="65"/>
      <c r="K23" s="349">
        <f t="shared" si="1"/>
        <v>17528930.43</v>
      </c>
      <c r="L23" s="298"/>
      <c r="M23" s="65"/>
      <c r="N23" s="350">
        <f t="shared" si="2"/>
        <v>17528930.43</v>
      </c>
      <c r="O23" s="69"/>
      <c r="P23" s="351"/>
      <c r="Q23" s="352">
        <f t="shared" si="3"/>
        <v>0</v>
      </c>
      <c r="R23" s="353">
        <f t="shared" si="4"/>
        <v>0</v>
      </c>
      <c r="S23" s="300"/>
      <c r="T23" s="300"/>
      <c r="U23" s="300"/>
      <c r="V23" s="300"/>
      <c r="W23" s="300"/>
      <c r="X23" s="300"/>
    </row>
    <row r="24" spans="1:24" s="354" customFormat="1" ht="35.1" customHeight="1">
      <c r="A24" s="296"/>
      <c r="B24" s="355"/>
      <c r="C24" s="359" t="s">
        <v>104</v>
      </c>
      <c r="D24" s="360"/>
      <c r="E24" s="347">
        <v>2.5000000000000001E-3</v>
      </c>
      <c r="F24" s="348" t="s">
        <v>102</v>
      </c>
      <c r="G24" s="65"/>
      <c r="H24" s="349">
        <f t="shared" si="0"/>
        <v>758750</v>
      </c>
      <c r="I24" s="307"/>
      <c r="J24" s="65"/>
      <c r="K24" s="349">
        <f t="shared" si="1"/>
        <v>762127.41</v>
      </c>
      <c r="L24" s="298"/>
      <c r="M24" s="65"/>
      <c r="N24" s="350">
        <f t="shared" si="2"/>
        <v>762127.41</v>
      </c>
      <c r="O24" s="69"/>
      <c r="P24" s="351"/>
      <c r="Q24" s="352">
        <f t="shared" si="3"/>
        <v>0</v>
      </c>
      <c r="R24" s="353">
        <f t="shared" si="4"/>
        <v>0</v>
      </c>
      <c r="S24" s="300"/>
      <c r="T24" s="300"/>
      <c r="U24" s="300"/>
      <c r="V24" s="300"/>
      <c r="W24" s="300"/>
      <c r="X24" s="300"/>
    </row>
    <row r="25" spans="1:24" s="354" customFormat="1" ht="35.1" customHeight="1">
      <c r="A25" s="296"/>
      <c r="B25" s="355"/>
      <c r="C25" s="356" t="s">
        <v>105</v>
      </c>
      <c r="D25" s="360"/>
      <c r="E25" s="347">
        <v>1E-3</v>
      </c>
      <c r="F25" s="348" t="s">
        <v>102</v>
      </c>
      <c r="G25" s="65"/>
      <c r="H25" s="349">
        <f t="shared" si="0"/>
        <v>303500</v>
      </c>
      <c r="I25" s="307"/>
      <c r="J25" s="65"/>
      <c r="K25" s="349">
        <f t="shared" si="1"/>
        <v>304850.96399999998</v>
      </c>
      <c r="L25" s="298"/>
      <c r="N25" s="350">
        <f t="shared" si="2"/>
        <v>304850.96399999998</v>
      </c>
      <c r="O25" s="69"/>
      <c r="P25" s="351"/>
      <c r="Q25" s="352">
        <f t="shared" si="3"/>
        <v>0</v>
      </c>
      <c r="R25" s="353">
        <f t="shared" si="4"/>
        <v>0</v>
      </c>
      <c r="S25" s="300"/>
      <c r="T25" s="300"/>
      <c r="U25" s="300"/>
      <c r="V25" s="300"/>
      <c r="W25" s="300"/>
      <c r="X25" s="300"/>
    </row>
    <row r="26" spans="1:24" s="354" customFormat="1" ht="35.1" customHeight="1">
      <c r="A26" s="296"/>
      <c r="B26" s="355"/>
      <c r="C26" s="356" t="s">
        <v>106</v>
      </c>
      <c r="D26" s="357"/>
      <c r="E26" s="347">
        <v>1.6999999999999999E-3</v>
      </c>
      <c r="F26" s="348" t="s">
        <v>102</v>
      </c>
      <c r="G26" s="65"/>
      <c r="H26" s="361">
        <f t="shared" si="0"/>
        <v>515950</v>
      </c>
      <c r="I26" s="307"/>
      <c r="J26" s="65"/>
      <c r="K26" s="349">
        <f t="shared" si="1"/>
        <v>518246.63879999996</v>
      </c>
      <c r="L26" s="298"/>
      <c r="M26" s="65"/>
      <c r="N26" s="350">
        <f t="shared" si="2"/>
        <v>518246.63879999996</v>
      </c>
      <c r="O26" s="69"/>
      <c r="P26" s="351"/>
      <c r="Q26" s="352">
        <f t="shared" si="3"/>
        <v>0</v>
      </c>
      <c r="R26" s="353">
        <f t="shared" si="4"/>
        <v>0</v>
      </c>
      <c r="S26" s="300"/>
      <c r="T26" s="300"/>
      <c r="U26" s="300"/>
      <c r="V26" s="300"/>
      <c r="W26" s="300"/>
      <c r="X26" s="300"/>
    </row>
    <row r="27" spans="1:24" s="354" customFormat="1" ht="35.1" customHeight="1">
      <c r="A27" s="296"/>
      <c r="B27" s="355"/>
      <c r="C27" s="356" t="s">
        <v>107</v>
      </c>
      <c r="D27" s="357"/>
      <c r="E27" s="348">
        <v>1E-3</v>
      </c>
      <c r="F27" s="348" t="s">
        <v>102</v>
      </c>
      <c r="G27" s="65"/>
      <c r="H27" s="361">
        <f t="shared" si="0"/>
        <v>303500</v>
      </c>
      <c r="I27" s="307"/>
      <c r="J27" s="65"/>
      <c r="K27" s="349">
        <f t="shared" si="1"/>
        <v>304850.96399999998</v>
      </c>
      <c r="L27" s="298"/>
      <c r="M27" s="65"/>
      <c r="N27" s="350">
        <f t="shared" si="2"/>
        <v>304850.96399999998</v>
      </c>
      <c r="O27" s="69"/>
      <c r="P27" s="351"/>
      <c r="Q27" s="352">
        <f t="shared" si="3"/>
        <v>0</v>
      </c>
      <c r="R27" s="353">
        <f t="shared" si="4"/>
        <v>0</v>
      </c>
      <c r="S27" s="300"/>
      <c r="T27" s="300"/>
      <c r="U27" s="300"/>
      <c r="V27" s="300"/>
      <c r="W27" s="300"/>
      <c r="X27" s="300"/>
    </row>
    <row r="28" spans="1:24" s="354" customFormat="1" ht="35.1" customHeight="1">
      <c r="A28" s="296"/>
      <c r="B28" s="355"/>
      <c r="C28" s="356"/>
      <c r="D28" s="357"/>
      <c r="E28" s="347"/>
      <c r="F28" s="348"/>
      <c r="G28" s="65"/>
      <c r="H28" s="361" t="str">
        <f>IF(E28=0,"",E28*$H$13)</f>
        <v/>
      </c>
      <c r="I28" s="307"/>
      <c r="J28" s="65"/>
      <c r="K28" s="349" t="str">
        <f>IF(E28=0,"",E28*$K$13)</f>
        <v/>
      </c>
      <c r="L28" s="298"/>
      <c r="M28" s="65"/>
      <c r="N28" s="350" t="str">
        <f>IF(E28=0,"",E28*$N$13)</f>
        <v/>
      </c>
      <c r="O28" s="69"/>
      <c r="P28" s="351"/>
      <c r="Q28" s="352" t="str">
        <f>IFERROR(K28-N28,"")</f>
        <v/>
      </c>
      <c r="R28" s="353" t="str">
        <f>IFERROR(IF(K28=0,"",Q28/K28),"")</f>
        <v/>
      </c>
      <c r="S28" s="300"/>
      <c r="T28" s="300"/>
      <c r="U28" s="300"/>
      <c r="V28" s="300"/>
      <c r="W28" s="300"/>
      <c r="X28" s="300"/>
    </row>
    <row r="29" spans="1:24" s="354" customFormat="1" ht="35.1" customHeight="1">
      <c r="A29" s="296"/>
      <c r="B29" s="355"/>
      <c r="C29" s="356"/>
      <c r="D29" s="357"/>
      <c r="E29" s="348"/>
      <c r="F29" s="348"/>
      <c r="G29" s="65"/>
      <c r="H29" s="361" t="str">
        <f t="shared" ref="H29:H30" si="5">IF(E29=0,"",E29*$H$13)</f>
        <v/>
      </c>
      <c r="I29" s="307"/>
      <c r="J29" s="65"/>
      <c r="K29" s="349" t="str">
        <f t="shared" ref="K29:K30" si="6">IF(E29=0,"",E29*$K$13)</f>
        <v/>
      </c>
      <c r="L29" s="298"/>
      <c r="M29" s="65"/>
      <c r="N29" s="350" t="str">
        <f t="shared" ref="N29:N30" si="7">IF(E29=0,"",E29*$N$13)</f>
        <v/>
      </c>
      <c r="O29" s="69"/>
      <c r="P29" s="351"/>
      <c r="Q29" s="352" t="str">
        <f t="shared" ref="Q29:Q30" si="8">IFERROR(K29-N29,"")</f>
        <v/>
      </c>
      <c r="R29" s="353" t="str">
        <f t="shared" ref="R29:R30" si="9">IFERROR(IF(K29=0,"",Q29/K29),"")</f>
        <v/>
      </c>
      <c r="S29" s="300"/>
      <c r="T29" s="300"/>
      <c r="U29" s="300"/>
      <c r="V29" s="300"/>
      <c r="W29" s="300"/>
      <c r="X29" s="300"/>
    </row>
    <row r="30" spans="1:24" s="354" customFormat="1" ht="35.1" customHeight="1">
      <c r="A30" s="296"/>
      <c r="B30" s="355"/>
      <c r="C30" s="356"/>
      <c r="D30" s="357"/>
      <c r="E30" s="348"/>
      <c r="F30" s="348"/>
      <c r="G30" s="65"/>
      <c r="H30" s="361" t="str">
        <f t="shared" si="5"/>
        <v/>
      </c>
      <c r="I30" s="307"/>
      <c r="J30" s="65"/>
      <c r="K30" s="349" t="str">
        <f t="shared" si="6"/>
        <v/>
      </c>
      <c r="L30" s="298"/>
      <c r="M30" s="65"/>
      <c r="N30" s="350" t="str">
        <f t="shared" si="7"/>
        <v/>
      </c>
      <c r="O30" s="69"/>
      <c r="P30" s="351"/>
      <c r="Q30" s="352" t="str">
        <f t="shared" si="8"/>
        <v/>
      </c>
      <c r="R30" s="353" t="str">
        <f t="shared" si="9"/>
        <v/>
      </c>
      <c r="S30" s="300"/>
      <c r="T30" s="300"/>
      <c r="U30" s="300"/>
      <c r="V30" s="300"/>
      <c r="W30" s="300"/>
      <c r="X30" s="300"/>
    </row>
    <row r="31" spans="1:24" s="86" customFormat="1" ht="35.1" customHeight="1">
      <c r="A31" s="302">
        <v>1</v>
      </c>
      <c r="B31" s="330"/>
      <c r="C31" s="362"/>
      <c r="D31" s="362"/>
      <c r="E31" s="363"/>
      <c r="F31" s="363"/>
      <c r="G31" s="65"/>
      <c r="H31" s="69"/>
      <c r="I31" s="307"/>
      <c r="J31" s="65"/>
      <c r="K31" s="69"/>
      <c r="L31" s="65"/>
      <c r="M31" s="65"/>
      <c r="N31" s="69"/>
      <c r="O31" s="69"/>
      <c r="P31" s="364"/>
      <c r="Q31" s="365"/>
      <c r="R31" s="366"/>
    </row>
    <row r="32" spans="1:24" s="339" customFormat="1" ht="35.1" customHeight="1">
      <c r="A32" s="335">
        <v>28</v>
      </c>
      <c r="B32" s="302">
        <v>2</v>
      </c>
      <c r="C32" s="91" t="s">
        <v>33</v>
      </c>
      <c r="D32" s="92"/>
      <c r="E32" s="41"/>
      <c r="F32" s="336"/>
      <c r="H32" s="367">
        <f>SUM(H22:H30)</f>
        <v>27223950</v>
      </c>
      <c r="I32" s="368">
        <f>H32/H13</f>
        <v>8.9700000000000002E-2</v>
      </c>
      <c r="K32" s="369">
        <f>SUM(K22:K30)</f>
        <v>27345131.470800001</v>
      </c>
      <c r="L32" s="368">
        <f>K32/K13</f>
        <v>8.9700000000000002E-2</v>
      </c>
      <c r="N32" s="370">
        <f>SUM(N22:N30)</f>
        <v>27345131.470800001</v>
      </c>
      <c r="O32" s="368">
        <f>N32/N13</f>
        <v>8.9700000000000002E-2</v>
      </c>
      <c r="P32" s="41"/>
      <c r="Q32" s="371">
        <f t="shared" ref="Q32" si="10">K32-N32</f>
        <v>0</v>
      </c>
      <c r="R32" s="372">
        <f>IF(K32=0,0,Q32/K32)</f>
        <v>0</v>
      </c>
      <c r="S32" s="324"/>
      <c r="T32" s="324"/>
      <c r="U32" s="324"/>
      <c r="V32" s="324"/>
      <c r="W32" s="324"/>
      <c r="X32" s="324"/>
    </row>
    <row r="33" spans="1:24" s="300" customFormat="1" ht="119.25" customHeight="1">
      <c r="A33" s="296"/>
      <c r="B33" s="355"/>
      <c r="C33" s="323"/>
      <c r="D33" s="373"/>
      <c r="E33" s="297"/>
      <c r="F33" s="57"/>
      <c r="G33" s="65"/>
      <c r="H33" s="318"/>
      <c r="I33" s="374"/>
      <c r="J33" s="65"/>
      <c r="K33" s="318"/>
      <c r="L33" s="375"/>
      <c r="M33" s="65"/>
      <c r="N33" s="318"/>
      <c r="O33" s="374"/>
      <c r="P33" s="297"/>
      <c r="Q33" s="376"/>
      <c r="R33" s="377"/>
    </row>
    <row r="34" spans="1:24" s="324" customFormat="1" ht="35.1" customHeight="1">
      <c r="A34" s="335"/>
      <c r="B34" s="316">
        <v>1</v>
      </c>
      <c r="C34" s="303" t="s">
        <v>34</v>
      </c>
      <c r="D34" s="304"/>
      <c r="E34" s="305"/>
      <c r="F34" s="41"/>
      <c r="H34" s="378" t="e">
        <f>H13-H32-H15</f>
        <v>#REF!</v>
      </c>
      <c r="I34" s="379" t="e">
        <f>H34/H13</f>
        <v>#REF!</v>
      </c>
      <c r="K34" s="378" t="e">
        <f>K13-K32-K15</f>
        <v>#REF!</v>
      </c>
      <c r="L34" s="379" t="e">
        <f>K34/K13</f>
        <v>#REF!</v>
      </c>
      <c r="N34" s="378" t="e">
        <f>N13-N32-N15</f>
        <v>#REF!</v>
      </c>
      <c r="O34" s="380" t="e">
        <f>N34/N13</f>
        <v>#REF!</v>
      </c>
      <c r="P34" s="373"/>
      <c r="Q34" s="310" t="e">
        <f>N34-K34</f>
        <v>#REF!</v>
      </c>
      <c r="R34" s="381" t="e">
        <f>IF(K34=0,0,Q34/K34)</f>
        <v>#REF!</v>
      </c>
    </row>
    <row r="35" spans="1:24" s="300" customFormat="1" ht="24.95" customHeight="1">
      <c r="A35" s="296"/>
      <c r="B35" s="355"/>
      <c r="C35" s="323"/>
      <c r="D35" s="373"/>
      <c r="E35" s="297"/>
      <c r="F35" s="57"/>
      <c r="G35" s="65"/>
      <c r="H35" s="382"/>
      <c r="I35" s="307"/>
      <c r="J35" s="65"/>
      <c r="K35" s="318"/>
      <c r="L35" s="375"/>
      <c r="M35" s="383"/>
      <c r="N35" s="318"/>
      <c r="O35" s="374"/>
      <c r="P35" s="297"/>
      <c r="Q35" s="376"/>
      <c r="R35" s="377"/>
    </row>
    <row r="36" spans="1:24" s="300" customFormat="1" ht="39.75" customHeight="1">
      <c r="A36" s="296"/>
      <c r="B36" s="355"/>
      <c r="D36" s="384"/>
      <c r="E36" s="297"/>
      <c r="F36" s="297"/>
      <c r="G36" s="65"/>
      <c r="H36" s="307"/>
      <c r="I36" s="65"/>
      <c r="J36" s="383"/>
      <c r="K36" s="298"/>
      <c r="L36" s="318"/>
      <c r="M36" s="298"/>
      <c r="N36" s="312"/>
      <c r="O36" s="65"/>
      <c r="Q36" s="301"/>
      <c r="R36" s="301"/>
    </row>
    <row r="37" spans="1:24" s="354" customFormat="1" ht="134.25" customHeight="1">
      <c r="A37" s="296"/>
      <c r="B37" s="355"/>
      <c r="C37" s="300"/>
      <c r="D37" s="300"/>
      <c r="E37" s="300"/>
      <c r="F37" s="300"/>
      <c r="G37" s="300"/>
      <c r="H37" s="318"/>
      <c r="I37" s="318"/>
      <c r="J37" s="318"/>
      <c r="K37" s="318"/>
      <c r="L37" s="318"/>
      <c r="M37" s="318"/>
      <c r="N37" s="385"/>
      <c r="O37" s="318"/>
      <c r="P37" s="300"/>
      <c r="Q37" s="300"/>
      <c r="R37" s="300"/>
      <c r="S37" s="300"/>
      <c r="T37" s="300"/>
      <c r="U37" s="300"/>
      <c r="V37" s="300"/>
      <c r="W37" s="300"/>
      <c r="X37" s="300"/>
    </row>
    <row r="38" spans="1:24" s="354" customFormat="1" ht="37.5" customHeight="1">
      <c r="A38" s="296"/>
      <c r="B38" s="330"/>
      <c r="C38" s="300"/>
      <c r="D38" s="386"/>
      <c r="E38" s="387"/>
      <c r="F38" s="388"/>
      <c r="G38" s="387"/>
      <c r="H38" s="387"/>
      <c r="I38" s="389" t="s">
        <v>108</v>
      </c>
      <c r="J38" s="387"/>
      <c r="K38" s="387"/>
      <c r="L38" s="390"/>
      <c r="M38" s="391"/>
      <c r="N38" s="392"/>
      <c r="O38" s="390"/>
      <c r="P38" s="390"/>
      <c r="Q38" s="393"/>
      <c r="R38" s="300"/>
      <c r="S38" s="300"/>
      <c r="T38" s="300"/>
      <c r="U38" s="300"/>
      <c r="V38" s="300"/>
      <c r="W38" s="300"/>
      <c r="X38" s="300"/>
    </row>
    <row r="39" spans="1:24" s="354" customFormat="1" ht="25.5" customHeight="1">
      <c r="A39" s="296"/>
      <c r="B39" s="302"/>
      <c r="C39" s="300"/>
      <c r="D39" s="394"/>
      <c r="E39" s="395"/>
      <c r="F39" s="395"/>
      <c r="G39" s="395"/>
      <c r="H39" s="395"/>
      <c r="I39" s="395"/>
      <c r="J39" s="395"/>
      <c r="K39" s="395"/>
      <c r="L39" s="86"/>
      <c r="M39" s="307"/>
      <c r="N39" s="396"/>
      <c r="O39" s="86"/>
      <c r="P39" s="86"/>
      <c r="Q39" s="397"/>
      <c r="R39" s="300"/>
      <c r="S39" s="300"/>
      <c r="T39" s="300"/>
      <c r="U39" s="300"/>
      <c r="V39" s="300"/>
      <c r="W39" s="300"/>
      <c r="X39" s="300"/>
    </row>
    <row r="40" spans="1:24" s="354" customFormat="1" ht="25.5" customHeight="1">
      <c r="A40" s="296"/>
      <c r="B40" s="302"/>
      <c r="C40" s="300"/>
      <c r="D40" s="398" t="s">
        <v>109</v>
      </c>
      <c r="E40" s="86"/>
      <c r="F40" s="86"/>
      <c r="G40" s="399" t="s">
        <v>110</v>
      </c>
      <c r="H40" s="400">
        <v>29690000</v>
      </c>
      <c r="I40" s="401"/>
      <c r="J40" s="402" t="s">
        <v>111</v>
      </c>
      <c r="K40" s="403" t="s">
        <v>112</v>
      </c>
      <c r="L40" s="404"/>
      <c r="M40" s="405"/>
      <c r="N40" s="406"/>
      <c r="O40" s="407"/>
      <c r="P40" s="401"/>
      <c r="Q40" s="397"/>
      <c r="R40" s="300"/>
      <c r="S40" s="300"/>
      <c r="T40" s="300"/>
      <c r="U40" s="300"/>
      <c r="V40" s="300"/>
      <c r="W40" s="300"/>
      <c r="X40" s="300"/>
    </row>
    <row r="41" spans="1:24" s="354" customFormat="1" ht="25.5" customHeight="1">
      <c r="A41" s="296"/>
      <c r="B41" s="302"/>
      <c r="C41" s="300"/>
      <c r="D41" s="408"/>
      <c r="E41" s="86"/>
      <c r="F41" s="86"/>
      <c r="G41" s="409" t="s">
        <v>113</v>
      </c>
      <c r="H41" s="410"/>
      <c r="I41" s="401"/>
      <c r="J41" s="402" t="s">
        <v>114</v>
      </c>
      <c r="K41" s="411"/>
      <c r="L41" s="412"/>
      <c r="M41" s="413"/>
      <c r="N41" s="414"/>
      <c r="O41" s="401"/>
      <c r="P41" s="401"/>
      <c r="Q41" s="397"/>
      <c r="R41" s="300"/>
      <c r="S41" s="300"/>
      <c r="T41" s="300"/>
      <c r="U41" s="300"/>
      <c r="V41" s="300"/>
      <c r="W41" s="300"/>
      <c r="X41" s="300"/>
    </row>
    <row r="42" spans="1:24" s="354" customFormat="1" ht="25.5" customHeight="1">
      <c r="A42" s="296"/>
      <c r="B42" s="302"/>
      <c r="C42" s="300"/>
      <c r="D42" s="408"/>
      <c r="E42" s="415"/>
      <c r="F42" s="416"/>
      <c r="G42" s="417"/>
      <c r="H42" s="418"/>
      <c r="I42" s="418"/>
      <c r="J42" s="417"/>
      <c r="K42" s="417"/>
      <c r="L42" s="401"/>
      <c r="M42" s="413"/>
      <c r="N42" s="419"/>
      <c r="O42" s="401"/>
      <c r="P42" s="401"/>
      <c r="Q42" s="397"/>
      <c r="R42" s="300"/>
      <c r="S42" s="300"/>
      <c r="T42" s="300"/>
      <c r="U42" s="300"/>
      <c r="V42" s="300"/>
      <c r="W42" s="300"/>
      <c r="X42" s="300"/>
    </row>
    <row r="43" spans="1:24" s="354" customFormat="1" ht="25.5" customHeight="1">
      <c r="A43" s="296"/>
      <c r="B43" s="355"/>
      <c r="C43" s="300"/>
      <c r="D43" s="398" t="s">
        <v>115</v>
      </c>
      <c r="E43" s="86"/>
      <c r="F43" s="420"/>
      <c r="G43" s="421">
        <v>0.05</v>
      </c>
      <c r="H43" s="402" t="s">
        <v>116</v>
      </c>
      <c r="I43" s="399"/>
      <c r="J43" s="402" t="s">
        <v>117</v>
      </c>
      <c r="K43" s="422"/>
      <c r="L43" s="402" t="s">
        <v>118</v>
      </c>
      <c r="M43" s="86"/>
      <c r="N43" s="419"/>
      <c r="O43" s="401"/>
      <c r="P43" s="401"/>
      <c r="Q43" s="397"/>
      <c r="R43" s="300"/>
      <c r="S43" s="300"/>
      <c r="T43" s="300"/>
      <c r="U43" s="300"/>
      <c r="V43" s="300"/>
      <c r="W43" s="300"/>
      <c r="X43" s="300"/>
    </row>
    <row r="44" spans="1:24" s="354" customFormat="1" ht="25.5" customHeight="1">
      <c r="A44" s="296"/>
      <c r="B44" s="330"/>
      <c r="C44" s="300"/>
      <c r="D44" s="408"/>
      <c r="E44" s="86"/>
      <c r="F44" s="423"/>
      <c r="G44" s="399"/>
      <c r="H44" s="402"/>
      <c r="I44" s="417"/>
      <c r="J44" s="401"/>
      <c r="K44" s="424"/>
      <c r="L44" s="402" t="s">
        <v>119</v>
      </c>
      <c r="M44" s="86"/>
      <c r="N44" s="419"/>
      <c r="O44" s="407"/>
      <c r="P44" s="401"/>
      <c r="Q44" s="397"/>
      <c r="R44" s="300"/>
      <c r="S44" s="300"/>
      <c r="T44" s="300"/>
      <c r="U44" s="300"/>
      <c r="V44" s="300"/>
      <c r="W44" s="300"/>
      <c r="X44" s="300"/>
    </row>
    <row r="45" spans="1:24" s="354" customFormat="1" ht="25.5" customHeight="1">
      <c r="A45" s="296"/>
      <c r="B45" s="302"/>
      <c r="C45" s="300"/>
      <c r="D45" s="408"/>
      <c r="E45" s="395"/>
      <c r="F45" s="395"/>
      <c r="G45" s="399"/>
      <c r="H45" s="417"/>
      <c r="I45" s="417"/>
      <c r="J45" s="417"/>
      <c r="K45" s="417"/>
      <c r="L45" s="401"/>
      <c r="M45" s="407"/>
      <c r="N45" s="419"/>
      <c r="O45" s="407"/>
      <c r="P45" s="401"/>
      <c r="Q45" s="397"/>
      <c r="R45" s="300"/>
      <c r="S45" s="300"/>
      <c r="T45" s="300"/>
      <c r="U45" s="300"/>
      <c r="V45" s="300"/>
      <c r="W45" s="300"/>
      <c r="X45" s="300"/>
    </row>
    <row r="46" spans="1:24" s="354" customFormat="1" ht="25.5" customHeight="1">
      <c r="A46" s="296"/>
      <c r="B46" s="86"/>
      <c r="C46" s="300"/>
      <c r="D46" s="398" t="s">
        <v>120</v>
      </c>
      <c r="E46" s="86"/>
      <c r="F46" s="425"/>
      <c r="G46" s="426">
        <v>45</v>
      </c>
      <c r="H46" s="417" t="s">
        <v>121</v>
      </c>
      <c r="I46" s="401"/>
      <c r="J46" s="402" t="s">
        <v>122</v>
      </c>
      <c r="K46" s="401"/>
      <c r="L46" s="427" t="s">
        <v>123</v>
      </c>
      <c r="M46" s="407"/>
      <c r="N46" s="419"/>
      <c r="O46" s="407"/>
      <c r="P46" s="401"/>
      <c r="Q46" s="397"/>
      <c r="R46" s="300"/>
      <c r="S46" s="300"/>
      <c r="T46" s="300"/>
      <c r="U46" s="300"/>
      <c r="V46" s="300"/>
      <c r="W46" s="300"/>
      <c r="X46" s="300"/>
    </row>
    <row r="47" spans="1:24" s="354" customFormat="1" ht="25.5" customHeight="1">
      <c r="A47" s="296"/>
      <c r="B47" s="86"/>
      <c r="C47" s="300"/>
      <c r="D47" s="398"/>
      <c r="E47" s="86"/>
      <c r="F47" s="423"/>
      <c r="G47" s="417"/>
      <c r="H47" s="417"/>
      <c r="I47" s="401"/>
      <c r="J47" s="402" t="s">
        <v>124</v>
      </c>
      <c r="K47" s="401"/>
      <c r="L47" s="427" t="s">
        <v>125</v>
      </c>
      <c r="M47" s="413"/>
      <c r="N47" s="419"/>
      <c r="O47" s="407"/>
      <c r="P47" s="401"/>
      <c r="Q47" s="397"/>
      <c r="R47" s="300"/>
      <c r="S47" s="300"/>
      <c r="T47" s="300"/>
      <c r="U47" s="300"/>
      <c r="V47" s="300"/>
      <c r="W47" s="300"/>
      <c r="X47" s="300"/>
    </row>
    <row r="48" spans="1:24" s="354" customFormat="1" ht="25.5" customHeight="1">
      <c r="A48" s="296"/>
      <c r="B48" s="86"/>
      <c r="C48" s="300"/>
      <c r="D48" s="408"/>
      <c r="E48" s="395"/>
      <c r="F48" s="395"/>
      <c r="G48" s="417"/>
      <c r="H48" s="417"/>
      <c r="I48" s="417"/>
      <c r="J48" s="417"/>
      <c r="K48" s="417"/>
      <c r="L48" s="401"/>
      <c r="M48" s="413"/>
      <c r="N48" s="419"/>
      <c r="O48" s="407"/>
      <c r="P48" s="401"/>
      <c r="Q48" s="397"/>
      <c r="R48" s="300"/>
      <c r="S48" s="300"/>
      <c r="T48" s="300"/>
      <c r="U48" s="300"/>
      <c r="V48" s="300"/>
      <c r="W48" s="300"/>
      <c r="X48" s="300"/>
    </row>
    <row r="49" spans="1:24" s="354" customFormat="1" ht="25.5" customHeight="1">
      <c r="A49" s="296"/>
      <c r="B49" s="86"/>
      <c r="C49" s="300"/>
      <c r="D49" s="398" t="s">
        <v>126</v>
      </c>
      <c r="E49" s="86"/>
      <c r="F49" s="428"/>
      <c r="G49" s="429" t="s">
        <v>127</v>
      </c>
      <c r="H49" s="430"/>
      <c r="I49" s="417"/>
      <c r="J49" s="417"/>
      <c r="K49" s="417"/>
      <c r="L49" s="417"/>
      <c r="M49" s="413"/>
      <c r="N49" s="419"/>
      <c r="O49" s="407"/>
      <c r="P49" s="401"/>
      <c r="Q49" s="397"/>
      <c r="R49" s="300"/>
      <c r="S49" s="300"/>
      <c r="T49" s="300"/>
      <c r="U49" s="300"/>
      <c r="V49" s="300"/>
      <c r="W49" s="300"/>
      <c r="X49" s="300"/>
    </row>
    <row r="50" spans="1:24" s="354" customFormat="1" ht="25.5" customHeight="1">
      <c r="A50" s="296"/>
      <c r="B50" s="86"/>
      <c r="C50" s="300"/>
      <c r="D50" s="398"/>
      <c r="E50" s="86"/>
      <c r="F50" s="415"/>
      <c r="G50" s="417"/>
      <c r="H50" s="399"/>
      <c r="I50" s="417"/>
      <c r="J50" s="417"/>
      <c r="K50" s="417"/>
      <c r="L50" s="417"/>
      <c r="M50" s="413"/>
      <c r="N50" s="419"/>
      <c r="O50" s="407"/>
      <c r="P50" s="401"/>
      <c r="Q50" s="397"/>
      <c r="R50" s="300"/>
      <c r="S50" s="300"/>
      <c r="T50" s="300"/>
      <c r="U50" s="300"/>
      <c r="V50" s="300"/>
      <c r="W50" s="300"/>
      <c r="X50" s="300"/>
    </row>
    <row r="51" spans="1:24" s="354" customFormat="1" ht="25.5" customHeight="1">
      <c r="A51" s="296"/>
      <c r="B51" s="86"/>
      <c r="C51" s="300"/>
      <c r="D51" s="431" t="s">
        <v>128</v>
      </c>
      <c r="E51" s="1646" t="s">
        <v>129</v>
      </c>
      <c r="F51" s="1646"/>
      <c r="G51" s="1646"/>
      <c r="H51" s="1646"/>
      <c r="I51" s="1646"/>
      <c r="J51" s="1646"/>
      <c r="K51" s="1646"/>
      <c r="L51" s="1646"/>
      <c r="M51" s="1646"/>
      <c r="N51" s="1646"/>
      <c r="O51" s="1646"/>
      <c r="P51" s="1646"/>
      <c r="Q51" s="1647"/>
      <c r="R51" s="300"/>
      <c r="S51" s="300"/>
      <c r="T51" s="300"/>
      <c r="U51" s="300"/>
      <c r="V51" s="300"/>
      <c r="W51" s="300"/>
      <c r="X51" s="300"/>
    </row>
    <row r="52" spans="1:24" s="354" customFormat="1" ht="25.5" customHeight="1">
      <c r="A52" s="296"/>
      <c r="B52" s="86"/>
      <c r="C52" s="300"/>
      <c r="D52" s="408"/>
      <c r="E52" s="86" t="s">
        <v>130</v>
      </c>
      <c r="F52" s="432"/>
      <c r="G52" s="401"/>
      <c r="H52" s="433"/>
      <c r="I52" s="434"/>
      <c r="J52" s="401"/>
      <c r="K52" s="435"/>
      <c r="L52" s="417"/>
      <c r="M52" s="436"/>
      <c r="N52" s="413"/>
      <c r="O52" s="407"/>
      <c r="P52" s="401"/>
      <c r="Q52" s="397"/>
      <c r="R52" s="300"/>
      <c r="S52" s="300"/>
      <c r="T52" s="300"/>
      <c r="U52" s="300"/>
      <c r="V52" s="300"/>
      <c r="W52" s="300"/>
      <c r="X52" s="300"/>
    </row>
    <row r="53" spans="1:24" s="354" customFormat="1" ht="25.5" customHeight="1">
      <c r="A53" s="296"/>
      <c r="B53" s="86"/>
      <c r="C53" s="300"/>
      <c r="D53" s="437"/>
      <c r="E53" s="438"/>
      <c r="F53" s="439"/>
      <c r="G53" s="440"/>
      <c r="H53" s="440"/>
      <c r="I53" s="440"/>
      <c r="J53" s="440"/>
      <c r="K53" s="440"/>
      <c r="L53" s="441"/>
      <c r="M53" s="442"/>
      <c r="N53" s="443"/>
      <c r="O53" s="444"/>
      <c r="P53" s="441"/>
      <c r="Q53" s="445"/>
      <c r="R53" s="300"/>
      <c r="S53" s="300"/>
      <c r="T53" s="300"/>
      <c r="U53" s="300"/>
      <c r="V53" s="300"/>
      <c r="W53" s="300"/>
      <c r="X53" s="300"/>
    </row>
  </sheetData>
  <mergeCells count="10">
    <mergeCell ref="D4:E4"/>
    <mergeCell ref="D6:E6"/>
    <mergeCell ref="F3:M3"/>
    <mergeCell ref="C20:D20"/>
    <mergeCell ref="E51:Q51"/>
    <mergeCell ref="F6:M6"/>
    <mergeCell ref="F7:M7"/>
    <mergeCell ref="E10:M10"/>
    <mergeCell ref="H11:I11"/>
    <mergeCell ref="Q17:R17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U51"/>
  <sheetViews>
    <sheetView showGridLines="0" topLeftCell="A33" zoomScale="50" zoomScaleNormal="50" zoomScalePageLayoutView="50" workbookViewId="0">
      <selection activeCell="F50" sqref="F50"/>
    </sheetView>
  </sheetViews>
  <sheetFormatPr baseColWidth="10" defaultRowHeight="15"/>
  <cols>
    <col min="1" max="1" width="10.7109375" customWidth="1"/>
    <col min="2" max="2" width="26.7109375" customWidth="1"/>
    <col min="3" max="3" width="30.7109375" customWidth="1"/>
    <col min="4" max="4" width="4.7109375" customWidth="1"/>
    <col min="5" max="5" width="22.7109375" customWidth="1"/>
    <col min="6" max="6" width="6.7109375" customWidth="1"/>
    <col min="7" max="15" width="25.7109375" customWidth="1"/>
  </cols>
  <sheetData>
    <row r="1" spans="1:21" ht="18.75" customHeight="1" thickBot="1"/>
    <row r="2" spans="1:21" ht="30" customHeight="1" thickTop="1">
      <c r="B2" s="446"/>
      <c r="C2" s="448"/>
      <c r="D2" s="447"/>
      <c r="E2" s="447"/>
      <c r="F2" s="447"/>
      <c r="G2" s="447"/>
      <c r="H2" s="447"/>
      <c r="I2" s="447"/>
      <c r="J2" s="447"/>
      <c r="K2" s="447"/>
      <c r="L2" s="502" t="s">
        <v>19</v>
      </c>
      <c r="M2" s="447"/>
      <c r="N2" s="447"/>
      <c r="O2" s="11">
        <f>SYNTHESE!N2</f>
        <v>42736</v>
      </c>
    </row>
    <row r="3" spans="1:21" ht="30" customHeight="1">
      <c r="B3" s="449"/>
      <c r="C3" s="450"/>
      <c r="D3" s="1651" t="s">
        <v>15</v>
      </c>
      <c r="E3" s="1652"/>
      <c r="F3" s="1652"/>
      <c r="G3" s="1652"/>
      <c r="H3" s="1652"/>
      <c r="I3" s="1652"/>
      <c r="J3" s="1652"/>
      <c r="K3" s="1652"/>
      <c r="L3" s="503" t="s">
        <v>20</v>
      </c>
      <c r="M3" s="125"/>
      <c r="N3" s="125"/>
      <c r="O3" s="500" t="str">
        <f>SYNTHESE!N3</f>
        <v>Dirhams</v>
      </c>
    </row>
    <row r="4" spans="1:21" ht="30" customHeight="1">
      <c r="B4" s="449"/>
      <c r="C4" s="1269" t="str">
        <f>SYNTHESE!D4</f>
        <v>POINT 50%</v>
      </c>
      <c r="D4" s="125"/>
      <c r="E4" s="125"/>
      <c r="F4" s="125"/>
      <c r="G4" s="125"/>
      <c r="H4" s="125"/>
      <c r="I4" s="125"/>
      <c r="J4" s="125"/>
      <c r="K4" s="125"/>
      <c r="L4" s="503" t="s">
        <v>22</v>
      </c>
      <c r="M4" s="125"/>
      <c r="N4" s="125"/>
      <c r="O4" s="500" t="str">
        <f>SYNTHESE!N4</f>
        <v>1 € = 10,85dh</v>
      </c>
    </row>
    <row r="5" spans="1:21" ht="30" customHeight="1">
      <c r="B5" s="449"/>
      <c r="C5" s="450"/>
      <c r="D5" s="125"/>
      <c r="E5" s="125"/>
      <c r="F5" s="125"/>
      <c r="G5" s="125"/>
      <c r="H5" s="125"/>
      <c r="I5" s="125"/>
      <c r="J5" s="125"/>
      <c r="K5" s="125"/>
      <c r="L5" s="503" t="s">
        <v>23</v>
      </c>
      <c r="M5" s="125"/>
      <c r="N5" s="125"/>
      <c r="O5" s="1281">
        <f>SYNTHESE!M5</f>
        <v>42289</v>
      </c>
    </row>
    <row r="6" spans="1:21" ht="30" customHeight="1">
      <c r="B6" s="449"/>
      <c r="C6" s="1270">
        <f>SYNTHESE!D7</f>
        <v>42800</v>
      </c>
      <c r="D6" s="1653" t="str">
        <f>SYNTHESE!E6</f>
        <v xml:space="preserve">LES FAUBOURGS D'ANFA </v>
      </c>
      <c r="E6" s="1654"/>
      <c r="F6" s="1654"/>
      <c r="G6" s="1654"/>
      <c r="H6" s="1654"/>
      <c r="I6" s="1654"/>
      <c r="J6" s="1654"/>
      <c r="K6" s="1654"/>
      <c r="L6" s="503" t="s">
        <v>24</v>
      </c>
      <c r="M6" s="125"/>
      <c r="N6" s="125"/>
      <c r="O6" s="500" t="str">
        <f>SYNTHESE!N6</f>
        <v>26 mois</v>
      </c>
    </row>
    <row r="7" spans="1:21" ht="30" customHeight="1">
      <c r="B7" s="449"/>
      <c r="C7" s="450"/>
      <c r="D7" s="1653" t="str">
        <f>SYNTHESE!E7</f>
        <v>CASABLANCA</v>
      </c>
      <c r="E7" s="1654"/>
      <c r="F7" s="1654"/>
      <c r="G7" s="1654"/>
      <c r="H7" s="1654"/>
      <c r="I7" s="1654"/>
      <c r="J7" s="1654"/>
      <c r="K7" s="1654"/>
      <c r="L7" s="503" t="s">
        <v>26</v>
      </c>
      <c r="M7" s="125"/>
      <c r="N7" s="125"/>
      <c r="O7" s="500" t="str">
        <f>SYNTHESE!N7</f>
        <v>4783m² SHO</v>
      </c>
    </row>
    <row r="8" spans="1:21" ht="30" customHeight="1" thickBot="1">
      <c r="B8" s="451"/>
      <c r="C8" s="453"/>
      <c r="D8" s="452"/>
      <c r="E8" s="452"/>
      <c r="F8" s="452"/>
      <c r="G8" s="452"/>
      <c r="H8" s="452"/>
      <c r="I8" s="452"/>
      <c r="J8" s="452"/>
      <c r="K8" s="452"/>
      <c r="L8" s="504" t="s">
        <v>28</v>
      </c>
      <c r="M8" s="452"/>
      <c r="N8" s="452"/>
      <c r="O8" s="501"/>
    </row>
    <row r="9" spans="1:21" ht="85.5" customHeight="1" thickTop="1"/>
    <row r="10" spans="1:21" s="219" customFormat="1" ht="40.5" customHeight="1">
      <c r="A10" s="220"/>
      <c r="B10" s="1655" t="str">
        <f>CONCATENATE("TRAVAUX SUPPLEMENTAIRES ACQUIS  AU ",SYNTHESE!D4)</f>
        <v>TRAVAUX SUPPLEMENTAIRES ACQUIS  AU POINT 50%</v>
      </c>
      <c r="C10" s="1656"/>
      <c r="D10" s="1656"/>
      <c r="E10" s="1656"/>
      <c r="F10" s="1656"/>
      <c r="G10" s="1656"/>
      <c r="H10" s="1656"/>
      <c r="I10" s="1656"/>
      <c r="J10" s="1656"/>
      <c r="K10" s="1656"/>
      <c r="L10" s="1656"/>
      <c r="M10" s="1656"/>
      <c r="N10" s="1656"/>
      <c r="O10" s="1657"/>
    </row>
    <row r="11" spans="1:21" s="454" customFormat="1" ht="39" customHeight="1">
      <c r="B11" s="1658" t="s">
        <v>1</v>
      </c>
      <c r="C11" s="1658"/>
      <c r="D11" s="1658"/>
      <c r="E11" s="1658"/>
      <c r="F11" s="1658"/>
      <c r="G11" s="1658"/>
      <c r="H11" s="1658"/>
      <c r="I11" s="1658"/>
      <c r="J11" s="1658"/>
      <c r="K11" s="1658"/>
      <c r="L11" s="1658"/>
      <c r="M11" s="1658"/>
      <c r="N11" s="1658"/>
      <c r="O11" s="1658"/>
      <c r="P11" s="208"/>
    </row>
    <row r="12" spans="1:21" s="454" customFormat="1" ht="85.5" customHeight="1">
      <c r="B12" s="208"/>
      <c r="C12" s="208"/>
      <c r="D12" s="208"/>
      <c r="E12" s="208"/>
      <c r="F12" s="201"/>
      <c r="G12" s="207"/>
      <c r="H12" s="208"/>
      <c r="I12" s="455"/>
      <c r="J12" s="208"/>
      <c r="K12" s="455"/>
      <c r="L12" s="206"/>
      <c r="M12" s="207"/>
      <c r="N12" s="206"/>
      <c r="O12" s="208"/>
      <c r="P12" s="208"/>
    </row>
    <row r="13" spans="1:21" s="460" customFormat="1" ht="27" customHeight="1">
      <c r="A13" s="456"/>
      <c r="B13" s="457"/>
      <c r="C13" s="457"/>
      <c r="D13" s="457"/>
      <c r="E13" s="458" t="s">
        <v>71</v>
      </c>
      <c r="F13" s="459"/>
      <c r="G13" s="458" t="s">
        <v>140</v>
      </c>
      <c r="H13" s="458" t="s">
        <v>141</v>
      </c>
      <c r="I13" s="458" t="s">
        <v>142</v>
      </c>
      <c r="J13" s="458" t="s">
        <v>143</v>
      </c>
      <c r="K13" s="458" t="s">
        <v>144</v>
      </c>
      <c r="L13" s="458" t="s">
        <v>145</v>
      </c>
      <c r="M13" s="458" t="s">
        <v>146</v>
      </c>
      <c r="N13" s="458" t="s">
        <v>147</v>
      </c>
      <c r="O13" s="458" t="s">
        <v>148</v>
      </c>
      <c r="P13" s="457"/>
      <c r="Q13" s="456"/>
      <c r="R13" s="456"/>
      <c r="S13" s="456"/>
      <c r="T13" s="456"/>
      <c r="U13" s="456"/>
    </row>
    <row r="14" spans="1:21" s="461" customFormat="1" ht="48" customHeight="1">
      <c r="B14" s="462"/>
      <c r="C14" s="463" t="s">
        <v>132</v>
      </c>
      <c r="D14" s="464"/>
      <c r="E14" s="465"/>
      <c r="F14" s="466"/>
      <c r="G14" s="467"/>
      <c r="H14" s="467"/>
      <c r="I14" s="468"/>
      <c r="J14" s="468"/>
      <c r="K14" s="468"/>
      <c r="L14" s="468"/>
      <c r="M14" s="468"/>
      <c r="N14" s="468"/>
      <c r="O14" s="468"/>
      <c r="P14" s="464"/>
    </row>
    <row r="15" spans="1:21" s="469" customFormat="1" ht="100.5" customHeight="1">
      <c r="B15" s="152"/>
      <c r="C15" s="1271" t="str">
        <f>SYNTHESE!D4</f>
        <v>POINT 50%</v>
      </c>
      <c r="D15" s="470"/>
      <c r="E15" s="471" t="s">
        <v>49</v>
      </c>
      <c r="F15" s="472"/>
      <c r="G15" s="473">
        <v>367000</v>
      </c>
      <c r="H15" s="473">
        <v>316460</v>
      </c>
      <c r="I15" s="473">
        <v>31183</v>
      </c>
      <c r="J15" s="474">
        <v>105657.51</v>
      </c>
      <c r="K15" s="474">
        <v>67222</v>
      </c>
      <c r="L15" s="474">
        <v>44807</v>
      </c>
      <c r="M15" s="474">
        <v>479015.52</v>
      </c>
      <c r="N15" s="467"/>
      <c r="O15" s="467"/>
      <c r="P15" s="470"/>
    </row>
    <row r="16" spans="1:21" s="461" customFormat="1" ht="27" customHeight="1">
      <c r="B16" s="464"/>
      <c r="C16" s="475" t="s">
        <v>133</v>
      </c>
      <c r="D16" s="464"/>
      <c r="E16" s="465"/>
      <c r="F16" s="466"/>
      <c r="G16" s="476">
        <v>42370</v>
      </c>
      <c r="H16" s="476">
        <v>42491</v>
      </c>
      <c r="I16" s="476"/>
      <c r="J16" s="468"/>
      <c r="K16" s="468"/>
      <c r="L16" s="468"/>
      <c r="M16" s="468"/>
      <c r="N16" s="468"/>
      <c r="O16" s="468"/>
      <c r="P16" s="464"/>
    </row>
    <row r="17" spans="1:21" s="460" customFormat="1" ht="33" customHeight="1">
      <c r="A17" s="456"/>
      <c r="B17" s="457"/>
      <c r="C17" s="463" t="s">
        <v>45</v>
      </c>
      <c r="D17" s="457"/>
      <c r="E17" s="477">
        <f>SUM(G17:O17)</f>
        <v>1411345.03</v>
      </c>
      <c r="F17" s="478"/>
      <c r="G17" s="479">
        <f>+G15</f>
        <v>367000</v>
      </c>
      <c r="H17" s="479">
        <f>+H15</f>
        <v>316460</v>
      </c>
      <c r="I17" s="479">
        <f>+I15</f>
        <v>31183</v>
      </c>
      <c r="J17" s="479">
        <f t="shared" ref="J17:M17" si="0">+J15</f>
        <v>105657.51</v>
      </c>
      <c r="K17" s="479">
        <f t="shared" si="0"/>
        <v>67222</v>
      </c>
      <c r="L17" s="479">
        <f t="shared" si="0"/>
        <v>44807</v>
      </c>
      <c r="M17" s="479">
        <f t="shared" si="0"/>
        <v>479015.52</v>
      </c>
      <c r="N17" s="479"/>
      <c r="O17" s="479"/>
      <c r="P17" s="457"/>
      <c r="Q17" s="456"/>
      <c r="R17" s="456"/>
      <c r="S17" s="456"/>
      <c r="T17" s="456"/>
      <c r="U17" s="456"/>
    </row>
    <row r="18" spans="1:21" s="480" customFormat="1" ht="20.100000000000001" customHeight="1">
      <c r="B18" s="221"/>
      <c r="C18" s="221"/>
      <c r="D18" s="149"/>
      <c r="E18" s="181"/>
      <c r="F18" s="181"/>
      <c r="G18" s="149"/>
      <c r="H18" s="149"/>
      <c r="I18" s="149"/>
      <c r="J18" s="149"/>
      <c r="K18" s="149"/>
      <c r="L18" s="149"/>
      <c r="M18" s="149"/>
      <c r="N18" s="149"/>
      <c r="O18" s="149"/>
      <c r="P18" s="149"/>
    </row>
    <row r="19" spans="1:21" s="460" customFormat="1" ht="63" customHeight="1">
      <c r="A19" s="456"/>
      <c r="B19" s="221"/>
      <c r="C19" s="221"/>
      <c r="D19" s="457"/>
      <c r="E19" s="481"/>
      <c r="F19" s="481"/>
      <c r="G19" s="221"/>
      <c r="H19" s="221"/>
      <c r="I19" s="221"/>
      <c r="J19" s="221"/>
      <c r="K19" s="221"/>
      <c r="L19" s="221"/>
      <c r="M19" s="221"/>
      <c r="N19" s="221"/>
      <c r="O19" s="221"/>
      <c r="P19" s="457"/>
      <c r="Q19" s="456"/>
      <c r="R19" s="456"/>
      <c r="S19" s="456"/>
      <c r="T19" s="456"/>
      <c r="U19" s="456"/>
    </row>
    <row r="20" spans="1:21" s="460" customFormat="1" ht="35.1" customHeight="1">
      <c r="A20" s="456"/>
      <c r="B20" s="482" t="s">
        <v>74</v>
      </c>
      <c r="C20" s="483"/>
      <c r="D20" s="457"/>
      <c r="E20" s="474"/>
      <c r="F20" s="478"/>
      <c r="G20" s="474"/>
      <c r="H20" s="474"/>
      <c r="I20" s="474"/>
      <c r="J20" s="474"/>
      <c r="K20" s="474"/>
      <c r="L20" s="474"/>
      <c r="M20" s="474"/>
      <c r="N20" s="474"/>
      <c r="O20" s="474"/>
      <c r="P20" s="457"/>
      <c r="Q20" s="456"/>
      <c r="R20" s="456"/>
      <c r="S20" s="456"/>
      <c r="T20" s="456"/>
      <c r="U20" s="456"/>
    </row>
    <row r="21" spans="1:21" s="460" customFormat="1" ht="35.1" customHeight="1">
      <c r="A21" s="456"/>
      <c r="B21" s="482" t="s">
        <v>84</v>
      </c>
      <c r="C21" s="483"/>
      <c r="D21" s="457"/>
      <c r="E21" s="474"/>
      <c r="F21" s="478"/>
      <c r="G21" s="474">
        <v>45944.32</v>
      </c>
      <c r="H21" s="474">
        <v>40797.42</v>
      </c>
      <c r="I21" s="474"/>
      <c r="J21" s="474"/>
      <c r="K21" s="474"/>
      <c r="L21" s="474"/>
      <c r="M21" s="474"/>
      <c r="N21" s="474"/>
      <c r="O21" s="474"/>
      <c r="P21" s="457"/>
      <c r="Q21" s="456"/>
      <c r="R21" s="456"/>
      <c r="S21" s="456"/>
      <c r="T21" s="456"/>
      <c r="U21" s="456"/>
    </row>
    <row r="22" spans="1:21" s="460" customFormat="1" ht="35.1" customHeight="1">
      <c r="A22" s="456"/>
      <c r="B22" s="482" t="s">
        <v>85</v>
      </c>
      <c r="C22" s="483"/>
      <c r="D22" s="457"/>
      <c r="E22" s="474"/>
      <c r="F22" s="478"/>
      <c r="G22" s="474"/>
      <c r="H22" s="474"/>
      <c r="I22" s="474"/>
      <c r="J22" s="474"/>
      <c r="K22" s="474"/>
      <c r="L22" s="474"/>
      <c r="M22" s="474"/>
      <c r="N22" s="474"/>
      <c r="O22" s="474"/>
      <c r="P22" s="457"/>
      <c r="Q22" s="456"/>
      <c r="R22" s="456"/>
      <c r="S22" s="456"/>
      <c r="T22" s="456"/>
      <c r="U22" s="456"/>
    </row>
    <row r="23" spans="1:21" s="460" customFormat="1" ht="35.1" customHeight="1">
      <c r="A23" s="456"/>
      <c r="B23" s="482" t="s">
        <v>86</v>
      </c>
      <c r="C23" s="483"/>
      <c r="D23" s="457"/>
      <c r="E23" s="474"/>
      <c r="F23" s="478"/>
      <c r="G23" s="474"/>
      <c r="H23" s="474"/>
      <c r="I23" s="474"/>
      <c r="J23" s="474"/>
      <c r="K23" s="474"/>
      <c r="L23" s="474"/>
      <c r="M23" s="474"/>
      <c r="N23" s="474"/>
      <c r="O23" s="474"/>
      <c r="P23" s="457"/>
      <c r="Q23" s="456"/>
      <c r="R23" s="456"/>
      <c r="S23" s="456"/>
      <c r="T23" s="456"/>
      <c r="U23" s="456"/>
    </row>
    <row r="24" spans="1:21" s="484" customFormat="1" ht="35.1" customHeight="1">
      <c r="B24" s="485" t="s">
        <v>75</v>
      </c>
      <c r="C24" s="486"/>
      <c r="D24" s="487"/>
      <c r="E24" s="488"/>
      <c r="F24" s="478"/>
      <c r="G24" s="488">
        <f>SUM(G20:G23)</f>
        <v>45944.32</v>
      </c>
      <c r="H24" s="488">
        <f>SUM(H20:H23)</f>
        <v>40797.42</v>
      </c>
      <c r="I24" s="488">
        <f>SUM(I20:I23)</f>
        <v>0</v>
      </c>
      <c r="J24" s="488"/>
      <c r="K24" s="488"/>
      <c r="L24" s="488"/>
      <c r="M24" s="488"/>
      <c r="N24" s="488"/>
      <c r="O24" s="488"/>
      <c r="P24" s="487"/>
    </row>
    <row r="25" spans="1:21" s="460" customFormat="1" ht="73.5" customHeight="1">
      <c r="A25" s="456"/>
      <c r="B25" s="489"/>
      <c r="C25" s="221"/>
      <c r="D25" s="457"/>
      <c r="E25" s="490"/>
      <c r="F25" s="490"/>
      <c r="G25" s="489"/>
      <c r="H25" s="489"/>
      <c r="I25" s="489"/>
      <c r="J25" s="489"/>
      <c r="K25" s="489"/>
      <c r="L25" s="489"/>
      <c r="M25" s="489"/>
      <c r="N25" s="489"/>
      <c r="O25" s="489"/>
      <c r="P25" s="457"/>
      <c r="Q25" s="456"/>
      <c r="R25" s="456"/>
      <c r="S25" s="456"/>
      <c r="T25" s="456"/>
      <c r="U25" s="456"/>
    </row>
    <row r="26" spans="1:21" s="460" customFormat="1" ht="35.1" customHeight="1">
      <c r="A26" s="456"/>
      <c r="B26" s="482" t="s">
        <v>76</v>
      </c>
      <c r="C26" s="483"/>
      <c r="D26" s="457"/>
      <c r="E26" s="467"/>
      <c r="F26" s="472"/>
      <c r="G26" s="467"/>
      <c r="H26" s="467"/>
      <c r="I26" s="467"/>
      <c r="J26" s="467"/>
      <c r="K26" s="467"/>
      <c r="L26" s="467"/>
      <c r="M26" s="467"/>
      <c r="N26" s="467"/>
      <c r="O26" s="467"/>
      <c r="P26" s="457"/>
      <c r="Q26" s="456"/>
      <c r="R26" s="456"/>
      <c r="S26" s="456"/>
      <c r="T26" s="456"/>
      <c r="U26" s="456"/>
    </row>
    <row r="27" spans="1:21" s="460" customFormat="1" ht="35.1" customHeight="1">
      <c r="A27" s="456"/>
      <c r="B27" s="482" t="s">
        <v>134</v>
      </c>
      <c r="C27" s="483"/>
      <c r="D27" s="457"/>
      <c r="E27" s="467"/>
      <c r="F27" s="472"/>
      <c r="G27" s="467">
        <v>48894.400000000001</v>
      </c>
      <c r="H27" s="491">
        <f>263796.7+86422.61</f>
        <v>350219.31</v>
      </c>
      <c r="I27" s="491">
        <v>28386</v>
      </c>
      <c r="J27" s="467"/>
      <c r="K27" s="467"/>
      <c r="L27" s="467"/>
      <c r="M27" s="467"/>
      <c r="N27" s="467"/>
      <c r="O27" s="467"/>
      <c r="P27" s="457"/>
      <c r="Q27" s="456"/>
      <c r="R27" s="456"/>
      <c r="S27" s="456"/>
      <c r="T27" s="456"/>
      <c r="U27" s="456"/>
    </row>
    <row r="28" spans="1:21" s="460" customFormat="1" ht="35.1" customHeight="1">
      <c r="A28" s="456"/>
      <c r="B28" s="482" t="s">
        <v>78</v>
      </c>
      <c r="C28" s="483"/>
      <c r="D28" s="457"/>
      <c r="E28" s="467"/>
      <c r="F28" s="472"/>
      <c r="G28" s="467">
        <v>239241.38</v>
      </c>
      <c r="H28" s="491">
        <v>-102943.19</v>
      </c>
      <c r="I28" s="491"/>
      <c r="J28" s="467"/>
      <c r="K28" s="467"/>
      <c r="L28" s="467"/>
      <c r="M28" s="467"/>
      <c r="N28" s="467"/>
      <c r="O28" s="467"/>
      <c r="P28" s="457"/>
      <c r="Q28" s="456"/>
      <c r="R28" s="456"/>
      <c r="S28" s="456"/>
      <c r="T28" s="456"/>
      <c r="U28" s="456"/>
    </row>
    <row r="29" spans="1:21" s="484" customFormat="1" ht="35.1" customHeight="1">
      <c r="B29" s="485" t="s">
        <v>79</v>
      </c>
      <c r="C29" s="486"/>
      <c r="D29" s="487"/>
      <c r="E29" s="488"/>
      <c r="F29" s="478"/>
      <c r="G29" s="488">
        <f>SUM(G26:G28)</f>
        <v>288135.78000000003</v>
      </c>
      <c r="H29" s="488">
        <f>SUM(H26:H28)</f>
        <v>247276.12</v>
      </c>
      <c r="I29" s="488">
        <f>SUM(I26:I28)</f>
        <v>28386</v>
      </c>
      <c r="J29" s="488"/>
      <c r="K29" s="488"/>
      <c r="L29" s="488"/>
      <c r="M29" s="488"/>
      <c r="N29" s="488"/>
      <c r="O29" s="488"/>
      <c r="P29" s="487"/>
    </row>
    <row r="30" spans="1:21" s="460" customFormat="1" ht="73.5" customHeight="1">
      <c r="A30" s="456"/>
      <c r="B30" s="489"/>
      <c r="C30" s="221"/>
      <c r="D30" s="457"/>
      <c r="E30" s="490"/>
      <c r="F30" s="490"/>
      <c r="G30" s="489"/>
      <c r="H30" s="489"/>
      <c r="I30" s="489"/>
      <c r="J30" s="489"/>
      <c r="K30" s="489"/>
      <c r="L30" s="489"/>
      <c r="M30" s="489"/>
      <c r="N30" s="489"/>
      <c r="O30" s="489"/>
      <c r="P30" s="457"/>
      <c r="Q30" s="456"/>
      <c r="R30" s="456"/>
      <c r="S30" s="456"/>
      <c r="T30" s="456"/>
      <c r="U30" s="456"/>
    </row>
    <row r="31" spans="1:21" s="460" customFormat="1" ht="35.1" customHeight="1">
      <c r="A31" s="456"/>
      <c r="B31" s="482" t="e">
        <f>'RECAP IND'!A13</f>
        <v>#REF!</v>
      </c>
      <c r="C31" s="483"/>
      <c r="D31" s="457"/>
      <c r="E31" s="474"/>
      <c r="F31" s="478"/>
      <c r="G31" s="474"/>
      <c r="H31" s="474"/>
      <c r="I31" s="474"/>
      <c r="J31" s="474"/>
      <c r="K31" s="474"/>
      <c r="L31" s="474"/>
      <c r="M31" s="474"/>
      <c r="N31" s="474"/>
      <c r="O31" s="474"/>
      <c r="P31" s="457"/>
      <c r="Q31" s="456"/>
      <c r="R31" s="456"/>
      <c r="S31" s="456"/>
      <c r="T31" s="456"/>
      <c r="U31" s="456"/>
    </row>
    <row r="32" spans="1:21" s="460" customFormat="1" ht="35.1" customHeight="1">
      <c r="A32" s="456"/>
      <c r="B32" s="482" t="e">
        <f>'RECAP IND'!A14</f>
        <v>#REF!</v>
      </c>
      <c r="C32" s="483"/>
      <c r="D32" s="457"/>
      <c r="E32" s="474"/>
      <c r="F32" s="478"/>
      <c r="G32" s="474"/>
      <c r="H32" s="474"/>
      <c r="I32" s="474"/>
      <c r="J32" s="474"/>
      <c r="K32" s="474"/>
      <c r="L32" s="474"/>
      <c r="M32" s="474"/>
      <c r="N32" s="474"/>
      <c r="O32" s="474"/>
      <c r="P32" s="457"/>
      <c r="Q32" s="456"/>
      <c r="R32" s="456"/>
      <c r="S32" s="456"/>
      <c r="T32" s="456"/>
      <c r="U32" s="456"/>
    </row>
    <row r="33" spans="1:21" s="460" customFormat="1" ht="35.1" customHeight="1">
      <c r="A33" s="456"/>
      <c r="B33" s="482" t="e">
        <f>'RECAP IND'!A15</f>
        <v>#REF!</v>
      </c>
      <c r="C33" s="483"/>
      <c r="D33" s="457"/>
      <c r="E33" s="474"/>
      <c r="F33" s="478"/>
      <c r="G33" s="474"/>
      <c r="H33" s="474"/>
      <c r="I33" s="474"/>
      <c r="J33" s="474"/>
      <c r="K33" s="474"/>
      <c r="L33" s="474"/>
      <c r="M33" s="474"/>
      <c r="N33" s="474"/>
      <c r="O33" s="474"/>
      <c r="P33" s="457"/>
      <c r="Q33" s="456"/>
      <c r="R33" s="456"/>
      <c r="S33" s="456"/>
      <c r="T33" s="456"/>
      <c r="U33" s="456"/>
    </row>
    <row r="34" spans="1:21" s="460" customFormat="1" ht="35.1" customHeight="1">
      <c r="A34" s="456"/>
      <c r="B34" s="482" t="e">
        <f>'RECAP IND'!A16</f>
        <v>#REF!</v>
      </c>
      <c r="C34" s="483"/>
      <c r="D34" s="457"/>
      <c r="E34" s="474"/>
      <c r="F34" s="478"/>
      <c r="G34" s="474"/>
      <c r="H34" s="474"/>
      <c r="I34" s="474"/>
      <c r="J34" s="474"/>
      <c r="K34" s="474"/>
      <c r="L34" s="474"/>
      <c r="M34" s="474"/>
      <c r="N34" s="474"/>
      <c r="O34" s="474"/>
      <c r="P34" s="457"/>
      <c r="Q34" s="456"/>
      <c r="R34" s="456"/>
      <c r="S34" s="456"/>
      <c r="T34" s="456"/>
      <c r="U34" s="456"/>
    </row>
    <row r="35" spans="1:21" s="460" customFormat="1" ht="35.1" customHeight="1">
      <c r="A35" s="456"/>
      <c r="B35" s="482" t="e">
        <f>'RECAP IND'!A17</f>
        <v>#REF!</v>
      </c>
      <c r="C35" s="483"/>
      <c r="D35" s="457"/>
      <c r="E35" s="474"/>
      <c r="F35" s="478"/>
      <c r="G35" s="474"/>
      <c r="H35" s="474"/>
      <c r="I35" s="474"/>
      <c r="J35" s="474"/>
      <c r="K35" s="474"/>
      <c r="L35" s="474"/>
      <c r="M35" s="474"/>
      <c r="N35" s="474"/>
      <c r="O35" s="474"/>
      <c r="P35" s="457"/>
      <c r="Q35" s="456"/>
      <c r="R35" s="456"/>
      <c r="S35" s="456"/>
      <c r="T35" s="456"/>
      <c r="U35" s="456"/>
    </row>
    <row r="36" spans="1:21" s="460" customFormat="1" ht="35.1" customHeight="1">
      <c r="A36" s="456"/>
      <c r="B36" s="482" t="e">
        <f>'RECAP IND'!A18</f>
        <v>#REF!</v>
      </c>
      <c r="C36" s="483"/>
      <c r="D36" s="457"/>
      <c r="E36" s="474"/>
      <c r="F36" s="478"/>
      <c r="G36" s="474"/>
      <c r="H36" s="474"/>
      <c r="I36" s="474"/>
      <c r="J36" s="474"/>
      <c r="K36" s="474"/>
      <c r="L36" s="474"/>
      <c r="M36" s="474"/>
      <c r="N36" s="474"/>
      <c r="O36" s="474"/>
      <c r="P36" s="457"/>
      <c r="Q36" s="456"/>
      <c r="R36" s="456"/>
      <c r="S36" s="456"/>
      <c r="T36" s="456"/>
      <c r="U36" s="456"/>
    </row>
    <row r="37" spans="1:21" s="460" customFormat="1" ht="35.1" customHeight="1">
      <c r="A37" s="456"/>
      <c r="B37" s="482" t="e">
        <f>'RECAP IND'!A19</f>
        <v>#REF!</v>
      </c>
      <c r="C37" s="483"/>
      <c r="D37" s="457"/>
      <c r="E37" s="474"/>
      <c r="F37" s="478"/>
      <c r="G37" s="474"/>
      <c r="H37" s="474"/>
      <c r="I37" s="474"/>
      <c r="J37" s="474"/>
      <c r="K37" s="474"/>
      <c r="L37" s="474"/>
      <c r="M37" s="474"/>
      <c r="N37" s="474"/>
      <c r="O37" s="474"/>
      <c r="P37" s="457"/>
      <c r="Q37" s="456"/>
      <c r="R37" s="456"/>
      <c r="S37" s="456"/>
      <c r="T37" s="456"/>
      <c r="U37" s="456"/>
    </row>
    <row r="38" spans="1:21" s="460" customFormat="1" ht="35.1" customHeight="1">
      <c r="A38" s="456"/>
      <c r="B38" s="482" t="e">
        <f>'RECAP IND'!A20</f>
        <v>#REF!</v>
      </c>
      <c r="C38" s="483"/>
      <c r="D38" s="457"/>
      <c r="E38" s="474"/>
      <c r="F38" s="478"/>
      <c r="G38" s="474"/>
      <c r="H38" s="474"/>
      <c r="I38" s="474"/>
      <c r="J38" s="474"/>
      <c r="K38" s="474"/>
      <c r="L38" s="474"/>
      <c r="M38" s="474"/>
      <c r="N38" s="474"/>
      <c r="O38" s="474"/>
      <c r="P38" s="457"/>
      <c r="Q38" s="456"/>
      <c r="R38" s="456"/>
      <c r="S38" s="456"/>
      <c r="T38" s="456"/>
      <c r="U38" s="456"/>
    </row>
    <row r="39" spans="1:21" s="460" customFormat="1" ht="35.1" customHeight="1">
      <c r="A39" s="456"/>
      <c r="B39" s="482" t="e">
        <f>'RECAP IND'!A21</f>
        <v>#REF!</v>
      </c>
      <c r="C39" s="483"/>
      <c r="D39" s="457"/>
      <c r="E39" s="474"/>
      <c r="F39" s="478"/>
      <c r="G39" s="474"/>
      <c r="H39" s="474"/>
      <c r="I39" s="474"/>
      <c r="J39" s="474"/>
      <c r="K39" s="474"/>
      <c r="L39" s="474"/>
      <c r="M39" s="474"/>
      <c r="N39" s="474"/>
      <c r="O39" s="474"/>
      <c r="P39" s="457"/>
      <c r="Q39" s="456"/>
      <c r="R39" s="456"/>
      <c r="S39" s="456"/>
      <c r="T39" s="456"/>
      <c r="U39" s="456"/>
    </row>
    <row r="40" spans="1:21" s="460" customFormat="1" ht="35.1" customHeight="1">
      <c r="A40" s="456"/>
      <c r="B40" s="482" t="e">
        <f>'RECAP IND'!A22</f>
        <v>#REF!</v>
      </c>
      <c r="C40" s="483"/>
      <c r="D40" s="457"/>
      <c r="E40" s="474"/>
      <c r="F40" s="478"/>
      <c r="G40" s="474"/>
      <c r="H40" s="474"/>
      <c r="I40" s="474"/>
      <c r="J40" s="474"/>
      <c r="K40" s="474"/>
      <c r="L40" s="474"/>
      <c r="M40" s="474"/>
      <c r="N40" s="474"/>
      <c r="O40" s="474"/>
      <c r="P40" s="457"/>
      <c r="Q40" s="456"/>
      <c r="R40" s="456"/>
      <c r="S40" s="456"/>
      <c r="T40" s="456"/>
      <c r="U40" s="456"/>
    </row>
    <row r="41" spans="1:21" s="460" customFormat="1" ht="35.1" customHeight="1">
      <c r="A41" s="456"/>
      <c r="B41" s="482" t="e">
        <f>'RECAP IND'!A23</f>
        <v>#REF!</v>
      </c>
      <c r="C41" s="483"/>
      <c r="D41" s="457"/>
      <c r="E41" s="474"/>
      <c r="F41" s="478"/>
      <c r="G41" s="474"/>
      <c r="H41" s="474"/>
      <c r="I41" s="474"/>
      <c r="J41" s="474"/>
      <c r="K41" s="474"/>
      <c r="L41" s="474"/>
      <c r="M41" s="474"/>
      <c r="N41" s="474"/>
      <c r="O41" s="474"/>
      <c r="P41" s="457"/>
      <c r="Q41" s="456"/>
      <c r="R41" s="456"/>
      <c r="S41" s="456"/>
      <c r="T41" s="456"/>
      <c r="U41" s="456"/>
    </row>
    <row r="42" spans="1:21" s="460" customFormat="1" ht="35.1" customHeight="1">
      <c r="A42" s="456"/>
      <c r="B42" s="482" t="e">
        <f>'RECAP IND'!A24</f>
        <v>#REF!</v>
      </c>
      <c r="C42" s="483"/>
      <c r="D42" s="457"/>
      <c r="E42" s="1286"/>
      <c r="F42" s="1287"/>
      <c r="G42" s="1286"/>
      <c r="H42" s="1286"/>
      <c r="I42" s="1286"/>
      <c r="J42" s="1286"/>
      <c r="K42" s="1286"/>
      <c r="L42" s="1286"/>
      <c r="M42" s="1286"/>
      <c r="N42" s="1286"/>
      <c r="O42" s="1286"/>
      <c r="P42" s="457"/>
      <c r="Q42" s="456"/>
      <c r="R42" s="456"/>
      <c r="S42" s="456"/>
      <c r="T42" s="456"/>
      <c r="U42" s="456"/>
    </row>
    <row r="43" spans="1:21" s="484" customFormat="1" ht="35.1" customHeight="1">
      <c r="B43" s="485" t="s">
        <v>330</v>
      </c>
      <c r="C43" s="486"/>
      <c r="D43" s="487"/>
      <c r="E43" s="488"/>
      <c r="F43" s="478"/>
      <c r="G43" s="488">
        <f>SUM(G31:G42)</f>
        <v>0</v>
      </c>
      <c r="H43" s="488">
        <f t="shared" ref="H43:O43" si="1">SUM(H31:H42)</f>
        <v>0</v>
      </c>
      <c r="I43" s="488">
        <f t="shared" si="1"/>
        <v>0</v>
      </c>
      <c r="J43" s="488">
        <f t="shared" si="1"/>
        <v>0</v>
      </c>
      <c r="K43" s="488">
        <f t="shared" si="1"/>
        <v>0</v>
      </c>
      <c r="L43" s="488">
        <f t="shared" si="1"/>
        <v>0</v>
      </c>
      <c r="M43" s="488">
        <f t="shared" si="1"/>
        <v>0</v>
      </c>
      <c r="N43" s="488">
        <f t="shared" si="1"/>
        <v>0</v>
      </c>
      <c r="O43" s="488">
        <f t="shared" si="1"/>
        <v>0</v>
      </c>
      <c r="P43" s="487"/>
    </row>
    <row r="44" spans="1:21" s="492" customFormat="1" ht="34.5" customHeight="1">
      <c r="B44" s="493"/>
      <c r="C44" s="493"/>
      <c r="D44" s="155"/>
      <c r="E44" s="494"/>
      <c r="F44" s="494"/>
      <c r="G44" s="155"/>
      <c r="H44" s="155"/>
      <c r="I44" s="155"/>
      <c r="J44" s="155"/>
      <c r="K44" s="155"/>
      <c r="L44" s="155"/>
      <c r="M44" s="155"/>
      <c r="N44" s="155"/>
      <c r="O44" s="155"/>
      <c r="P44" s="155"/>
    </row>
    <row r="45" spans="1:21" s="484" customFormat="1" ht="35.1" customHeight="1">
      <c r="B45" s="495" t="s">
        <v>68</v>
      </c>
      <c r="C45" s="496"/>
      <c r="D45" s="487"/>
      <c r="E45" s="477"/>
      <c r="F45" s="478"/>
      <c r="G45" s="477">
        <f>G43+G29+G24</f>
        <v>334080.10000000003</v>
      </c>
      <c r="H45" s="477">
        <f t="shared" ref="H45:O45" si="2">H43+H29+H24</f>
        <v>288073.53999999998</v>
      </c>
      <c r="I45" s="477">
        <f t="shared" si="2"/>
        <v>28386</v>
      </c>
      <c r="J45" s="477">
        <f t="shared" si="2"/>
        <v>0</v>
      </c>
      <c r="K45" s="477">
        <f t="shared" si="2"/>
        <v>0</v>
      </c>
      <c r="L45" s="477">
        <f t="shared" si="2"/>
        <v>0</v>
      </c>
      <c r="M45" s="477">
        <f t="shared" si="2"/>
        <v>0</v>
      </c>
      <c r="N45" s="477">
        <f t="shared" si="2"/>
        <v>0</v>
      </c>
      <c r="O45" s="477">
        <f t="shared" si="2"/>
        <v>0</v>
      </c>
      <c r="P45" s="487"/>
    </row>
    <row r="46" spans="1:21" s="460" customFormat="1" ht="49.5" customHeight="1">
      <c r="A46" s="456"/>
      <c r="B46" s="489"/>
      <c r="C46" s="221"/>
      <c r="D46" s="457"/>
      <c r="E46" s="490"/>
      <c r="F46" s="490"/>
      <c r="G46" s="489"/>
      <c r="H46" s="489"/>
      <c r="I46" s="489"/>
      <c r="J46" s="489"/>
      <c r="K46" s="489"/>
      <c r="L46" s="489"/>
      <c r="M46" s="489"/>
      <c r="N46" s="489"/>
      <c r="O46" s="489"/>
      <c r="P46" s="457"/>
      <c r="Q46" s="456"/>
      <c r="R46" s="456"/>
      <c r="S46" s="456"/>
      <c r="T46" s="456"/>
      <c r="U46" s="456"/>
    </row>
    <row r="47" spans="1:21" s="484" customFormat="1" ht="35.1" customHeight="1">
      <c r="B47" s="495" t="s">
        <v>96</v>
      </c>
      <c r="C47" s="496"/>
      <c r="D47" s="487"/>
      <c r="E47" s="477"/>
      <c r="F47" s="478"/>
      <c r="G47" s="477">
        <f>G17*SUM(CHAPEAU!$E$22:$E$27)</f>
        <v>32919.9</v>
      </c>
      <c r="H47" s="477">
        <f>H17*SUM(CHAPEAU!$E$22:$E$27)</f>
        <v>28386.462</v>
      </c>
      <c r="I47" s="477">
        <f>I17*SUM(CHAPEAU!$E$22:$E$27)</f>
        <v>2797.1151</v>
      </c>
      <c r="J47" s="477">
        <f>J17*SUM(CHAPEAU!$E$22:$E$27)</f>
        <v>9477.4786469999999</v>
      </c>
      <c r="K47" s="477">
        <f>K17*SUM(CHAPEAU!$E$22:$E$27)</f>
        <v>6029.8134</v>
      </c>
      <c r="L47" s="477">
        <f>L17*SUM(CHAPEAU!$E$22:$E$27)</f>
        <v>4019.1878999999999</v>
      </c>
      <c r="M47" s="477">
        <f>M17*SUM(CHAPEAU!$E$22:$E$27)</f>
        <v>42967.692144000001</v>
      </c>
      <c r="N47" s="477">
        <f>N17*SUM(CHAPEAU!$E$22:$E$27)</f>
        <v>0</v>
      </c>
      <c r="O47" s="477">
        <f>O17*SUM(CHAPEAU!$E$22:$E$27)</f>
        <v>0</v>
      </c>
      <c r="P47" s="487"/>
    </row>
    <row r="48" spans="1:21" s="460" customFormat="1" ht="69" customHeight="1">
      <c r="A48" s="456"/>
      <c r="B48" s="489"/>
      <c r="C48" s="221"/>
      <c r="D48" s="457"/>
      <c r="E48" s="490"/>
      <c r="F48" s="490"/>
      <c r="G48" s="489"/>
      <c r="H48" s="489"/>
      <c r="I48" s="489"/>
      <c r="J48" s="489"/>
      <c r="K48" s="489"/>
      <c r="L48" s="489"/>
      <c r="M48" s="489"/>
      <c r="N48" s="489"/>
      <c r="O48" s="489"/>
      <c r="P48" s="457"/>
      <c r="Q48" s="456"/>
      <c r="R48" s="456"/>
      <c r="S48" s="456"/>
      <c r="T48" s="456"/>
      <c r="U48" s="456"/>
    </row>
    <row r="49" spans="2:16" s="484" customFormat="1" ht="34.5" customHeight="1">
      <c r="B49" s="495" t="s">
        <v>137</v>
      </c>
      <c r="C49" s="496"/>
      <c r="D49" s="487"/>
      <c r="E49" s="477">
        <f>SUM(G49:O49)</f>
        <v>634207.7408090001</v>
      </c>
      <c r="F49" s="478"/>
      <c r="G49" s="477">
        <f>G17-G45-G47</f>
        <v>0</v>
      </c>
      <c r="H49" s="477">
        <f t="shared" ref="H49:O49" si="3">H17-H45-H47</f>
        <v>-1.9999999785795808E-3</v>
      </c>
      <c r="I49" s="477">
        <f t="shared" si="3"/>
        <v>-0.11509999999998399</v>
      </c>
      <c r="J49" s="477">
        <f t="shared" si="3"/>
        <v>96180.031352999998</v>
      </c>
      <c r="K49" s="477">
        <f t="shared" si="3"/>
        <v>61192.186600000001</v>
      </c>
      <c r="L49" s="477">
        <f t="shared" si="3"/>
        <v>40787.812100000003</v>
      </c>
      <c r="M49" s="477">
        <f t="shared" si="3"/>
        <v>436047.82785600005</v>
      </c>
      <c r="N49" s="477">
        <f t="shared" si="3"/>
        <v>0</v>
      </c>
      <c r="O49" s="477">
        <f t="shared" si="3"/>
        <v>0</v>
      </c>
      <c r="P49" s="487"/>
    </row>
    <row r="50" spans="2:16" s="484" customFormat="1" ht="35.1" customHeight="1">
      <c r="B50" s="485" t="s">
        <v>138</v>
      </c>
      <c r="C50" s="486"/>
      <c r="D50" s="487"/>
      <c r="E50" s="497">
        <f>IF(E17=0,0,E49/E17)</f>
        <v>0.44936406571609216</v>
      </c>
      <c r="F50" s="498"/>
      <c r="G50" s="497">
        <f>IF(G17=0,0,G49/G17)</f>
        <v>0</v>
      </c>
      <c r="H50" s="497">
        <f t="shared" ref="H50:O50" si="4">IF(H17=0,0,H49/H17)</f>
        <v>-6.3199139814813273E-9</v>
      </c>
      <c r="I50" s="497">
        <f t="shared" si="4"/>
        <v>-3.6911137478749318E-6</v>
      </c>
      <c r="J50" s="499">
        <f t="shared" si="4"/>
        <v>0.9103</v>
      </c>
      <c r="K50" s="499">
        <f t="shared" si="4"/>
        <v>0.9103</v>
      </c>
      <c r="L50" s="499">
        <f t="shared" si="4"/>
        <v>0.91030000000000011</v>
      </c>
      <c r="M50" s="499">
        <f t="shared" si="4"/>
        <v>0.91030000000000011</v>
      </c>
      <c r="N50" s="499">
        <f t="shared" si="4"/>
        <v>0</v>
      </c>
      <c r="O50" s="499">
        <f t="shared" si="4"/>
        <v>0</v>
      </c>
      <c r="P50" s="487"/>
    </row>
    <row r="51" spans="2:16" s="484" customFormat="1" ht="35.1" customHeight="1">
      <c r="B51" s="485" t="s">
        <v>139</v>
      </c>
      <c r="C51" s="486"/>
      <c r="D51" s="487"/>
      <c r="E51" s="488">
        <f>SUM(G51:O51)</f>
        <v>0</v>
      </c>
      <c r="F51" s="478"/>
      <c r="G51" s="488">
        <v>0</v>
      </c>
      <c r="H51" s="488"/>
      <c r="I51" s="488">
        <v>0</v>
      </c>
      <c r="J51" s="488">
        <v>0</v>
      </c>
      <c r="K51" s="488">
        <v>0</v>
      </c>
      <c r="L51" s="488">
        <v>0</v>
      </c>
      <c r="M51" s="488">
        <v>0</v>
      </c>
      <c r="N51" s="488">
        <v>0</v>
      </c>
      <c r="O51" s="488">
        <v>0</v>
      </c>
      <c r="P51" s="487"/>
    </row>
  </sheetData>
  <mergeCells count="5">
    <mergeCell ref="D3:K3"/>
    <mergeCell ref="D6:K6"/>
    <mergeCell ref="D7:K7"/>
    <mergeCell ref="B10:O10"/>
    <mergeCell ref="B11:O11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N48"/>
  <sheetViews>
    <sheetView showGridLines="0" zoomScale="50" zoomScaleNormal="50" zoomScalePageLayoutView="50" workbookViewId="0">
      <selection activeCell="D31" sqref="D31"/>
    </sheetView>
  </sheetViews>
  <sheetFormatPr baseColWidth="10" defaultRowHeight="15"/>
  <cols>
    <col min="1" max="1" width="10.7109375" customWidth="1"/>
    <col min="2" max="2" width="21.7109375" customWidth="1"/>
    <col min="3" max="3" width="34.85546875" customWidth="1"/>
    <col min="4" max="4" width="20.7109375" customWidth="1"/>
    <col min="5" max="10" width="11.42578125" customWidth="1"/>
    <col min="11" max="11" width="25.7109375" customWidth="1"/>
    <col min="12" max="12" width="5.7109375" customWidth="1"/>
    <col min="13" max="13" width="22.85546875" customWidth="1"/>
    <col min="14" max="14" width="2.7109375" customWidth="1"/>
  </cols>
  <sheetData>
    <row r="1" spans="1:14" ht="19.5" customHeight="1" thickBot="1"/>
    <row r="2" spans="1:14" ht="29.25" customHeight="1" thickTop="1">
      <c r="B2" s="446"/>
      <c r="C2" s="505"/>
      <c r="D2" s="447"/>
      <c r="E2" s="447"/>
      <c r="F2" s="447"/>
      <c r="G2" s="447"/>
      <c r="H2" s="447"/>
      <c r="I2" s="447"/>
      <c r="J2" s="447"/>
      <c r="K2" s="510" t="s">
        <v>19</v>
      </c>
      <c r="L2" s="447"/>
      <c r="M2" s="518">
        <f>SYNTHESE!N2</f>
        <v>42736</v>
      </c>
      <c r="N2" s="513"/>
    </row>
    <row r="3" spans="1:14" ht="29.25" customHeight="1">
      <c r="B3" s="449"/>
      <c r="C3" s="506"/>
      <c r="D3" s="1670" t="s">
        <v>15</v>
      </c>
      <c r="E3" s="1671"/>
      <c r="F3" s="1671"/>
      <c r="G3" s="1671"/>
      <c r="H3" s="1671"/>
      <c r="I3" s="1671"/>
      <c r="J3" s="1672"/>
      <c r="K3" s="511" t="s">
        <v>20</v>
      </c>
      <c r="L3" s="125"/>
      <c r="M3" s="516" t="str">
        <f>SYNTHESE!N3</f>
        <v>Dirhams</v>
      </c>
      <c r="N3" s="514"/>
    </row>
    <row r="4" spans="1:14" ht="29.25" customHeight="1">
      <c r="B4" s="449"/>
      <c r="C4" s="508" t="str">
        <f>SYNTHESE!D4</f>
        <v>POINT 50%</v>
      </c>
      <c r="D4" s="125"/>
      <c r="E4" s="125"/>
      <c r="F4" s="125"/>
      <c r="G4" s="125"/>
      <c r="H4" s="125"/>
      <c r="I4" s="125"/>
      <c r="J4" s="125"/>
      <c r="K4" s="511" t="s">
        <v>22</v>
      </c>
      <c r="L4" s="125"/>
      <c r="M4" s="516" t="str">
        <f>SYNTHESE!N4</f>
        <v>1 € = 10,85dh</v>
      </c>
      <c r="N4" s="514"/>
    </row>
    <row r="5" spans="1:14" ht="29.25" customHeight="1">
      <c r="B5" s="449"/>
      <c r="C5" s="506"/>
      <c r="D5" s="125"/>
      <c r="E5" s="125"/>
      <c r="F5" s="125"/>
      <c r="G5" s="125"/>
      <c r="H5" s="125"/>
      <c r="I5" s="125"/>
      <c r="J5" s="125"/>
      <c r="K5" s="511" t="s">
        <v>23</v>
      </c>
      <c r="L5" s="125"/>
      <c r="M5" s="1282">
        <f>SYNTHESE!M5</f>
        <v>42289</v>
      </c>
      <c r="N5" s="514"/>
    </row>
    <row r="6" spans="1:14" ht="29.25" customHeight="1">
      <c r="B6" s="449"/>
      <c r="C6" s="506"/>
      <c r="D6" s="1670" t="str">
        <f>SYNTHESE!E6</f>
        <v xml:space="preserve">LES FAUBOURGS D'ANFA </v>
      </c>
      <c r="E6" s="1671"/>
      <c r="F6" s="1671"/>
      <c r="G6" s="1671"/>
      <c r="H6" s="1671"/>
      <c r="I6" s="1671"/>
      <c r="J6" s="1672"/>
      <c r="K6" s="511" t="s">
        <v>24</v>
      </c>
      <c r="L6" s="125"/>
      <c r="M6" s="516" t="str">
        <f>SYNTHESE!N6</f>
        <v>26 mois</v>
      </c>
      <c r="N6" s="514"/>
    </row>
    <row r="7" spans="1:14" ht="29.25" customHeight="1">
      <c r="B7" s="449"/>
      <c r="C7" s="509">
        <f>SYNTHESE!D7</f>
        <v>42800</v>
      </c>
      <c r="D7" s="1670" t="str">
        <f>SYNTHESE!E7</f>
        <v>CASABLANCA</v>
      </c>
      <c r="E7" s="1671"/>
      <c r="F7" s="1671"/>
      <c r="G7" s="1671"/>
      <c r="H7" s="1671"/>
      <c r="I7" s="1671"/>
      <c r="J7" s="1672"/>
      <c r="K7" s="511" t="s">
        <v>26</v>
      </c>
      <c r="L7" s="125"/>
      <c r="M7" s="516" t="str">
        <f>SYNTHESE!N7</f>
        <v>4783m² SHO</v>
      </c>
      <c r="N7" s="514"/>
    </row>
    <row r="8" spans="1:14" ht="29.25" customHeight="1" thickBot="1">
      <c r="B8" s="451"/>
      <c r="C8" s="507"/>
      <c r="D8" s="452"/>
      <c r="E8" s="452"/>
      <c r="F8" s="452"/>
      <c r="G8" s="452"/>
      <c r="H8" s="452"/>
      <c r="I8" s="452"/>
      <c r="J8" s="452"/>
      <c r="K8" s="512" t="s">
        <v>28</v>
      </c>
      <c r="L8" s="452"/>
      <c r="M8" s="517"/>
      <c r="N8" s="515"/>
    </row>
    <row r="9" spans="1:14" s="454" customFormat="1" ht="43.5" customHeight="1" thickTop="1">
      <c r="D9" s="519"/>
      <c r="H9" s="520"/>
      <c r="J9" s="520"/>
      <c r="K9" s="521"/>
      <c r="L9" s="522"/>
      <c r="M9" s="521"/>
    </row>
    <row r="10" spans="1:14" s="219" customFormat="1" ht="40.5" customHeight="1">
      <c r="A10" s="220"/>
      <c r="B10" s="1673" t="s">
        <v>149</v>
      </c>
      <c r="C10" s="1674"/>
      <c r="D10" s="1674"/>
      <c r="E10" s="1674"/>
      <c r="F10" s="1674"/>
      <c r="G10" s="1674"/>
      <c r="H10" s="1674"/>
      <c r="I10" s="1674"/>
      <c r="J10" s="1674"/>
      <c r="K10" s="1674"/>
      <c r="L10" s="1674"/>
      <c r="M10" s="1674"/>
      <c r="N10" s="1675"/>
    </row>
    <row r="11" spans="1:14" s="454" customFormat="1" ht="38.25" customHeight="1">
      <c r="A11" s="523"/>
      <c r="B11" s="1676" t="s">
        <v>1</v>
      </c>
      <c r="C11" s="1676"/>
      <c r="D11" s="1676"/>
      <c r="E11" s="1676"/>
      <c r="F11" s="1676"/>
      <c r="G11" s="1676"/>
      <c r="H11" s="1676"/>
      <c r="I11" s="1676"/>
      <c r="J11" s="1676"/>
      <c r="K11" s="1676"/>
      <c r="L11" s="1676"/>
      <c r="M11" s="1676"/>
      <c r="N11" s="1676"/>
    </row>
    <row r="12" spans="1:14" s="526" customFormat="1" ht="39" customHeight="1">
      <c r="A12" s="454"/>
      <c r="B12" s="524"/>
      <c r="C12" s="524"/>
      <c r="D12" s="525"/>
      <c r="E12" s="454"/>
      <c r="F12" s="454"/>
      <c r="G12" s="454"/>
      <c r="H12" s="520"/>
      <c r="I12" s="454"/>
      <c r="J12" s="520"/>
      <c r="K12" s="521"/>
      <c r="L12" s="522"/>
      <c r="M12" s="521"/>
      <c r="N12" s="454"/>
    </row>
    <row r="13" spans="1:14" s="454" customFormat="1" ht="37.5" customHeight="1">
      <c r="A13" s="527"/>
      <c r="B13" s="1665" t="s">
        <v>150</v>
      </c>
      <c r="C13" s="1666"/>
      <c r="D13" s="528" t="s">
        <v>41</v>
      </c>
      <c r="E13" s="1667" t="s">
        <v>151</v>
      </c>
      <c r="F13" s="1668"/>
      <c r="G13" s="1668"/>
      <c r="H13" s="1668"/>
      <c r="I13" s="1668"/>
      <c r="J13" s="1668"/>
      <c r="K13" s="1668"/>
      <c r="L13" s="1668"/>
      <c r="M13" s="1668"/>
      <c r="N13" s="1669"/>
    </row>
    <row r="14" spans="1:14" s="454" customFormat="1" ht="16.5">
      <c r="B14" s="529"/>
      <c r="C14" s="529"/>
      <c r="D14" s="530"/>
      <c r="E14" s="531"/>
      <c r="F14" s="531"/>
      <c r="G14" s="531"/>
      <c r="H14" s="531"/>
      <c r="I14" s="531"/>
      <c r="J14" s="531"/>
      <c r="K14" s="531"/>
      <c r="L14" s="531"/>
      <c r="M14" s="531"/>
      <c r="N14" s="531"/>
    </row>
    <row r="15" spans="1:14" s="526" customFormat="1" ht="24.75" customHeight="1">
      <c r="A15" s="454"/>
      <c r="B15" s="454"/>
      <c r="C15" s="454"/>
      <c r="D15" s="519"/>
      <c r="E15" s="454"/>
      <c r="F15" s="454"/>
      <c r="G15" s="454"/>
      <c r="H15" s="520"/>
      <c r="I15" s="454"/>
      <c r="J15" s="520"/>
      <c r="K15" s="521"/>
      <c r="L15" s="522"/>
      <c r="M15" s="521"/>
      <c r="N15" s="454"/>
    </row>
    <row r="16" spans="1:14" s="526" customFormat="1" ht="39.75" customHeight="1">
      <c r="B16" s="532" t="s">
        <v>74</v>
      </c>
      <c r="C16" s="533"/>
      <c r="D16" s="534" t="e">
        <f>DCH!P16</f>
        <v>#REF!</v>
      </c>
      <c r="E16" s="1662"/>
      <c r="F16" s="1663"/>
      <c r="G16" s="1663"/>
      <c r="H16" s="1663"/>
      <c r="I16" s="1663"/>
      <c r="J16" s="1663"/>
      <c r="K16" s="1663"/>
      <c r="L16" s="1663"/>
      <c r="M16" s="1663"/>
      <c r="N16" s="1664"/>
    </row>
    <row r="17" spans="1:14" s="526" customFormat="1" ht="39.75" customHeight="1">
      <c r="B17" s="532" t="s">
        <v>84</v>
      </c>
      <c r="C17" s="533"/>
      <c r="D17" s="534" t="e">
        <f>DCH!P17</f>
        <v>#REF!</v>
      </c>
      <c r="E17" s="1662"/>
      <c r="F17" s="1663"/>
      <c r="G17" s="1663"/>
      <c r="H17" s="1663"/>
      <c r="I17" s="1663"/>
      <c r="J17" s="1663"/>
      <c r="K17" s="1663"/>
      <c r="L17" s="1663"/>
      <c r="M17" s="1663"/>
      <c r="N17" s="1664"/>
    </row>
    <row r="18" spans="1:14" s="526" customFormat="1" ht="39.75" customHeight="1">
      <c r="B18" s="532" t="s">
        <v>85</v>
      </c>
      <c r="C18" s="533"/>
      <c r="D18" s="534" t="e">
        <f>DCH!P18</f>
        <v>#REF!</v>
      </c>
      <c r="E18" s="1662"/>
      <c r="F18" s="1663"/>
      <c r="G18" s="1663"/>
      <c r="H18" s="1663"/>
      <c r="I18" s="1663"/>
      <c r="J18" s="1663"/>
      <c r="K18" s="1663"/>
      <c r="L18" s="1663"/>
      <c r="M18" s="1663"/>
      <c r="N18" s="1664"/>
    </row>
    <row r="19" spans="1:14" s="535" customFormat="1" ht="39.75" customHeight="1">
      <c r="A19" s="526"/>
      <c r="B19" s="532" t="s">
        <v>86</v>
      </c>
      <c r="C19" s="533"/>
      <c r="D19" s="534" t="e">
        <f>DCH!P19</f>
        <v>#REF!</v>
      </c>
      <c r="E19" s="1662"/>
      <c r="F19" s="1663"/>
      <c r="G19" s="1663"/>
      <c r="H19" s="1663"/>
      <c r="I19" s="1663"/>
      <c r="J19" s="1663"/>
      <c r="K19" s="1663"/>
      <c r="L19" s="1663"/>
      <c r="M19" s="1663"/>
      <c r="N19" s="1664"/>
    </row>
    <row r="20" spans="1:14" s="539" customFormat="1" ht="39.75" customHeight="1">
      <c r="A20" s="535"/>
      <c r="B20" s="536" t="s">
        <v>75</v>
      </c>
      <c r="C20" s="537"/>
      <c r="D20" s="538" t="e">
        <f>SUM(D16:D19)</f>
        <v>#REF!</v>
      </c>
      <c r="E20" s="1663"/>
      <c r="F20" s="1663"/>
      <c r="G20" s="1663"/>
      <c r="H20" s="1663"/>
      <c r="I20" s="1663"/>
      <c r="J20" s="1663"/>
      <c r="K20" s="1663"/>
      <c r="L20" s="1663"/>
      <c r="M20" s="1663"/>
      <c r="N20" s="1664"/>
    </row>
    <row r="21" spans="1:14" s="539" customFormat="1" ht="21.75" customHeight="1">
      <c r="A21" s="535"/>
      <c r="B21" s="554"/>
      <c r="C21" s="558"/>
      <c r="D21" s="558"/>
      <c r="E21" s="542"/>
      <c r="F21" s="542"/>
      <c r="G21" s="542"/>
      <c r="H21" s="542"/>
      <c r="I21" s="542"/>
      <c r="J21" s="542"/>
      <c r="K21" s="542"/>
      <c r="L21" s="542"/>
      <c r="M21" s="542"/>
      <c r="N21" s="542"/>
    </row>
    <row r="22" spans="1:14" s="539" customFormat="1" ht="21.75" customHeight="1">
      <c r="B22" s="540"/>
      <c r="D22" s="541"/>
      <c r="E22" s="542"/>
      <c r="F22" s="542"/>
      <c r="G22" s="542"/>
      <c r="H22" s="542"/>
      <c r="I22" s="542"/>
      <c r="J22" s="542"/>
      <c r="K22" s="542"/>
      <c r="L22" s="542"/>
      <c r="M22" s="542"/>
      <c r="N22" s="542"/>
    </row>
    <row r="23" spans="1:14" s="526" customFormat="1" ht="40.5" customHeight="1">
      <c r="B23" s="532" t="s">
        <v>76</v>
      </c>
      <c r="C23" s="533"/>
      <c r="D23" s="534">
        <f>DCH!P23</f>
        <v>1240449</v>
      </c>
      <c r="E23" s="1662" t="s">
        <v>152</v>
      </c>
      <c r="F23" s="1663"/>
      <c r="G23" s="1663"/>
      <c r="H23" s="1663"/>
      <c r="I23" s="1663"/>
      <c r="J23" s="1663"/>
      <c r="K23" s="1663"/>
      <c r="L23" s="1663"/>
      <c r="M23" s="1663"/>
      <c r="N23" s="1664"/>
    </row>
    <row r="24" spans="1:14" s="526" customFormat="1" ht="40.5" customHeight="1">
      <c r="B24" s="532" t="s">
        <v>77</v>
      </c>
      <c r="C24" s="533"/>
      <c r="D24" s="534">
        <f>DCH!P24</f>
        <v>12000000</v>
      </c>
      <c r="E24" s="1662" t="s">
        <v>153</v>
      </c>
      <c r="F24" s="1663"/>
      <c r="G24" s="1663"/>
      <c r="H24" s="1663"/>
      <c r="I24" s="1663"/>
      <c r="J24" s="1663"/>
      <c r="K24" s="1663"/>
      <c r="L24" s="1663"/>
      <c r="M24" s="1663"/>
      <c r="N24" s="1664"/>
    </row>
    <row r="25" spans="1:14" s="535" customFormat="1" ht="40.5" customHeight="1">
      <c r="A25" s="526"/>
      <c r="B25" s="532" t="s">
        <v>78</v>
      </c>
      <c r="C25" s="533"/>
      <c r="D25" s="534">
        <f>DCH!P25</f>
        <v>708655</v>
      </c>
      <c r="E25" s="1662" t="s">
        <v>154</v>
      </c>
      <c r="F25" s="1663"/>
      <c r="G25" s="1663"/>
      <c r="H25" s="1663"/>
      <c r="I25" s="1663"/>
      <c r="J25" s="1663"/>
      <c r="K25" s="1663"/>
      <c r="L25" s="1663"/>
      <c r="M25" s="1663"/>
      <c r="N25" s="1664"/>
    </row>
    <row r="26" spans="1:14" s="539" customFormat="1" ht="40.5" customHeight="1">
      <c r="A26" s="535"/>
      <c r="B26" s="536" t="s">
        <v>79</v>
      </c>
      <c r="C26" s="537"/>
      <c r="D26" s="538">
        <f>SUM(D23:D25)</f>
        <v>13949104</v>
      </c>
      <c r="E26" s="1663"/>
      <c r="F26" s="1663"/>
      <c r="G26" s="1663"/>
      <c r="H26" s="1663"/>
      <c r="I26" s="1663"/>
      <c r="J26" s="1663"/>
      <c r="K26" s="1663"/>
      <c r="L26" s="1663"/>
      <c r="M26" s="1663"/>
      <c r="N26" s="1664"/>
    </row>
    <row r="27" spans="1:14" s="539" customFormat="1" ht="22.5" customHeight="1">
      <c r="A27" s="535"/>
      <c r="B27" s="554"/>
      <c r="C27" s="558"/>
      <c r="D27" s="558"/>
      <c r="E27" s="542"/>
      <c r="F27" s="542"/>
      <c r="G27" s="542"/>
      <c r="H27" s="542"/>
      <c r="I27" s="542"/>
      <c r="J27" s="542"/>
      <c r="K27" s="542"/>
      <c r="L27" s="542"/>
      <c r="M27" s="542"/>
      <c r="N27" s="542"/>
    </row>
    <row r="28" spans="1:14" s="539" customFormat="1" ht="22.5" customHeight="1">
      <c r="B28" s="540"/>
      <c r="D28" s="541"/>
      <c r="E28" s="542"/>
      <c r="F28" s="542"/>
      <c r="G28" s="542"/>
      <c r="H28" s="542"/>
      <c r="I28" s="542"/>
      <c r="J28" s="542"/>
      <c r="K28" s="542"/>
      <c r="L28" s="542"/>
      <c r="M28" s="542"/>
      <c r="N28" s="542"/>
    </row>
    <row r="29" spans="1:14" s="526" customFormat="1" ht="39" customHeight="1">
      <c r="B29" s="532" t="e">
        <f>DCH!B29</f>
        <v>#REF!</v>
      </c>
      <c r="C29" s="533"/>
      <c r="D29" s="534" t="e">
        <f>DCH!P29</f>
        <v>#REF!</v>
      </c>
      <c r="E29" s="1662" t="s">
        <v>155</v>
      </c>
      <c r="F29" s="1663"/>
      <c r="G29" s="1663"/>
      <c r="H29" s="1663"/>
      <c r="I29" s="1663"/>
      <c r="J29" s="1663"/>
      <c r="K29" s="1663"/>
      <c r="L29" s="1663"/>
      <c r="M29" s="1663"/>
      <c r="N29" s="1664"/>
    </row>
    <row r="30" spans="1:14" s="526" customFormat="1" ht="39" customHeight="1">
      <c r="B30" s="532" t="e">
        <f>DCH!B30</f>
        <v>#REF!</v>
      </c>
      <c r="C30" s="533"/>
      <c r="D30" s="534" t="e">
        <f>DCH!P30</f>
        <v>#REF!</v>
      </c>
      <c r="E30" s="1662"/>
      <c r="F30" s="1663"/>
      <c r="G30" s="1663"/>
      <c r="H30" s="1663"/>
      <c r="I30" s="1663"/>
      <c r="J30" s="1663"/>
      <c r="K30" s="1663"/>
      <c r="L30" s="1663"/>
      <c r="M30" s="1663"/>
      <c r="N30" s="1664"/>
    </row>
    <row r="31" spans="1:14" s="526" customFormat="1" ht="39" customHeight="1">
      <c r="B31" s="532" t="e">
        <f>DCH!B31</f>
        <v>#REF!</v>
      </c>
      <c r="C31" s="533"/>
      <c r="D31" s="534" t="e">
        <f>DCH!P31</f>
        <v>#REF!</v>
      </c>
      <c r="E31" s="1662" t="s">
        <v>156</v>
      </c>
      <c r="F31" s="1663"/>
      <c r="G31" s="1663"/>
      <c r="H31" s="1663"/>
      <c r="I31" s="1663"/>
      <c r="J31" s="1663"/>
      <c r="K31" s="1663"/>
      <c r="L31" s="1663"/>
      <c r="M31" s="1663"/>
      <c r="N31" s="1664"/>
    </row>
    <row r="32" spans="1:14" s="526" customFormat="1" ht="39" customHeight="1">
      <c r="B32" s="532" t="e">
        <f>DCH!B32</f>
        <v>#REF!</v>
      </c>
      <c r="C32" s="533"/>
      <c r="D32" s="534" t="e">
        <f>DCH!P32</f>
        <v>#REF!</v>
      </c>
      <c r="E32" s="555"/>
      <c r="F32" s="556"/>
      <c r="G32" s="556"/>
      <c r="H32" s="556"/>
      <c r="I32" s="556"/>
      <c r="J32" s="556"/>
      <c r="K32" s="556"/>
      <c r="L32" s="556"/>
      <c r="M32" s="556"/>
      <c r="N32" s="557"/>
    </row>
    <row r="33" spans="1:14" s="526" customFormat="1" ht="39" customHeight="1">
      <c r="B33" s="532" t="e">
        <f>DCH!B33</f>
        <v>#REF!</v>
      </c>
      <c r="C33" s="533"/>
      <c r="D33" s="534" t="e">
        <f>DCH!P33</f>
        <v>#REF!</v>
      </c>
      <c r="E33" s="1662"/>
      <c r="F33" s="1663"/>
      <c r="G33" s="1663"/>
      <c r="H33" s="1663"/>
      <c r="I33" s="1663"/>
      <c r="J33" s="1663"/>
      <c r="K33" s="1663"/>
      <c r="L33" s="1663"/>
      <c r="M33" s="1663"/>
      <c r="N33" s="1664"/>
    </row>
    <row r="34" spans="1:14" s="526" customFormat="1" ht="39" customHeight="1">
      <c r="B34" s="532" t="e">
        <f>DCH!B34</f>
        <v>#REF!</v>
      </c>
      <c r="C34" s="533"/>
      <c r="D34" s="534" t="e">
        <f>DCH!P34</f>
        <v>#REF!</v>
      </c>
      <c r="E34" s="1662"/>
      <c r="F34" s="1663"/>
      <c r="G34" s="1663"/>
      <c r="H34" s="1663"/>
      <c r="I34" s="1663"/>
      <c r="J34" s="1663"/>
      <c r="K34" s="1663"/>
      <c r="L34" s="1663"/>
      <c r="M34" s="1663"/>
      <c r="N34" s="1664"/>
    </row>
    <row r="35" spans="1:14" s="526" customFormat="1" ht="39" customHeight="1">
      <c r="B35" s="532" t="e">
        <f>DCH!B35</f>
        <v>#REF!</v>
      </c>
      <c r="C35" s="1256"/>
      <c r="D35" s="534" t="e">
        <f>DCH!P35</f>
        <v>#REF!</v>
      </c>
      <c r="E35" s="1257"/>
      <c r="F35" s="1258"/>
      <c r="G35" s="1258"/>
      <c r="H35" s="1258"/>
      <c r="I35" s="1258"/>
      <c r="J35" s="1258"/>
      <c r="K35" s="1258"/>
      <c r="L35" s="1258"/>
      <c r="M35" s="1258"/>
      <c r="N35" s="1259"/>
    </row>
    <row r="36" spans="1:14" s="526" customFormat="1" ht="39" customHeight="1">
      <c r="B36" s="532" t="e">
        <f>DCH!B36</f>
        <v>#REF!</v>
      </c>
      <c r="C36" s="533"/>
      <c r="D36" s="534" t="e">
        <f>DCH!P36</f>
        <v>#REF!</v>
      </c>
      <c r="E36" s="1662"/>
      <c r="F36" s="1663"/>
      <c r="G36" s="1663"/>
      <c r="H36" s="1663"/>
      <c r="I36" s="1663"/>
      <c r="J36" s="1663"/>
      <c r="K36" s="1663"/>
      <c r="L36" s="1663"/>
      <c r="M36" s="1663"/>
      <c r="N36" s="1664"/>
    </row>
    <row r="37" spans="1:14" s="526" customFormat="1" ht="39" customHeight="1">
      <c r="B37" s="532" t="e">
        <f>DCH!B37</f>
        <v>#REF!</v>
      </c>
      <c r="C37" s="533"/>
      <c r="D37" s="534" t="e">
        <f>DCH!P37</f>
        <v>#REF!</v>
      </c>
      <c r="E37" s="1662"/>
      <c r="F37" s="1663"/>
      <c r="G37" s="1663"/>
      <c r="H37" s="1663"/>
      <c r="I37" s="1663"/>
      <c r="J37" s="1663"/>
      <c r="K37" s="1663"/>
      <c r="L37" s="1663"/>
      <c r="M37" s="1663"/>
      <c r="N37" s="1664"/>
    </row>
    <row r="38" spans="1:14" s="526" customFormat="1" ht="39" customHeight="1">
      <c r="B38" s="532" t="e">
        <f>DCH!B38</f>
        <v>#REF!</v>
      </c>
      <c r="C38" s="533"/>
      <c r="D38" s="534" t="e">
        <f>DCH!P38</f>
        <v>#REF!</v>
      </c>
      <c r="E38" s="1662"/>
      <c r="F38" s="1663"/>
      <c r="G38" s="1663"/>
      <c r="H38" s="1663"/>
      <c r="I38" s="1663"/>
      <c r="J38" s="1663"/>
      <c r="K38" s="1663"/>
      <c r="L38" s="1663"/>
      <c r="M38" s="1663"/>
      <c r="N38" s="1664"/>
    </row>
    <row r="39" spans="1:14" s="526" customFormat="1" ht="39" customHeight="1">
      <c r="B39" s="532" t="e">
        <f>DCH!B39</f>
        <v>#REF!</v>
      </c>
      <c r="C39" s="533"/>
      <c r="D39" s="534" t="e">
        <f>DCH!P39</f>
        <v>#REF!</v>
      </c>
      <c r="E39" s="1662"/>
      <c r="F39" s="1663"/>
      <c r="G39" s="1663"/>
      <c r="H39" s="1663"/>
      <c r="I39" s="1663"/>
      <c r="J39" s="1663"/>
      <c r="K39" s="1663"/>
      <c r="L39" s="1663"/>
      <c r="M39" s="1663"/>
      <c r="N39" s="1664"/>
    </row>
    <row r="40" spans="1:14" s="543" customFormat="1" ht="39" customHeight="1">
      <c r="A40" s="535"/>
      <c r="B40" s="536" t="s">
        <v>136</v>
      </c>
      <c r="C40" s="537"/>
      <c r="D40" s="538" t="e">
        <f>SUM(D29:D39)</f>
        <v>#REF!</v>
      </c>
      <c r="E40" s="1663"/>
      <c r="F40" s="1663"/>
      <c r="G40" s="1663"/>
      <c r="H40" s="1663"/>
      <c r="I40" s="1663"/>
      <c r="J40" s="1663"/>
      <c r="K40" s="1663"/>
      <c r="L40" s="1663"/>
      <c r="M40" s="1663"/>
      <c r="N40" s="1664"/>
    </row>
    <row r="41" spans="1:14" s="543" customFormat="1" ht="40.5" customHeight="1">
      <c r="B41" s="544"/>
      <c r="D41" s="545"/>
      <c r="E41" s="546"/>
      <c r="F41" s="546"/>
      <c r="G41" s="546"/>
      <c r="H41" s="546"/>
      <c r="I41" s="546"/>
      <c r="J41" s="546"/>
      <c r="K41" s="546"/>
      <c r="L41" s="546"/>
      <c r="M41" s="546"/>
      <c r="N41" s="546"/>
    </row>
    <row r="42" spans="1:14" s="543" customFormat="1" ht="40.5" customHeight="1">
      <c r="B42" s="544"/>
      <c r="D42" s="545"/>
      <c r="E42" s="546"/>
      <c r="F42" s="546"/>
      <c r="G42" s="546"/>
      <c r="H42" s="546"/>
      <c r="I42" s="546"/>
      <c r="J42" s="546"/>
      <c r="K42" s="546"/>
      <c r="L42" s="546"/>
      <c r="M42" s="546"/>
      <c r="N42" s="546"/>
    </row>
    <row r="43" spans="1:14" s="543" customFormat="1" ht="39.75" customHeight="1">
      <c r="A43" s="547"/>
      <c r="B43" s="536" t="s">
        <v>157</v>
      </c>
      <c r="C43" s="548"/>
      <c r="D43" s="549" t="e">
        <f>D20+D26+D40</f>
        <v>#REF!</v>
      </c>
      <c r="E43" s="1659"/>
      <c r="F43" s="1660"/>
      <c r="G43" s="1660"/>
      <c r="H43" s="1660"/>
      <c r="I43" s="1660"/>
      <c r="J43" s="1660"/>
      <c r="K43" s="1660"/>
      <c r="L43" s="1660"/>
      <c r="M43" s="1660"/>
      <c r="N43" s="1661"/>
    </row>
    <row r="44" spans="1:14" s="550" customFormat="1" ht="42" customHeight="1">
      <c r="A44" s="543"/>
      <c r="B44" s="544"/>
      <c r="C44" s="543"/>
      <c r="D44" s="545"/>
      <c r="E44" s="546"/>
      <c r="F44" s="546"/>
      <c r="G44" s="546"/>
      <c r="H44" s="546"/>
      <c r="I44" s="546"/>
      <c r="J44" s="546"/>
      <c r="K44" s="546"/>
      <c r="L44" s="546"/>
      <c r="M44" s="546"/>
      <c r="N44" s="546"/>
    </row>
    <row r="45" spans="1:14" s="550" customFormat="1" ht="39.75" customHeight="1">
      <c r="B45" s="551" t="str">
        <f>DCH!B46</f>
        <v>RISQUES TECHNIQUES IDENTIFIES</v>
      </c>
      <c r="C45" s="552"/>
      <c r="D45" s="553" t="e">
        <f>DCH!P46</f>
        <v>#REF!</v>
      </c>
      <c r="E45" s="1659"/>
      <c r="F45" s="1660"/>
      <c r="G45" s="1660"/>
      <c r="H45" s="1660"/>
      <c r="I45" s="1660"/>
      <c r="J45" s="1660"/>
      <c r="K45" s="1660"/>
      <c r="L45" s="1660"/>
      <c r="M45" s="1660"/>
      <c r="N45" s="1661"/>
    </row>
    <row r="46" spans="1:14" s="543" customFormat="1" ht="39.950000000000003" customHeight="1">
      <c r="A46" s="550"/>
      <c r="B46" s="551" t="str">
        <f>DCH!B47</f>
        <v>REVISION</v>
      </c>
      <c r="C46" s="552"/>
      <c r="D46" s="553" t="e">
        <f>DCH!P47</f>
        <v>#REF!</v>
      </c>
      <c r="E46" s="1659"/>
      <c r="F46" s="1660"/>
      <c r="G46" s="1660"/>
      <c r="H46" s="1660"/>
      <c r="I46" s="1660"/>
      <c r="J46" s="1660"/>
      <c r="K46" s="1660"/>
      <c r="L46" s="1660"/>
      <c r="M46" s="1660"/>
      <c r="N46" s="1661"/>
    </row>
    <row r="47" spans="1:14" s="547" customFormat="1" ht="40.5" customHeight="1">
      <c r="A47" s="543"/>
      <c r="B47" s="544"/>
      <c r="C47" s="543"/>
      <c r="D47" s="545"/>
      <c r="E47" s="546"/>
      <c r="F47" s="546"/>
      <c r="G47" s="546"/>
      <c r="H47" s="546"/>
      <c r="I47" s="546"/>
      <c r="J47" s="546"/>
      <c r="K47" s="546"/>
      <c r="L47" s="546"/>
      <c r="M47" s="546"/>
      <c r="N47" s="546"/>
    </row>
    <row r="48" spans="1:14" s="454" customFormat="1" ht="40.5" customHeight="1">
      <c r="A48" s="547"/>
      <c r="B48" s="536" t="s">
        <v>158</v>
      </c>
      <c r="C48" s="548"/>
      <c r="D48" s="549" t="e">
        <f>D43+D45+D46</f>
        <v>#REF!</v>
      </c>
      <c r="E48" s="1660"/>
      <c r="F48" s="1660"/>
      <c r="G48" s="1660"/>
      <c r="H48" s="1660"/>
      <c r="I48" s="1660"/>
      <c r="J48" s="1660"/>
      <c r="K48" s="1660"/>
      <c r="L48" s="1660"/>
      <c r="M48" s="1660"/>
      <c r="N48" s="1661"/>
    </row>
  </sheetData>
  <mergeCells count="30">
    <mergeCell ref="D3:J3"/>
    <mergeCell ref="D6:J6"/>
    <mergeCell ref="D7:J7"/>
    <mergeCell ref="B10:N10"/>
    <mergeCell ref="B11:N11"/>
    <mergeCell ref="B13:C13"/>
    <mergeCell ref="E13:N13"/>
    <mergeCell ref="E16:N16"/>
    <mergeCell ref="E17:N17"/>
    <mergeCell ref="E18:N18"/>
    <mergeCell ref="E19:N19"/>
    <mergeCell ref="E20:N20"/>
    <mergeCell ref="E23:N23"/>
    <mergeCell ref="E24:N24"/>
    <mergeCell ref="E25:N25"/>
    <mergeCell ref="E26:N26"/>
    <mergeCell ref="E29:N29"/>
    <mergeCell ref="E30:N30"/>
    <mergeCell ref="E36:N36"/>
    <mergeCell ref="E45:N45"/>
    <mergeCell ref="E46:N46"/>
    <mergeCell ref="E48:N48"/>
    <mergeCell ref="E31:N31"/>
    <mergeCell ref="E33:N33"/>
    <mergeCell ref="E34:N34"/>
    <mergeCell ref="E37:N37"/>
    <mergeCell ref="E38:N38"/>
    <mergeCell ref="E39:N39"/>
    <mergeCell ref="E40:N40"/>
    <mergeCell ref="E43:N43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rgb="FFFFFF00"/>
  </sheetPr>
  <dimension ref="A1:X38"/>
  <sheetViews>
    <sheetView showGridLines="0" workbookViewId="0">
      <selection activeCell="N20" sqref="N20"/>
    </sheetView>
  </sheetViews>
  <sheetFormatPr baseColWidth="10" defaultRowHeight="15"/>
  <cols>
    <col min="1" max="1" width="4.42578125" customWidth="1"/>
    <col min="2" max="2" width="4.7109375" customWidth="1"/>
    <col min="3" max="3" width="16.7109375" customWidth="1"/>
    <col min="4" max="4" width="3.42578125" customWidth="1"/>
    <col min="5" max="5" width="8.7109375" customWidth="1"/>
    <col min="6" max="6" width="10.7109375" customWidth="1"/>
    <col min="7" max="7" width="8.7109375" customWidth="1"/>
    <col min="8" max="8" width="10.85546875" customWidth="1"/>
    <col min="9" max="9" width="8.7109375" customWidth="1"/>
    <col min="10" max="10" width="10.42578125" customWidth="1"/>
    <col min="11" max="11" width="8.7109375" customWidth="1"/>
    <col min="12" max="12" width="10.42578125" customWidth="1"/>
    <col min="13" max="13" width="8.7109375" customWidth="1"/>
    <col min="14" max="14" width="10.42578125" customWidth="1"/>
    <col min="15" max="15" width="8.7109375" customWidth="1"/>
    <col min="16" max="16" width="10.7109375" customWidth="1"/>
    <col min="17" max="17" width="7.7109375" customWidth="1"/>
    <col min="18" max="18" width="3.7109375" customWidth="1"/>
  </cols>
  <sheetData>
    <row r="1" spans="1:18" s="567" customFormat="1">
      <c r="A1" s="559" t="s">
        <v>15</v>
      </c>
      <c r="B1" s="560"/>
      <c r="C1" s="560"/>
      <c r="D1" s="561"/>
      <c r="E1" s="561"/>
      <c r="F1" s="562"/>
      <c r="G1" s="562"/>
      <c r="H1" s="562"/>
      <c r="I1" s="562"/>
      <c r="J1" s="562"/>
      <c r="K1" s="562"/>
      <c r="L1" s="562"/>
      <c r="M1" s="563"/>
      <c r="N1" s="564"/>
      <c r="O1" s="562"/>
      <c r="P1" s="562"/>
      <c r="Q1" s="565"/>
      <c r="R1" s="566"/>
    </row>
    <row r="2" spans="1:18" s="567" customFormat="1">
      <c r="A2" s="568"/>
      <c r="B2" s="569"/>
      <c r="C2" s="569"/>
      <c r="D2" s="570"/>
      <c r="E2" s="570"/>
      <c r="F2" s="571"/>
      <c r="G2" s="571"/>
      <c r="H2" s="571"/>
      <c r="I2" s="571"/>
      <c r="J2" s="571"/>
      <c r="K2" s="571"/>
      <c r="L2" s="571"/>
      <c r="M2" s="572"/>
      <c r="N2" s="573"/>
      <c r="O2" s="571"/>
      <c r="P2" s="571"/>
      <c r="Q2" s="574"/>
      <c r="R2" s="566"/>
    </row>
    <row r="3" spans="1:18" s="567" customFormat="1" ht="21">
      <c r="A3" s="575" t="s">
        <v>159</v>
      </c>
      <c r="B3" s="576"/>
      <c r="C3" s="576"/>
      <c r="D3" s="576"/>
      <c r="E3" s="576"/>
      <c r="F3" s="577"/>
      <c r="G3" s="577"/>
      <c r="H3" s="577"/>
      <c r="I3" s="577"/>
      <c r="J3" s="577"/>
      <c r="K3" s="577"/>
      <c r="L3" s="577"/>
      <c r="M3" s="578"/>
      <c r="N3" s="1683" t="str">
        <f>SYNTHESE!D4</f>
        <v>POINT 50%</v>
      </c>
      <c r="O3" s="1684"/>
      <c r="P3" s="1684"/>
      <c r="Q3" s="579"/>
      <c r="R3" s="566"/>
    </row>
    <row r="4" spans="1:18" s="567" customFormat="1" ht="13.5">
      <c r="A4" s="580"/>
      <c r="B4" s="581"/>
      <c r="C4" s="581"/>
      <c r="D4" s="582"/>
      <c r="E4" s="582"/>
      <c r="F4" s="583"/>
      <c r="G4" s="583"/>
      <c r="H4" s="583"/>
      <c r="I4" s="583"/>
      <c r="J4" s="583"/>
      <c r="K4" s="583"/>
      <c r="L4" s="583"/>
      <c r="M4" s="584"/>
      <c r="N4" s="585"/>
      <c r="O4" s="583"/>
      <c r="P4" s="583"/>
      <c r="Q4" s="574"/>
      <c r="R4" s="566"/>
    </row>
    <row r="5" spans="1:18" s="567" customFormat="1" ht="13.5">
      <c r="A5" s="586"/>
      <c r="B5" s="587"/>
      <c r="C5" s="587"/>
      <c r="D5" s="588"/>
      <c r="E5" s="588"/>
      <c r="F5" s="589"/>
      <c r="G5" s="589"/>
      <c r="H5" s="589"/>
      <c r="I5" s="589"/>
      <c r="J5" s="589"/>
      <c r="K5" s="589"/>
      <c r="L5" s="589"/>
      <c r="M5" s="590"/>
      <c r="N5" s="591"/>
      <c r="O5" s="592"/>
      <c r="P5" s="592"/>
      <c r="Q5" s="593"/>
      <c r="R5" s="566"/>
    </row>
    <row r="6" spans="1:18" s="567" customFormat="1">
      <c r="A6" s="1708" t="s">
        <v>578</v>
      </c>
      <c r="B6" s="1709"/>
      <c r="C6" s="1709"/>
      <c r="D6" s="1712">
        <v>400223</v>
      </c>
      <c r="E6" s="1712"/>
      <c r="F6" s="583"/>
      <c r="G6" s="583"/>
      <c r="H6" s="583"/>
      <c r="I6" s="583"/>
      <c r="J6" s="583"/>
      <c r="K6" s="583"/>
      <c r="L6" s="583"/>
      <c r="M6" s="583"/>
      <c r="N6" s="595"/>
      <c r="O6" s="595" t="s">
        <v>161</v>
      </c>
      <c r="P6" s="596">
        <f>SYNTHESE!D7</f>
        <v>42800</v>
      </c>
      <c r="Q6" s="597"/>
      <c r="R6" s="566"/>
    </row>
    <row r="7" spans="1:18" s="567" customFormat="1">
      <c r="A7" s="1706" t="s">
        <v>577</v>
      </c>
      <c r="B7" s="1707"/>
      <c r="C7" s="1707"/>
      <c r="D7" s="598" t="str">
        <f>SYNTHESE!E6</f>
        <v xml:space="preserve">LES FAUBOURGS D'ANFA </v>
      </c>
      <c r="E7" s="594"/>
      <c r="F7" s="583"/>
      <c r="G7" s="583"/>
      <c r="H7" s="583"/>
      <c r="I7" s="583"/>
      <c r="J7" s="583"/>
      <c r="K7" s="583"/>
      <c r="L7" s="583"/>
      <c r="M7" s="583"/>
      <c r="N7" s="599"/>
      <c r="O7" s="599" t="s">
        <v>163</v>
      </c>
      <c r="P7" s="600" t="s">
        <v>164</v>
      </c>
      <c r="Q7" s="601"/>
      <c r="R7" s="566"/>
    </row>
    <row r="8" spans="1:18" s="567" customFormat="1">
      <c r="A8" s="1710" t="s">
        <v>165</v>
      </c>
      <c r="B8" s="1711"/>
      <c r="C8" s="1711"/>
      <c r="D8" s="602" t="str">
        <f>SYNTHESE!N4</f>
        <v>1 € = 10,85dh</v>
      </c>
      <c r="E8" s="594"/>
      <c r="F8" s="583"/>
      <c r="G8" s="583"/>
      <c r="H8" s="583"/>
      <c r="I8" s="583"/>
      <c r="J8" s="583"/>
      <c r="K8" s="583"/>
      <c r="L8" s="583"/>
      <c r="M8" s="583"/>
      <c r="N8" s="583"/>
      <c r="O8" s="592"/>
      <c r="P8" s="592"/>
      <c r="Q8" s="593"/>
      <c r="R8" s="566"/>
    </row>
    <row r="9" spans="1:18" s="567" customFormat="1" ht="15" customHeight="1">
      <c r="A9" s="603"/>
      <c r="B9" s="604"/>
      <c r="C9" s="604"/>
      <c r="D9" s="605"/>
      <c r="E9" s="606"/>
      <c r="F9" s="607"/>
      <c r="G9" s="608"/>
      <c r="H9" s="607"/>
      <c r="I9" s="608"/>
      <c r="J9" s="607"/>
      <c r="K9" s="609"/>
      <c r="L9" s="609"/>
      <c r="M9" s="1685" t="s">
        <v>18</v>
      </c>
      <c r="N9" s="1686"/>
      <c r="O9" s="1691" t="s">
        <v>166</v>
      </c>
      <c r="P9" s="1692"/>
      <c r="Q9" s="1693"/>
      <c r="R9" s="566"/>
    </row>
    <row r="10" spans="1:18" s="615" customFormat="1" ht="15" customHeight="1">
      <c r="A10" s="610"/>
      <c r="B10" s="611"/>
      <c r="C10" s="611"/>
      <c r="D10" s="612"/>
      <c r="E10" s="1700" t="s">
        <v>73</v>
      </c>
      <c r="F10" s="1701"/>
      <c r="G10" s="1702" t="s">
        <v>53</v>
      </c>
      <c r="H10" s="1703"/>
      <c r="I10" s="1702" t="s">
        <v>574</v>
      </c>
      <c r="J10" s="1703"/>
      <c r="K10" s="613" t="s">
        <v>167</v>
      </c>
      <c r="L10" s="613"/>
      <c r="M10" s="1687"/>
      <c r="N10" s="1688"/>
      <c r="O10" s="1694"/>
      <c r="P10" s="1695"/>
      <c r="Q10" s="1696"/>
      <c r="R10" s="614"/>
    </row>
    <row r="11" spans="1:18" s="615" customFormat="1" ht="15" customHeight="1">
      <c r="A11" s="610"/>
      <c r="B11" s="611"/>
      <c r="C11" s="611"/>
      <c r="D11" s="612"/>
      <c r="E11" s="616"/>
      <c r="F11" s="617"/>
      <c r="G11" s="1704" t="s">
        <v>168</v>
      </c>
      <c r="H11" s="1705"/>
      <c r="I11" s="1704" t="s">
        <v>168</v>
      </c>
      <c r="J11" s="1705"/>
      <c r="K11" s="618"/>
      <c r="L11" s="618"/>
      <c r="M11" s="1689"/>
      <c r="N11" s="1690"/>
      <c r="O11" s="1697"/>
      <c r="P11" s="1698"/>
      <c r="Q11" s="1699"/>
      <c r="R11" s="614"/>
    </row>
    <row r="12" spans="1:18" s="615" customFormat="1" ht="15" customHeight="1">
      <c r="A12" s="1677" t="s">
        <v>169</v>
      </c>
      <c r="B12" s="1678"/>
      <c r="C12" s="1679"/>
      <c r="D12" s="619" t="s">
        <v>170</v>
      </c>
      <c r="E12" s="619" t="s">
        <v>171</v>
      </c>
      <c r="F12" s="620" t="s">
        <v>172</v>
      </c>
      <c r="G12" s="677" t="s">
        <v>173</v>
      </c>
      <c r="H12" s="620" t="s">
        <v>172</v>
      </c>
      <c r="I12" s="683" t="s">
        <v>173</v>
      </c>
      <c r="J12" s="620" t="s">
        <v>172</v>
      </c>
      <c r="K12" s="620" t="s">
        <v>171</v>
      </c>
      <c r="L12" s="621" t="s">
        <v>172</v>
      </c>
      <c r="M12" s="622" t="s">
        <v>171</v>
      </c>
      <c r="N12" s="623" t="s">
        <v>172</v>
      </c>
      <c r="O12" s="624" t="s">
        <v>171</v>
      </c>
      <c r="P12" s="625" t="s">
        <v>175</v>
      </c>
      <c r="Q12" s="626" t="s">
        <v>43</v>
      </c>
      <c r="R12" s="614"/>
    </row>
    <row r="13" spans="1:18" s="567" customFormat="1" ht="9" customHeight="1">
      <c r="A13" s="627"/>
      <c r="B13" s="628"/>
      <c r="C13" s="628"/>
      <c r="D13" s="629"/>
      <c r="E13" s="629"/>
      <c r="F13" s="630"/>
      <c r="G13" s="678"/>
      <c r="H13" s="684"/>
      <c r="I13" s="684"/>
      <c r="J13" s="634"/>
      <c r="K13" s="630"/>
      <c r="L13" s="631"/>
      <c r="M13" s="632"/>
      <c r="N13" s="633"/>
      <c r="O13" s="634"/>
      <c r="P13" s="635"/>
      <c r="Q13" s="636"/>
      <c r="R13" s="566"/>
    </row>
    <row r="14" spans="1:18" s="615" customFormat="1" ht="21.75" customHeight="1">
      <c r="A14" s="637" t="s">
        <v>176</v>
      </c>
      <c r="B14" s="638"/>
      <c r="C14" s="638"/>
      <c r="D14" s="639" t="s">
        <v>177</v>
      </c>
      <c r="E14" s="640">
        <f ca="1">INDIRECT("'" &amp; LEFT(INDIRECT("A" &amp; ROW()),2) &amp;" Qte'!" &amp; "E11")</f>
        <v>828935.81807209295</v>
      </c>
      <c r="F14" s="640">
        <f ca="1">INDIRECT("'" &amp; LEFT(INDIRECT("A" &amp; ROW()),2) &amp;" Qte'!" &amp; "E6")</f>
        <v>30028182.225549996</v>
      </c>
      <c r="G14" s="675">
        <f ca="1">INDIRECT("'" &amp; LEFT(INDIRECT("A" &amp; ROW()),2) &amp;" Qte'!" &amp; "F11")</f>
        <v>0</v>
      </c>
      <c r="H14" s="657">
        <f ca="1">INDIRECT("'" &amp; LEFT(INDIRECT("A" &amp; ROW()),2) &amp;" Qte'!" &amp; "F6")</f>
        <v>0</v>
      </c>
      <c r="I14" s="657">
        <f ca="1">INDIRECT("'" &amp; LEFT(INDIRECT("A" &amp; ROW()),2) &amp;" Qte'!" &amp; "G11")</f>
        <v>0</v>
      </c>
      <c r="J14" s="682">
        <f ca="1">INDIRECT("'" &amp; LEFT(INDIRECT("A" &amp; ROW()),2) &amp;" Qte'!" &amp; "G6")</f>
        <v>0</v>
      </c>
      <c r="K14" s="640">
        <f ca="1">INDIRECT("'" &amp; LEFT(INDIRECT("A" &amp; ROW()),2) &amp;" Qte'!" &amp; "H11")</f>
        <v>828935.81807209295</v>
      </c>
      <c r="L14" s="640">
        <f ca="1">INDIRECT("'" &amp; LEFT(INDIRECT("A" &amp; ROW()),2) &amp;" Qte'!" &amp; "H6")</f>
        <v>30028182.225549996</v>
      </c>
      <c r="M14" s="658">
        <f ca="1">INDIRECT("'" &amp; LEFT(INDIRECT("A" &amp; ROW()),2) &amp;" Qte'!" &amp; "V11")</f>
        <v>268808.78037209297</v>
      </c>
      <c r="N14" s="659">
        <f ca="1">INDIRECT("'" &amp; LEFT(INDIRECT("A" &amp; ROW()),2) &amp;" Qte'!" &amp; "V6")</f>
        <v>28363010.760499999</v>
      </c>
      <c r="O14" s="651">
        <f ca="1">K14-M14</f>
        <v>560127.03769999999</v>
      </c>
      <c r="P14" s="652">
        <f ca="1">L14-N14</f>
        <v>1665171.465049997</v>
      </c>
      <c r="Q14" s="653">
        <f ca="1">P14/L14</f>
        <v>5.545362195228578E-2</v>
      </c>
      <c r="R14" s="643"/>
    </row>
    <row r="15" spans="1:18" s="615" customFormat="1" ht="21.75" customHeight="1">
      <c r="A15" s="644"/>
      <c r="B15" s="645"/>
      <c r="C15" s="645"/>
      <c r="D15" s="646"/>
      <c r="E15" s="647"/>
      <c r="F15" s="648"/>
      <c r="G15" s="676"/>
      <c r="H15" s="685"/>
      <c r="I15" s="685"/>
      <c r="J15" s="681"/>
      <c r="K15" s="641"/>
      <c r="L15" s="642"/>
      <c r="M15" s="649"/>
      <c r="N15" s="650"/>
      <c r="O15" s="651"/>
      <c r="P15" s="652"/>
      <c r="Q15" s="653"/>
      <c r="R15" s="614"/>
    </row>
    <row r="16" spans="1:18" s="615" customFormat="1" ht="21.75" customHeight="1">
      <c r="A16" s="655" t="s">
        <v>84</v>
      </c>
      <c r="B16" s="656"/>
      <c r="C16" s="656"/>
      <c r="D16" s="646" t="s">
        <v>178</v>
      </c>
      <c r="E16" s="640">
        <f ca="1">INDIRECT("'" &amp; INDIRECT("A" &amp; ROW()) &amp;" Qte'!" &amp; "E11")</f>
        <v>13751.581</v>
      </c>
      <c r="F16" s="640">
        <f ca="1">INDIRECT("'" &amp; INDIRECT("A" &amp; ROW()) &amp;" Qte'!" &amp; "E6")</f>
        <v>18719141.815000001</v>
      </c>
      <c r="G16" s="675">
        <f ca="1">INDIRECT("'" &amp; INDIRECT("A" &amp; ROW()) &amp;" Qte'!" &amp; "F11")</f>
        <v>0</v>
      </c>
      <c r="H16" s="657">
        <f ca="1">INDIRECT("'" &amp; INDIRECT("A" &amp; ROW()) &amp;" Qte'!" &amp; "F6")</f>
        <v>0</v>
      </c>
      <c r="I16" s="657">
        <f ca="1">INDIRECT("'" &amp; INDIRECT("A" &amp; ROW()) &amp;" Qte'!" &amp; "G11")</f>
        <v>0</v>
      </c>
      <c r="J16" s="682">
        <f ca="1">INDIRECT("'" &amp; INDIRECT("A" &amp; ROW()) &amp;" Qte'!" &amp; "G6")</f>
        <v>0</v>
      </c>
      <c r="K16" s="640">
        <f ca="1">INDIRECT("'" &amp; INDIRECT("A" &amp; ROW()) &amp;" Qte'!" &amp; "H11")</f>
        <v>13751.581</v>
      </c>
      <c r="L16" s="640">
        <f ca="1">INDIRECT("'" &amp; INDIRECT("A" &amp; ROW()) &amp;" Qte'!" &amp; "H6")</f>
        <v>18719141.815000001</v>
      </c>
      <c r="M16" s="658">
        <f ca="1">INDIRECT("'" &amp; INDIRECT("A" &amp; ROW()) &amp;" Qte'!" &amp; "V11")</f>
        <v>13521.561775235459</v>
      </c>
      <c r="N16" s="659">
        <f ca="1">INDIRECT("'" &amp; INDIRECT("A" &amp; ROW()) &amp;" Qte'!" &amp; "V6")</f>
        <v>99094896.481890053</v>
      </c>
      <c r="O16" s="651">
        <f ca="1">K16-M16</f>
        <v>230.01922476454092</v>
      </c>
      <c r="P16" s="652">
        <f ca="1">L16-N16</f>
        <v>-80375754.666890055</v>
      </c>
      <c r="Q16" s="653">
        <f ca="1">P16/L16</f>
        <v>-4.2937734785727972</v>
      </c>
      <c r="R16" s="614"/>
    </row>
    <row r="17" spans="1:19" s="615" customFormat="1" ht="21.75" customHeight="1">
      <c r="A17" s="644"/>
      <c r="B17" s="645"/>
      <c r="C17" s="645"/>
      <c r="D17" s="646"/>
      <c r="E17" s="647"/>
      <c r="F17" s="647"/>
      <c r="G17" s="676"/>
      <c r="H17" s="685"/>
      <c r="I17" s="685"/>
      <c r="J17" s="681"/>
      <c r="K17" s="641"/>
      <c r="L17" s="642"/>
      <c r="M17" s="649"/>
      <c r="N17" s="650"/>
      <c r="O17" s="651"/>
      <c r="P17" s="652"/>
      <c r="Q17" s="653"/>
      <c r="R17" s="614"/>
      <c r="S17" s="654"/>
    </row>
    <row r="18" spans="1:19" s="615" customFormat="1" ht="21.75" customHeight="1">
      <c r="A18" s="655" t="s">
        <v>85</v>
      </c>
      <c r="B18" s="656"/>
      <c r="C18" s="656"/>
      <c r="D18" s="646" t="s">
        <v>179</v>
      </c>
      <c r="E18" s="640">
        <f ca="1">INDIRECT("'" &amp; INDIRECT("A" &amp; ROW()) &amp;" Qte'!" &amp; "E11")</f>
        <v>1756.2611488343557</v>
      </c>
      <c r="F18" s="640">
        <f ca="1">INDIRECT("'" &amp; INDIRECT("A" &amp; ROW()) &amp;" Qte'!" &amp; "E6")</f>
        <v>22502671.491914112</v>
      </c>
      <c r="G18" s="675">
        <f ca="1">INDIRECT("'" &amp; INDIRECT("A" &amp; ROW()) &amp;" Qte'!" &amp; "F11")</f>
        <v>0</v>
      </c>
      <c r="H18" s="657">
        <f ca="1">INDIRECT("'" &amp; INDIRECT("A" &amp; ROW()) &amp;" Qte'!" &amp; "F6")</f>
        <v>0</v>
      </c>
      <c r="I18" s="657">
        <f ca="1">INDIRECT("'" &amp; INDIRECT("A" &amp; ROW()) &amp;" Qte'!" &amp; "G11")</f>
        <v>0</v>
      </c>
      <c r="J18" s="682">
        <f ca="1">INDIRECT("'" &amp; INDIRECT("A" &amp; ROW()) &amp;" Qte'!" &amp; "G6")</f>
        <v>0</v>
      </c>
      <c r="K18" s="640">
        <f ca="1">INDIRECT("'" &amp; INDIRECT("A" &amp; ROW()) &amp;" Qte'!" &amp; "H11")</f>
        <v>1756.2611488343557</v>
      </c>
      <c r="L18" s="640">
        <f ca="1">INDIRECT("'" &amp; INDIRECT("A" &amp; ROW()) &amp;" Qte'!" &amp; "H6")</f>
        <v>22502671.491914112</v>
      </c>
      <c r="M18" s="658">
        <f ca="1">INDIRECT("'" &amp; INDIRECT("A" &amp; ROW()) &amp;" Qte'!" &amp; "V11")</f>
        <v>1541.6670418408544</v>
      </c>
      <c r="N18" s="659">
        <f ca="1">INDIRECT("'" &amp; INDIRECT("A" &amp; ROW()) &amp;" Qte'!" &amp; "V6")</f>
        <v>28864707.789031062</v>
      </c>
      <c r="O18" s="651">
        <f ca="1">K18-M18</f>
        <v>214.59410699350133</v>
      </c>
      <c r="P18" s="652">
        <f ca="1">L18-N18</f>
        <v>-6362036.2971169502</v>
      </c>
      <c r="Q18" s="653">
        <f ca="1">P18/L18</f>
        <v>-0.28272360014689907</v>
      </c>
      <c r="R18" s="614"/>
    </row>
    <row r="19" spans="1:19" s="615" customFormat="1" ht="21.75" customHeight="1">
      <c r="A19" s="655"/>
      <c r="B19" s="656"/>
      <c r="C19" s="656"/>
      <c r="D19" s="646"/>
      <c r="E19" s="647"/>
      <c r="F19" s="647"/>
      <c r="G19" s="675"/>
      <c r="H19" s="657"/>
      <c r="I19" s="657"/>
      <c r="J19" s="682"/>
      <c r="K19" s="641"/>
      <c r="L19" s="642"/>
      <c r="M19" s="658"/>
      <c r="N19" s="659"/>
      <c r="O19" s="651"/>
      <c r="P19" s="652"/>
      <c r="Q19" s="660"/>
      <c r="R19" s="614"/>
    </row>
    <row r="20" spans="1:19" s="615" customFormat="1" ht="21.75" customHeight="1">
      <c r="A20" s="655" t="s">
        <v>180</v>
      </c>
      <c r="B20" s="656"/>
      <c r="C20" s="656"/>
      <c r="D20" s="646" t="s">
        <v>181</v>
      </c>
      <c r="E20" s="647"/>
      <c r="F20" s="647">
        <f ca="1">L20-J20</f>
        <v>10159961.210000001</v>
      </c>
      <c r="G20" s="675"/>
      <c r="H20" s="657">
        <f ca="1">INDIRECT("'DETAILS'!D8")</f>
        <v>-5208230.38</v>
      </c>
      <c r="I20" s="657"/>
      <c r="J20" s="657">
        <f ca="1">INDIRECT("'DETAILS'!E8")</f>
        <v>5208230.38</v>
      </c>
      <c r="K20" s="641"/>
      <c r="L20" s="642">
        <f ca="1">INDIRECT("'DETAILS'!C8")</f>
        <v>15368191.59</v>
      </c>
      <c r="M20" s="658"/>
      <c r="N20" s="659">
        <f ca="1">OFFSET(INDIRECT("'DETAILS'!"&amp;ADDRESS(8,MATCH(9^9,DETAILS!8:8))),,-1,,)</f>
        <v>613571.07999999996</v>
      </c>
      <c r="O20" s="651"/>
      <c r="P20" s="652">
        <f ca="1">L20-N20</f>
        <v>14754620.51</v>
      </c>
      <c r="Q20" s="653">
        <f ca="1">P20/L20</f>
        <v>0.96007525827572016</v>
      </c>
      <c r="R20" s="614"/>
    </row>
    <row r="21" spans="1:19" s="615" customFormat="1" ht="21.75" customHeight="1">
      <c r="A21" s="655"/>
      <c r="B21" s="656"/>
      <c r="C21" s="656"/>
      <c r="D21" s="646"/>
      <c r="E21" s="647"/>
      <c r="F21" s="647"/>
      <c r="G21" s="675"/>
      <c r="H21" s="657"/>
      <c r="I21" s="657"/>
      <c r="J21" s="682"/>
      <c r="K21" s="641"/>
      <c r="L21" s="642"/>
      <c r="M21" s="658"/>
      <c r="N21" s="659"/>
      <c r="O21" s="651"/>
      <c r="P21" s="652"/>
      <c r="Q21" s="653"/>
      <c r="R21" s="614"/>
    </row>
    <row r="22" spans="1:19" s="615" customFormat="1" ht="21.75" customHeight="1">
      <c r="A22" s="655"/>
      <c r="B22" s="656"/>
      <c r="C22" s="656"/>
      <c r="D22" s="646"/>
      <c r="E22" s="647"/>
      <c r="F22" s="647"/>
      <c r="G22" s="675"/>
      <c r="H22" s="657"/>
      <c r="I22" s="657"/>
      <c r="J22" s="682"/>
      <c r="K22" s="641"/>
      <c r="L22" s="642"/>
      <c r="M22" s="658"/>
      <c r="N22" s="659"/>
      <c r="O22" s="651"/>
      <c r="P22" s="652"/>
      <c r="Q22" s="653"/>
      <c r="R22" s="614"/>
    </row>
    <row r="23" spans="1:19" s="615" customFormat="1" ht="21.75" customHeight="1">
      <c r="A23" s="655"/>
      <c r="B23" s="656"/>
      <c r="C23" s="656"/>
      <c r="D23" s="646"/>
      <c r="E23" s="647"/>
      <c r="F23" s="647"/>
      <c r="G23" s="675"/>
      <c r="H23" s="657"/>
      <c r="I23" s="657"/>
      <c r="J23" s="682"/>
      <c r="K23" s="641"/>
      <c r="L23" s="642"/>
      <c r="M23" s="658"/>
      <c r="N23" s="659"/>
      <c r="O23" s="651"/>
      <c r="P23" s="652"/>
      <c r="Q23" s="653"/>
      <c r="R23" s="614"/>
    </row>
    <row r="24" spans="1:19" s="615" customFormat="1" ht="21.75" customHeight="1">
      <c r="A24" s="655"/>
      <c r="B24" s="656"/>
      <c r="C24" s="656"/>
      <c r="D24" s="646"/>
      <c r="E24" s="647"/>
      <c r="F24" s="647"/>
      <c r="G24" s="675"/>
      <c r="H24" s="657"/>
      <c r="I24" s="657"/>
      <c r="J24" s="682"/>
      <c r="K24" s="641"/>
      <c r="L24" s="642"/>
      <c r="M24" s="658"/>
      <c r="N24" s="659"/>
      <c r="O24" s="651"/>
      <c r="P24" s="652"/>
      <c r="Q24" s="653"/>
      <c r="R24" s="614"/>
    </row>
    <row r="25" spans="1:19" s="615" customFormat="1" ht="21.75" customHeight="1">
      <c r="A25" s="655"/>
      <c r="B25" s="656"/>
      <c r="C25" s="656"/>
      <c r="D25" s="646"/>
      <c r="E25" s="647"/>
      <c r="F25" s="647"/>
      <c r="G25" s="675"/>
      <c r="H25" s="657"/>
      <c r="I25" s="657"/>
      <c r="J25" s="682"/>
      <c r="K25" s="641"/>
      <c r="L25" s="642"/>
      <c r="M25" s="658"/>
      <c r="N25" s="659"/>
      <c r="O25" s="651"/>
      <c r="P25" s="652"/>
      <c r="Q25" s="653"/>
      <c r="R25" s="614"/>
    </row>
    <row r="26" spans="1:19" s="615" customFormat="1" ht="21.75" customHeight="1">
      <c r="A26" s="655"/>
      <c r="B26" s="656"/>
      <c r="C26" s="656"/>
      <c r="D26" s="646"/>
      <c r="E26" s="647"/>
      <c r="F26" s="647"/>
      <c r="G26" s="675"/>
      <c r="H26" s="657"/>
      <c r="I26" s="657"/>
      <c r="J26" s="682"/>
      <c r="K26" s="641"/>
      <c r="L26" s="642"/>
      <c r="M26" s="658"/>
      <c r="N26" s="659"/>
      <c r="O26" s="651"/>
      <c r="P26" s="652"/>
      <c r="Q26" s="653"/>
      <c r="R26" s="614"/>
    </row>
    <row r="27" spans="1:19" s="615" customFormat="1" ht="21.75" customHeight="1">
      <c r="A27" s="655"/>
      <c r="B27" s="656"/>
      <c r="C27" s="656"/>
      <c r="D27" s="646"/>
      <c r="E27" s="647"/>
      <c r="F27" s="647"/>
      <c r="G27" s="675"/>
      <c r="H27" s="657"/>
      <c r="I27" s="657"/>
      <c r="J27" s="682"/>
      <c r="K27" s="641"/>
      <c r="L27" s="642"/>
      <c r="M27" s="658"/>
      <c r="N27" s="659"/>
      <c r="O27" s="651"/>
      <c r="P27" s="652"/>
      <c r="Q27" s="653"/>
      <c r="R27" s="614"/>
    </row>
    <row r="28" spans="1:19" s="615" customFormat="1" ht="21.75" customHeight="1">
      <c r="A28" s="655"/>
      <c r="B28" s="656"/>
      <c r="C28" s="656"/>
      <c r="D28" s="646"/>
      <c r="E28" s="647"/>
      <c r="F28" s="647"/>
      <c r="G28" s="675"/>
      <c r="H28" s="657"/>
      <c r="I28" s="657"/>
      <c r="J28" s="682"/>
      <c r="K28" s="641"/>
      <c r="L28" s="642"/>
      <c r="M28" s="658"/>
      <c r="N28" s="659"/>
      <c r="O28" s="651"/>
      <c r="P28" s="652"/>
      <c r="Q28" s="653"/>
      <c r="R28" s="614"/>
    </row>
    <row r="29" spans="1:19" s="615" customFormat="1" ht="21.75" customHeight="1">
      <c r="A29" s="655"/>
      <c r="B29" s="656"/>
      <c r="C29" s="656"/>
      <c r="D29" s="646"/>
      <c r="E29" s="647"/>
      <c r="F29" s="647"/>
      <c r="G29" s="675"/>
      <c r="H29" s="657"/>
      <c r="I29" s="657"/>
      <c r="J29" s="682"/>
      <c r="K29" s="641"/>
      <c r="L29" s="642"/>
      <c r="M29" s="658"/>
      <c r="N29" s="659"/>
      <c r="O29" s="651"/>
      <c r="P29" s="652"/>
      <c r="Q29" s="653"/>
      <c r="R29" s="614"/>
    </row>
    <row r="30" spans="1:19" s="615" customFormat="1" ht="21.75" customHeight="1">
      <c r="A30" s="655"/>
      <c r="B30" s="656"/>
      <c r="C30" s="656"/>
      <c r="D30" s="646"/>
      <c r="E30" s="647"/>
      <c r="F30" s="647"/>
      <c r="G30" s="675"/>
      <c r="H30" s="657"/>
      <c r="I30" s="657"/>
      <c r="J30" s="682"/>
      <c r="K30" s="641"/>
      <c r="L30" s="642"/>
      <c r="M30" s="658"/>
      <c r="N30" s="659"/>
      <c r="O30" s="651"/>
      <c r="P30" s="652"/>
      <c r="Q30" s="653"/>
      <c r="R30" s="614"/>
    </row>
    <row r="31" spans="1:19" s="615" customFormat="1" ht="21.75" customHeight="1">
      <c r="A31" s="655"/>
      <c r="B31" s="656"/>
      <c r="C31" s="656"/>
      <c r="D31" s="646"/>
      <c r="E31" s="647"/>
      <c r="F31" s="647"/>
      <c r="G31" s="675"/>
      <c r="H31" s="657"/>
      <c r="I31" s="657"/>
      <c r="J31" s="682"/>
      <c r="K31" s="641"/>
      <c r="L31" s="642"/>
      <c r="M31" s="658"/>
      <c r="N31" s="659"/>
      <c r="O31" s="651"/>
      <c r="P31" s="652"/>
      <c r="Q31" s="653"/>
      <c r="R31" s="614"/>
    </row>
    <row r="32" spans="1:19" s="615" customFormat="1" ht="21.75" customHeight="1">
      <c r="A32" s="655"/>
      <c r="B32" s="656"/>
      <c r="C32" s="656"/>
      <c r="D32" s="646"/>
      <c r="E32" s="647"/>
      <c r="F32" s="647"/>
      <c r="G32" s="679"/>
      <c r="H32" s="686"/>
      <c r="I32" s="686"/>
      <c r="J32" s="651"/>
      <c r="K32" s="641"/>
      <c r="L32" s="642"/>
      <c r="M32" s="658"/>
      <c r="N32" s="659"/>
      <c r="O32" s="651"/>
      <c r="P32" s="652"/>
      <c r="Q32" s="653"/>
      <c r="R32" s="614"/>
    </row>
    <row r="33" spans="1:24" s="567" customFormat="1" ht="21.75" customHeight="1">
      <c r="A33" s="627"/>
      <c r="B33" s="628"/>
      <c r="C33" s="628"/>
      <c r="D33" s="629"/>
      <c r="E33" s="629"/>
      <c r="F33" s="630"/>
      <c r="G33" s="678"/>
      <c r="H33" s="684"/>
      <c r="I33" s="684"/>
      <c r="J33" s="634"/>
      <c r="K33" s="641"/>
      <c r="L33" s="642"/>
      <c r="M33" s="658"/>
      <c r="N33" s="659"/>
      <c r="O33" s="651"/>
      <c r="P33" s="635"/>
      <c r="Q33" s="636"/>
      <c r="R33" s="566"/>
    </row>
    <row r="34" spans="1:24" s="567" customFormat="1" ht="21.75" customHeight="1">
      <c r="A34" s="627"/>
      <c r="B34" s="628"/>
      <c r="C34" s="628"/>
      <c r="D34" s="629"/>
      <c r="E34" s="629"/>
      <c r="F34" s="630"/>
      <c r="G34" s="678"/>
      <c r="H34" s="684"/>
      <c r="I34" s="684"/>
      <c r="J34" s="634"/>
      <c r="K34" s="661"/>
      <c r="L34" s="662"/>
      <c r="M34" s="632"/>
      <c r="N34" s="663"/>
      <c r="O34" s="634"/>
      <c r="P34" s="635"/>
      <c r="Q34" s="636"/>
      <c r="R34" s="566"/>
    </row>
    <row r="35" spans="1:24" s="567" customFormat="1" ht="21.75" customHeight="1">
      <c r="A35" s="627"/>
      <c r="B35" s="628"/>
      <c r="C35" s="628"/>
      <c r="D35" s="629"/>
      <c r="E35" s="629"/>
      <c r="F35" s="630"/>
      <c r="G35" s="678"/>
      <c r="H35" s="684"/>
      <c r="I35" s="684"/>
      <c r="J35" s="634"/>
      <c r="K35" s="630"/>
      <c r="L35" s="662"/>
      <c r="M35" s="632"/>
      <c r="N35" s="663"/>
      <c r="O35" s="634"/>
      <c r="P35" s="635"/>
      <c r="Q35" s="636"/>
      <c r="R35" s="566"/>
    </row>
    <row r="36" spans="1:24" s="567" customFormat="1" ht="21.75" customHeight="1">
      <c r="A36" s="627"/>
      <c r="B36" s="628"/>
      <c r="C36" s="664"/>
      <c r="D36" s="629"/>
      <c r="E36" s="629"/>
      <c r="F36" s="630"/>
      <c r="G36" s="678"/>
      <c r="H36" s="684"/>
      <c r="I36" s="684"/>
      <c r="J36" s="634"/>
      <c r="K36" s="630"/>
      <c r="L36" s="662"/>
      <c r="M36" s="632"/>
      <c r="N36" s="633"/>
      <c r="O36" s="634"/>
      <c r="P36" s="635"/>
      <c r="Q36" s="636"/>
      <c r="R36" s="566"/>
    </row>
    <row r="37" spans="1:24" s="567" customFormat="1" ht="21.75" customHeight="1">
      <c r="A37" s="627"/>
      <c r="B37" s="628"/>
      <c r="C37" s="628"/>
      <c r="D37" s="629"/>
      <c r="E37" s="629"/>
      <c r="F37" s="630"/>
      <c r="G37" s="678"/>
      <c r="H37" s="684"/>
      <c r="I37" s="684"/>
      <c r="J37" s="634"/>
      <c r="K37" s="630"/>
      <c r="L37" s="662"/>
      <c r="M37" s="632"/>
      <c r="N37" s="633"/>
      <c r="O37" s="665"/>
      <c r="P37" s="635"/>
      <c r="Q37" s="636"/>
      <c r="R37" s="566"/>
    </row>
    <row r="38" spans="1:24" s="567" customFormat="1" ht="25.5" customHeight="1" thickBot="1">
      <c r="A38" s="1680" t="s">
        <v>182</v>
      </c>
      <c r="B38" s="1681"/>
      <c r="C38" s="1682"/>
      <c r="D38" s="666"/>
      <c r="E38" s="667"/>
      <c r="F38" s="667">
        <v>58416510.387340426</v>
      </c>
      <c r="G38" s="680"/>
      <c r="H38" s="687">
        <v>-8702106.5</v>
      </c>
      <c r="I38" s="687"/>
      <c r="J38" s="671">
        <v>311996.5</v>
      </c>
      <c r="K38" s="668"/>
      <c r="L38" s="669">
        <v>50026400.387340426</v>
      </c>
      <c r="M38" s="670"/>
      <c r="N38" s="674">
        <v>50614386.32</v>
      </c>
      <c r="O38" s="671"/>
      <c r="P38" s="672">
        <v>-587985.93265957572</v>
      </c>
      <c r="Q38" s="673">
        <v>-1.1753512707429779E-2</v>
      </c>
      <c r="R38" s="566"/>
      <c r="S38" s="566"/>
      <c r="T38" s="566"/>
      <c r="U38" s="566"/>
      <c r="W38" s="566"/>
      <c r="X38" s="566"/>
    </row>
  </sheetData>
  <mergeCells count="14">
    <mergeCell ref="A12:C12"/>
    <mergeCell ref="A38:C38"/>
    <mergeCell ref="N3:P3"/>
    <mergeCell ref="M9:N11"/>
    <mergeCell ref="O9:Q11"/>
    <mergeCell ref="E10:F10"/>
    <mergeCell ref="G10:H10"/>
    <mergeCell ref="I10:J10"/>
    <mergeCell ref="G11:H11"/>
    <mergeCell ref="I11:J11"/>
    <mergeCell ref="A7:C7"/>
    <mergeCell ref="A6:C6"/>
    <mergeCell ref="A8:C8"/>
    <mergeCell ref="D6:E6"/>
  </mergeCells>
  <pageMargins left="0.7" right="0.7" top="0.75" bottom="0.75" header="0.3" footer="0.3"/>
  <pageSetup paperSize="9" scale="57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rgb="FFFF0000"/>
  </sheetPr>
  <dimension ref="A1:AG154"/>
  <sheetViews>
    <sheetView showGridLines="0" workbookViewId="0">
      <pane xSplit="4" ySplit="10" topLeftCell="E11" activePane="bottomRight" state="frozen"/>
      <selection activeCell="AA19" sqref="AA19"/>
      <selection pane="topRight" activeCell="AA19" sqref="AA19"/>
      <selection pane="bottomLeft" activeCell="AA19" sqref="AA19"/>
      <selection pane="bottomRight" activeCell="E16" sqref="E16"/>
    </sheetView>
  </sheetViews>
  <sheetFormatPr baseColWidth="10" defaultColWidth="10.85546875" defaultRowHeight="12.75"/>
  <cols>
    <col min="1" max="1" width="25.7109375" style="689" customWidth="1"/>
    <col min="2" max="2" width="40.7109375" style="689" customWidth="1"/>
    <col min="3" max="3" width="2.140625" style="690" customWidth="1"/>
    <col min="4" max="4" width="5.140625" style="689" customWidth="1"/>
    <col min="5" max="8" width="10.7109375" style="689" customWidth="1"/>
    <col min="9" max="9" width="2.7109375" style="690" customWidth="1"/>
    <col min="10" max="13" width="10.7109375" style="689" customWidth="1"/>
    <col min="14" max="14" width="2.7109375" style="690" customWidth="1"/>
    <col min="15" max="18" width="10.7109375" style="689" customWidth="1"/>
    <col min="19" max="19" width="2.7109375" style="690" customWidth="1"/>
    <col min="20" max="20" width="10.7109375" style="689" customWidth="1"/>
    <col min="21" max="21" width="2.7109375" style="691" customWidth="1"/>
    <col min="22" max="23" width="10.7109375" style="689" customWidth="1"/>
    <col min="24" max="24" width="2.7109375" style="692" customWidth="1"/>
    <col min="25" max="28" width="10.7109375" style="689" customWidth="1"/>
    <col min="29" max="29" width="2.7109375" style="689" customWidth="1"/>
    <col min="30" max="33" width="10.7109375" style="689" customWidth="1"/>
    <col min="34" max="16384" width="10.85546875" style="689"/>
  </cols>
  <sheetData>
    <row r="1" spans="1:33" ht="15" customHeight="1">
      <c r="A1" s="688"/>
    </row>
    <row r="2" spans="1:33" ht="15" customHeight="1" thickBot="1">
      <c r="B2" s="693"/>
      <c r="G2" s="694"/>
    </row>
    <row r="3" spans="1:33" ht="23.25" customHeight="1" thickBot="1">
      <c r="A3" s="1720" t="s">
        <v>183</v>
      </c>
      <c r="B3" s="1721"/>
      <c r="C3" s="1721"/>
      <c r="D3" s="1721"/>
      <c r="E3" s="1721"/>
      <c r="F3" s="1721"/>
      <c r="G3" s="1721"/>
      <c r="H3" s="1721"/>
      <c r="I3" s="1721"/>
      <c r="J3" s="1721"/>
      <c r="K3" s="1721"/>
      <c r="L3" s="1721"/>
      <c r="M3" s="1721"/>
      <c r="N3" s="1721"/>
      <c r="O3" s="1721"/>
      <c r="P3" s="1721"/>
      <c r="Q3" s="1721"/>
      <c r="R3" s="1721"/>
      <c r="S3" s="1721"/>
      <c r="T3" s="1721"/>
      <c r="U3" s="1721"/>
      <c r="V3" s="1721"/>
      <c r="W3" s="1722"/>
      <c r="X3" s="695"/>
    </row>
    <row r="4" spans="1:33" ht="13.5" customHeight="1" thickBot="1"/>
    <row r="5" spans="1:33" s="693" customFormat="1" ht="13.5" customHeight="1" thickBot="1">
      <c r="B5" s="696" t="s">
        <v>184</v>
      </c>
      <c r="C5" s="697"/>
      <c r="E5" s="1344">
        <v>21.5</v>
      </c>
      <c r="F5" s="1344">
        <v>21.5</v>
      </c>
      <c r="G5" s="1344">
        <v>21.5</v>
      </c>
      <c r="H5" s="1344">
        <v>21.5</v>
      </c>
      <c r="I5" s="698"/>
      <c r="J5" s="1344">
        <f>H5</f>
        <v>21.5</v>
      </c>
      <c r="K5" s="699"/>
      <c r="L5" s="1344">
        <f>IFERROR(L6/(L11+L67+L119),"")</f>
        <v>226.0445571423945</v>
      </c>
      <c r="M5" s="1344">
        <f>IFERROR(J5-L5,"")</f>
        <v>-204.5445571423945</v>
      </c>
      <c r="N5" s="698"/>
      <c r="O5" s="1344">
        <f>H5</f>
        <v>21.5</v>
      </c>
      <c r="P5" s="699"/>
      <c r="Q5" s="1344" t="str">
        <f>IFERROR(Q6/(Q11+Q67+Q119),"")</f>
        <v/>
      </c>
      <c r="R5" s="1344" t="str">
        <f>IFERROR(O5-Q5,"")</f>
        <v/>
      </c>
      <c r="S5" s="698"/>
      <c r="T5" s="1344">
        <f>H5</f>
        <v>21.5</v>
      </c>
      <c r="U5" s="700"/>
      <c r="V5" s="1344">
        <f>IFERROR(V6/(V11+V67+V119),"")</f>
        <v>39.60967503501351</v>
      </c>
      <c r="W5" s="1344">
        <f>IFERROR(H5-V5,"")</f>
        <v>-18.10967503501351</v>
      </c>
      <c r="X5" s="701"/>
      <c r="AD5" s="1344">
        <v>21.5</v>
      </c>
      <c r="AE5" s="699"/>
      <c r="AF5" s="1344">
        <v>226.0445571423945</v>
      </c>
      <c r="AG5" s="1344">
        <v>-204.5445571423945</v>
      </c>
    </row>
    <row r="6" spans="1:33" s="694" customFormat="1" ht="13.5" customHeight="1" thickBot="1">
      <c r="B6" s="702" t="s">
        <v>174</v>
      </c>
      <c r="C6" s="703"/>
      <c r="E6" s="1345">
        <f>IFERROR(E5*(E11+E67),"")</f>
        <v>30028182.225549996</v>
      </c>
      <c r="F6" s="1345">
        <f>IFERROR(F5*(F11+F67),"")</f>
        <v>0</v>
      </c>
      <c r="G6" s="1345">
        <f>IFERROR(G5*(G11+G67),"")</f>
        <v>0</v>
      </c>
      <c r="H6" s="1345">
        <f>IFERROR(H5*(H11+H67),"")</f>
        <v>30028182.225549996</v>
      </c>
      <c r="I6" s="703"/>
      <c r="J6" s="1345">
        <f>IFERROR(J5*(J11+J67),"")</f>
        <v>774205.84934199997</v>
      </c>
      <c r="L6" s="1345">
        <f>IFERROR(Q6+AF6,"")</f>
        <v>13960059.76</v>
      </c>
      <c r="M6" s="1345">
        <f>IFERROR(J6-L6,"")</f>
        <v>-13185853.910658</v>
      </c>
      <c r="N6" s="703"/>
      <c r="O6" s="1345">
        <f>IFERROR(O5*(O11+O67),"")</f>
        <v>0</v>
      </c>
      <c r="Q6" s="1346"/>
      <c r="R6" s="1345">
        <f>IFERROR(O6-Q6,"")</f>
        <v>0</v>
      </c>
      <c r="S6" s="703"/>
      <c r="T6" s="1345">
        <f>IFERROR(T5*(T11+T67),"")</f>
        <v>14402951.000499999</v>
      </c>
      <c r="U6" s="704"/>
      <c r="V6" s="1345">
        <f>IFERROR(L6+T6,"")</f>
        <v>28363010.760499999</v>
      </c>
      <c r="W6" s="1345">
        <f>IFERROR(H6-V6,"")</f>
        <v>1665171.465049997</v>
      </c>
      <c r="X6" s="705"/>
      <c r="AD6" s="1345">
        <v>774205.84934199997</v>
      </c>
      <c r="AF6" s="1345">
        <v>13960059.76</v>
      </c>
      <c r="AG6" s="1345">
        <v>-13185853.910658</v>
      </c>
    </row>
    <row r="7" spans="1:33" ht="13.5" customHeight="1" thickBot="1">
      <c r="A7" s="706"/>
      <c r="B7" s="706"/>
      <c r="C7" s="707"/>
      <c r="E7" s="708"/>
      <c r="F7" s="709"/>
      <c r="G7" s="709"/>
      <c r="H7" s="709"/>
      <c r="I7" s="707"/>
      <c r="J7" s="710" t="s">
        <v>185</v>
      </c>
      <c r="K7" s="710" t="s">
        <v>185</v>
      </c>
      <c r="L7" s="706"/>
      <c r="M7" s="706"/>
      <c r="N7" s="707"/>
      <c r="O7" s="706"/>
      <c r="P7" s="710" t="s">
        <v>185</v>
      </c>
      <c r="Q7" s="706"/>
      <c r="R7" s="706"/>
      <c r="S7" s="707"/>
      <c r="T7" s="706"/>
      <c r="U7" s="711"/>
      <c r="V7" s="706"/>
      <c r="W7" s="706"/>
      <c r="X7" s="712"/>
      <c r="AD7" s="710" t="s">
        <v>185</v>
      </c>
      <c r="AE7" s="710" t="s">
        <v>185</v>
      </c>
      <c r="AF7" s="706"/>
      <c r="AG7" s="706"/>
    </row>
    <row r="8" spans="1:33" ht="18" customHeight="1" thickBot="1">
      <c r="A8" s="706"/>
      <c r="B8" s="713"/>
      <c r="C8" s="714"/>
      <c r="E8" s="1502" t="s">
        <v>186</v>
      </c>
      <c r="F8" s="1503" t="s">
        <v>187</v>
      </c>
      <c r="G8" s="1503" t="s">
        <v>71</v>
      </c>
      <c r="H8" s="1504" t="s">
        <v>186</v>
      </c>
      <c r="I8" s="715"/>
      <c r="J8" s="1723" t="s">
        <v>188</v>
      </c>
      <c r="K8" s="1724"/>
      <c r="L8" s="1724"/>
      <c r="M8" s="1725"/>
      <c r="N8" s="714"/>
      <c r="O8" s="1726" t="s">
        <v>189</v>
      </c>
      <c r="P8" s="1727"/>
      <c r="Q8" s="1727"/>
      <c r="R8" s="1728"/>
      <c r="S8" s="714"/>
      <c r="T8" s="1505" t="s">
        <v>190</v>
      </c>
      <c r="U8" s="716"/>
      <c r="V8" s="1729" t="s">
        <v>191</v>
      </c>
      <c r="W8" s="1730"/>
      <c r="X8" s="717"/>
      <c r="AD8" s="1731" t="s">
        <v>192</v>
      </c>
      <c r="AE8" s="1732"/>
      <c r="AF8" s="1732"/>
      <c r="AG8" s="1733"/>
    </row>
    <row r="9" spans="1:33">
      <c r="A9" s="1713" t="s">
        <v>193</v>
      </c>
      <c r="B9" s="1715" t="s">
        <v>194</v>
      </c>
      <c r="C9" s="714" t="s">
        <v>195</v>
      </c>
      <c r="D9" s="1506" t="s">
        <v>196</v>
      </c>
      <c r="E9" s="1717" t="s">
        <v>171</v>
      </c>
      <c r="F9" s="1718" t="s">
        <v>171</v>
      </c>
      <c r="G9" s="1718" t="s">
        <v>171</v>
      </c>
      <c r="H9" s="1734" t="s">
        <v>171</v>
      </c>
      <c r="I9" s="714" t="s">
        <v>195</v>
      </c>
      <c r="J9" s="1736" t="s">
        <v>197</v>
      </c>
      <c r="K9" s="1737"/>
      <c r="L9" s="1507" t="s">
        <v>198</v>
      </c>
      <c r="M9" s="1508" t="s">
        <v>199</v>
      </c>
      <c r="N9" s="714" t="s">
        <v>195</v>
      </c>
      <c r="O9" s="1738" t="s">
        <v>197</v>
      </c>
      <c r="P9" s="1739"/>
      <c r="Q9" s="1509" t="s">
        <v>198</v>
      </c>
      <c r="R9" s="1510" t="s">
        <v>199</v>
      </c>
      <c r="S9" s="714" t="s">
        <v>195</v>
      </c>
      <c r="T9" s="1740" t="s">
        <v>200</v>
      </c>
      <c r="U9" s="716" t="s">
        <v>195</v>
      </c>
      <c r="V9" s="1511" t="s">
        <v>198</v>
      </c>
      <c r="W9" s="1508" t="s">
        <v>201</v>
      </c>
      <c r="X9" s="717"/>
      <c r="AD9" s="1738" t="s">
        <v>197</v>
      </c>
      <c r="AE9" s="1737"/>
      <c r="AF9" s="1507" t="s">
        <v>198</v>
      </c>
      <c r="AG9" s="1512" t="s">
        <v>199</v>
      </c>
    </row>
    <row r="10" spans="1:33" ht="13.5" customHeight="1" thickBot="1">
      <c r="A10" s="1714"/>
      <c r="B10" s="1716"/>
      <c r="C10" s="707"/>
      <c r="D10" s="1347" t="s">
        <v>202</v>
      </c>
      <c r="E10" s="1714"/>
      <c r="F10" s="1719"/>
      <c r="G10" s="1719"/>
      <c r="H10" s="1735"/>
      <c r="I10" s="707"/>
      <c r="J10" s="1348" t="s">
        <v>171</v>
      </c>
      <c r="K10" s="718" t="s">
        <v>43</v>
      </c>
      <c r="L10" s="719" t="s">
        <v>171</v>
      </c>
      <c r="M10" s="1513" t="s">
        <v>171</v>
      </c>
      <c r="N10" s="707"/>
      <c r="O10" s="720" t="s">
        <v>171</v>
      </c>
      <c r="P10" s="721" t="s">
        <v>43</v>
      </c>
      <c r="Q10" s="722" t="s">
        <v>171</v>
      </c>
      <c r="R10" s="723" t="s">
        <v>171</v>
      </c>
      <c r="S10" s="707"/>
      <c r="T10" s="1741"/>
      <c r="U10" s="711"/>
      <c r="V10" s="1348" t="s">
        <v>171</v>
      </c>
      <c r="W10" s="1513" t="s">
        <v>171</v>
      </c>
      <c r="X10" s="717"/>
      <c r="AD10" s="724" t="s">
        <v>171</v>
      </c>
      <c r="AE10" s="719" t="s">
        <v>43</v>
      </c>
      <c r="AF10" s="719" t="s">
        <v>171</v>
      </c>
      <c r="AG10" s="725" t="s">
        <v>171</v>
      </c>
    </row>
    <row r="11" spans="1:33" s="730" customFormat="1" ht="19.5" customHeight="1" thickBot="1">
      <c r="A11" s="1441"/>
      <c r="B11" s="1442" t="s">
        <v>203</v>
      </c>
      <c r="C11" s="726"/>
      <c r="D11" s="1443" t="s">
        <v>204</v>
      </c>
      <c r="E11" s="1444">
        <f>E12+E24+E35+E38+E41+E57</f>
        <v>828935.81807209295</v>
      </c>
      <c r="F11" s="1445">
        <f>F12+F24+F35+F38+F41+F57</f>
        <v>0</v>
      </c>
      <c r="G11" s="1445">
        <f>G12+G24+G35+G38+G41+G57</f>
        <v>0</v>
      </c>
      <c r="H11" s="1446">
        <f>H12+H24+H35+H38+H41+H57</f>
        <v>828935.81807209295</v>
      </c>
      <c r="I11" s="727"/>
      <c r="J11" s="1349">
        <f>J12+J24+J35+J38+J41+J57</f>
        <v>6478.7948880000004</v>
      </c>
      <c r="K11" s="1350">
        <f>IFERROR(J11/H11,"")</f>
        <v>7.8157979746467376E-3</v>
      </c>
      <c r="L11" s="1351">
        <f>L12+L24+L35+L38+L41+L57</f>
        <v>6927</v>
      </c>
      <c r="M11" s="1352">
        <f>M12+M24+M35+M38+M41+M57</f>
        <v>-448.20511199999976</v>
      </c>
      <c r="N11" s="727"/>
      <c r="O11" s="1353">
        <f>O12+O24+O35+O38+O41+O57</f>
        <v>0</v>
      </c>
      <c r="P11" s="1354">
        <f>IFERROR(O11/H11,"")</f>
        <v>0</v>
      </c>
      <c r="Q11" s="1355">
        <f>Q12+Q24+Q35+Q38+Q41+Q57</f>
        <v>0</v>
      </c>
      <c r="R11" s="1356">
        <f>R12+R24+R35+R38+R41+R57</f>
        <v>0</v>
      </c>
      <c r="S11" s="727"/>
      <c r="T11" s="1357">
        <f>T12+T24+T35+T38+T41+T57</f>
        <v>261881.780372093</v>
      </c>
      <c r="U11" s="728"/>
      <c r="V11" s="1358">
        <f>V12+V24+V35+V38+V41+V57</f>
        <v>268808.78037209297</v>
      </c>
      <c r="W11" s="1359">
        <f>W12+W24+W35+W38+W41+W57</f>
        <v>560127.03769999999</v>
      </c>
      <c r="X11" s="729"/>
      <c r="AD11" s="1360">
        <v>6478.7948880000004</v>
      </c>
      <c r="AE11" s="1361">
        <v>1.9696228054373936E-2</v>
      </c>
      <c r="AF11" s="1362">
        <v>6927</v>
      </c>
      <c r="AG11" s="1363">
        <v>-448.20511199999976</v>
      </c>
    </row>
    <row r="12" spans="1:33" s="733" customFormat="1" ht="19.5" customHeight="1" thickBot="1">
      <c r="A12" s="1419" t="s">
        <v>205</v>
      </c>
      <c r="B12" s="1420" t="s">
        <v>206</v>
      </c>
      <c r="C12" s="731"/>
      <c r="D12" s="1421" t="s">
        <v>204</v>
      </c>
      <c r="E12" s="1422">
        <f>SUM(E13:E23)</f>
        <v>508883.78270000004</v>
      </c>
      <c r="F12" s="1364">
        <f>SUM(F13:F23)</f>
        <v>0</v>
      </c>
      <c r="G12" s="1364">
        <f>SUM(G13:G23)</f>
        <v>0</v>
      </c>
      <c r="H12" s="1409">
        <f>SUM(H13:H23)</f>
        <v>508883.78270000004</v>
      </c>
      <c r="I12" s="732"/>
      <c r="J12" s="1365">
        <f>SUM(J13:J23)</f>
        <v>5631.6965380000001</v>
      </c>
      <c r="K12" s="1366">
        <f>IFERROR(J12/H12,"")</f>
        <v>1.1066763629447451E-2</v>
      </c>
      <c r="L12" s="1367">
        <f>SUM(L13:L23)</f>
        <v>6081</v>
      </c>
      <c r="M12" s="1368">
        <f>SUM(M13:M23)</f>
        <v>-449.30346199999963</v>
      </c>
      <c r="N12" s="732"/>
      <c r="O12" s="1369">
        <f>SUM(O13:O23)</f>
        <v>0</v>
      </c>
      <c r="P12" s="1370">
        <f>IFERROR(O12/H12,"")</f>
        <v>0</v>
      </c>
      <c r="Q12" s="1371">
        <f>SUM(Q13:Q23)</f>
        <v>0</v>
      </c>
      <c r="R12" s="1372">
        <f>SUM(R13:R23)</f>
        <v>0</v>
      </c>
      <c r="S12" s="732"/>
      <c r="T12" s="1373">
        <f>SUM(T13:T23)</f>
        <v>0</v>
      </c>
      <c r="U12" s="732"/>
      <c r="V12" s="1365">
        <f>SUM(V13:V23)</f>
        <v>6081</v>
      </c>
      <c r="W12" s="1368">
        <f>SUM(W13:W23)</f>
        <v>502802.78270000004</v>
      </c>
      <c r="X12" s="729"/>
      <c r="AD12" s="1374">
        <v>5631.6965380000001</v>
      </c>
      <c r="AE12" s="1375">
        <v>0.63393001924731895</v>
      </c>
      <c r="AF12" s="1376">
        <v>6081</v>
      </c>
      <c r="AG12" s="1377">
        <v>-449.30346199999963</v>
      </c>
    </row>
    <row r="13" spans="1:33" s="737" customFormat="1" ht="15" customHeight="1">
      <c r="A13" s="1378"/>
      <c r="B13" s="1379" t="s">
        <v>207</v>
      </c>
      <c r="C13" s="707"/>
      <c r="D13" s="1380" t="s">
        <v>204</v>
      </c>
      <c r="E13" s="1381">
        <v>410.8</v>
      </c>
      <c r="F13" s="1382"/>
      <c r="G13" s="1382"/>
      <c r="H13" s="1383">
        <f>SUM(E13:G13)</f>
        <v>410.8</v>
      </c>
      <c r="I13" s="734"/>
      <c r="J13" s="1384">
        <f>H13*K13/100</f>
        <v>291.66800000000001</v>
      </c>
      <c r="K13" s="1385">
        <f>'BETON Qte'!K13</f>
        <v>71</v>
      </c>
      <c r="L13" s="1382">
        <f>Q13+AF13</f>
        <v>375</v>
      </c>
      <c r="M13" s="1383">
        <f>J13-L13</f>
        <v>-83.331999999999994</v>
      </c>
      <c r="N13" s="734"/>
      <c r="O13" s="1386">
        <f>J13-AD13</f>
        <v>0</v>
      </c>
      <c r="P13" s="1387">
        <f>IFERROR(O13/H13,0)</f>
        <v>0</v>
      </c>
      <c r="Q13" s="1388"/>
      <c r="R13" s="1389">
        <f>O13-Q13</f>
        <v>0</v>
      </c>
      <c r="S13" s="734"/>
      <c r="T13" s="1390">
        <v>0</v>
      </c>
      <c r="U13" s="735"/>
      <c r="V13" s="1384">
        <f>L13+T13</f>
        <v>375</v>
      </c>
      <c r="W13" s="1383">
        <f>H13-V13</f>
        <v>35.800000000000011</v>
      </c>
      <c r="X13" s="736"/>
      <c r="AD13" s="1391">
        <v>291.66800000000001</v>
      </c>
      <c r="AE13" s="1392">
        <v>71</v>
      </c>
      <c r="AF13" s="1393">
        <v>375</v>
      </c>
      <c r="AG13" s="1394">
        <v>-83.331999999999994</v>
      </c>
    </row>
    <row r="14" spans="1:33" s="737" customFormat="1" ht="15" customHeight="1">
      <c r="A14" s="1378"/>
      <c r="B14" s="1379" t="s">
        <v>208</v>
      </c>
      <c r="C14" s="707"/>
      <c r="D14" s="1380" t="s">
        <v>204</v>
      </c>
      <c r="E14" s="1381">
        <v>304.20000000000005</v>
      </c>
      <c r="F14" s="1382"/>
      <c r="G14" s="1382"/>
      <c r="H14" s="1383">
        <f t="shared" ref="H14:H23" si="0">SUM(E14:G14)</f>
        <v>304.20000000000005</v>
      </c>
      <c r="I14" s="734"/>
      <c r="J14" s="1384">
        <f t="shared" ref="J14:J23" si="1">H14*K14/100</f>
        <v>203.81400000000002</v>
      </c>
      <c r="K14" s="1385">
        <f>'BETON Qte'!K14</f>
        <v>67</v>
      </c>
      <c r="L14" s="1382">
        <f t="shared" ref="L14:L23" si="2">Q14+AF14</f>
        <v>1</v>
      </c>
      <c r="M14" s="1383">
        <f t="shared" ref="M14:M23" si="3">J14-L14</f>
        <v>202.81400000000002</v>
      </c>
      <c r="N14" s="734"/>
      <c r="O14" s="1386">
        <f t="shared" ref="O14:O23" si="4">J14-AD14</f>
        <v>0</v>
      </c>
      <c r="P14" s="1387">
        <f t="shared" ref="P14:P60" si="5">IFERROR(O14/H14,0)</f>
        <v>0</v>
      </c>
      <c r="Q14" s="1388"/>
      <c r="R14" s="1389">
        <f t="shared" ref="R14:R23" si="6">O14-Q14</f>
        <v>0</v>
      </c>
      <c r="S14" s="734"/>
      <c r="T14" s="1390">
        <v>0</v>
      </c>
      <c r="U14" s="735"/>
      <c r="V14" s="1384">
        <f t="shared" ref="V14:V23" si="7">L14+T14</f>
        <v>1</v>
      </c>
      <c r="W14" s="1383">
        <f t="shared" ref="W14:W23" si="8">H14-V14</f>
        <v>303.20000000000005</v>
      </c>
      <c r="X14" s="736"/>
      <c r="AD14" s="1391">
        <v>203.81400000000002</v>
      </c>
      <c r="AE14" s="1392">
        <v>67</v>
      </c>
      <c r="AF14" s="1393">
        <v>1</v>
      </c>
      <c r="AG14" s="1394">
        <v>202.81400000000002</v>
      </c>
    </row>
    <row r="15" spans="1:33" s="737" customFormat="1" ht="15" customHeight="1">
      <c r="A15" s="1378"/>
      <c r="B15" s="1379" t="s">
        <v>209</v>
      </c>
      <c r="C15" s="707"/>
      <c r="D15" s="1380" t="s">
        <v>204</v>
      </c>
      <c r="E15" s="1381">
        <v>500000</v>
      </c>
      <c r="F15" s="1382"/>
      <c r="G15" s="1382"/>
      <c r="H15" s="1383">
        <f t="shared" si="0"/>
        <v>500000</v>
      </c>
      <c r="I15" s="734"/>
      <c r="J15" s="1384">
        <f t="shared" si="1"/>
        <v>0</v>
      </c>
      <c r="K15" s="1385">
        <f>'BETON Qte'!K15</f>
        <v>0</v>
      </c>
      <c r="L15" s="1382">
        <f t="shared" si="2"/>
        <v>252</v>
      </c>
      <c r="M15" s="1383">
        <f t="shared" si="3"/>
        <v>-252</v>
      </c>
      <c r="N15" s="734"/>
      <c r="O15" s="1386">
        <f t="shared" si="4"/>
        <v>0</v>
      </c>
      <c r="P15" s="1387">
        <f t="shared" si="5"/>
        <v>0</v>
      </c>
      <c r="Q15" s="1388"/>
      <c r="R15" s="1389">
        <f t="shared" si="6"/>
        <v>0</v>
      </c>
      <c r="S15" s="734"/>
      <c r="T15" s="1390">
        <v>0</v>
      </c>
      <c r="U15" s="735"/>
      <c r="V15" s="1384">
        <f t="shared" si="7"/>
        <v>252</v>
      </c>
      <c r="W15" s="1383">
        <f t="shared" si="8"/>
        <v>499748</v>
      </c>
      <c r="X15" s="736"/>
      <c r="AD15" s="1391">
        <v>0</v>
      </c>
      <c r="AE15" s="1392">
        <v>0</v>
      </c>
      <c r="AF15" s="1393">
        <v>252</v>
      </c>
      <c r="AG15" s="1394">
        <v>-252</v>
      </c>
    </row>
    <row r="16" spans="1:33" s="737" customFormat="1" ht="15" customHeight="1">
      <c r="A16" s="1378"/>
      <c r="B16" s="1379" t="s">
        <v>210</v>
      </c>
      <c r="C16" s="707"/>
      <c r="D16" s="1380" t="s">
        <v>204</v>
      </c>
      <c r="E16" s="1381">
        <v>674.18000000000006</v>
      </c>
      <c r="F16" s="1382"/>
      <c r="G16" s="1382"/>
      <c r="H16" s="1383">
        <f t="shared" si="0"/>
        <v>674.18000000000006</v>
      </c>
      <c r="I16" s="734"/>
      <c r="J16" s="1384">
        <f t="shared" si="1"/>
        <v>330.34820000000002</v>
      </c>
      <c r="K16" s="1385">
        <f>'BETON Qte'!K16</f>
        <v>49</v>
      </c>
      <c r="L16" s="1382">
        <f t="shared" si="2"/>
        <v>54</v>
      </c>
      <c r="M16" s="1383">
        <f t="shared" si="3"/>
        <v>276.34820000000002</v>
      </c>
      <c r="N16" s="734"/>
      <c r="O16" s="1386">
        <f t="shared" si="4"/>
        <v>0</v>
      </c>
      <c r="P16" s="1387">
        <f t="shared" si="5"/>
        <v>0</v>
      </c>
      <c r="Q16" s="1388"/>
      <c r="R16" s="1389">
        <f t="shared" si="6"/>
        <v>0</v>
      </c>
      <c r="S16" s="734"/>
      <c r="T16" s="1390">
        <v>0</v>
      </c>
      <c r="U16" s="735"/>
      <c r="V16" s="1384">
        <f t="shared" si="7"/>
        <v>54</v>
      </c>
      <c r="W16" s="1383">
        <f t="shared" si="8"/>
        <v>620.18000000000006</v>
      </c>
      <c r="X16" s="736"/>
      <c r="AD16" s="1391">
        <v>330.34820000000002</v>
      </c>
      <c r="AE16" s="1392">
        <v>49</v>
      </c>
      <c r="AF16" s="1393">
        <v>54</v>
      </c>
      <c r="AG16" s="1394">
        <v>276.34820000000002</v>
      </c>
    </row>
    <row r="17" spans="1:33" s="737" customFormat="1" ht="15" customHeight="1">
      <c r="A17" s="1378"/>
      <c r="B17" s="1379" t="s">
        <v>211</v>
      </c>
      <c r="C17" s="707"/>
      <c r="D17" s="1380" t="s">
        <v>204</v>
      </c>
      <c r="E17" s="1381">
        <v>2488.9332000000004</v>
      </c>
      <c r="F17" s="1382"/>
      <c r="G17" s="1382"/>
      <c r="H17" s="1383">
        <f t="shared" si="0"/>
        <v>2488.9332000000004</v>
      </c>
      <c r="I17" s="734"/>
      <c r="J17" s="1384">
        <f t="shared" si="1"/>
        <v>1966.2572280000002</v>
      </c>
      <c r="K17" s="1385">
        <f>'BETON Qte'!K17</f>
        <v>79</v>
      </c>
      <c r="L17" s="1382">
        <f t="shared" si="2"/>
        <v>956</v>
      </c>
      <c r="M17" s="1383">
        <f t="shared" si="3"/>
        <v>1010.2572280000002</v>
      </c>
      <c r="N17" s="734"/>
      <c r="O17" s="1386">
        <f t="shared" si="4"/>
        <v>0</v>
      </c>
      <c r="P17" s="1387">
        <f t="shared" si="5"/>
        <v>0</v>
      </c>
      <c r="Q17" s="1388"/>
      <c r="R17" s="1389">
        <f t="shared" si="6"/>
        <v>0</v>
      </c>
      <c r="S17" s="734"/>
      <c r="T17" s="1390">
        <v>0</v>
      </c>
      <c r="U17" s="735"/>
      <c r="V17" s="1384">
        <f t="shared" si="7"/>
        <v>956</v>
      </c>
      <c r="W17" s="1383">
        <f t="shared" si="8"/>
        <v>1532.9332000000004</v>
      </c>
      <c r="X17" s="736"/>
      <c r="AD17" s="1391">
        <v>1966.2572280000002</v>
      </c>
      <c r="AE17" s="1392">
        <v>79</v>
      </c>
      <c r="AF17" s="1393">
        <v>956</v>
      </c>
      <c r="AG17" s="1394">
        <v>1010.2572280000002</v>
      </c>
    </row>
    <row r="18" spans="1:33" s="737" customFormat="1" ht="15" customHeight="1">
      <c r="A18" s="1378"/>
      <c r="B18" s="1379" t="s">
        <v>212</v>
      </c>
      <c r="C18" s="707"/>
      <c r="D18" s="1380" t="s">
        <v>204</v>
      </c>
      <c r="E18" s="1381">
        <v>1389.9599999999998</v>
      </c>
      <c r="F18" s="1382"/>
      <c r="G18" s="1382"/>
      <c r="H18" s="1383">
        <f t="shared" si="0"/>
        <v>1389.9599999999998</v>
      </c>
      <c r="I18" s="734"/>
      <c r="J18" s="1384">
        <f t="shared" si="1"/>
        <v>861.77519999999993</v>
      </c>
      <c r="K18" s="1385">
        <f>'BETON Qte'!K18</f>
        <v>62</v>
      </c>
      <c r="L18" s="1382">
        <f t="shared" si="2"/>
        <v>1307</v>
      </c>
      <c r="M18" s="1383">
        <f t="shared" si="3"/>
        <v>-445.22480000000007</v>
      </c>
      <c r="N18" s="734"/>
      <c r="O18" s="1386">
        <f t="shared" si="4"/>
        <v>0</v>
      </c>
      <c r="P18" s="1387">
        <f t="shared" si="5"/>
        <v>0</v>
      </c>
      <c r="Q18" s="1388"/>
      <c r="R18" s="1389">
        <f t="shared" si="6"/>
        <v>0</v>
      </c>
      <c r="S18" s="734"/>
      <c r="T18" s="1390">
        <v>0</v>
      </c>
      <c r="U18" s="735"/>
      <c r="V18" s="1384">
        <f t="shared" si="7"/>
        <v>1307</v>
      </c>
      <c r="W18" s="1383">
        <f t="shared" si="8"/>
        <v>82.959999999999809</v>
      </c>
      <c r="X18" s="736"/>
      <c r="AD18" s="1391">
        <v>861.77519999999993</v>
      </c>
      <c r="AE18" s="1392">
        <v>62</v>
      </c>
      <c r="AF18" s="1393">
        <v>1307</v>
      </c>
      <c r="AG18" s="1394">
        <v>-445.22480000000007</v>
      </c>
    </row>
    <row r="19" spans="1:33" s="737" customFormat="1" ht="15" customHeight="1">
      <c r="A19" s="1378"/>
      <c r="B19" s="1379" t="s">
        <v>213</v>
      </c>
      <c r="C19" s="707"/>
      <c r="D19" s="1380" t="s">
        <v>204</v>
      </c>
      <c r="E19" s="1381">
        <v>480.48</v>
      </c>
      <c r="F19" s="1382"/>
      <c r="G19" s="1382"/>
      <c r="H19" s="1383">
        <f t="shared" si="0"/>
        <v>480.48</v>
      </c>
      <c r="I19" s="734"/>
      <c r="J19" s="1384">
        <f t="shared" si="1"/>
        <v>384.38400000000001</v>
      </c>
      <c r="K19" s="1385">
        <f>'BETON Qte'!K19</f>
        <v>80</v>
      </c>
      <c r="L19" s="1382">
        <f t="shared" si="2"/>
        <v>506</v>
      </c>
      <c r="M19" s="1383">
        <f t="shared" si="3"/>
        <v>-121.61599999999999</v>
      </c>
      <c r="N19" s="734"/>
      <c r="O19" s="1386">
        <f t="shared" si="4"/>
        <v>0</v>
      </c>
      <c r="P19" s="1387">
        <f t="shared" si="5"/>
        <v>0</v>
      </c>
      <c r="Q19" s="1388"/>
      <c r="R19" s="1389">
        <f t="shared" si="6"/>
        <v>0</v>
      </c>
      <c r="S19" s="734"/>
      <c r="T19" s="1390">
        <v>0</v>
      </c>
      <c r="U19" s="735"/>
      <c r="V19" s="1384">
        <f t="shared" si="7"/>
        <v>506</v>
      </c>
      <c r="W19" s="1383">
        <f t="shared" si="8"/>
        <v>-25.519999999999982</v>
      </c>
      <c r="X19" s="736"/>
      <c r="AD19" s="1391">
        <v>384.38400000000001</v>
      </c>
      <c r="AE19" s="1392">
        <v>80</v>
      </c>
      <c r="AF19" s="1393">
        <v>506</v>
      </c>
      <c r="AG19" s="1394">
        <v>-121.61599999999999</v>
      </c>
    </row>
    <row r="20" spans="1:33" s="737" customFormat="1" ht="15" customHeight="1">
      <c r="A20" s="1378"/>
      <c r="B20" s="1379" t="s">
        <v>214</v>
      </c>
      <c r="C20" s="707"/>
      <c r="D20" s="1380" t="s">
        <v>204</v>
      </c>
      <c r="E20" s="1381">
        <v>2255.3895000000002</v>
      </c>
      <c r="F20" s="1382"/>
      <c r="G20" s="1382"/>
      <c r="H20" s="1383">
        <f t="shared" si="0"/>
        <v>2255.3895000000002</v>
      </c>
      <c r="I20" s="734"/>
      <c r="J20" s="1384">
        <f t="shared" si="1"/>
        <v>1308.1259100000002</v>
      </c>
      <c r="K20" s="1385">
        <f>'BETON Qte'!K20</f>
        <v>58</v>
      </c>
      <c r="L20" s="1382">
        <f t="shared" si="2"/>
        <v>904</v>
      </c>
      <c r="M20" s="1383">
        <f t="shared" si="3"/>
        <v>404.1259100000002</v>
      </c>
      <c r="N20" s="734"/>
      <c r="O20" s="1386">
        <f t="shared" si="4"/>
        <v>0</v>
      </c>
      <c r="P20" s="1387">
        <f t="shared" si="5"/>
        <v>0</v>
      </c>
      <c r="Q20" s="1388"/>
      <c r="R20" s="1389">
        <f t="shared" si="6"/>
        <v>0</v>
      </c>
      <c r="S20" s="734"/>
      <c r="T20" s="1390">
        <v>0</v>
      </c>
      <c r="U20" s="735"/>
      <c r="V20" s="1384">
        <f t="shared" si="7"/>
        <v>904</v>
      </c>
      <c r="W20" s="1383">
        <f t="shared" si="8"/>
        <v>1351.3895000000002</v>
      </c>
      <c r="X20" s="736"/>
      <c r="AD20" s="1391">
        <v>1308.1259100000002</v>
      </c>
      <c r="AE20" s="1392">
        <v>58</v>
      </c>
      <c r="AF20" s="1393">
        <v>904</v>
      </c>
      <c r="AG20" s="1394">
        <v>404.1259100000002</v>
      </c>
    </row>
    <row r="21" spans="1:33" s="737" customFormat="1" ht="15" customHeight="1">
      <c r="A21" s="1378"/>
      <c r="B21" s="1379" t="s">
        <v>215</v>
      </c>
      <c r="C21" s="707"/>
      <c r="D21" s="1380" t="s">
        <v>204</v>
      </c>
      <c r="E21" s="1381">
        <v>764.4</v>
      </c>
      <c r="F21" s="1382"/>
      <c r="G21" s="1382"/>
      <c r="H21" s="1383">
        <f t="shared" si="0"/>
        <v>764.4</v>
      </c>
      <c r="I21" s="734"/>
      <c r="J21" s="1384">
        <f t="shared" si="1"/>
        <v>198.74399999999997</v>
      </c>
      <c r="K21" s="1385">
        <f>'BETON Qte'!K21</f>
        <v>26</v>
      </c>
      <c r="L21" s="1382">
        <f t="shared" si="2"/>
        <v>575</v>
      </c>
      <c r="M21" s="1383">
        <f t="shared" si="3"/>
        <v>-376.25600000000003</v>
      </c>
      <c r="N21" s="734"/>
      <c r="O21" s="1386">
        <f t="shared" si="4"/>
        <v>0</v>
      </c>
      <c r="P21" s="1387">
        <f t="shared" si="5"/>
        <v>0</v>
      </c>
      <c r="Q21" s="1388"/>
      <c r="R21" s="1389">
        <f t="shared" si="6"/>
        <v>0</v>
      </c>
      <c r="S21" s="734"/>
      <c r="T21" s="1390">
        <v>0</v>
      </c>
      <c r="U21" s="735"/>
      <c r="V21" s="1384">
        <f t="shared" si="7"/>
        <v>575</v>
      </c>
      <c r="W21" s="1383">
        <f t="shared" si="8"/>
        <v>189.39999999999998</v>
      </c>
      <c r="X21" s="736"/>
      <c r="AD21" s="1391">
        <v>198.74399999999997</v>
      </c>
      <c r="AE21" s="1392">
        <v>26</v>
      </c>
      <c r="AF21" s="1393">
        <v>575</v>
      </c>
      <c r="AG21" s="1394">
        <v>-376.25600000000003</v>
      </c>
    </row>
    <row r="22" spans="1:33" s="737" customFormat="1" ht="15" customHeight="1">
      <c r="A22" s="1378"/>
      <c r="B22" s="1379" t="s">
        <v>216</v>
      </c>
      <c r="C22" s="707"/>
      <c r="D22" s="1380" t="s">
        <v>204</v>
      </c>
      <c r="E22" s="1381">
        <v>115.44</v>
      </c>
      <c r="F22" s="1382"/>
      <c r="G22" s="1382"/>
      <c r="H22" s="1383">
        <f t="shared" si="0"/>
        <v>115.44</v>
      </c>
      <c r="I22" s="734"/>
      <c r="J22" s="1384">
        <f t="shared" si="1"/>
        <v>86.58</v>
      </c>
      <c r="K22" s="1385">
        <f>'BETON Qte'!K22</f>
        <v>75</v>
      </c>
      <c r="L22" s="1382">
        <f t="shared" si="2"/>
        <v>1151</v>
      </c>
      <c r="M22" s="1383">
        <f t="shared" si="3"/>
        <v>-1064.42</v>
      </c>
      <c r="N22" s="738"/>
      <c r="O22" s="1386">
        <f t="shared" si="4"/>
        <v>0</v>
      </c>
      <c r="P22" s="1387">
        <f t="shared" si="5"/>
        <v>0</v>
      </c>
      <c r="Q22" s="1388"/>
      <c r="R22" s="1395">
        <f t="shared" si="6"/>
        <v>0</v>
      </c>
      <c r="S22" s="734"/>
      <c r="T22" s="1390">
        <v>0</v>
      </c>
      <c r="U22" s="735"/>
      <c r="V22" s="1384">
        <f t="shared" si="7"/>
        <v>1151</v>
      </c>
      <c r="W22" s="1383">
        <f t="shared" si="8"/>
        <v>-1035.56</v>
      </c>
      <c r="X22" s="736"/>
      <c r="AD22" s="1391">
        <v>86.58</v>
      </c>
      <c r="AE22" s="1392">
        <v>75</v>
      </c>
      <c r="AF22" s="1393">
        <v>1151</v>
      </c>
      <c r="AG22" s="1394">
        <v>-1064.42</v>
      </c>
    </row>
    <row r="23" spans="1:33" s="737" customFormat="1" ht="15" customHeight="1" thickBot="1">
      <c r="A23" s="1378"/>
      <c r="B23" s="1379" t="s">
        <v>217</v>
      </c>
      <c r="C23" s="707"/>
      <c r="D23" s="1380" t="s">
        <v>204</v>
      </c>
      <c r="E23" s="1381">
        <v>0</v>
      </c>
      <c r="F23" s="1382"/>
      <c r="G23" s="1382"/>
      <c r="H23" s="1383">
        <f t="shared" si="0"/>
        <v>0</v>
      </c>
      <c r="I23" s="734"/>
      <c r="J23" s="1396">
        <f t="shared" si="1"/>
        <v>0</v>
      </c>
      <c r="K23" s="1397">
        <f>'BETON Qte'!K23</f>
        <v>0</v>
      </c>
      <c r="L23" s="1398">
        <f t="shared" si="2"/>
        <v>0</v>
      </c>
      <c r="M23" s="1399">
        <f t="shared" si="3"/>
        <v>0</v>
      </c>
      <c r="N23" s="734"/>
      <c r="O23" s="1400">
        <f t="shared" si="4"/>
        <v>0</v>
      </c>
      <c r="P23" s="1401">
        <f t="shared" si="5"/>
        <v>0</v>
      </c>
      <c r="Q23" s="1402"/>
      <c r="R23" s="1403">
        <f t="shared" si="6"/>
        <v>0</v>
      </c>
      <c r="S23" s="734"/>
      <c r="T23" s="1390">
        <v>0</v>
      </c>
      <c r="U23" s="735"/>
      <c r="V23" s="1396">
        <f t="shared" si="7"/>
        <v>0</v>
      </c>
      <c r="W23" s="1399">
        <f t="shared" si="8"/>
        <v>0</v>
      </c>
      <c r="X23" s="736"/>
      <c r="AD23" s="1404">
        <v>0</v>
      </c>
      <c r="AE23" s="1405">
        <v>0</v>
      </c>
      <c r="AF23" s="1406">
        <v>0</v>
      </c>
      <c r="AG23" s="1407">
        <v>0</v>
      </c>
    </row>
    <row r="24" spans="1:33" s="733" customFormat="1" ht="19.5" customHeight="1" thickBot="1">
      <c r="A24" s="1419" t="s">
        <v>218</v>
      </c>
      <c r="B24" s="1420" t="s">
        <v>219</v>
      </c>
      <c r="C24" s="731"/>
      <c r="D24" s="1421" t="s">
        <v>204</v>
      </c>
      <c r="E24" s="1422">
        <f>SUM(E25:E34)</f>
        <v>151912.91700000002</v>
      </c>
      <c r="F24" s="1364">
        <f>SUM(F25:F34)</f>
        <v>0</v>
      </c>
      <c r="G24" s="1364">
        <f>SUM(G25:G34)</f>
        <v>0</v>
      </c>
      <c r="H24" s="1409">
        <f>SUM(H25:H34)</f>
        <v>151912.91700000002</v>
      </c>
      <c r="I24" s="732"/>
      <c r="J24" s="1408">
        <f>SUM(J25:J34)</f>
        <v>847.09834999999987</v>
      </c>
      <c r="K24" s="1423">
        <f>IFERROR(J24/H24,"")</f>
        <v>5.5762101520307177E-3</v>
      </c>
      <c r="L24" s="1364">
        <f>SUM(L25:L34)</f>
        <v>846</v>
      </c>
      <c r="M24" s="1409">
        <f>SUM(M25:M34)</f>
        <v>1.0983499999998969</v>
      </c>
      <c r="N24" s="732"/>
      <c r="O24" s="1410">
        <f>SUM(O25:O34)</f>
        <v>0</v>
      </c>
      <c r="P24" s="1411">
        <f>IFERROR(O24/H24,"")</f>
        <v>0</v>
      </c>
      <c r="Q24" s="1412">
        <f>SUM(Q25:Q34)</f>
        <v>0</v>
      </c>
      <c r="R24" s="1413">
        <f>SUM(R25:R34)</f>
        <v>0</v>
      </c>
      <c r="S24" s="732"/>
      <c r="T24" s="1414">
        <f>SUM(T25:T34)</f>
        <v>93742.661999999997</v>
      </c>
      <c r="U24" s="732"/>
      <c r="V24" s="1408">
        <f>SUM(V25:V34)</f>
        <v>94588.661999999997</v>
      </c>
      <c r="W24" s="1409">
        <f>SUM(W25:W34)</f>
        <v>57324.254999999997</v>
      </c>
      <c r="X24" s="729"/>
      <c r="AD24" s="1415">
        <v>847.09834999999987</v>
      </c>
      <c r="AE24" s="1416">
        <v>5.5762101520307177E-3</v>
      </c>
      <c r="AF24" s="1417">
        <v>846</v>
      </c>
      <c r="AG24" s="1418">
        <v>1.0983499999998969</v>
      </c>
    </row>
    <row r="25" spans="1:33" s="737" customFormat="1" ht="15" customHeight="1">
      <c r="A25" s="1378"/>
      <c r="B25" s="1379" t="s">
        <v>220</v>
      </c>
      <c r="C25" s="707"/>
      <c r="D25" s="1380" t="s">
        <v>204</v>
      </c>
      <c r="E25" s="1381">
        <v>6296.4349999999995</v>
      </c>
      <c r="F25" s="1382"/>
      <c r="G25" s="1382"/>
      <c r="H25" s="1383">
        <f t="shared" ref="H25:H34" si="9">SUM(E25:G25)</f>
        <v>6296.4349999999995</v>
      </c>
      <c r="I25" s="734"/>
      <c r="J25" s="1384">
        <f t="shared" ref="J25:J34" si="10">H25*K25/100</f>
        <v>62.964349999999996</v>
      </c>
      <c r="K25" s="1385">
        <f>'BETON Qte'!K25</f>
        <v>1</v>
      </c>
      <c r="L25" s="1382">
        <f t="shared" ref="L25:L34" si="11">Q25+AF25</f>
        <v>103</v>
      </c>
      <c r="M25" s="1383">
        <f t="shared" ref="M25:M34" si="12">J25-L25</f>
        <v>-40.035650000000004</v>
      </c>
      <c r="N25" s="734"/>
      <c r="O25" s="1386">
        <f t="shared" ref="O25:O34" si="13">J25-AD25</f>
        <v>0</v>
      </c>
      <c r="P25" s="1387">
        <f t="shared" si="5"/>
        <v>0</v>
      </c>
      <c r="Q25" s="1388"/>
      <c r="R25" s="1389">
        <f t="shared" ref="R25:R34" si="14">O25-Q25</f>
        <v>0</v>
      </c>
      <c r="S25" s="734"/>
      <c r="T25" s="1390">
        <v>0</v>
      </c>
      <c r="U25" s="735"/>
      <c r="V25" s="1384">
        <f t="shared" ref="V25:V34" si="15">L25+T25</f>
        <v>103</v>
      </c>
      <c r="W25" s="1383">
        <f t="shared" ref="W25:W34" si="16">H25-V25</f>
        <v>6193.4349999999995</v>
      </c>
      <c r="X25" s="736"/>
      <c r="AD25" s="1391">
        <v>62.964349999999996</v>
      </c>
      <c r="AE25" s="1392">
        <v>1</v>
      </c>
      <c r="AF25" s="1393">
        <v>103</v>
      </c>
      <c r="AG25" s="1394">
        <v>-40.035650000000004</v>
      </c>
    </row>
    <row r="26" spans="1:33" s="737" customFormat="1" ht="15" customHeight="1">
      <c r="A26" s="1378"/>
      <c r="B26" s="1379" t="s">
        <v>221</v>
      </c>
      <c r="C26" s="707"/>
      <c r="D26" s="1380" t="s">
        <v>204</v>
      </c>
      <c r="E26" s="1381">
        <v>26137.8</v>
      </c>
      <c r="F26" s="1382"/>
      <c r="G26" s="1382"/>
      <c r="H26" s="1383">
        <f t="shared" si="9"/>
        <v>26137.8</v>
      </c>
      <c r="I26" s="734"/>
      <c r="J26" s="1384">
        <f t="shared" si="10"/>
        <v>784.1339999999999</v>
      </c>
      <c r="K26" s="1385">
        <f>'BETON Qte'!K26</f>
        <v>3</v>
      </c>
      <c r="L26" s="1382">
        <f t="shared" si="11"/>
        <v>743</v>
      </c>
      <c r="M26" s="1383">
        <f t="shared" si="12"/>
        <v>41.133999999999901</v>
      </c>
      <c r="N26" s="734"/>
      <c r="O26" s="1386">
        <f t="shared" si="13"/>
        <v>0</v>
      </c>
      <c r="P26" s="1387">
        <f t="shared" si="5"/>
        <v>0</v>
      </c>
      <c r="Q26" s="1388"/>
      <c r="R26" s="1389">
        <f t="shared" si="14"/>
        <v>0</v>
      </c>
      <c r="S26" s="734"/>
      <c r="T26" s="1390">
        <v>0</v>
      </c>
      <c r="U26" s="735"/>
      <c r="V26" s="1384">
        <f t="shared" si="15"/>
        <v>743</v>
      </c>
      <c r="W26" s="1383">
        <f t="shared" si="16"/>
        <v>25394.799999999999</v>
      </c>
      <c r="X26" s="736"/>
      <c r="AD26" s="1391">
        <v>784.1339999999999</v>
      </c>
      <c r="AE26" s="1392">
        <v>3</v>
      </c>
      <c r="AF26" s="1393">
        <v>743</v>
      </c>
      <c r="AG26" s="1394">
        <v>41.133999999999901</v>
      </c>
    </row>
    <row r="27" spans="1:33" s="737" customFormat="1" ht="15" customHeight="1">
      <c r="A27" s="1378"/>
      <c r="B27" s="1379" t="s">
        <v>222</v>
      </c>
      <c r="C27" s="707"/>
      <c r="D27" s="1380" t="s">
        <v>204</v>
      </c>
      <c r="E27" s="1381">
        <v>12926.862000000001</v>
      </c>
      <c r="F27" s="1382"/>
      <c r="G27" s="1382"/>
      <c r="H27" s="1383">
        <f t="shared" si="9"/>
        <v>12926.862000000001</v>
      </c>
      <c r="I27" s="734"/>
      <c r="J27" s="1384">
        <f t="shared" si="10"/>
        <v>0</v>
      </c>
      <c r="K27" s="1385">
        <f>'BETON Qte'!K27</f>
        <v>0</v>
      </c>
      <c r="L27" s="1382">
        <f t="shared" si="11"/>
        <v>0</v>
      </c>
      <c r="M27" s="1383">
        <f t="shared" si="12"/>
        <v>0</v>
      </c>
      <c r="N27" s="734"/>
      <c r="O27" s="1386">
        <f t="shared" si="13"/>
        <v>0</v>
      </c>
      <c r="P27" s="1387">
        <f t="shared" si="5"/>
        <v>0</v>
      </c>
      <c r="Q27" s="1388"/>
      <c r="R27" s="1389">
        <f t="shared" si="14"/>
        <v>0</v>
      </c>
      <c r="S27" s="734"/>
      <c r="T27" s="1390">
        <v>12926.862000000001</v>
      </c>
      <c r="U27" s="735"/>
      <c r="V27" s="1384">
        <f t="shared" si="15"/>
        <v>12926.862000000001</v>
      </c>
      <c r="W27" s="1383">
        <f t="shared" si="16"/>
        <v>0</v>
      </c>
      <c r="X27" s="736"/>
      <c r="AD27" s="1391">
        <v>0</v>
      </c>
      <c r="AE27" s="1392">
        <v>0</v>
      </c>
      <c r="AF27" s="1393">
        <v>0</v>
      </c>
      <c r="AG27" s="1394">
        <v>0</v>
      </c>
    </row>
    <row r="28" spans="1:33" s="737" customFormat="1" ht="15" customHeight="1">
      <c r="A28" s="1378"/>
      <c r="B28" s="1379" t="s">
        <v>223</v>
      </c>
      <c r="C28" s="707"/>
      <c r="D28" s="1380" t="s">
        <v>204</v>
      </c>
      <c r="E28" s="1381">
        <v>63745.5</v>
      </c>
      <c r="F28" s="1382"/>
      <c r="G28" s="1382"/>
      <c r="H28" s="1383">
        <f t="shared" si="9"/>
        <v>63745.5</v>
      </c>
      <c r="I28" s="734"/>
      <c r="J28" s="1384">
        <f t="shared" si="10"/>
        <v>0</v>
      </c>
      <c r="K28" s="1385">
        <f>'BETON Qte'!K28</f>
        <v>0</v>
      </c>
      <c r="L28" s="1382">
        <f t="shared" si="11"/>
        <v>0</v>
      </c>
      <c r="M28" s="1383">
        <f t="shared" si="12"/>
        <v>0</v>
      </c>
      <c r="N28" s="734"/>
      <c r="O28" s="1386">
        <f t="shared" si="13"/>
        <v>0</v>
      </c>
      <c r="P28" s="1387">
        <f t="shared" si="5"/>
        <v>0</v>
      </c>
      <c r="Q28" s="1388"/>
      <c r="R28" s="1389">
        <f t="shared" si="14"/>
        <v>0</v>
      </c>
      <c r="S28" s="734"/>
      <c r="T28" s="1390">
        <v>63745.5</v>
      </c>
      <c r="U28" s="735"/>
      <c r="V28" s="1384">
        <f t="shared" si="15"/>
        <v>63745.5</v>
      </c>
      <c r="W28" s="1383">
        <f t="shared" si="16"/>
        <v>0</v>
      </c>
      <c r="X28" s="736"/>
      <c r="AD28" s="1391">
        <v>0</v>
      </c>
      <c r="AE28" s="1392">
        <v>0</v>
      </c>
      <c r="AF28" s="1393">
        <v>0</v>
      </c>
      <c r="AG28" s="1394">
        <v>0</v>
      </c>
    </row>
    <row r="29" spans="1:33" s="737" customFormat="1" ht="15" customHeight="1">
      <c r="A29" s="1378"/>
      <c r="B29" s="1379" t="s">
        <v>224</v>
      </c>
      <c r="C29" s="707"/>
      <c r="D29" s="1380" t="s">
        <v>204</v>
      </c>
      <c r="E29" s="1381">
        <v>17070.300000000003</v>
      </c>
      <c r="F29" s="1382"/>
      <c r="G29" s="1382"/>
      <c r="H29" s="1383">
        <f t="shared" si="9"/>
        <v>17070.300000000003</v>
      </c>
      <c r="I29" s="734"/>
      <c r="J29" s="1384">
        <f t="shared" si="10"/>
        <v>0</v>
      </c>
      <c r="K29" s="1385">
        <f>'BETON Qte'!K29</f>
        <v>0</v>
      </c>
      <c r="L29" s="1382">
        <f t="shared" si="11"/>
        <v>0</v>
      </c>
      <c r="M29" s="1383">
        <f t="shared" si="12"/>
        <v>0</v>
      </c>
      <c r="N29" s="734"/>
      <c r="O29" s="1386">
        <f t="shared" si="13"/>
        <v>0</v>
      </c>
      <c r="P29" s="1387">
        <f t="shared" si="5"/>
        <v>0</v>
      </c>
      <c r="Q29" s="1388"/>
      <c r="R29" s="1389">
        <f t="shared" si="14"/>
        <v>0</v>
      </c>
      <c r="S29" s="734"/>
      <c r="T29" s="1390">
        <v>17070.300000000003</v>
      </c>
      <c r="U29" s="735"/>
      <c r="V29" s="1384">
        <f t="shared" si="15"/>
        <v>17070.300000000003</v>
      </c>
      <c r="W29" s="1383">
        <f t="shared" si="16"/>
        <v>0</v>
      </c>
      <c r="X29" s="736"/>
      <c r="AD29" s="1391">
        <v>0</v>
      </c>
      <c r="AE29" s="1392">
        <v>0</v>
      </c>
      <c r="AF29" s="1393">
        <v>0</v>
      </c>
      <c r="AG29" s="1394">
        <v>0</v>
      </c>
    </row>
    <row r="30" spans="1:33" s="737" customFormat="1" ht="15" customHeight="1">
      <c r="A30" s="1378"/>
      <c r="B30" s="1379" t="s">
        <v>225</v>
      </c>
      <c r="C30" s="707"/>
      <c r="D30" s="1380" t="s">
        <v>204</v>
      </c>
      <c r="E30" s="1381">
        <v>11191.7</v>
      </c>
      <c r="F30" s="1382"/>
      <c r="G30" s="1382"/>
      <c r="H30" s="1383">
        <f t="shared" si="9"/>
        <v>11191.7</v>
      </c>
      <c r="I30" s="734"/>
      <c r="J30" s="1384">
        <f t="shared" si="10"/>
        <v>0</v>
      </c>
      <c r="K30" s="1385">
        <f>'BETON Qte'!K30</f>
        <v>0</v>
      </c>
      <c r="L30" s="1382">
        <f t="shared" si="11"/>
        <v>0</v>
      </c>
      <c r="M30" s="1383">
        <f t="shared" si="12"/>
        <v>0</v>
      </c>
      <c r="N30" s="734"/>
      <c r="O30" s="1386">
        <f t="shared" si="13"/>
        <v>0</v>
      </c>
      <c r="P30" s="1387">
        <f t="shared" si="5"/>
        <v>0</v>
      </c>
      <c r="Q30" s="1388"/>
      <c r="R30" s="1389">
        <f t="shared" si="14"/>
        <v>0</v>
      </c>
      <c r="S30" s="734"/>
      <c r="T30" s="1390"/>
      <c r="U30" s="735"/>
      <c r="V30" s="1384">
        <f t="shared" si="15"/>
        <v>0</v>
      </c>
      <c r="W30" s="1383">
        <f t="shared" si="16"/>
        <v>11191.7</v>
      </c>
      <c r="X30" s="736"/>
      <c r="AD30" s="1391">
        <v>0</v>
      </c>
      <c r="AE30" s="1392">
        <v>0</v>
      </c>
      <c r="AF30" s="1393">
        <v>0</v>
      </c>
      <c r="AG30" s="1394">
        <v>0</v>
      </c>
    </row>
    <row r="31" spans="1:33" s="737" customFormat="1" ht="15" customHeight="1">
      <c r="A31" s="1378"/>
      <c r="B31" s="1379" t="s">
        <v>226</v>
      </c>
      <c r="C31" s="707"/>
      <c r="D31" s="1380" t="s">
        <v>204</v>
      </c>
      <c r="E31" s="1381">
        <v>6796.92</v>
      </c>
      <c r="F31" s="1382"/>
      <c r="G31" s="1382"/>
      <c r="H31" s="1383">
        <f t="shared" si="9"/>
        <v>6796.92</v>
      </c>
      <c r="I31" s="734"/>
      <c r="J31" s="1384">
        <f t="shared" si="10"/>
        <v>0</v>
      </c>
      <c r="K31" s="1385">
        <f>'BETON Qte'!K31</f>
        <v>0</v>
      </c>
      <c r="L31" s="1382">
        <f t="shared" si="11"/>
        <v>0</v>
      </c>
      <c r="M31" s="1383">
        <f t="shared" si="12"/>
        <v>0</v>
      </c>
      <c r="N31" s="734"/>
      <c r="O31" s="1386">
        <f t="shared" si="13"/>
        <v>0</v>
      </c>
      <c r="P31" s="1387">
        <f t="shared" si="5"/>
        <v>0</v>
      </c>
      <c r="Q31" s="1388"/>
      <c r="R31" s="1389">
        <f t="shared" si="14"/>
        <v>0</v>
      </c>
      <c r="S31" s="734"/>
      <c r="T31" s="1390"/>
      <c r="U31" s="735"/>
      <c r="V31" s="1384">
        <f t="shared" si="15"/>
        <v>0</v>
      </c>
      <c r="W31" s="1383">
        <f t="shared" si="16"/>
        <v>6796.92</v>
      </c>
      <c r="X31" s="736"/>
      <c r="AD31" s="1391">
        <v>0</v>
      </c>
      <c r="AE31" s="1392">
        <v>0</v>
      </c>
      <c r="AF31" s="1393">
        <v>0</v>
      </c>
      <c r="AG31" s="1394">
        <v>0</v>
      </c>
    </row>
    <row r="32" spans="1:33" s="737" customFormat="1" ht="15" customHeight="1">
      <c r="A32" s="1378"/>
      <c r="B32" s="1379" t="s">
        <v>227</v>
      </c>
      <c r="C32" s="707"/>
      <c r="D32" s="1380" t="s">
        <v>204</v>
      </c>
      <c r="E32" s="1381">
        <v>7525.44</v>
      </c>
      <c r="F32" s="1382"/>
      <c r="G32" s="1382"/>
      <c r="H32" s="1383">
        <f t="shared" si="9"/>
        <v>7525.44</v>
      </c>
      <c r="I32" s="734"/>
      <c r="J32" s="1384">
        <f t="shared" si="10"/>
        <v>0</v>
      </c>
      <c r="K32" s="1385">
        <f>'BETON Qte'!K32</f>
        <v>0</v>
      </c>
      <c r="L32" s="1382">
        <f t="shared" si="11"/>
        <v>0</v>
      </c>
      <c r="M32" s="1383">
        <f t="shared" si="12"/>
        <v>0</v>
      </c>
      <c r="N32" s="734"/>
      <c r="O32" s="1386">
        <f t="shared" si="13"/>
        <v>0</v>
      </c>
      <c r="P32" s="1387">
        <f t="shared" si="5"/>
        <v>0</v>
      </c>
      <c r="Q32" s="1388"/>
      <c r="R32" s="1389">
        <f t="shared" si="14"/>
        <v>0</v>
      </c>
      <c r="S32" s="734"/>
      <c r="T32" s="1390"/>
      <c r="U32" s="735"/>
      <c r="V32" s="1384">
        <f t="shared" si="15"/>
        <v>0</v>
      </c>
      <c r="W32" s="1383">
        <f t="shared" si="16"/>
        <v>7525.44</v>
      </c>
      <c r="X32" s="736"/>
      <c r="AD32" s="1391">
        <v>0</v>
      </c>
      <c r="AE32" s="1392">
        <v>0</v>
      </c>
      <c r="AF32" s="1393">
        <v>0</v>
      </c>
      <c r="AG32" s="1394">
        <v>0</v>
      </c>
    </row>
    <row r="33" spans="1:33" s="737" customFormat="1" ht="15" customHeight="1">
      <c r="A33" s="1378"/>
      <c r="B33" s="1379" t="s">
        <v>228</v>
      </c>
      <c r="C33" s="707"/>
      <c r="D33" s="1380" t="s">
        <v>204</v>
      </c>
      <c r="E33" s="1381">
        <v>0</v>
      </c>
      <c r="F33" s="1382"/>
      <c r="G33" s="1382"/>
      <c r="H33" s="1383">
        <f t="shared" si="9"/>
        <v>0</v>
      </c>
      <c r="I33" s="734"/>
      <c r="J33" s="1384">
        <f t="shared" si="10"/>
        <v>0</v>
      </c>
      <c r="K33" s="1385">
        <f>'BETON Qte'!K33</f>
        <v>0</v>
      </c>
      <c r="L33" s="1382">
        <f t="shared" si="11"/>
        <v>0</v>
      </c>
      <c r="M33" s="1383">
        <f t="shared" si="12"/>
        <v>0</v>
      </c>
      <c r="N33" s="734"/>
      <c r="O33" s="1386">
        <f t="shared" si="13"/>
        <v>0</v>
      </c>
      <c r="P33" s="1387">
        <f t="shared" si="5"/>
        <v>0</v>
      </c>
      <c r="Q33" s="1388"/>
      <c r="R33" s="1389">
        <f t="shared" si="14"/>
        <v>0</v>
      </c>
      <c r="S33" s="734"/>
      <c r="T33" s="1390">
        <v>0</v>
      </c>
      <c r="U33" s="735"/>
      <c r="V33" s="1384">
        <f t="shared" si="15"/>
        <v>0</v>
      </c>
      <c r="W33" s="1383">
        <f t="shared" si="16"/>
        <v>0</v>
      </c>
      <c r="X33" s="736"/>
      <c r="AD33" s="1391">
        <v>0</v>
      </c>
      <c r="AE33" s="1392">
        <v>0</v>
      </c>
      <c r="AF33" s="1393">
        <v>0</v>
      </c>
      <c r="AG33" s="1394">
        <v>0</v>
      </c>
    </row>
    <row r="34" spans="1:33" s="737" customFormat="1" ht="15" customHeight="1" thickBot="1">
      <c r="A34" s="1378"/>
      <c r="B34" s="1379" t="s">
        <v>229</v>
      </c>
      <c r="C34" s="707"/>
      <c r="D34" s="1380" t="s">
        <v>204</v>
      </c>
      <c r="E34" s="1381">
        <v>221.96</v>
      </c>
      <c r="F34" s="1382"/>
      <c r="G34" s="1382"/>
      <c r="H34" s="1383">
        <f t="shared" si="9"/>
        <v>221.96</v>
      </c>
      <c r="I34" s="734"/>
      <c r="J34" s="1384">
        <f t="shared" si="10"/>
        <v>0</v>
      </c>
      <c r="K34" s="1385">
        <f>'BETON Qte'!K34</f>
        <v>0</v>
      </c>
      <c r="L34" s="1382">
        <f t="shared" si="11"/>
        <v>0</v>
      </c>
      <c r="M34" s="1383">
        <f t="shared" si="12"/>
        <v>0</v>
      </c>
      <c r="N34" s="734"/>
      <c r="O34" s="1386">
        <f t="shared" si="13"/>
        <v>0</v>
      </c>
      <c r="P34" s="1387">
        <f t="shared" si="5"/>
        <v>0</v>
      </c>
      <c r="Q34" s="1388"/>
      <c r="R34" s="1389">
        <f t="shared" si="14"/>
        <v>0</v>
      </c>
      <c r="S34" s="734"/>
      <c r="T34" s="1390">
        <v>0</v>
      </c>
      <c r="U34" s="735"/>
      <c r="V34" s="1384">
        <f t="shared" si="15"/>
        <v>0</v>
      </c>
      <c r="W34" s="1383">
        <f t="shared" si="16"/>
        <v>221.96</v>
      </c>
      <c r="X34" s="736"/>
      <c r="AD34" s="1391">
        <v>0</v>
      </c>
      <c r="AE34" s="1392">
        <v>0</v>
      </c>
      <c r="AF34" s="1393">
        <v>0</v>
      </c>
      <c r="AG34" s="1394">
        <v>0</v>
      </c>
    </row>
    <row r="35" spans="1:33" s="733" customFormat="1" ht="19.5" customHeight="1" thickBot="1">
      <c r="A35" s="1419" t="s">
        <v>230</v>
      </c>
      <c r="B35" s="1420" t="s">
        <v>231</v>
      </c>
      <c r="C35" s="731"/>
      <c r="D35" s="1421" t="s">
        <v>204</v>
      </c>
      <c r="E35" s="1422">
        <f>SUM(E36:E37)</f>
        <v>8332.4150000000009</v>
      </c>
      <c r="F35" s="1364">
        <f>SUM(F36:F37)</f>
        <v>0</v>
      </c>
      <c r="G35" s="1364">
        <f>SUM(G36:G37)</f>
        <v>0</v>
      </c>
      <c r="H35" s="1409">
        <f>SUM(H36:H37)</f>
        <v>8332.4150000000009</v>
      </c>
      <c r="I35" s="732"/>
      <c r="J35" s="1408">
        <f>SUM(J36:J37)</f>
        <v>0</v>
      </c>
      <c r="K35" s="1423">
        <f>IFERROR(J35/H35,"")</f>
        <v>0</v>
      </c>
      <c r="L35" s="1364">
        <f>SUM(L36:L37)</f>
        <v>0</v>
      </c>
      <c r="M35" s="1409">
        <f>SUM(M36:M37)</f>
        <v>0</v>
      </c>
      <c r="N35" s="732"/>
      <c r="O35" s="1410">
        <f>SUM(O36:O37)</f>
        <v>0</v>
      </c>
      <c r="P35" s="1411">
        <f>IFERROR(O35/H35,"")</f>
        <v>0</v>
      </c>
      <c r="Q35" s="1412">
        <f>SUM(Q36:Q37)</f>
        <v>0</v>
      </c>
      <c r="R35" s="1413">
        <f>SUM(R36:R37)</f>
        <v>0</v>
      </c>
      <c r="S35" s="732"/>
      <c r="T35" s="1414">
        <f>SUM(T36:T37)</f>
        <v>8332.4150000000009</v>
      </c>
      <c r="U35" s="732"/>
      <c r="V35" s="1408">
        <f>SUM(V36:V37)</f>
        <v>8332.4150000000009</v>
      </c>
      <c r="W35" s="1409">
        <f>SUM(W36:W37)</f>
        <v>0</v>
      </c>
      <c r="X35" s="729"/>
      <c r="AD35" s="1415">
        <v>0</v>
      </c>
      <c r="AE35" s="1416">
        <v>0</v>
      </c>
      <c r="AF35" s="1417">
        <v>0</v>
      </c>
      <c r="AG35" s="1418">
        <v>0</v>
      </c>
    </row>
    <row r="36" spans="1:33" s="737" customFormat="1" ht="15" customHeight="1">
      <c r="A36" s="1378"/>
      <c r="B36" s="1379" t="s">
        <v>232</v>
      </c>
      <c r="C36" s="707"/>
      <c r="D36" s="1380" t="s">
        <v>204</v>
      </c>
      <c r="E36" s="1381">
        <v>6536.79</v>
      </c>
      <c r="F36" s="1382"/>
      <c r="G36" s="1382"/>
      <c r="H36" s="1383">
        <f t="shared" ref="H36:H37" si="17">SUM(E36:G36)</f>
        <v>6536.79</v>
      </c>
      <c r="I36" s="734"/>
      <c r="J36" s="1384">
        <f t="shared" ref="J36:J37" si="18">H36*K36/100</f>
        <v>0</v>
      </c>
      <c r="K36" s="1385">
        <f>'BETON Qte'!K36</f>
        <v>0</v>
      </c>
      <c r="L36" s="1382">
        <f t="shared" ref="L36:L37" si="19">Q36+AF36</f>
        <v>0</v>
      </c>
      <c r="M36" s="1383">
        <f t="shared" ref="M36:M37" si="20">J36-L36</f>
        <v>0</v>
      </c>
      <c r="N36" s="734"/>
      <c r="O36" s="1386">
        <f t="shared" ref="O36:O37" si="21">J36-AD36</f>
        <v>0</v>
      </c>
      <c r="P36" s="1387">
        <f t="shared" si="5"/>
        <v>0</v>
      </c>
      <c r="Q36" s="1388"/>
      <c r="R36" s="1389">
        <f t="shared" ref="R36:R37" si="22">O36-Q36</f>
        <v>0</v>
      </c>
      <c r="S36" s="734"/>
      <c r="T36" s="1390">
        <v>6536.79</v>
      </c>
      <c r="U36" s="735"/>
      <c r="V36" s="1384">
        <f t="shared" ref="V36:V37" si="23">L36+T36</f>
        <v>6536.79</v>
      </c>
      <c r="W36" s="1383">
        <f t="shared" ref="W36:W37" si="24">H36-V36</f>
        <v>0</v>
      </c>
      <c r="X36" s="736"/>
      <c r="AD36" s="1391">
        <v>0</v>
      </c>
      <c r="AE36" s="1392">
        <v>0</v>
      </c>
      <c r="AF36" s="1393">
        <v>0</v>
      </c>
      <c r="AG36" s="1394">
        <v>0</v>
      </c>
    </row>
    <row r="37" spans="1:33" s="737" customFormat="1" ht="15" customHeight="1" thickBot="1">
      <c r="A37" s="1378"/>
      <c r="B37" s="1379" t="s">
        <v>233</v>
      </c>
      <c r="C37" s="707"/>
      <c r="D37" s="1380" t="s">
        <v>204</v>
      </c>
      <c r="E37" s="1381">
        <v>1795.625</v>
      </c>
      <c r="F37" s="1382"/>
      <c r="G37" s="1382"/>
      <c r="H37" s="1383">
        <f t="shared" si="17"/>
        <v>1795.625</v>
      </c>
      <c r="I37" s="734"/>
      <c r="J37" s="1384">
        <f t="shared" si="18"/>
        <v>0</v>
      </c>
      <c r="K37" s="1385">
        <f>'BETON Qte'!K37</f>
        <v>0</v>
      </c>
      <c r="L37" s="1382">
        <f t="shared" si="19"/>
        <v>0</v>
      </c>
      <c r="M37" s="1383">
        <f t="shared" si="20"/>
        <v>0</v>
      </c>
      <c r="N37" s="734"/>
      <c r="O37" s="1386">
        <f t="shared" si="21"/>
        <v>0</v>
      </c>
      <c r="P37" s="1387">
        <f t="shared" si="5"/>
        <v>0</v>
      </c>
      <c r="Q37" s="1388"/>
      <c r="R37" s="1389">
        <f t="shared" si="22"/>
        <v>0</v>
      </c>
      <c r="S37" s="734"/>
      <c r="T37" s="1390">
        <v>1795.625</v>
      </c>
      <c r="U37" s="735"/>
      <c r="V37" s="1384">
        <f t="shared" si="23"/>
        <v>1795.625</v>
      </c>
      <c r="W37" s="1383">
        <f t="shared" si="24"/>
        <v>0</v>
      </c>
      <c r="X37" s="736"/>
      <c r="AD37" s="1391">
        <v>0</v>
      </c>
      <c r="AE37" s="1392">
        <v>0</v>
      </c>
      <c r="AF37" s="1393">
        <v>0</v>
      </c>
      <c r="AG37" s="1394">
        <v>0</v>
      </c>
    </row>
    <row r="38" spans="1:33" s="733" customFormat="1" ht="19.5" customHeight="1" thickBot="1">
      <c r="A38" s="1419" t="s">
        <v>234</v>
      </c>
      <c r="B38" s="1420" t="s">
        <v>235</v>
      </c>
      <c r="C38" s="731"/>
      <c r="D38" s="1421" t="s">
        <v>204</v>
      </c>
      <c r="E38" s="1422">
        <f>SUM(E39:E40)</f>
        <v>4361.8250000000007</v>
      </c>
      <c r="F38" s="1364">
        <f>SUM(F39:F40)</f>
        <v>0</v>
      </c>
      <c r="G38" s="1364">
        <f>SUM(G39:G40)</f>
        <v>0</v>
      </c>
      <c r="H38" s="1409">
        <f>SUM(H39:H40)</f>
        <v>4361.8250000000007</v>
      </c>
      <c r="I38" s="732"/>
      <c r="J38" s="1408">
        <f>SUM(J39:J40)</f>
        <v>0</v>
      </c>
      <c r="K38" s="1423">
        <f>IFERROR(J38/H38,"")</f>
        <v>0</v>
      </c>
      <c r="L38" s="1364">
        <f>SUM(L39:L40)</f>
        <v>0</v>
      </c>
      <c r="M38" s="1409">
        <f>SUM(M39:M40)</f>
        <v>0</v>
      </c>
      <c r="N38" s="732"/>
      <c r="O38" s="1410">
        <f>SUM(O39:O40)</f>
        <v>0</v>
      </c>
      <c r="P38" s="1411">
        <f>IFERROR(O38/H38,"")</f>
        <v>0</v>
      </c>
      <c r="Q38" s="1412">
        <f>SUM(Q39:Q40)</f>
        <v>0</v>
      </c>
      <c r="R38" s="1413">
        <f>SUM(R39:R40)</f>
        <v>0</v>
      </c>
      <c r="S38" s="732"/>
      <c r="T38" s="1414">
        <f>SUM(T39:T40)</f>
        <v>4361.8250000000007</v>
      </c>
      <c r="U38" s="732"/>
      <c r="V38" s="1408">
        <f>SUM(V39:V40)</f>
        <v>4361.8250000000007</v>
      </c>
      <c r="W38" s="1409">
        <f>SUM(W39:W40)</f>
        <v>0</v>
      </c>
      <c r="X38" s="729"/>
      <c r="AD38" s="1415">
        <v>0</v>
      </c>
      <c r="AE38" s="1416">
        <v>0</v>
      </c>
      <c r="AF38" s="1417">
        <v>0</v>
      </c>
      <c r="AG38" s="1418">
        <v>0</v>
      </c>
    </row>
    <row r="39" spans="1:33" s="737" customFormat="1" ht="15" customHeight="1">
      <c r="A39" s="1378"/>
      <c r="B39" s="1379" t="s">
        <v>236</v>
      </c>
      <c r="C39" s="707"/>
      <c r="D39" s="1380" t="s">
        <v>204</v>
      </c>
      <c r="E39" s="1381">
        <v>2142.7250000000004</v>
      </c>
      <c r="F39" s="1382"/>
      <c r="G39" s="1382"/>
      <c r="H39" s="1383">
        <f>SUM(E39:G39)</f>
        <v>2142.7250000000004</v>
      </c>
      <c r="I39" s="734"/>
      <c r="J39" s="1384">
        <f>H39*K39/100</f>
        <v>0</v>
      </c>
      <c r="K39" s="1385">
        <f>'BETON Qte'!K39</f>
        <v>0</v>
      </c>
      <c r="L39" s="1382">
        <f>Q39+AF39</f>
        <v>0</v>
      </c>
      <c r="M39" s="1383">
        <f>J39-L39</f>
        <v>0</v>
      </c>
      <c r="N39" s="734"/>
      <c r="O39" s="1386">
        <f>J39-AD39</f>
        <v>0</v>
      </c>
      <c r="P39" s="1387">
        <f t="shared" si="5"/>
        <v>0</v>
      </c>
      <c r="Q39" s="1388"/>
      <c r="R39" s="1389">
        <f>O39-Q39</f>
        <v>0</v>
      </c>
      <c r="S39" s="734"/>
      <c r="T39" s="1390">
        <v>2142.7250000000004</v>
      </c>
      <c r="U39" s="735"/>
      <c r="V39" s="1384">
        <f t="shared" ref="V39:V40" si="25">L39+T39</f>
        <v>2142.7250000000004</v>
      </c>
      <c r="W39" s="1383">
        <f t="shared" ref="W39:W40" si="26">H39-V39</f>
        <v>0</v>
      </c>
      <c r="X39" s="736"/>
      <c r="AD39" s="1391">
        <v>0</v>
      </c>
      <c r="AE39" s="1392">
        <v>0</v>
      </c>
      <c r="AF39" s="1393">
        <v>0</v>
      </c>
      <c r="AG39" s="1394">
        <v>0</v>
      </c>
    </row>
    <row r="40" spans="1:33" s="737" customFormat="1" ht="15" customHeight="1" thickBot="1">
      <c r="A40" s="1378"/>
      <c r="B40" s="1379" t="s">
        <v>237</v>
      </c>
      <c r="C40" s="707"/>
      <c r="D40" s="1380" t="s">
        <v>204</v>
      </c>
      <c r="E40" s="1381">
        <v>2219.1</v>
      </c>
      <c r="F40" s="1382"/>
      <c r="G40" s="1382"/>
      <c r="H40" s="1383">
        <f>SUM(E40:G40)</f>
        <v>2219.1</v>
      </c>
      <c r="I40" s="734"/>
      <c r="J40" s="1384">
        <f>H40*K40/100</f>
        <v>0</v>
      </c>
      <c r="K40" s="1385">
        <f>'BETON Qte'!K40</f>
        <v>0</v>
      </c>
      <c r="L40" s="1382">
        <f>Q40+AF40</f>
        <v>0</v>
      </c>
      <c r="M40" s="1383">
        <f>J40-L40</f>
        <v>0</v>
      </c>
      <c r="N40" s="734"/>
      <c r="O40" s="1386">
        <f>J40-AD40</f>
        <v>0</v>
      </c>
      <c r="P40" s="1387">
        <f t="shared" si="5"/>
        <v>0</v>
      </c>
      <c r="Q40" s="1388"/>
      <c r="R40" s="1389">
        <f>O40-Q40</f>
        <v>0</v>
      </c>
      <c r="S40" s="734"/>
      <c r="T40" s="1390">
        <v>2219.1</v>
      </c>
      <c r="U40" s="735"/>
      <c r="V40" s="1384">
        <f t="shared" si="25"/>
        <v>2219.1</v>
      </c>
      <c r="W40" s="1383">
        <f t="shared" si="26"/>
        <v>0</v>
      </c>
      <c r="X40" s="736"/>
      <c r="AD40" s="1391">
        <v>0</v>
      </c>
      <c r="AE40" s="1392">
        <v>0</v>
      </c>
      <c r="AF40" s="1393">
        <v>0</v>
      </c>
      <c r="AG40" s="1394">
        <v>0</v>
      </c>
    </row>
    <row r="41" spans="1:33" s="733" customFormat="1" ht="19.5" customHeight="1" thickBot="1">
      <c r="A41" s="1419" t="s">
        <v>238</v>
      </c>
      <c r="B41" s="1420" t="s">
        <v>239</v>
      </c>
      <c r="C41" s="731"/>
      <c r="D41" s="1421" t="s">
        <v>204</v>
      </c>
      <c r="E41" s="1422">
        <f>SUM(E42:E56)</f>
        <v>28530.19</v>
      </c>
      <c r="F41" s="1364">
        <f>SUM(F42:F56)</f>
        <v>0</v>
      </c>
      <c r="G41" s="1364">
        <f>SUM(G42:G56)</f>
        <v>0</v>
      </c>
      <c r="H41" s="1409">
        <f>SUM(H42:H56)</f>
        <v>28530.19</v>
      </c>
      <c r="I41" s="732"/>
      <c r="J41" s="1408">
        <f>SUM(J42:J56)</f>
        <v>0</v>
      </c>
      <c r="K41" s="1423">
        <f>IFERROR(J41/H41,"")</f>
        <v>0</v>
      </c>
      <c r="L41" s="1364">
        <f>SUM(L42:L56)</f>
        <v>0</v>
      </c>
      <c r="M41" s="1409">
        <f>SUM(M42:M56)</f>
        <v>0</v>
      </c>
      <c r="N41" s="732"/>
      <c r="O41" s="1410">
        <f>SUM(O42:O56)</f>
        <v>0</v>
      </c>
      <c r="P41" s="1411">
        <f>IFERROR(O41/H41,"")</f>
        <v>0</v>
      </c>
      <c r="Q41" s="1412">
        <f>SUM(Q42:Q56)</f>
        <v>0</v>
      </c>
      <c r="R41" s="1413">
        <f>SUM(R42:R56)</f>
        <v>0</v>
      </c>
      <c r="S41" s="732"/>
      <c r="T41" s="1414">
        <f>SUM(T42:T56)</f>
        <v>28530.19</v>
      </c>
      <c r="U41" s="732"/>
      <c r="V41" s="1408">
        <f>SUM(V42:V56)</f>
        <v>28530.19</v>
      </c>
      <c r="W41" s="1409">
        <f>SUM(W42:W56)</f>
        <v>0</v>
      </c>
      <c r="X41" s="729"/>
      <c r="AD41" s="1415">
        <v>0</v>
      </c>
      <c r="AE41" s="1416">
        <v>0</v>
      </c>
      <c r="AF41" s="1417">
        <v>0</v>
      </c>
      <c r="AG41" s="1418">
        <v>0</v>
      </c>
    </row>
    <row r="42" spans="1:33" s="737" customFormat="1" ht="15" customHeight="1">
      <c r="A42" s="1378"/>
      <c r="B42" s="1379" t="s">
        <v>240</v>
      </c>
      <c r="C42" s="707"/>
      <c r="D42" s="1380" t="s">
        <v>204</v>
      </c>
      <c r="E42" s="1381">
        <v>1790.75</v>
      </c>
      <c r="F42" s="1382"/>
      <c r="G42" s="1382"/>
      <c r="H42" s="1383">
        <f t="shared" ref="H42:H56" si="27">SUM(E42:G42)</f>
        <v>1790.75</v>
      </c>
      <c r="I42" s="734"/>
      <c r="J42" s="1384">
        <f t="shared" ref="J42:J56" si="28">H42*K42/100</f>
        <v>0</v>
      </c>
      <c r="K42" s="1385">
        <f>'BETON Qte'!K42</f>
        <v>0</v>
      </c>
      <c r="L42" s="1382">
        <f t="shared" ref="L42:L56" si="29">Q42+AF42</f>
        <v>0</v>
      </c>
      <c r="M42" s="1383">
        <f t="shared" ref="M42:M56" si="30">J42-L42</f>
        <v>0</v>
      </c>
      <c r="N42" s="734"/>
      <c r="O42" s="1386">
        <f t="shared" ref="O42:O56" si="31">J42-AD42</f>
        <v>0</v>
      </c>
      <c r="P42" s="1387">
        <f t="shared" si="5"/>
        <v>0</v>
      </c>
      <c r="Q42" s="1388"/>
      <c r="R42" s="1389">
        <f t="shared" ref="R42:R56" si="32">O42-Q42</f>
        <v>0</v>
      </c>
      <c r="S42" s="734"/>
      <c r="T42" s="1390">
        <v>1790.75</v>
      </c>
      <c r="U42" s="735"/>
      <c r="V42" s="1384">
        <f t="shared" ref="V42:V56" si="33">L42+T42</f>
        <v>1790.75</v>
      </c>
      <c r="W42" s="1383">
        <f t="shared" ref="W42:W56" si="34">H42-V42</f>
        <v>0</v>
      </c>
      <c r="X42" s="736"/>
      <c r="AD42" s="1391">
        <v>0</v>
      </c>
      <c r="AE42" s="1392">
        <v>0</v>
      </c>
      <c r="AF42" s="1393">
        <v>0</v>
      </c>
      <c r="AG42" s="1394">
        <v>0</v>
      </c>
    </row>
    <row r="43" spans="1:33" s="737" customFormat="1" ht="15" customHeight="1">
      <c r="A43" s="1378"/>
      <c r="B43" s="1379" t="s">
        <v>241</v>
      </c>
      <c r="C43" s="707"/>
      <c r="D43" s="1380" t="s">
        <v>204</v>
      </c>
      <c r="E43" s="1381">
        <v>989.30000000000007</v>
      </c>
      <c r="F43" s="1382"/>
      <c r="G43" s="1382"/>
      <c r="H43" s="1383">
        <f t="shared" si="27"/>
        <v>989.30000000000007</v>
      </c>
      <c r="I43" s="734"/>
      <c r="J43" s="1384">
        <f t="shared" si="28"/>
        <v>0</v>
      </c>
      <c r="K43" s="1385">
        <f>'BETON Qte'!K43</f>
        <v>0</v>
      </c>
      <c r="L43" s="1382">
        <f t="shared" si="29"/>
        <v>0</v>
      </c>
      <c r="M43" s="1383">
        <f t="shared" si="30"/>
        <v>0</v>
      </c>
      <c r="N43" s="734"/>
      <c r="O43" s="1386">
        <f t="shared" si="31"/>
        <v>0</v>
      </c>
      <c r="P43" s="1387">
        <f t="shared" si="5"/>
        <v>0</v>
      </c>
      <c r="Q43" s="1388"/>
      <c r="R43" s="1389">
        <f t="shared" si="32"/>
        <v>0</v>
      </c>
      <c r="S43" s="734"/>
      <c r="T43" s="1390">
        <v>989.30000000000007</v>
      </c>
      <c r="U43" s="735"/>
      <c r="V43" s="1384">
        <f t="shared" si="33"/>
        <v>989.30000000000007</v>
      </c>
      <c r="W43" s="1383">
        <f t="shared" si="34"/>
        <v>0</v>
      </c>
      <c r="X43" s="736"/>
      <c r="AD43" s="1391">
        <v>0</v>
      </c>
      <c r="AE43" s="1392">
        <v>0</v>
      </c>
      <c r="AF43" s="1393">
        <v>0</v>
      </c>
      <c r="AG43" s="1394">
        <v>0</v>
      </c>
    </row>
    <row r="44" spans="1:33" s="737" customFormat="1" ht="15" customHeight="1">
      <c r="A44" s="1378"/>
      <c r="B44" s="1379" t="s">
        <v>242</v>
      </c>
      <c r="C44" s="707"/>
      <c r="D44" s="1380" t="s">
        <v>204</v>
      </c>
      <c r="E44" s="1381">
        <v>4927</v>
      </c>
      <c r="F44" s="1382"/>
      <c r="G44" s="1382"/>
      <c r="H44" s="1383">
        <f t="shared" si="27"/>
        <v>4927</v>
      </c>
      <c r="I44" s="734"/>
      <c r="J44" s="1384">
        <f t="shared" si="28"/>
        <v>0</v>
      </c>
      <c r="K44" s="1385">
        <f>'BETON Qte'!K44</f>
        <v>0</v>
      </c>
      <c r="L44" s="1382">
        <f t="shared" si="29"/>
        <v>0</v>
      </c>
      <c r="M44" s="1383">
        <f t="shared" si="30"/>
        <v>0</v>
      </c>
      <c r="N44" s="734"/>
      <c r="O44" s="1386">
        <f t="shared" si="31"/>
        <v>0</v>
      </c>
      <c r="P44" s="1387">
        <f t="shared" si="5"/>
        <v>0</v>
      </c>
      <c r="Q44" s="1388"/>
      <c r="R44" s="1389">
        <f t="shared" si="32"/>
        <v>0</v>
      </c>
      <c r="S44" s="734"/>
      <c r="T44" s="1390">
        <v>4927</v>
      </c>
      <c r="U44" s="735"/>
      <c r="V44" s="1384">
        <f t="shared" si="33"/>
        <v>4927</v>
      </c>
      <c r="W44" s="1383">
        <f t="shared" si="34"/>
        <v>0</v>
      </c>
      <c r="X44" s="736"/>
      <c r="AD44" s="1391">
        <v>0</v>
      </c>
      <c r="AE44" s="1392">
        <v>0</v>
      </c>
      <c r="AF44" s="1393">
        <v>0</v>
      </c>
      <c r="AG44" s="1394">
        <v>0</v>
      </c>
    </row>
    <row r="45" spans="1:33" s="737" customFormat="1" ht="15" customHeight="1">
      <c r="A45" s="1378"/>
      <c r="B45" s="1379" t="s">
        <v>243</v>
      </c>
      <c r="C45" s="707"/>
      <c r="D45" s="1380" t="s">
        <v>204</v>
      </c>
      <c r="E45" s="1381">
        <v>2234.0500000000002</v>
      </c>
      <c r="F45" s="1382"/>
      <c r="G45" s="1382"/>
      <c r="H45" s="1383">
        <f t="shared" si="27"/>
        <v>2234.0500000000002</v>
      </c>
      <c r="I45" s="734"/>
      <c r="J45" s="1384">
        <f t="shared" si="28"/>
        <v>0</v>
      </c>
      <c r="K45" s="1385">
        <f>'BETON Qte'!K45</f>
        <v>0</v>
      </c>
      <c r="L45" s="1382">
        <f t="shared" si="29"/>
        <v>0</v>
      </c>
      <c r="M45" s="1383">
        <f t="shared" si="30"/>
        <v>0</v>
      </c>
      <c r="N45" s="734"/>
      <c r="O45" s="1386">
        <f t="shared" si="31"/>
        <v>0</v>
      </c>
      <c r="P45" s="1387">
        <f t="shared" si="5"/>
        <v>0</v>
      </c>
      <c r="Q45" s="1388"/>
      <c r="R45" s="1389">
        <f t="shared" si="32"/>
        <v>0</v>
      </c>
      <c r="S45" s="734"/>
      <c r="T45" s="1390">
        <v>2234.0500000000002</v>
      </c>
      <c r="U45" s="735"/>
      <c r="V45" s="1384">
        <f t="shared" si="33"/>
        <v>2234.0500000000002</v>
      </c>
      <c r="W45" s="1383">
        <f t="shared" si="34"/>
        <v>0</v>
      </c>
      <c r="X45" s="736"/>
      <c r="AD45" s="1391">
        <v>0</v>
      </c>
      <c r="AE45" s="1392">
        <v>0</v>
      </c>
      <c r="AF45" s="1393">
        <v>0</v>
      </c>
      <c r="AG45" s="1394">
        <v>0</v>
      </c>
    </row>
    <row r="46" spans="1:33" s="737" customFormat="1" ht="15" customHeight="1">
      <c r="A46" s="1378"/>
      <c r="B46" s="1379" t="s">
        <v>244</v>
      </c>
      <c r="C46" s="707"/>
      <c r="D46" s="1380" t="s">
        <v>204</v>
      </c>
      <c r="E46" s="1381">
        <v>1248</v>
      </c>
      <c r="F46" s="1382"/>
      <c r="G46" s="1382"/>
      <c r="H46" s="1383">
        <f t="shared" si="27"/>
        <v>1248</v>
      </c>
      <c r="I46" s="734"/>
      <c r="J46" s="1384">
        <f t="shared" si="28"/>
        <v>0</v>
      </c>
      <c r="K46" s="1385">
        <f>'BETON Qte'!K46</f>
        <v>0</v>
      </c>
      <c r="L46" s="1382">
        <f t="shared" si="29"/>
        <v>0</v>
      </c>
      <c r="M46" s="1383">
        <f t="shared" si="30"/>
        <v>0</v>
      </c>
      <c r="N46" s="734"/>
      <c r="O46" s="1386">
        <f t="shared" si="31"/>
        <v>0</v>
      </c>
      <c r="P46" s="1387">
        <f t="shared" si="5"/>
        <v>0</v>
      </c>
      <c r="Q46" s="1388"/>
      <c r="R46" s="1389">
        <f t="shared" si="32"/>
        <v>0</v>
      </c>
      <c r="S46" s="734"/>
      <c r="T46" s="1390">
        <v>1248</v>
      </c>
      <c r="U46" s="735"/>
      <c r="V46" s="1384">
        <f t="shared" si="33"/>
        <v>1248</v>
      </c>
      <c r="W46" s="1383">
        <f t="shared" si="34"/>
        <v>0</v>
      </c>
      <c r="X46" s="736"/>
      <c r="AD46" s="1391">
        <v>0</v>
      </c>
      <c r="AE46" s="1392">
        <v>0</v>
      </c>
      <c r="AF46" s="1393">
        <v>0</v>
      </c>
      <c r="AG46" s="1394">
        <v>0</v>
      </c>
    </row>
    <row r="47" spans="1:33" s="737" customFormat="1" ht="15" customHeight="1">
      <c r="A47" s="1378"/>
      <c r="B47" s="1379" t="s">
        <v>245</v>
      </c>
      <c r="C47" s="707"/>
      <c r="D47" s="1380" t="s">
        <v>204</v>
      </c>
      <c r="E47" s="1381">
        <v>78</v>
      </c>
      <c r="F47" s="1382"/>
      <c r="G47" s="1382"/>
      <c r="H47" s="1383">
        <f t="shared" si="27"/>
        <v>78</v>
      </c>
      <c r="I47" s="734"/>
      <c r="J47" s="1384">
        <f t="shared" si="28"/>
        <v>0</v>
      </c>
      <c r="K47" s="1385">
        <f>'BETON Qte'!K47</f>
        <v>0</v>
      </c>
      <c r="L47" s="1382">
        <f t="shared" si="29"/>
        <v>0</v>
      </c>
      <c r="M47" s="1383">
        <f t="shared" si="30"/>
        <v>0</v>
      </c>
      <c r="N47" s="734"/>
      <c r="O47" s="1386">
        <f t="shared" si="31"/>
        <v>0</v>
      </c>
      <c r="P47" s="1387">
        <f t="shared" si="5"/>
        <v>0</v>
      </c>
      <c r="Q47" s="1388"/>
      <c r="R47" s="1389">
        <f t="shared" si="32"/>
        <v>0</v>
      </c>
      <c r="S47" s="734"/>
      <c r="T47" s="1390">
        <v>78</v>
      </c>
      <c r="U47" s="735"/>
      <c r="V47" s="1384">
        <f t="shared" si="33"/>
        <v>78</v>
      </c>
      <c r="W47" s="1383">
        <f t="shared" si="34"/>
        <v>0</v>
      </c>
      <c r="X47" s="736"/>
      <c r="AD47" s="1391">
        <v>0</v>
      </c>
      <c r="AE47" s="1392">
        <v>0</v>
      </c>
      <c r="AF47" s="1393">
        <v>0</v>
      </c>
      <c r="AG47" s="1394">
        <v>0</v>
      </c>
    </row>
    <row r="48" spans="1:33" s="737" customFormat="1" ht="15" customHeight="1">
      <c r="A48" s="1378"/>
      <c r="B48" s="1379" t="s">
        <v>246</v>
      </c>
      <c r="C48" s="707"/>
      <c r="D48" s="1380" t="s">
        <v>204</v>
      </c>
      <c r="E48" s="1381">
        <v>1842.75</v>
      </c>
      <c r="F48" s="1382"/>
      <c r="G48" s="1382"/>
      <c r="H48" s="1383">
        <f t="shared" si="27"/>
        <v>1842.75</v>
      </c>
      <c r="I48" s="734"/>
      <c r="J48" s="1384">
        <f t="shared" si="28"/>
        <v>0</v>
      </c>
      <c r="K48" s="1385">
        <f>'BETON Qte'!K48</f>
        <v>0</v>
      </c>
      <c r="L48" s="1382">
        <f t="shared" si="29"/>
        <v>0</v>
      </c>
      <c r="M48" s="1383">
        <f t="shared" si="30"/>
        <v>0</v>
      </c>
      <c r="N48" s="734"/>
      <c r="O48" s="1386">
        <f t="shared" si="31"/>
        <v>0</v>
      </c>
      <c r="P48" s="1387">
        <f t="shared" si="5"/>
        <v>0</v>
      </c>
      <c r="Q48" s="1388"/>
      <c r="R48" s="1389">
        <f t="shared" si="32"/>
        <v>0</v>
      </c>
      <c r="S48" s="734"/>
      <c r="T48" s="1390">
        <v>1842.75</v>
      </c>
      <c r="U48" s="735"/>
      <c r="V48" s="1384">
        <f t="shared" si="33"/>
        <v>1842.75</v>
      </c>
      <c r="W48" s="1383">
        <f t="shared" si="34"/>
        <v>0</v>
      </c>
      <c r="X48" s="736"/>
      <c r="AD48" s="1391">
        <v>0</v>
      </c>
      <c r="AE48" s="1392">
        <v>0</v>
      </c>
      <c r="AF48" s="1393">
        <v>0</v>
      </c>
      <c r="AG48" s="1394">
        <v>0</v>
      </c>
    </row>
    <row r="49" spans="1:33" s="737" customFormat="1" ht="15" customHeight="1">
      <c r="A49" s="1378"/>
      <c r="B49" s="1379" t="s">
        <v>247</v>
      </c>
      <c r="C49" s="707"/>
      <c r="D49" s="1380" t="s">
        <v>204</v>
      </c>
      <c r="E49" s="1381">
        <v>858</v>
      </c>
      <c r="F49" s="1382"/>
      <c r="G49" s="1382"/>
      <c r="H49" s="1383">
        <f t="shared" si="27"/>
        <v>858</v>
      </c>
      <c r="I49" s="734"/>
      <c r="J49" s="1384">
        <f t="shared" si="28"/>
        <v>0</v>
      </c>
      <c r="K49" s="1385">
        <f>'BETON Qte'!K49</f>
        <v>0</v>
      </c>
      <c r="L49" s="1382">
        <f t="shared" si="29"/>
        <v>0</v>
      </c>
      <c r="M49" s="1383">
        <f t="shared" si="30"/>
        <v>0</v>
      </c>
      <c r="N49" s="734"/>
      <c r="O49" s="1386">
        <f t="shared" si="31"/>
        <v>0</v>
      </c>
      <c r="P49" s="1387">
        <f t="shared" si="5"/>
        <v>0</v>
      </c>
      <c r="Q49" s="1388"/>
      <c r="R49" s="1389">
        <f t="shared" si="32"/>
        <v>0</v>
      </c>
      <c r="S49" s="734"/>
      <c r="T49" s="1390">
        <v>858</v>
      </c>
      <c r="U49" s="735"/>
      <c r="V49" s="1384">
        <f t="shared" si="33"/>
        <v>858</v>
      </c>
      <c r="W49" s="1383">
        <f t="shared" si="34"/>
        <v>0</v>
      </c>
      <c r="X49" s="736"/>
      <c r="AD49" s="1391">
        <v>0</v>
      </c>
      <c r="AE49" s="1392">
        <v>0</v>
      </c>
      <c r="AF49" s="1393">
        <v>0</v>
      </c>
      <c r="AG49" s="1394">
        <v>0</v>
      </c>
    </row>
    <row r="50" spans="1:33" s="737" customFormat="1" ht="15" customHeight="1">
      <c r="A50" s="1378"/>
      <c r="B50" s="1379" t="s">
        <v>248</v>
      </c>
      <c r="C50" s="707"/>
      <c r="D50" s="1380" t="s">
        <v>204</v>
      </c>
      <c r="E50" s="1381">
        <v>393.90000000000003</v>
      </c>
      <c r="F50" s="1382"/>
      <c r="G50" s="1382"/>
      <c r="H50" s="1383">
        <f t="shared" si="27"/>
        <v>393.90000000000003</v>
      </c>
      <c r="I50" s="734"/>
      <c r="J50" s="1384">
        <f t="shared" si="28"/>
        <v>0</v>
      </c>
      <c r="K50" s="1385">
        <f>'BETON Qte'!K50</f>
        <v>0</v>
      </c>
      <c r="L50" s="1382">
        <f t="shared" si="29"/>
        <v>0</v>
      </c>
      <c r="M50" s="1383">
        <f t="shared" si="30"/>
        <v>0</v>
      </c>
      <c r="N50" s="734"/>
      <c r="O50" s="1386">
        <f t="shared" si="31"/>
        <v>0</v>
      </c>
      <c r="P50" s="1387">
        <f t="shared" si="5"/>
        <v>0</v>
      </c>
      <c r="Q50" s="1388"/>
      <c r="R50" s="1389">
        <f t="shared" si="32"/>
        <v>0</v>
      </c>
      <c r="S50" s="734"/>
      <c r="T50" s="1390">
        <v>393.90000000000003</v>
      </c>
      <c r="U50" s="735"/>
      <c r="V50" s="1384">
        <f t="shared" si="33"/>
        <v>393.90000000000003</v>
      </c>
      <c r="W50" s="1383">
        <f t="shared" si="34"/>
        <v>0</v>
      </c>
      <c r="X50" s="736"/>
      <c r="AD50" s="1391">
        <v>0</v>
      </c>
      <c r="AE50" s="1392">
        <v>0</v>
      </c>
      <c r="AF50" s="1393">
        <v>0</v>
      </c>
      <c r="AG50" s="1394">
        <v>0</v>
      </c>
    </row>
    <row r="51" spans="1:33" s="737" customFormat="1" ht="15" customHeight="1">
      <c r="A51" s="1378"/>
      <c r="B51" s="1379" t="s">
        <v>249</v>
      </c>
      <c r="C51" s="707"/>
      <c r="D51" s="1380" t="s">
        <v>204</v>
      </c>
      <c r="E51" s="1381">
        <v>80.600000000000009</v>
      </c>
      <c r="F51" s="1382"/>
      <c r="G51" s="1382"/>
      <c r="H51" s="1383">
        <f t="shared" si="27"/>
        <v>80.600000000000009</v>
      </c>
      <c r="I51" s="734"/>
      <c r="J51" s="1384">
        <f t="shared" si="28"/>
        <v>0</v>
      </c>
      <c r="K51" s="1385">
        <f>'BETON Qte'!K51</f>
        <v>0</v>
      </c>
      <c r="L51" s="1382">
        <f t="shared" si="29"/>
        <v>0</v>
      </c>
      <c r="M51" s="1383">
        <f t="shared" si="30"/>
        <v>0</v>
      </c>
      <c r="N51" s="734"/>
      <c r="O51" s="1386">
        <f t="shared" si="31"/>
        <v>0</v>
      </c>
      <c r="P51" s="1387">
        <f t="shared" si="5"/>
        <v>0</v>
      </c>
      <c r="Q51" s="1388"/>
      <c r="R51" s="1389">
        <f t="shared" si="32"/>
        <v>0</v>
      </c>
      <c r="S51" s="734"/>
      <c r="T51" s="1390">
        <v>80.600000000000009</v>
      </c>
      <c r="U51" s="735"/>
      <c r="V51" s="1384">
        <f t="shared" si="33"/>
        <v>80.600000000000009</v>
      </c>
      <c r="W51" s="1383">
        <f t="shared" si="34"/>
        <v>0</v>
      </c>
      <c r="X51" s="736"/>
      <c r="AD51" s="1391">
        <v>0</v>
      </c>
      <c r="AE51" s="1392">
        <v>0</v>
      </c>
      <c r="AF51" s="1393">
        <v>0</v>
      </c>
      <c r="AG51" s="1394">
        <v>0</v>
      </c>
    </row>
    <row r="52" spans="1:33" s="737" customFormat="1" ht="15" customHeight="1">
      <c r="A52" s="1378"/>
      <c r="B52" s="1379" t="s">
        <v>250</v>
      </c>
      <c r="C52" s="707"/>
      <c r="D52" s="1380" t="s">
        <v>204</v>
      </c>
      <c r="E52" s="1381">
        <v>1052.48</v>
      </c>
      <c r="F52" s="1382"/>
      <c r="G52" s="1382"/>
      <c r="H52" s="1383">
        <f t="shared" si="27"/>
        <v>1052.48</v>
      </c>
      <c r="I52" s="734"/>
      <c r="J52" s="1384">
        <f t="shared" si="28"/>
        <v>0</v>
      </c>
      <c r="K52" s="1385">
        <f>'BETON Qte'!K52</f>
        <v>0</v>
      </c>
      <c r="L52" s="1382">
        <f t="shared" si="29"/>
        <v>0</v>
      </c>
      <c r="M52" s="1383">
        <f t="shared" si="30"/>
        <v>0</v>
      </c>
      <c r="N52" s="734"/>
      <c r="O52" s="1386">
        <f t="shared" si="31"/>
        <v>0</v>
      </c>
      <c r="P52" s="1387">
        <f t="shared" si="5"/>
        <v>0</v>
      </c>
      <c r="Q52" s="1388"/>
      <c r="R52" s="1389">
        <f t="shared" si="32"/>
        <v>0</v>
      </c>
      <c r="S52" s="734"/>
      <c r="T52" s="1390">
        <v>1052.48</v>
      </c>
      <c r="U52" s="735"/>
      <c r="V52" s="1384">
        <f t="shared" si="33"/>
        <v>1052.48</v>
      </c>
      <c r="W52" s="1383">
        <f t="shared" si="34"/>
        <v>0</v>
      </c>
      <c r="X52" s="736"/>
      <c r="AD52" s="1391">
        <v>0</v>
      </c>
      <c r="AE52" s="1392">
        <v>0</v>
      </c>
      <c r="AF52" s="1393">
        <v>0</v>
      </c>
      <c r="AG52" s="1394">
        <v>0</v>
      </c>
    </row>
    <row r="53" spans="1:33" s="737" customFormat="1" ht="15" customHeight="1">
      <c r="A53" s="1378"/>
      <c r="B53" s="1379" t="s">
        <v>251</v>
      </c>
      <c r="C53" s="707"/>
      <c r="D53" s="1380" t="s">
        <v>204</v>
      </c>
      <c r="E53" s="1381">
        <v>11769.16</v>
      </c>
      <c r="F53" s="1382"/>
      <c r="G53" s="1382"/>
      <c r="H53" s="1383">
        <f t="shared" si="27"/>
        <v>11769.16</v>
      </c>
      <c r="I53" s="734"/>
      <c r="J53" s="1384">
        <f t="shared" si="28"/>
        <v>0</v>
      </c>
      <c r="K53" s="1385">
        <f>'BETON Qte'!K53</f>
        <v>0</v>
      </c>
      <c r="L53" s="1382">
        <f t="shared" si="29"/>
        <v>0</v>
      </c>
      <c r="M53" s="1383">
        <f t="shared" si="30"/>
        <v>0</v>
      </c>
      <c r="N53" s="734"/>
      <c r="O53" s="1386">
        <f t="shared" si="31"/>
        <v>0</v>
      </c>
      <c r="P53" s="1387">
        <f t="shared" si="5"/>
        <v>0</v>
      </c>
      <c r="Q53" s="1388"/>
      <c r="R53" s="1389">
        <f t="shared" si="32"/>
        <v>0</v>
      </c>
      <c r="S53" s="734"/>
      <c r="T53" s="1390">
        <v>11769.16</v>
      </c>
      <c r="U53" s="735"/>
      <c r="V53" s="1384">
        <f t="shared" si="33"/>
        <v>11769.16</v>
      </c>
      <c r="W53" s="1383">
        <f t="shared" si="34"/>
        <v>0</v>
      </c>
      <c r="X53" s="736"/>
      <c r="AD53" s="1391">
        <v>0</v>
      </c>
      <c r="AE53" s="1392">
        <v>0</v>
      </c>
      <c r="AF53" s="1393">
        <v>0</v>
      </c>
      <c r="AG53" s="1394">
        <v>0</v>
      </c>
    </row>
    <row r="54" spans="1:33" s="737" customFormat="1" ht="15" customHeight="1">
      <c r="A54" s="1378"/>
      <c r="B54" s="1379" t="s">
        <v>252</v>
      </c>
      <c r="C54" s="707"/>
      <c r="D54" s="1380" t="s">
        <v>204</v>
      </c>
      <c r="E54" s="1381">
        <v>265.2</v>
      </c>
      <c r="F54" s="1382"/>
      <c r="G54" s="1382"/>
      <c r="H54" s="1383">
        <f t="shared" si="27"/>
        <v>265.2</v>
      </c>
      <c r="I54" s="734"/>
      <c r="J54" s="1384">
        <f t="shared" si="28"/>
        <v>0</v>
      </c>
      <c r="K54" s="1385">
        <f>'BETON Qte'!K54</f>
        <v>0</v>
      </c>
      <c r="L54" s="1382">
        <f t="shared" si="29"/>
        <v>0</v>
      </c>
      <c r="M54" s="1383">
        <f t="shared" si="30"/>
        <v>0</v>
      </c>
      <c r="N54" s="734"/>
      <c r="O54" s="1386">
        <f t="shared" si="31"/>
        <v>0</v>
      </c>
      <c r="P54" s="1387">
        <f t="shared" si="5"/>
        <v>0</v>
      </c>
      <c r="Q54" s="1388"/>
      <c r="R54" s="1389">
        <f t="shared" si="32"/>
        <v>0</v>
      </c>
      <c r="S54" s="734"/>
      <c r="T54" s="1390">
        <v>265.2</v>
      </c>
      <c r="U54" s="735"/>
      <c r="V54" s="1384">
        <f t="shared" si="33"/>
        <v>265.2</v>
      </c>
      <c r="W54" s="1383">
        <f t="shared" si="34"/>
        <v>0</v>
      </c>
      <c r="X54" s="736"/>
      <c r="AD54" s="1391">
        <v>0</v>
      </c>
      <c r="AE54" s="1392">
        <v>0</v>
      </c>
      <c r="AF54" s="1393">
        <v>0</v>
      </c>
      <c r="AG54" s="1394">
        <v>0</v>
      </c>
    </row>
    <row r="55" spans="1:33" s="737" customFormat="1" ht="15" customHeight="1">
      <c r="A55" s="1378"/>
      <c r="B55" s="1379" t="s">
        <v>253</v>
      </c>
      <c r="C55" s="707"/>
      <c r="D55" s="1380" t="s">
        <v>204</v>
      </c>
      <c r="E55" s="1381">
        <v>994.5</v>
      </c>
      <c r="F55" s="1382"/>
      <c r="G55" s="1382"/>
      <c r="H55" s="1383">
        <f t="shared" si="27"/>
        <v>994.5</v>
      </c>
      <c r="I55" s="734"/>
      <c r="J55" s="1384">
        <f t="shared" si="28"/>
        <v>0</v>
      </c>
      <c r="K55" s="1385">
        <f>'BETON Qte'!K55</f>
        <v>0</v>
      </c>
      <c r="L55" s="1382">
        <f t="shared" si="29"/>
        <v>0</v>
      </c>
      <c r="M55" s="1383">
        <f t="shared" si="30"/>
        <v>0</v>
      </c>
      <c r="N55" s="734"/>
      <c r="O55" s="1386">
        <f t="shared" si="31"/>
        <v>0</v>
      </c>
      <c r="P55" s="1387">
        <f t="shared" si="5"/>
        <v>0</v>
      </c>
      <c r="Q55" s="1388"/>
      <c r="R55" s="1389">
        <f t="shared" si="32"/>
        <v>0</v>
      </c>
      <c r="S55" s="734"/>
      <c r="T55" s="1390">
        <v>994.5</v>
      </c>
      <c r="U55" s="735"/>
      <c r="V55" s="1384">
        <f t="shared" si="33"/>
        <v>994.5</v>
      </c>
      <c r="W55" s="1383">
        <f t="shared" si="34"/>
        <v>0</v>
      </c>
      <c r="X55" s="736"/>
      <c r="AD55" s="1391">
        <v>0</v>
      </c>
      <c r="AE55" s="1392">
        <v>0</v>
      </c>
      <c r="AF55" s="1393">
        <v>0</v>
      </c>
      <c r="AG55" s="1394">
        <v>0</v>
      </c>
    </row>
    <row r="56" spans="1:33" s="737" customFormat="1" ht="15" customHeight="1" thickBot="1">
      <c r="A56" s="1378"/>
      <c r="B56" s="1379" t="s">
        <v>254</v>
      </c>
      <c r="C56" s="707"/>
      <c r="D56" s="1380" t="s">
        <v>204</v>
      </c>
      <c r="E56" s="1381">
        <v>6.5</v>
      </c>
      <c r="F56" s="1382"/>
      <c r="G56" s="1382"/>
      <c r="H56" s="1383">
        <f t="shared" si="27"/>
        <v>6.5</v>
      </c>
      <c r="I56" s="734"/>
      <c r="J56" s="1384">
        <f t="shared" si="28"/>
        <v>0</v>
      </c>
      <c r="K56" s="1385">
        <f>'BETON Qte'!K56</f>
        <v>0</v>
      </c>
      <c r="L56" s="1382">
        <f t="shared" si="29"/>
        <v>0</v>
      </c>
      <c r="M56" s="1383">
        <f t="shared" si="30"/>
        <v>0</v>
      </c>
      <c r="N56" s="734"/>
      <c r="O56" s="1386">
        <f t="shared" si="31"/>
        <v>0</v>
      </c>
      <c r="P56" s="1387">
        <f t="shared" si="5"/>
        <v>0</v>
      </c>
      <c r="Q56" s="1388"/>
      <c r="R56" s="1389">
        <f t="shared" si="32"/>
        <v>0</v>
      </c>
      <c r="S56" s="734"/>
      <c r="T56" s="1390">
        <v>6.5</v>
      </c>
      <c r="U56" s="735"/>
      <c r="V56" s="1384">
        <f t="shared" si="33"/>
        <v>6.5</v>
      </c>
      <c r="W56" s="1383">
        <f t="shared" si="34"/>
        <v>0</v>
      </c>
      <c r="X56" s="736"/>
      <c r="AD56" s="1391">
        <v>0</v>
      </c>
      <c r="AE56" s="1392">
        <v>0</v>
      </c>
      <c r="AF56" s="1393">
        <v>0</v>
      </c>
      <c r="AG56" s="1394">
        <v>0</v>
      </c>
    </row>
    <row r="57" spans="1:33" s="733" customFormat="1" ht="19.5" customHeight="1" thickBot="1">
      <c r="A57" s="1419" t="s">
        <v>255</v>
      </c>
      <c r="B57" s="1420" t="s">
        <v>256</v>
      </c>
      <c r="C57" s="731"/>
      <c r="D57" s="1421" t="s">
        <v>204</v>
      </c>
      <c r="E57" s="1422">
        <f>SUM(E58:E60)</f>
        <v>126914.68837209302</v>
      </c>
      <c r="F57" s="1364">
        <f>SUM(F58:F60)</f>
        <v>0</v>
      </c>
      <c r="G57" s="1364">
        <f>SUM(G58:G60)</f>
        <v>0</v>
      </c>
      <c r="H57" s="1409">
        <f>SUM(H58:H60)</f>
        <v>126914.68837209302</v>
      </c>
      <c r="I57" s="732"/>
      <c r="J57" s="1408">
        <f>SUM(J58:J60)</f>
        <v>0</v>
      </c>
      <c r="K57" s="1423">
        <f>IFERROR(J57/H57,"")</f>
        <v>0</v>
      </c>
      <c r="L57" s="1364">
        <f>SUM(L58:L60)</f>
        <v>0</v>
      </c>
      <c r="M57" s="1409">
        <f>SUM(M58:M60)</f>
        <v>0</v>
      </c>
      <c r="N57" s="732"/>
      <c r="O57" s="1410">
        <f>SUM(O58:O60)</f>
        <v>0</v>
      </c>
      <c r="P57" s="1411">
        <f>IFERROR(O57/H57,"")</f>
        <v>0</v>
      </c>
      <c r="Q57" s="1412">
        <f>SUM(Q58:Q60)</f>
        <v>0</v>
      </c>
      <c r="R57" s="1413">
        <f>SUM(R58:R60)</f>
        <v>0</v>
      </c>
      <c r="S57" s="732"/>
      <c r="T57" s="1414">
        <f>SUM(T58:T60)</f>
        <v>126914.68837209302</v>
      </c>
      <c r="U57" s="732"/>
      <c r="V57" s="1408">
        <f>SUM(V58:V60)</f>
        <v>126914.68837209302</v>
      </c>
      <c r="W57" s="1409">
        <f>SUM(W58:W60)</f>
        <v>0</v>
      </c>
      <c r="X57" s="729"/>
      <c r="AD57" s="1415">
        <v>0</v>
      </c>
      <c r="AE57" s="1416">
        <v>0</v>
      </c>
      <c r="AF57" s="1417">
        <v>0</v>
      </c>
      <c r="AG57" s="1418">
        <v>0</v>
      </c>
    </row>
    <row r="58" spans="1:33" s="737" customFormat="1" ht="15" customHeight="1">
      <c r="A58" s="1378"/>
      <c r="B58" s="1379" t="s">
        <v>257</v>
      </c>
      <c r="C58" s="707"/>
      <c r="D58" s="1380" t="s">
        <v>204</v>
      </c>
      <c r="E58" s="1381">
        <v>72961.2</v>
      </c>
      <c r="F58" s="1382"/>
      <c r="G58" s="1382"/>
      <c r="H58" s="1383">
        <f>SUM(E58:G58)</f>
        <v>72961.2</v>
      </c>
      <c r="I58" s="734"/>
      <c r="J58" s="1384">
        <f>H58*K58/100</f>
        <v>0</v>
      </c>
      <c r="K58" s="1385">
        <f>'BETON Qte'!K58</f>
        <v>0</v>
      </c>
      <c r="L58" s="1382">
        <f>Q58+AF58</f>
        <v>0</v>
      </c>
      <c r="M58" s="1383">
        <f>J58-L58</f>
        <v>0</v>
      </c>
      <c r="N58" s="734"/>
      <c r="O58" s="1386">
        <f>J58-AD58</f>
        <v>0</v>
      </c>
      <c r="P58" s="1387">
        <f t="shared" si="5"/>
        <v>0</v>
      </c>
      <c r="Q58" s="1388"/>
      <c r="R58" s="1389">
        <f>O58-Q58</f>
        <v>0</v>
      </c>
      <c r="S58" s="734"/>
      <c r="T58" s="1390">
        <v>72961.2</v>
      </c>
      <c r="U58" s="735"/>
      <c r="V58" s="1384">
        <f t="shared" ref="V58:V60" si="35">L58+T58</f>
        <v>72961.2</v>
      </c>
      <c r="W58" s="1383">
        <f t="shared" ref="W58:W60" si="36">H58-V58</f>
        <v>0</v>
      </c>
      <c r="X58" s="736"/>
      <c r="AD58" s="1391">
        <v>0</v>
      </c>
      <c r="AE58" s="1392">
        <v>0</v>
      </c>
      <c r="AF58" s="1393">
        <v>0</v>
      </c>
      <c r="AG58" s="1394">
        <v>0</v>
      </c>
    </row>
    <row r="59" spans="1:33" s="737" customFormat="1" ht="15" customHeight="1">
      <c r="A59" s="1378"/>
      <c r="B59" s="1379" t="s">
        <v>257</v>
      </c>
      <c r="C59" s="707"/>
      <c r="D59" s="1380" t="s">
        <v>204</v>
      </c>
      <c r="E59" s="1381">
        <v>53953.488372093023</v>
      </c>
      <c r="F59" s="1382"/>
      <c r="G59" s="1382"/>
      <c r="H59" s="1383">
        <f t="shared" ref="H59:H60" si="37">SUM(E59:G59)</f>
        <v>53953.488372093023</v>
      </c>
      <c r="I59" s="734"/>
      <c r="J59" s="1384">
        <f t="shared" ref="J59:J60" si="38">H59*K59/100</f>
        <v>0</v>
      </c>
      <c r="K59" s="1385">
        <f>'BETON Qte'!K59</f>
        <v>0</v>
      </c>
      <c r="L59" s="1382">
        <f t="shared" ref="L59:L60" si="39">Q59+AF59</f>
        <v>0</v>
      </c>
      <c r="M59" s="1383">
        <f t="shared" ref="M59:M60" si="40">J59-L59</f>
        <v>0</v>
      </c>
      <c r="N59" s="734"/>
      <c r="O59" s="1386">
        <f t="shared" ref="O59:O60" si="41">J59-AD59</f>
        <v>0</v>
      </c>
      <c r="P59" s="1387">
        <f t="shared" si="5"/>
        <v>0</v>
      </c>
      <c r="Q59" s="1388"/>
      <c r="R59" s="1389">
        <f t="shared" ref="R59:R60" si="42">O59-Q59</f>
        <v>0</v>
      </c>
      <c r="S59" s="734"/>
      <c r="T59" s="1390">
        <v>53953.488372093023</v>
      </c>
      <c r="U59" s="735"/>
      <c r="V59" s="1384">
        <f t="shared" si="35"/>
        <v>53953.488372093023</v>
      </c>
      <c r="W59" s="1383">
        <f t="shared" si="36"/>
        <v>0</v>
      </c>
      <c r="X59" s="736"/>
      <c r="AD59" s="1391">
        <v>0</v>
      </c>
      <c r="AE59" s="1392">
        <v>0</v>
      </c>
      <c r="AF59" s="1393">
        <v>0</v>
      </c>
      <c r="AG59" s="1394">
        <v>0</v>
      </c>
    </row>
    <row r="60" spans="1:33" s="737" customFormat="1" ht="15" customHeight="1" thickBot="1">
      <c r="A60" s="1424"/>
      <c r="B60" s="1425" t="s">
        <v>258</v>
      </c>
      <c r="C60" s="707"/>
      <c r="D60" s="1426" t="s">
        <v>204</v>
      </c>
      <c r="E60" s="1427">
        <v>0</v>
      </c>
      <c r="F60" s="1428"/>
      <c r="G60" s="1428"/>
      <c r="H60" s="1429">
        <f t="shared" si="37"/>
        <v>0</v>
      </c>
      <c r="I60" s="734"/>
      <c r="J60" s="1430">
        <f t="shared" si="38"/>
        <v>0</v>
      </c>
      <c r="K60" s="1431">
        <f>'BETON Qte'!K60</f>
        <v>0</v>
      </c>
      <c r="L60" s="1428">
        <f t="shared" si="39"/>
        <v>0</v>
      </c>
      <c r="M60" s="1429">
        <f t="shared" si="40"/>
        <v>0</v>
      </c>
      <c r="N60" s="734"/>
      <c r="O60" s="1432">
        <f t="shared" si="41"/>
        <v>0</v>
      </c>
      <c r="P60" s="1433">
        <f t="shared" si="5"/>
        <v>0</v>
      </c>
      <c r="Q60" s="1434"/>
      <c r="R60" s="1435">
        <f t="shared" si="42"/>
        <v>0</v>
      </c>
      <c r="S60" s="734"/>
      <c r="T60" s="1436">
        <v>0</v>
      </c>
      <c r="U60" s="735"/>
      <c r="V60" s="1430">
        <f t="shared" si="35"/>
        <v>0</v>
      </c>
      <c r="W60" s="1429">
        <f t="shared" si="36"/>
        <v>0</v>
      </c>
      <c r="X60" s="736"/>
      <c r="AD60" s="1437">
        <v>0</v>
      </c>
      <c r="AE60" s="1438">
        <v>0</v>
      </c>
      <c r="AF60" s="1439">
        <v>0</v>
      </c>
      <c r="AG60" s="1440">
        <v>0</v>
      </c>
    </row>
    <row r="61" spans="1:33">
      <c r="E61" s="739"/>
      <c r="F61" s="739"/>
      <c r="G61" s="739"/>
      <c r="H61" s="739"/>
      <c r="I61" s="740"/>
      <c r="J61" s="739"/>
      <c r="K61" s="739"/>
      <c r="L61" s="739"/>
      <c r="M61" s="739"/>
      <c r="N61" s="740"/>
      <c r="O61" s="739"/>
      <c r="P61" s="739"/>
      <c r="Q61" s="739"/>
      <c r="R61" s="739"/>
      <c r="S61" s="740"/>
      <c r="T61" s="739"/>
      <c r="U61" s="741"/>
      <c r="V61" s="739"/>
      <c r="W61" s="739"/>
    </row>
    <row r="62" spans="1:33">
      <c r="E62" s="739"/>
      <c r="F62" s="739"/>
      <c r="G62" s="739"/>
      <c r="H62" s="739"/>
      <c r="I62" s="740"/>
      <c r="J62" s="739"/>
      <c r="K62" s="739"/>
      <c r="L62" s="739"/>
      <c r="M62" s="739"/>
      <c r="N62" s="740"/>
      <c r="O62" s="739"/>
      <c r="P62" s="739"/>
      <c r="Q62" s="739"/>
      <c r="R62" s="739"/>
      <c r="S62" s="740"/>
      <c r="T62" s="739"/>
      <c r="U62" s="741"/>
      <c r="V62" s="739"/>
      <c r="W62" s="739"/>
    </row>
    <row r="63" spans="1:33">
      <c r="E63" s="739"/>
      <c r="F63" s="739"/>
      <c r="G63" s="739"/>
      <c r="H63" s="739"/>
      <c r="I63" s="740"/>
      <c r="J63" s="739"/>
      <c r="K63" s="739"/>
      <c r="L63" s="739"/>
      <c r="M63" s="739"/>
      <c r="N63" s="740"/>
      <c r="O63" s="739"/>
      <c r="P63" s="739"/>
      <c r="Q63" s="739"/>
      <c r="R63" s="739"/>
      <c r="S63" s="740"/>
      <c r="T63" s="739"/>
      <c r="U63" s="741"/>
      <c r="V63" s="739"/>
      <c r="W63" s="739"/>
    </row>
    <row r="64" spans="1:33">
      <c r="E64" s="739"/>
      <c r="F64" s="739"/>
      <c r="G64" s="739"/>
      <c r="H64" s="739"/>
      <c r="I64" s="740"/>
      <c r="J64" s="739"/>
      <c r="K64" s="739"/>
      <c r="L64" s="739"/>
      <c r="M64" s="739"/>
      <c r="N64" s="740"/>
      <c r="O64" s="739"/>
      <c r="P64" s="739"/>
      <c r="Q64" s="739"/>
      <c r="R64" s="739"/>
      <c r="S64" s="740"/>
      <c r="T64" s="739"/>
      <c r="U64" s="741"/>
      <c r="V64" s="739"/>
      <c r="W64" s="739"/>
    </row>
    <row r="65" spans="1:33">
      <c r="E65" s="739"/>
      <c r="F65" s="739"/>
      <c r="G65" s="739"/>
      <c r="H65" s="739"/>
      <c r="I65" s="740"/>
      <c r="J65" s="739"/>
      <c r="K65" s="739"/>
      <c r="L65" s="739"/>
      <c r="M65" s="739"/>
      <c r="N65" s="740"/>
      <c r="O65" s="739"/>
      <c r="P65" s="739"/>
      <c r="Q65" s="739"/>
      <c r="R65" s="739"/>
      <c r="S65" s="740"/>
      <c r="T65" s="739"/>
      <c r="U65" s="741"/>
      <c r="V65" s="739"/>
      <c r="W65" s="739"/>
    </row>
    <row r="66" spans="1:33" ht="13.5" customHeight="1" thickBot="1">
      <c r="A66" s="706"/>
      <c r="B66" s="706"/>
      <c r="C66" s="707"/>
      <c r="E66" s="742"/>
      <c r="F66" s="742"/>
      <c r="G66" s="742"/>
      <c r="H66" s="742"/>
      <c r="I66" s="734"/>
      <c r="J66" s="743" t="s">
        <v>185</v>
      </c>
      <c r="K66" s="743" t="s">
        <v>185</v>
      </c>
      <c r="L66" s="744"/>
      <c r="M66" s="744"/>
      <c r="N66" s="734"/>
      <c r="O66" s="744"/>
      <c r="P66" s="743" t="s">
        <v>185</v>
      </c>
      <c r="Q66" s="744"/>
      <c r="R66" s="744"/>
      <c r="S66" s="734"/>
      <c r="T66" s="744"/>
      <c r="U66" s="735"/>
      <c r="V66" s="744"/>
      <c r="W66" s="744"/>
      <c r="X66" s="712"/>
      <c r="AD66" s="710" t="s">
        <v>185</v>
      </c>
      <c r="AE66" s="710" t="s">
        <v>185</v>
      </c>
      <c r="AF66" s="706"/>
      <c r="AG66" s="706"/>
    </row>
    <row r="67" spans="1:33" s="730" customFormat="1" ht="19.5" customHeight="1" thickBot="1">
      <c r="A67" s="1441"/>
      <c r="B67" s="1442" t="s">
        <v>203</v>
      </c>
      <c r="C67" s="726"/>
      <c r="D67" s="1443" t="s">
        <v>204</v>
      </c>
      <c r="E67" s="1444">
        <f>E68+E79+E87+E90+E93+E109</f>
        <v>567723.82032558136</v>
      </c>
      <c r="F67" s="1445">
        <f>F68+F79+F87+F90+F93+F109</f>
        <v>0</v>
      </c>
      <c r="G67" s="1445">
        <f>G68+G79+G87+G90+G93+G109</f>
        <v>0</v>
      </c>
      <c r="H67" s="1446">
        <f>H68+H79+H87+H90+H93+H109</f>
        <v>567723.82032558136</v>
      </c>
      <c r="I67" s="727"/>
      <c r="J67" s="1349">
        <f>J68+J79+J87+J90+J93+J109</f>
        <v>29530.779500000001</v>
      </c>
      <c r="K67" s="1350">
        <f>IFERROR(J67/H67,"")</f>
        <v>5.2016100862325151E-2</v>
      </c>
      <c r="L67" s="1447">
        <f>L68+L79+L87+L90+L93+L109</f>
        <v>39231</v>
      </c>
      <c r="M67" s="1352">
        <f>M68+M79+M87+M90+M93+M109</f>
        <v>-9700.2204999999994</v>
      </c>
      <c r="N67" s="727"/>
      <c r="O67" s="1448">
        <f>O68+O79+O87+O90+O93+O109</f>
        <v>0</v>
      </c>
      <c r="P67" s="1449">
        <f>IFERROR(O67/H67,"")</f>
        <v>0</v>
      </c>
      <c r="Q67" s="1450">
        <f>Q68+Q79+Q87+Q90+Q93+Q109</f>
        <v>0</v>
      </c>
      <c r="R67" s="1451">
        <f>R68+R79+R87+R90+R93+R109</f>
        <v>0</v>
      </c>
      <c r="S67" s="727"/>
      <c r="T67" s="1452">
        <f>T68+T79+T87+T90+T93+T109</f>
        <v>408022.91732558142</v>
      </c>
      <c r="U67" s="728"/>
      <c r="V67" s="1453">
        <f>V68+V79+V87+V90+V93+V109</f>
        <v>447253.91732558142</v>
      </c>
      <c r="W67" s="1446">
        <f>W68+W79+W87+W90+W93+W109</f>
        <v>120469.90300000001</v>
      </c>
      <c r="X67" s="729"/>
      <c r="AD67" s="1454">
        <v>29530.779500000001</v>
      </c>
      <c r="AE67" s="1455">
        <v>5.2016100862325151E-2</v>
      </c>
      <c r="AF67" s="1456">
        <v>39231</v>
      </c>
      <c r="AG67" s="1457">
        <v>-9700.2204999999994</v>
      </c>
    </row>
    <row r="68" spans="1:33" s="733" customFormat="1" ht="19.5" customHeight="1" thickBot="1">
      <c r="A68" s="1419" t="s">
        <v>581</v>
      </c>
      <c r="B68" s="1420" t="s">
        <v>582</v>
      </c>
      <c r="C68" s="731"/>
      <c r="D68" s="1421" t="s">
        <v>204</v>
      </c>
      <c r="E68" s="1422">
        <f>SUM(E69:E78)</f>
        <v>18519.617999999999</v>
      </c>
      <c r="F68" s="1364">
        <f>SUM(F69:F78)</f>
        <v>0</v>
      </c>
      <c r="G68" s="1364">
        <f>SUM(G69:G78)</f>
        <v>0</v>
      </c>
      <c r="H68" s="1409">
        <f>SUM(H69:H78)</f>
        <v>18519.617999999999</v>
      </c>
      <c r="I68" s="732"/>
      <c r="J68" s="1365">
        <f>SUM(J69:J78)</f>
        <v>17399.6433</v>
      </c>
      <c r="K68" s="1366">
        <f>IFERROR(J68/H68,"")</f>
        <v>0.93952495672426939</v>
      </c>
      <c r="L68" s="1367">
        <f>SUM(L69:L78)</f>
        <v>19904</v>
      </c>
      <c r="M68" s="1368">
        <f>SUM(M69:M78)</f>
        <v>-2504.3567000000003</v>
      </c>
      <c r="N68" s="732"/>
      <c r="O68" s="1369">
        <f>SUM(O69:O78)</f>
        <v>0</v>
      </c>
      <c r="P68" s="1370">
        <f>IFERROR(O68/H68,"")</f>
        <v>0</v>
      </c>
      <c r="Q68" s="1371">
        <f>SUM(Q69:Q78)</f>
        <v>0</v>
      </c>
      <c r="R68" s="1372">
        <f>SUM(R69:R78)</f>
        <v>0</v>
      </c>
      <c r="S68" s="732"/>
      <c r="T68" s="1373">
        <f>SUM(T69:T78)</f>
        <v>0</v>
      </c>
      <c r="U68" s="732"/>
      <c r="V68" s="1365">
        <f>SUM(V69:V78)</f>
        <v>19904</v>
      </c>
      <c r="W68" s="1368">
        <f>SUM(W69:W78)</f>
        <v>-1384.3820000000012</v>
      </c>
      <c r="X68" s="729"/>
      <c r="AD68" s="1374">
        <v>17399.6433</v>
      </c>
      <c r="AE68" s="1375">
        <v>0.93952495672426939</v>
      </c>
      <c r="AF68" s="1376">
        <v>19904</v>
      </c>
      <c r="AG68" s="1377">
        <v>-2504.3567000000003</v>
      </c>
    </row>
    <row r="69" spans="1:33" s="737" customFormat="1" ht="15" customHeight="1">
      <c r="A69" s="1378"/>
      <c r="B69" s="1379" t="s">
        <v>207</v>
      </c>
      <c r="C69" s="707"/>
      <c r="D69" s="1380" t="s">
        <v>204</v>
      </c>
      <c r="E69" s="1381">
        <v>884</v>
      </c>
      <c r="F69" s="1382"/>
      <c r="G69" s="1382"/>
      <c r="H69" s="1383">
        <f>SUM(E69:G69)</f>
        <v>884</v>
      </c>
      <c r="I69" s="734"/>
      <c r="J69" s="1384">
        <f>H69*K69/100</f>
        <v>857.48</v>
      </c>
      <c r="K69" s="1385">
        <f>'BETON Qte'!K69</f>
        <v>97</v>
      </c>
      <c r="L69" s="1382">
        <f>Q69+AF69</f>
        <v>1328</v>
      </c>
      <c r="M69" s="1383">
        <f>J69-L69</f>
        <v>-470.52</v>
      </c>
      <c r="N69" s="734"/>
      <c r="O69" s="1386">
        <f>J69-AD69</f>
        <v>0</v>
      </c>
      <c r="P69" s="1387">
        <f t="shared" ref="P69:P78" si="43">IFERROR(O69/H69,0)</f>
        <v>0</v>
      </c>
      <c r="Q69" s="1388"/>
      <c r="R69" s="1389">
        <f>O69-Q69</f>
        <v>0</v>
      </c>
      <c r="S69" s="734"/>
      <c r="T69" s="1390">
        <v>0</v>
      </c>
      <c r="U69" s="735"/>
      <c r="V69" s="1384">
        <f>L69+T69</f>
        <v>1328</v>
      </c>
      <c r="W69" s="1383">
        <f>H69-V69</f>
        <v>-444</v>
      </c>
      <c r="X69" s="736"/>
      <c r="AD69" s="1391">
        <v>857.48</v>
      </c>
      <c r="AE69" s="1392">
        <v>97</v>
      </c>
      <c r="AF69" s="1393">
        <v>1328</v>
      </c>
      <c r="AG69" s="1394">
        <v>-470.52</v>
      </c>
    </row>
    <row r="70" spans="1:33" s="737" customFormat="1" ht="15" customHeight="1">
      <c r="A70" s="1378"/>
      <c r="B70" s="1379" t="s">
        <v>208</v>
      </c>
      <c r="C70" s="707"/>
      <c r="D70" s="1380" t="s">
        <v>204</v>
      </c>
      <c r="E70" s="1381">
        <v>35.568000000000005</v>
      </c>
      <c r="F70" s="1382"/>
      <c r="G70" s="1382"/>
      <c r="H70" s="1383">
        <f t="shared" ref="H70:H78" si="44">SUM(E70:G70)</f>
        <v>35.568000000000005</v>
      </c>
      <c r="I70" s="734"/>
      <c r="J70" s="1384">
        <f t="shared" ref="J70:J78" si="45">H70*K70/100</f>
        <v>35.568000000000005</v>
      </c>
      <c r="K70" s="1385">
        <f>'BETON Qte'!K70</f>
        <v>100</v>
      </c>
      <c r="L70" s="1382">
        <f t="shared" ref="L70:L78" si="46">Q70+AF70</f>
        <v>133</v>
      </c>
      <c r="M70" s="1383">
        <f t="shared" ref="M70:M78" si="47">J70-L70</f>
        <v>-97.431999999999988</v>
      </c>
      <c r="N70" s="734"/>
      <c r="O70" s="1386">
        <f t="shared" ref="O70:O78" si="48">J70-AD70</f>
        <v>0</v>
      </c>
      <c r="P70" s="1387">
        <f t="shared" si="43"/>
        <v>0</v>
      </c>
      <c r="Q70" s="1388"/>
      <c r="R70" s="1389">
        <f t="shared" ref="R70:R78" si="49">O70-Q70</f>
        <v>0</v>
      </c>
      <c r="S70" s="734"/>
      <c r="T70" s="1390">
        <v>0</v>
      </c>
      <c r="U70" s="735"/>
      <c r="V70" s="1384">
        <f t="shared" ref="V70:V78" si="50">L70+T70</f>
        <v>133</v>
      </c>
      <c r="W70" s="1383">
        <f t="shared" ref="W70:W78" si="51">H70-V70</f>
        <v>-97.431999999999988</v>
      </c>
      <c r="X70" s="736"/>
      <c r="AD70" s="1391">
        <v>35.568000000000005</v>
      </c>
      <c r="AE70" s="1392">
        <v>100</v>
      </c>
      <c r="AF70" s="1393">
        <v>133</v>
      </c>
      <c r="AG70" s="1394">
        <v>-97.431999999999988</v>
      </c>
    </row>
    <row r="71" spans="1:33" s="737" customFormat="1" ht="15" customHeight="1">
      <c r="A71" s="1378"/>
      <c r="B71" s="1379" t="s">
        <v>209</v>
      </c>
      <c r="C71" s="707"/>
      <c r="D71" s="1380" t="s">
        <v>204</v>
      </c>
      <c r="E71" s="1381"/>
      <c r="F71" s="1382"/>
      <c r="G71" s="1382"/>
      <c r="H71" s="1383">
        <f t="shared" si="44"/>
        <v>0</v>
      </c>
      <c r="I71" s="734"/>
      <c r="J71" s="1384">
        <f t="shared" si="45"/>
        <v>0</v>
      </c>
      <c r="K71" s="1385">
        <f>'BETON Qte'!K71</f>
        <v>0</v>
      </c>
      <c r="L71" s="1382">
        <f t="shared" si="46"/>
        <v>7773</v>
      </c>
      <c r="M71" s="1383">
        <f t="shared" si="47"/>
        <v>-7773</v>
      </c>
      <c r="N71" s="734"/>
      <c r="O71" s="1386">
        <f t="shared" si="48"/>
        <v>0</v>
      </c>
      <c r="P71" s="1387">
        <f t="shared" si="43"/>
        <v>0</v>
      </c>
      <c r="Q71" s="1388"/>
      <c r="R71" s="1389">
        <f t="shared" si="49"/>
        <v>0</v>
      </c>
      <c r="S71" s="734"/>
      <c r="T71" s="1390">
        <v>0</v>
      </c>
      <c r="U71" s="735"/>
      <c r="V71" s="1384">
        <f t="shared" si="50"/>
        <v>7773</v>
      </c>
      <c r="W71" s="1383">
        <f t="shared" si="51"/>
        <v>-7773</v>
      </c>
      <c r="X71" s="736"/>
      <c r="AD71" s="1391">
        <v>0</v>
      </c>
      <c r="AE71" s="1392">
        <v>0</v>
      </c>
      <c r="AF71" s="1393">
        <v>7773</v>
      </c>
      <c r="AG71" s="1394">
        <v>-7773</v>
      </c>
    </row>
    <row r="72" spans="1:33" s="737" customFormat="1" ht="15" customHeight="1">
      <c r="A72" s="1378"/>
      <c r="B72" s="1379" t="s">
        <v>210</v>
      </c>
      <c r="C72" s="707"/>
      <c r="D72" s="1380" t="s">
        <v>204</v>
      </c>
      <c r="E72" s="1381">
        <v>972.4</v>
      </c>
      <c r="F72" s="1382"/>
      <c r="G72" s="1382"/>
      <c r="H72" s="1383">
        <f t="shared" si="44"/>
        <v>972.4</v>
      </c>
      <c r="I72" s="734"/>
      <c r="J72" s="1384">
        <f t="shared" si="45"/>
        <v>875.16</v>
      </c>
      <c r="K72" s="1385">
        <f>'BETON Qte'!K72</f>
        <v>90</v>
      </c>
      <c r="L72" s="1382">
        <f t="shared" si="46"/>
        <v>292</v>
      </c>
      <c r="M72" s="1383">
        <f t="shared" si="47"/>
        <v>583.16</v>
      </c>
      <c r="N72" s="734"/>
      <c r="O72" s="1386">
        <f t="shared" si="48"/>
        <v>0</v>
      </c>
      <c r="P72" s="1387">
        <f t="shared" si="43"/>
        <v>0</v>
      </c>
      <c r="Q72" s="1388"/>
      <c r="R72" s="1389">
        <f t="shared" si="49"/>
        <v>0</v>
      </c>
      <c r="S72" s="734"/>
      <c r="T72" s="1390">
        <v>0</v>
      </c>
      <c r="U72" s="735"/>
      <c r="V72" s="1384">
        <f t="shared" si="50"/>
        <v>292</v>
      </c>
      <c r="W72" s="1383">
        <f t="shared" si="51"/>
        <v>680.4</v>
      </c>
      <c r="X72" s="736"/>
      <c r="AD72" s="1391">
        <v>875.16</v>
      </c>
      <c r="AE72" s="1392">
        <v>90</v>
      </c>
      <c r="AF72" s="1393">
        <v>292</v>
      </c>
      <c r="AG72" s="1394">
        <v>583.16</v>
      </c>
    </row>
    <row r="73" spans="1:33" s="737" customFormat="1" ht="15" customHeight="1">
      <c r="A73" s="1378"/>
      <c r="B73" s="1379" t="s">
        <v>211</v>
      </c>
      <c r="C73" s="707"/>
      <c r="D73" s="1380" t="s">
        <v>204</v>
      </c>
      <c r="E73" s="1381">
        <v>3692.5200000000004</v>
      </c>
      <c r="F73" s="1382"/>
      <c r="G73" s="1382"/>
      <c r="H73" s="1383">
        <f t="shared" si="44"/>
        <v>3692.5200000000004</v>
      </c>
      <c r="I73" s="734"/>
      <c r="J73" s="1384">
        <f t="shared" si="45"/>
        <v>3581.7444000000005</v>
      </c>
      <c r="K73" s="1385">
        <f>'BETON Qte'!K73</f>
        <v>97</v>
      </c>
      <c r="L73" s="1382">
        <f t="shared" si="46"/>
        <v>3194</v>
      </c>
      <c r="M73" s="1383">
        <f t="shared" si="47"/>
        <v>387.7444000000005</v>
      </c>
      <c r="N73" s="734"/>
      <c r="O73" s="1386">
        <f t="shared" si="48"/>
        <v>0</v>
      </c>
      <c r="P73" s="1387">
        <f t="shared" si="43"/>
        <v>0</v>
      </c>
      <c r="Q73" s="1388"/>
      <c r="R73" s="1389">
        <f t="shared" si="49"/>
        <v>0</v>
      </c>
      <c r="S73" s="734"/>
      <c r="T73" s="1390">
        <v>0</v>
      </c>
      <c r="U73" s="735"/>
      <c r="V73" s="1384">
        <f t="shared" si="50"/>
        <v>3194</v>
      </c>
      <c r="W73" s="1383">
        <f t="shared" si="51"/>
        <v>498.52000000000044</v>
      </c>
      <c r="X73" s="736"/>
      <c r="AD73" s="1391">
        <v>3581.7444000000005</v>
      </c>
      <c r="AE73" s="1392">
        <v>97</v>
      </c>
      <c r="AF73" s="1393">
        <v>3194</v>
      </c>
      <c r="AG73" s="1394">
        <v>387.7444000000005</v>
      </c>
    </row>
    <row r="74" spans="1:33" s="737" customFormat="1" ht="15" customHeight="1">
      <c r="A74" s="1378"/>
      <c r="B74" s="1379" t="s">
        <v>212</v>
      </c>
      <c r="C74" s="707"/>
      <c r="D74" s="1380" t="s">
        <v>204</v>
      </c>
      <c r="E74" s="1381">
        <v>6628.44</v>
      </c>
      <c r="F74" s="1382"/>
      <c r="G74" s="1382"/>
      <c r="H74" s="1383">
        <f t="shared" si="44"/>
        <v>6628.44</v>
      </c>
      <c r="I74" s="734"/>
      <c r="J74" s="1384">
        <f t="shared" si="45"/>
        <v>6495.8711999999996</v>
      </c>
      <c r="K74" s="1385">
        <f>'BETON Qte'!K74</f>
        <v>98</v>
      </c>
      <c r="L74" s="1382">
        <f t="shared" si="46"/>
        <v>3591</v>
      </c>
      <c r="M74" s="1383">
        <f t="shared" si="47"/>
        <v>2904.8711999999996</v>
      </c>
      <c r="N74" s="734"/>
      <c r="O74" s="1386">
        <f t="shared" si="48"/>
        <v>0</v>
      </c>
      <c r="P74" s="1387">
        <f t="shared" si="43"/>
        <v>0</v>
      </c>
      <c r="Q74" s="1388"/>
      <c r="R74" s="1389">
        <f t="shared" si="49"/>
        <v>0</v>
      </c>
      <c r="S74" s="734"/>
      <c r="T74" s="1390">
        <v>0</v>
      </c>
      <c r="U74" s="735"/>
      <c r="V74" s="1384">
        <f t="shared" si="50"/>
        <v>3591</v>
      </c>
      <c r="W74" s="1383">
        <f t="shared" si="51"/>
        <v>3037.4399999999996</v>
      </c>
      <c r="X74" s="736"/>
      <c r="AD74" s="1391">
        <v>6495.8711999999996</v>
      </c>
      <c r="AE74" s="1392">
        <v>98</v>
      </c>
      <c r="AF74" s="1393">
        <v>3591</v>
      </c>
      <c r="AG74" s="1394">
        <v>2904.8711999999996</v>
      </c>
    </row>
    <row r="75" spans="1:33" s="737" customFormat="1" ht="15" customHeight="1">
      <c r="A75" s="1378"/>
      <c r="B75" s="1379" t="s">
        <v>213</v>
      </c>
      <c r="C75" s="707"/>
      <c r="D75" s="1380" t="s">
        <v>204</v>
      </c>
      <c r="E75" s="1381">
        <v>1115.4000000000001</v>
      </c>
      <c r="F75" s="1382"/>
      <c r="G75" s="1382"/>
      <c r="H75" s="1383">
        <f t="shared" si="44"/>
        <v>1115.4000000000001</v>
      </c>
      <c r="I75" s="734"/>
      <c r="J75" s="1384">
        <f t="shared" si="45"/>
        <v>892.32</v>
      </c>
      <c r="K75" s="1385">
        <f>'BETON Qte'!K75</f>
        <v>80</v>
      </c>
      <c r="L75" s="1382">
        <f t="shared" si="46"/>
        <v>620</v>
      </c>
      <c r="M75" s="1383">
        <f t="shared" si="47"/>
        <v>272.32000000000005</v>
      </c>
      <c r="N75" s="734"/>
      <c r="O75" s="1386">
        <f t="shared" si="48"/>
        <v>0</v>
      </c>
      <c r="P75" s="1387">
        <f t="shared" si="43"/>
        <v>0</v>
      </c>
      <c r="Q75" s="1388"/>
      <c r="R75" s="1389">
        <f t="shared" si="49"/>
        <v>0</v>
      </c>
      <c r="S75" s="734"/>
      <c r="T75" s="1390">
        <v>0</v>
      </c>
      <c r="U75" s="735"/>
      <c r="V75" s="1384">
        <f t="shared" si="50"/>
        <v>620</v>
      </c>
      <c r="W75" s="1383">
        <f t="shared" si="51"/>
        <v>495.40000000000009</v>
      </c>
      <c r="X75" s="736"/>
      <c r="AD75" s="1391">
        <v>892.32</v>
      </c>
      <c r="AE75" s="1392">
        <v>80</v>
      </c>
      <c r="AF75" s="1393">
        <v>620</v>
      </c>
      <c r="AG75" s="1394">
        <v>272.32000000000005</v>
      </c>
    </row>
    <row r="76" spans="1:33" s="737" customFormat="1" ht="15" customHeight="1">
      <c r="A76" s="1378"/>
      <c r="B76" s="1379" t="s">
        <v>214</v>
      </c>
      <c r="C76" s="707"/>
      <c r="D76" s="1380" t="s">
        <v>204</v>
      </c>
      <c r="E76" s="1381">
        <v>3276.6499999999996</v>
      </c>
      <c r="F76" s="1382"/>
      <c r="G76" s="1382"/>
      <c r="H76" s="1383">
        <f t="shared" si="44"/>
        <v>3276.6499999999996</v>
      </c>
      <c r="I76" s="734"/>
      <c r="J76" s="1384">
        <f t="shared" si="45"/>
        <v>2785.1524999999992</v>
      </c>
      <c r="K76" s="1385">
        <f>'BETON Qte'!K76</f>
        <v>85</v>
      </c>
      <c r="L76" s="1382">
        <f t="shared" si="46"/>
        <v>1155</v>
      </c>
      <c r="M76" s="1383">
        <f t="shared" si="47"/>
        <v>1630.1524999999992</v>
      </c>
      <c r="N76" s="734"/>
      <c r="O76" s="1386">
        <f t="shared" si="48"/>
        <v>0</v>
      </c>
      <c r="P76" s="1387">
        <f t="shared" si="43"/>
        <v>0</v>
      </c>
      <c r="Q76" s="1388"/>
      <c r="R76" s="1389">
        <f t="shared" si="49"/>
        <v>0</v>
      </c>
      <c r="S76" s="734"/>
      <c r="T76" s="1390">
        <v>0</v>
      </c>
      <c r="U76" s="735"/>
      <c r="V76" s="1384">
        <f t="shared" si="50"/>
        <v>1155</v>
      </c>
      <c r="W76" s="1383">
        <f t="shared" si="51"/>
        <v>2121.6499999999996</v>
      </c>
      <c r="X76" s="736"/>
      <c r="AD76" s="1391">
        <v>2785.1524999999992</v>
      </c>
      <c r="AE76" s="1392">
        <v>85</v>
      </c>
      <c r="AF76" s="1393">
        <v>1155</v>
      </c>
      <c r="AG76" s="1394">
        <v>1630.1524999999992</v>
      </c>
    </row>
    <row r="77" spans="1:33" s="737" customFormat="1" ht="15" customHeight="1">
      <c r="A77" s="1378"/>
      <c r="B77" s="1379" t="s">
        <v>215</v>
      </c>
      <c r="C77" s="707"/>
      <c r="D77" s="1380" t="s">
        <v>204</v>
      </c>
      <c r="E77" s="1381">
        <v>1914.64</v>
      </c>
      <c r="F77" s="1382"/>
      <c r="G77" s="1382"/>
      <c r="H77" s="1383">
        <f t="shared" si="44"/>
        <v>1914.64</v>
      </c>
      <c r="I77" s="734"/>
      <c r="J77" s="1384">
        <f t="shared" si="45"/>
        <v>1876.3471999999999</v>
      </c>
      <c r="K77" s="1385">
        <f>'BETON Qte'!K77</f>
        <v>98</v>
      </c>
      <c r="L77" s="1382">
        <f t="shared" si="46"/>
        <v>1621</v>
      </c>
      <c r="M77" s="1383">
        <f t="shared" si="47"/>
        <v>255.34719999999993</v>
      </c>
      <c r="N77" s="734"/>
      <c r="O77" s="1386">
        <f t="shared" si="48"/>
        <v>0</v>
      </c>
      <c r="P77" s="1387">
        <f t="shared" si="43"/>
        <v>0</v>
      </c>
      <c r="Q77" s="1388"/>
      <c r="R77" s="1389">
        <f t="shared" si="49"/>
        <v>0</v>
      </c>
      <c r="S77" s="734"/>
      <c r="T77" s="1390">
        <v>0</v>
      </c>
      <c r="U77" s="735"/>
      <c r="V77" s="1384">
        <f t="shared" si="50"/>
        <v>1621</v>
      </c>
      <c r="W77" s="1383">
        <f t="shared" si="51"/>
        <v>293.6400000000001</v>
      </c>
      <c r="X77" s="736"/>
      <c r="AD77" s="1391">
        <v>1876.3471999999999</v>
      </c>
      <c r="AE77" s="1392">
        <v>98</v>
      </c>
      <c r="AF77" s="1393">
        <v>1621</v>
      </c>
      <c r="AG77" s="1394">
        <v>255.34719999999993</v>
      </c>
    </row>
    <row r="78" spans="1:33" s="737" customFormat="1" ht="15" customHeight="1" thickBot="1">
      <c r="A78" s="1378"/>
      <c r="B78" s="1379" t="s">
        <v>217</v>
      </c>
      <c r="C78" s="707"/>
      <c r="D78" s="1380" t="s">
        <v>204</v>
      </c>
      <c r="E78" s="1381">
        <v>0</v>
      </c>
      <c r="F78" s="1382"/>
      <c r="G78" s="1382"/>
      <c r="H78" s="1383">
        <f t="shared" si="44"/>
        <v>0</v>
      </c>
      <c r="I78" s="734"/>
      <c r="J78" s="1384">
        <f t="shared" si="45"/>
        <v>0</v>
      </c>
      <c r="K78" s="1385">
        <f>'BETON Qte'!K78</f>
        <v>100</v>
      </c>
      <c r="L78" s="1382">
        <f t="shared" si="46"/>
        <v>197</v>
      </c>
      <c r="M78" s="1383">
        <f t="shared" si="47"/>
        <v>-197</v>
      </c>
      <c r="N78" s="734"/>
      <c r="O78" s="1386">
        <f t="shared" si="48"/>
        <v>0</v>
      </c>
      <c r="P78" s="1387">
        <f t="shared" si="43"/>
        <v>0</v>
      </c>
      <c r="Q78" s="1388"/>
      <c r="R78" s="1389">
        <f t="shared" si="49"/>
        <v>0</v>
      </c>
      <c r="S78" s="734"/>
      <c r="T78" s="1390">
        <v>0</v>
      </c>
      <c r="U78" s="735"/>
      <c r="V78" s="1384">
        <f t="shared" si="50"/>
        <v>197</v>
      </c>
      <c r="W78" s="1383">
        <f t="shared" si="51"/>
        <v>-197</v>
      </c>
      <c r="X78" s="736"/>
      <c r="AD78" s="1391">
        <v>0</v>
      </c>
      <c r="AE78" s="1392">
        <v>100</v>
      </c>
      <c r="AF78" s="1393">
        <v>197</v>
      </c>
      <c r="AG78" s="1394">
        <v>-197</v>
      </c>
    </row>
    <row r="79" spans="1:33" s="733" customFormat="1" ht="19.5" customHeight="1" thickBot="1">
      <c r="A79" s="1419" t="s">
        <v>583</v>
      </c>
      <c r="B79" s="1420" t="s">
        <v>584</v>
      </c>
      <c r="C79" s="731"/>
      <c r="D79" s="1421" t="s">
        <v>204</v>
      </c>
      <c r="E79" s="1422">
        <f>SUM(E80:E86)</f>
        <v>228225.08499999999</v>
      </c>
      <c r="F79" s="1364">
        <f>SUM(F80:F86)</f>
        <v>0</v>
      </c>
      <c r="G79" s="1364">
        <f>SUM(G80:G86)</f>
        <v>0</v>
      </c>
      <c r="H79" s="1409">
        <f>SUM(H80:H86)</f>
        <v>228225.08499999999</v>
      </c>
      <c r="I79" s="732"/>
      <c r="J79" s="1408">
        <f>SUM(J80:J86)</f>
        <v>12131.136200000001</v>
      </c>
      <c r="K79" s="1423">
        <f>IFERROR(J79/H79,"")</f>
        <v>5.3154263038175671E-2</v>
      </c>
      <c r="L79" s="1364">
        <f>SUM(L80:L86)</f>
        <v>19156</v>
      </c>
      <c r="M79" s="1409">
        <f>SUM(M80:M86)</f>
        <v>-7024.8637999999992</v>
      </c>
      <c r="N79" s="732"/>
      <c r="O79" s="1410">
        <f>SUM(O80:O86)</f>
        <v>0</v>
      </c>
      <c r="P79" s="1411">
        <f>IFERROR(O79/H79,"")</f>
        <v>0</v>
      </c>
      <c r="Q79" s="1412">
        <f>SUM(Q80:Q86)</f>
        <v>0</v>
      </c>
      <c r="R79" s="1413">
        <f>SUM(R80:R86)</f>
        <v>0</v>
      </c>
      <c r="S79" s="732"/>
      <c r="T79" s="1414">
        <f>SUM(T80:T86)</f>
        <v>87178.799999999988</v>
      </c>
      <c r="U79" s="732"/>
      <c r="V79" s="1408">
        <f>SUM(V80:V86)</f>
        <v>106334.79999999999</v>
      </c>
      <c r="W79" s="1409">
        <f>SUM(W80:W86)</f>
        <v>121890.285</v>
      </c>
      <c r="X79" s="729"/>
      <c r="AD79" s="1415">
        <v>12131.136200000001</v>
      </c>
      <c r="AE79" s="1416">
        <v>5.3154263038175671E-2</v>
      </c>
      <c r="AF79" s="1417">
        <v>19156</v>
      </c>
      <c r="AG79" s="1418">
        <v>-7024.8637999999992</v>
      </c>
    </row>
    <row r="80" spans="1:33" s="737" customFormat="1" ht="15" customHeight="1">
      <c r="A80" s="1378"/>
      <c r="B80" s="1379" t="s">
        <v>220</v>
      </c>
      <c r="C80" s="707"/>
      <c r="D80" s="1380" t="s">
        <v>204</v>
      </c>
      <c r="E80" s="1381">
        <v>2976.3850000000002</v>
      </c>
      <c r="F80" s="1382"/>
      <c r="G80" s="1382"/>
      <c r="H80" s="1383">
        <f t="shared" ref="H80:H86" si="52">SUM(E80:G80)</f>
        <v>2976.3850000000002</v>
      </c>
      <c r="I80" s="734"/>
      <c r="J80" s="1384">
        <f t="shared" ref="J80:J86" si="53">H80*K80/100</f>
        <v>357.1662</v>
      </c>
      <c r="K80" s="1385">
        <f>'BETON Qte'!K80</f>
        <v>12</v>
      </c>
      <c r="L80" s="1382">
        <f t="shared" ref="L80:L86" si="54">Q80+AF80</f>
        <v>1676</v>
      </c>
      <c r="M80" s="1383">
        <f t="shared" ref="M80:M86" si="55">J80-L80</f>
        <v>-1318.8337999999999</v>
      </c>
      <c r="N80" s="734"/>
      <c r="O80" s="1386">
        <f t="shared" ref="O80:O86" si="56">J80-AD80</f>
        <v>0</v>
      </c>
      <c r="P80" s="1387">
        <f t="shared" ref="P80:P86" si="57">IFERROR(O80/H80,0)</f>
        <v>0</v>
      </c>
      <c r="Q80" s="1388"/>
      <c r="R80" s="1389">
        <f t="shared" ref="R80:R86" si="58">O80-Q80</f>
        <v>0</v>
      </c>
      <c r="S80" s="734"/>
      <c r="T80" s="1390">
        <v>0</v>
      </c>
      <c r="U80" s="735"/>
      <c r="V80" s="1384">
        <f t="shared" ref="V80:V86" si="59">L80+T80</f>
        <v>1676</v>
      </c>
      <c r="W80" s="1383">
        <f t="shared" ref="W80:W86" si="60">H80-V80</f>
        <v>1300.3850000000002</v>
      </c>
      <c r="X80" s="736"/>
      <c r="AD80" s="1391">
        <v>357.1662</v>
      </c>
      <c r="AE80" s="1392">
        <v>12</v>
      </c>
      <c r="AF80" s="1393">
        <v>1676</v>
      </c>
      <c r="AG80" s="1394">
        <v>-1318.8337999999999</v>
      </c>
    </row>
    <row r="81" spans="1:33" s="737" customFormat="1" ht="15" customHeight="1">
      <c r="A81" s="1378"/>
      <c r="B81" s="1379" t="s">
        <v>221</v>
      </c>
      <c r="C81" s="707"/>
      <c r="D81" s="1380" t="s">
        <v>204</v>
      </c>
      <c r="E81" s="1381">
        <v>27285.7</v>
      </c>
      <c r="F81" s="1382"/>
      <c r="G81" s="1382"/>
      <c r="H81" s="1383">
        <f t="shared" si="52"/>
        <v>27285.7</v>
      </c>
      <c r="I81" s="734"/>
      <c r="J81" s="1384">
        <f t="shared" si="53"/>
        <v>4911.4260000000004</v>
      </c>
      <c r="K81" s="1385">
        <f>'BETON Qte'!K81</f>
        <v>18</v>
      </c>
      <c r="L81" s="1382">
        <f t="shared" si="54"/>
        <v>6808</v>
      </c>
      <c r="M81" s="1383">
        <f t="shared" si="55"/>
        <v>-1896.5739999999996</v>
      </c>
      <c r="N81" s="734"/>
      <c r="O81" s="1386">
        <f t="shared" si="56"/>
        <v>0</v>
      </c>
      <c r="P81" s="1387">
        <f t="shared" si="57"/>
        <v>0</v>
      </c>
      <c r="Q81" s="1388"/>
      <c r="R81" s="1389">
        <f t="shared" si="58"/>
        <v>0</v>
      </c>
      <c r="S81" s="734"/>
      <c r="T81" s="1390">
        <v>0</v>
      </c>
      <c r="U81" s="735"/>
      <c r="V81" s="1384">
        <f t="shared" si="59"/>
        <v>6808</v>
      </c>
      <c r="W81" s="1383">
        <f t="shared" si="60"/>
        <v>20477.7</v>
      </c>
      <c r="X81" s="736"/>
      <c r="AD81" s="1391">
        <v>4911.4260000000004</v>
      </c>
      <c r="AE81" s="1392">
        <v>18</v>
      </c>
      <c r="AF81" s="1393">
        <v>6808</v>
      </c>
      <c r="AG81" s="1394">
        <v>-1896.5739999999996</v>
      </c>
    </row>
    <row r="82" spans="1:33" s="737" customFormat="1" ht="15" customHeight="1">
      <c r="A82" s="1378"/>
      <c r="B82" s="1379" t="s">
        <v>222</v>
      </c>
      <c r="C82" s="707"/>
      <c r="D82" s="1380" t="s">
        <v>204</v>
      </c>
      <c r="E82" s="1381">
        <v>14206.400000000001</v>
      </c>
      <c r="F82" s="1382"/>
      <c r="G82" s="1382"/>
      <c r="H82" s="1383">
        <f t="shared" si="52"/>
        <v>14206.400000000001</v>
      </c>
      <c r="I82" s="734"/>
      <c r="J82" s="1384">
        <f t="shared" si="53"/>
        <v>0</v>
      </c>
      <c r="K82" s="1385">
        <f>'BETON Qte'!K82</f>
        <v>0</v>
      </c>
      <c r="L82" s="1382">
        <f t="shared" si="54"/>
        <v>0</v>
      </c>
      <c r="M82" s="1383">
        <f t="shared" si="55"/>
        <v>0</v>
      </c>
      <c r="N82" s="734"/>
      <c r="O82" s="1386">
        <f t="shared" si="56"/>
        <v>0</v>
      </c>
      <c r="P82" s="1387">
        <f t="shared" si="57"/>
        <v>0</v>
      </c>
      <c r="Q82" s="1388"/>
      <c r="R82" s="1389">
        <f t="shared" si="58"/>
        <v>0</v>
      </c>
      <c r="S82" s="734"/>
      <c r="T82" s="1390">
        <v>14206.400000000001</v>
      </c>
      <c r="U82" s="735"/>
      <c r="V82" s="1384">
        <f t="shared" si="59"/>
        <v>14206.400000000001</v>
      </c>
      <c r="W82" s="1383">
        <f t="shared" si="60"/>
        <v>0</v>
      </c>
      <c r="X82" s="736"/>
      <c r="AD82" s="1391">
        <v>0</v>
      </c>
      <c r="AE82" s="1392">
        <v>0</v>
      </c>
      <c r="AF82" s="1393">
        <v>0</v>
      </c>
      <c r="AG82" s="1394">
        <v>0</v>
      </c>
    </row>
    <row r="83" spans="1:33" s="737" customFormat="1" ht="15" customHeight="1">
      <c r="A83" s="1378"/>
      <c r="B83" s="1379" t="s">
        <v>223</v>
      </c>
      <c r="C83" s="707"/>
      <c r="D83" s="1380" t="s">
        <v>204</v>
      </c>
      <c r="E83" s="1381">
        <v>73278.399999999994</v>
      </c>
      <c r="F83" s="1382"/>
      <c r="G83" s="1382"/>
      <c r="H83" s="1383">
        <f t="shared" si="52"/>
        <v>73278.399999999994</v>
      </c>
      <c r="I83" s="734"/>
      <c r="J83" s="1384">
        <f t="shared" si="53"/>
        <v>0</v>
      </c>
      <c r="K83" s="1385">
        <f>'BETON Qte'!K83</f>
        <v>0</v>
      </c>
      <c r="L83" s="1382">
        <f t="shared" si="54"/>
        <v>406</v>
      </c>
      <c r="M83" s="1383">
        <f t="shared" si="55"/>
        <v>-406</v>
      </c>
      <c r="N83" s="734"/>
      <c r="O83" s="1386">
        <f t="shared" si="56"/>
        <v>0</v>
      </c>
      <c r="P83" s="1387">
        <f t="shared" si="57"/>
        <v>0</v>
      </c>
      <c r="Q83" s="1388"/>
      <c r="R83" s="1389">
        <f t="shared" si="58"/>
        <v>0</v>
      </c>
      <c r="S83" s="734"/>
      <c r="T83" s="1390">
        <v>72972.399999999994</v>
      </c>
      <c r="U83" s="735"/>
      <c r="V83" s="1384">
        <f t="shared" si="59"/>
        <v>73378.399999999994</v>
      </c>
      <c r="W83" s="1383">
        <f t="shared" si="60"/>
        <v>-100</v>
      </c>
      <c r="X83" s="736"/>
      <c r="AD83" s="1391">
        <v>0</v>
      </c>
      <c r="AE83" s="1392">
        <v>0</v>
      </c>
      <c r="AF83" s="1393">
        <v>406</v>
      </c>
      <c r="AG83" s="1394">
        <v>-406</v>
      </c>
    </row>
    <row r="84" spans="1:33" s="737" customFormat="1" ht="15" customHeight="1">
      <c r="A84" s="1378"/>
      <c r="B84" s="1379" t="s">
        <v>224</v>
      </c>
      <c r="C84" s="707"/>
      <c r="D84" s="1380" t="s">
        <v>204</v>
      </c>
      <c r="E84" s="1381">
        <v>85781.8</v>
      </c>
      <c r="F84" s="1382"/>
      <c r="G84" s="1382"/>
      <c r="H84" s="1383">
        <f t="shared" si="52"/>
        <v>85781.8</v>
      </c>
      <c r="I84" s="734"/>
      <c r="J84" s="1384">
        <f t="shared" si="53"/>
        <v>6862.5439999999999</v>
      </c>
      <c r="K84" s="1385">
        <f>'BETON Qte'!K84</f>
        <v>8</v>
      </c>
      <c r="L84" s="1382">
        <f t="shared" si="54"/>
        <v>10266</v>
      </c>
      <c r="M84" s="1383">
        <f t="shared" si="55"/>
        <v>-3403.4560000000001</v>
      </c>
      <c r="N84" s="734"/>
      <c r="O84" s="1386">
        <f t="shared" si="56"/>
        <v>0</v>
      </c>
      <c r="P84" s="1387">
        <f t="shared" si="57"/>
        <v>0</v>
      </c>
      <c r="Q84" s="1388"/>
      <c r="R84" s="1389">
        <f t="shared" si="58"/>
        <v>0</v>
      </c>
      <c r="S84" s="734"/>
      <c r="T84" s="1390">
        <v>0</v>
      </c>
      <c r="U84" s="735"/>
      <c r="V84" s="1384">
        <f t="shared" si="59"/>
        <v>10266</v>
      </c>
      <c r="W84" s="1383">
        <f t="shared" si="60"/>
        <v>75515.8</v>
      </c>
      <c r="X84" s="736"/>
      <c r="AD84" s="1391">
        <v>6862.5439999999999</v>
      </c>
      <c r="AE84" s="1392">
        <v>8</v>
      </c>
      <c r="AF84" s="1393">
        <v>10266</v>
      </c>
      <c r="AG84" s="1394">
        <v>-3403.4560000000001</v>
      </c>
    </row>
    <row r="85" spans="1:33" s="737" customFormat="1" ht="15" customHeight="1">
      <c r="A85" s="1378"/>
      <c r="B85" s="1458" t="s">
        <v>585</v>
      </c>
      <c r="C85" s="707"/>
      <c r="D85" s="1380" t="s">
        <v>204</v>
      </c>
      <c r="E85" s="1381">
        <v>24428.560000000001</v>
      </c>
      <c r="F85" s="1382"/>
      <c r="G85" s="1382"/>
      <c r="H85" s="1383">
        <f t="shared" si="52"/>
        <v>24428.560000000001</v>
      </c>
      <c r="I85" s="734"/>
      <c r="J85" s="1384">
        <f t="shared" si="53"/>
        <v>0</v>
      </c>
      <c r="K85" s="1385">
        <f>'BETON Qte'!K85</f>
        <v>0</v>
      </c>
      <c r="L85" s="1382">
        <f t="shared" si="54"/>
        <v>0</v>
      </c>
      <c r="M85" s="1383">
        <f t="shared" si="55"/>
        <v>0</v>
      </c>
      <c r="N85" s="734"/>
      <c r="O85" s="1386">
        <f t="shared" si="56"/>
        <v>0</v>
      </c>
      <c r="P85" s="1387">
        <f t="shared" si="57"/>
        <v>0</v>
      </c>
      <c r="Q85" s="1388"/>
      <c r="R85" s="1389">
        <f t="shared" si="58"/>
        <v>0</v>
      </c>
      <c r="S85" s="734"/>
      <c r="T85" s="1390">
        <v>0</v>
      </c>
      <c r="U85" s="735"/>
      <c r="V85" s="1384">
        <f t="shared" si="59"/>
        <v>0</v>
      </c>
      <c r="W85" s="1383">
        <f t="shared" si="60"/>
        <v>24428.560000000001</v>
      </c>
      <c r="X85" s="736"/>
      <c r="AD85" s="1391">
        <v>0</v>
      </c>
      <c r="AE85" s="1392">
        <v>0</v>
      </c>
      <c r="AF85" s="1393">
        <v>0</v>
      </c>
      <c r="AG85" s="1394">
        <v>0</v>
      </c>
    </row>
    <row r="86" spans="1:33" s="737" customFormat="1" ht="15" customHeight="1" thickBot="1">
      <c r="A86" s="1378"/>
      <c r="B86" s="1458" t="s">
        <v>229</v>
      </c>
      <c r="C86" s="707"/>
      <c r="D86" s="1380" t="s">
        <v>204</v>
      </c>
      <c r="E86" s="1381">
        <v>267.83999999999997</v>
      </c>
      <c r="F86" s="1382"/>
      <c r="G86" s="1382"/>
      <c r="H86" s="1383">
        <f t="shared" si="52"/>
        <v>267.83999999999997</v>
      </c>
      <c r="I86" s="734"/>
      <c r="J86" s="1384">
        <f t="shared" si="53"/>
        <v>0</v>
      </c>
      <c r="K86" s="1385">
        <f>'BETON Qte'!K86</f>
        <v>0</v>
      </c>
      <c r="L86" s="1382">
        <f t="shared" si="54"/>
        <v>0</v>
      </c>
      <c r="M86" s="1383">
        <f t="shared" si="55"/>
        <v>0</v>
      </c>
      <c r="N86" s="734"/>
      <c r="O86" s="1386">
        <f t="shared" si="56"/>
        <v>0</v>
      </c>
      <c r="P86" s="1387">
        <f t="shared" si="57"/>
        <v>0</v>
      </c>
      <c r="Q86" s="1388"/>
      <c r="R86" s="1389">
        <f t="shared" si="58"/>
        <v>0</v>
      </c>
      <c r="S86" s="734"/>
      <c r="T86" s="1390">
        <v>0</v>
      </c>
      <c r="U86" s="735"/>
      <c r="V86" s="1384">
        <f t="shared" si="59"/>
        <v>0</v>
      </c>
      <c r="W86" s="1383">
        <f t="shared" si="60"/>
        <v>267.83999999999997</v>
      </c>
      <c r="X86" s="736"/>
      <c r="AD86" s="1391">
        <v>0</v>
      </c>
      <c r="AE86" s="1392">
        <v>0</v>
      </c>
      <c r="AF86" s="1393">
        <v>0</v>
      </c>
      <c r="AG86" s="1394">
        <v>0</v>
      </c>
    </row>
    <row r="87" spans="1:33" s="733" customFormat="1" ht="19.5" customHeight="1" thickBot="1">
      <c r="A87" s="1419" t="s">
        <v>586</v>
      </c>
      <c r="B87" s="1420" t="s">
        <v>587</v>
      </c>
      <c r="C87" s="731"/>
      <c r="D87" s="1421" t="s">
        <v>204</v>
      </c>
      <c r="E87" s="1422">
        <f>SUM(E88:E89)</f>
        <v>9863.8799999999992</v>
      </c>
      <c r="F87" s="1364">
        <f>SUM(F88:F89)</f>
        <v>0</v>
      </c>
      <c r="G87" s="1364">
        <f>SUM(G88:G89)</f>
        <v>0</v>
      </c>
      <c r="H87" s="1409">
        <f>SUM(H88:H89)</f>
        <v>9863.8799999999992</v>
      </c>
      <c r="I87" s="732"/>
      <c r="J87" s="1408">
        <f>SUM(J88:J89)</f>
        <v>0</v>
      </c>
      <c r="K87" s="1423">
        <f>IFERROR(J87/H87,"")</f>
        <v>0</v>
      </c>
      <c r="L87" s="1364">
        <f>SUM(L88:L89)</f>
        <v>0</v>
      </c>
      <c r="M87" s="1409">
        <f>SUM(M88:M89)</f>
        <v>0</v>
      </c>
      <c r="N87" s="732"/>
      <c r="O87" s="1410">
        <f>SUM(O88:O89)</f>
        <v>0</v>
      </c>
      <c r="P87" s="1411">
        <f>IFERROR(O87/H87,"")</f>
        <v>0</v>
      </c>
      <c r="Q87" s="1412">
        <f>SUM(Q88:Q89)</f>
        <v>0</v>
      </c>
      <c r="R87" s="1413">
        <f>SUM(R88:R89)</f>
        <v>0</v>
      </c>
      <c r="S87" s="732"/>
      <c r="T87" s="1414">
        <f>SUM(T88:T89)</f>
        <v>9863.8799999999992</v>
      </c>
      <c r="U87" s="732"/>
      <c r="V87" s="1408">
        <f>SUM(V88:V89)</f>
        <v>9863.8799999999992</v>
      </c>
      <c r="W87" s="1409">
        <f>SUM(W88:W89)</f>
        <v>0</v>
      </c>
      <c r="X87" s="729"/>
      <c r="AD87" s="1415">
        <v>0</v>
      </c>
      <c r="AE87" s="1416">
        <v>0</v>
      </c>
      <c r="AF87" s="1417">
        <v>0</v>
      </c>
      <c r="AG87" s="1418">
        <v>0</v>
      </c>
    </row>
    <row r="88" spans="1:33" s="737" customFormat="1" ht="15" customHeight="1">
      <c r="A88" s="1378"/>
      <c r="B88" s="1379" t="s">
        <v>232</v>
      </c>
      <c r="C88" s="707"/>
      <c r="D88" s="1380" t="s">
        <v>204</v>
      </c>
      <c r="E88" s="1381">
        <v>7738.3799999999992</v>
      </c>
      <c r="F88" s="1382"/>
      <c r="G88" s="1382"/>
      <c r="H88" s="1383">
        <f t="shared" ref="H88:H89" si="61">SUM(E88:G88)</f>
        <v>7738.3799999999992</v>
      </c>
      <c r="I88" s="734"/>
      <c r="J88" s="1384">
        <f t="shared" ref="J88:J89" si="62">H88*K88/100</f>
        <v>0</v>
      </c>
      <c r="K88" s="1385">
        <f>'BETON Qte'!K88</f>
        <v>0</v>
      </c>
      <c r="L88" s="1382">
        <f t="shared" ref="L88:L89" si="63">Q88+AF88</f>
        <v>0</v>
      </c>
      <c r="M88" s="1383">
        <f t="shared" ref="M88:M89" si="64">J88-L88</f>
        <v>0</v>
      </c>
      <c r="N88" s="734"/>
      <c r="O88" s="1386">
        <f t="shared" ref="O88:O89" si="65">J88-AD88</f>
        <v>0</v>
      </c>
      <c r="P88" s="1387">
        <f t="shared" ref="P88:P89" si="66">IFERROR(O88/H88,0)</f>
        <v>0</v>
      </c>
      <c r="Q88" s="1388"/>
      <c r="R88" s="1389">
        <f t="shared" ref="R88:R89" si="67">O88-Q88</f>
        <v>0</v>
      </c>
      <c r="S88" s="734"/>
      <c r="T88" s="1390">
        <v>7738.3799999999992</v>
      </c>
      <c r="U88" s="735"/>
      <c r="V88" s="1384">
        <f t="shared" ref="V88:V89" si="68">L88+T88</f>
        <v>7738.3799999999992</v>
      </c>
      <c r="W88" s="1383">
        <f t="shared" ref="W88:W89" si="69">H88-V88</f>
        <v>0</v>
      </c>
      <c r="X88" s="736"/>
      <c r="AD88" s="1391">
        <v>0</v>
      </c>
      <c r="AE88" s="1392">
        <v>0</v>
      </c>
      <c r="AF88" s="1393">
        <v>0</v>
      </c>
      <c r="AG88" s="1394">
        <v>0</v>
      </c>
    </row>
    <row r="89" spans="1:33" s="737" customFormat="1" ht="15" customHeight="1" thickBot="1">
      <c r="A89" s="1378"/>
      <c r="B89" s="1379" t="s">
        <v>233</v>
      </c>
      <c r="C89" s="707"/>
      <c r="D89" s="1380" t="s">
        <v>204</v>
      </c>
      <c r="E89" s="1381">
        <v>2125.5</v>
      </c>
      <c r="F89" s="1382"/>
      <c r="G89" s="1382"/>
      <c r="H89" s="1383">
        <f t="shared" si="61"/>
        <v>2125.5</v>
      </c>
      <c r="I89" s="734"/>
      <c r="J89" s="1384">
        <f t="shared" si="62"/>
        <v>0</v>
      </c>
      <c r="K89" s="1385">
        <f>'BETON Qte'!K89</f>
        <v>0</v>
      </c>
      <c r="L89" s="1382">
        <f t="shared" si="63"/>
        <v>0</v>
      </c>
      <c r="M89" s="1383">
        <f t="shared" si="64"/>
        <v>0</v>
      </c>
      <c r="N89" s="734"/>
      <c r="O89" s="1386">
        <f t="shared" si="65"/>
        <v>0</v>
      </c>
      <c r="P89" s="1387">
        <f t="shared" si="66"/>
        <v>0</v>
      </c>
      <c r="Q89" s="1388"/>
      <c r="R89" s="1389">
        <f t="shared" si="67"/>
        <v>0</v>
      </c>
      <c r="S89" s="734"/>
      <c r="T89" s="1390">
        <v>2125.5</v>
      </c>
      <c r="U89" s="735"/>
      <c r="V89" s="1384">
        <f t="shared" si="68"/>
        <v>2125.5</v>
      </c>
      <c r="W89" s="1383">
        <f t="shared" si="69"/>
        <v>0</v>
      </c>
      <c r="X89" s="736"/>
      <c r="AD89" s="1391">
        <v>0</v>
      </c>
      <c r="AE89" s="1392">
        <v>0</v>
      </c>
      <c r="AF89" s="1393">
        <v>0</v>
      </c>
      <c r="AG89" s="1394">
        <v>0</v>
      </c>
    </row>
    <row r="90" spans="1:33" s="733" customFormat="1" ht="19.5" customHeight="1" thickBot="1">
      <c r="A90" s="1419" t="s">
        <v>588</v>
      </c>
      <c r="B90" s="1420" t="s">
        <v>589</v>
      </c>
      <c r="C90" s="731"/>
      <c r="D90" s="1421" t="s">
        <v>204</v>
      </c>
      <c r="E90" s="1422">
        <f>SUM(E91:E92)</f>
        <v>5810.0249999999996</v>
      </c>
      <c r="F90" s="1364">
        <f>SUM(F91:F92)</f>
        <v>0</v>
      </c>
      <c r="G90" s="1364">
        <f>SUM(G91:G92)</f>
        <v>0</v>
      </c>
      <c r="H90" s="1409">
        <f>SUM(H91:H92)</f>
        <v>5810.0249999999996</v>
      </c>
      <c r="I90" s="732"/>
      <c r="J90" s="1408">
        <f>SUM(J91:J92)</f>
        <v>0</v>
      </c>
      <c r="K90" s="1423">
        <f>IFERROR(J90/H90,"")</f>
        <v>0</v>
      </c>
      <c r="L90" s="1364">
        <f>SUM(L91:L92)</f>
        <v>171</v>
      </c>
      <c r="M90" s="1409">
        <f>SUM(M91:M92)</f>
        <v>-171</v>
      </c>
      <c r="N90" s="732"/>
      <c r="O90" s="1410">
        <f>SUM(O91:O92)</f>
        <v>0</v>
      </c>
      <c r="P90" s="1411">
        <f>IFERROR(O90/H90,"")</f>
        <v>0</v>
      </c>
      <c r="Q90" s="1412">
        <f>SUM(Q91:Q92)</f>
        <v>0</v>
      </c>
      <c r="R90" s="1413">
        <f>SUM(R91:R92)</f>
        <v>0</v>
      </c>
      <c r="S90" s="732"/>
      <c r="T90" s="1414">
        <f>SUM(T91:T92)</f>
        <v>5675.0249999999996</v>
      </c>
      <c r="U90" s="732"/>
      <c r="V90" s="1408">
        <f>SUM(V91:V92)</f>
        <v>5846.0249999999996</v>
      </c>
      <c r="W90" s="1409">
        <f>SUM(W91:W92)</f>
        <v>-36</v>
      </c>
      <c r="X90" s="729"/>
      <c r="AD90" s="1415">
        <v>0</v>
      </c>
      <c r="AE90" s="1416">
        <v>0</v>
      </c>
      <c r="AF90" s="1417">
        <v>171</v>
      </c>
      <c r="AG90" s="1418">
        <v>-171</v>
      </c>
    </row>
    <row r="91" spans="1:33" s="737" customFormat="1" ht="15" customHeight="1">
      <c r="A91" s="1378"/>
      <c r="B91" s="1379" t="s">
        <v>236</v>
      </c>
      <c r="C91" s="707"/>
      <c r="D91" s="1380" t="s">
        <v>204</v>
      </c>
      <c r="E91" s="1381">
        <v>2848.625</v>
      </c>
      <c r="F91" s="1382"/>
      <c r="G91" s="1382"/>
      <c r="H91" s="1383">
        <f>SUM(E91:G91)</f>
        <v>2848.625</v>
      </c>
      <c r="I91" s="734"/>
      <c r="J91" s="1384">
        <f>H91*K91/100</f>
        <v>0</v>
      </c>
      <c r="K91" s="1385">
        <f>'BETON Qte'!K91</f>
        <v>0</v>
      </c>
      <c r="L91" s="1382">
        <f>Q91+AF91</f>
        <v>171</v>
      </c>
      <c r="M91" s="1383">
        <f>J91-L91</f>
        <v>-171</v>
      </c>
      <c r="N91" s="734"/>
      <c r="O91" s="1386">
        <f>J91-AD91</f>
        <v>0</v>
      </c>
      <c r="P91" s="1387">
        <f t="shared" ref="P91:P92" si="70">IFERROR(O91/H91,0)</f>
        <v>0</v>
      </c>
      <c r="Q91" s="1388"/>
      <c r="R91" s="1389">
        <f>O91-Q91</f>
        <v>0</v>
      </c>
      <c r="S91" s="734"/>
      <c r="T91" s="1390">
        <v>2713.625</v>
      </c>
      <c r="U91" s="735"/>
      <c r="V91" s="1384">
        <f t="shared" ref="V91:V92" si="71">L91+T91</f>
        <v>2884.625</v>
      </c>
      <c r="W91" s="1383">
        <f t="shared" ref="W91:W92" si="72">H91-V91</f>
        <v>-36</v>
      </c>
      <c r="X91" s="736"/>
      <c r="AD91" s="1391">
        <v>0</v>
      </c>
      <c r="AE91" s="1392">
        <v>0</v>
      </c>
      <c r="AF91" s="1393">
        <v>171</v>
      </c>
      <c r="AG91" s="1394">
        <v>-171</v>
      </c>
    </row>
    <row r="92" spans="1:33" s="737" customFormat="1" ht="15" customHeight="1" thickBot="1">
      <c r="A92" s="1378"/>
      <c r="B92" s="1379" t="s">
        <v>237</v>
      </c>
      <c r="C92" s="707"/>
      <c r="D92" s="1380" t="s">
        <v>204</v>
      </c>
      <c r="E92" s="1381">
        <v>2961.4</v>
      </c>
      <c r="F92" s="1382"/>
      <c r="G92" s="1382"/>
      <c r="H92" s="1383">
        <f>SUM(E92:G92)</f>
        <v>2961.4</v>
      </c>
      <c r="I92" s="734"/>
      <c r="J92" s="1384">
        <f>H92*K92/100</f>
        <v>0</v>
      </c>
      <c r="K92" s="1385">
        <f>'BETON Qte'!K92</f>
        <v>0</v>
      </c>
      <c r="L92" s="1382">
        <f>Q92+AF92</f>
        <v>0</v>
      </c>
      <c r="M92" s="1383">
        <f>J92-L92</f>
        <v>0</v>
      </c>
      <c r="N92" s="734"/>
      <c r="O92" s="1386">
        <f>J92-AD92</f>
        <v>0</v>
      </c>
      <c r="P92" s="1387">
        <f t="shared" si="70"/>
        <v>0</v>
      </c>
      <c r="Q92" s="1388"/>
      <c r="R92" s="1389">
        <f>O92-Q92</f>
        <v>0</v>
      </c>
      <c r="S92" s="734"/>
      <c r="T92" s="1390">
        <v>2961.4</v>
      </c>
      <c r="U92" s="735"/>
      <c r="V92" s="1396">
        <f t="shared" si="71"/>
        <v>2961.4</v>
      </c>
      <c r="W92" s="1399">
        <f t="shared" si="72"/>
        <v>0</v>
      </c>
      <c r="X92" s="736"/>
      <c r="AD92" s="1391">
        <v>0</v>
      </c>
      <c r="AE92" s="1392">
        <v>0</v>
      </c>
      <c r="AF92" s="1393">
        <v>0</v>
      </c>
      <c r="AG92" s="1394">
        <v>0</v>
      </c>
    </row>
    <row r="93" spans="1:33" s="733" customFormat="1" ht="19.5" customHeight="1" thickBot="1">
      <c r="A93" s="1419" t="s">
        <v>590</v>
      </c>
      <c r="B93" s="1420" t="s">
        <v>591</v>
      </c>
      <c r="C93" s="731"/>
      <c r="D93" s="1421" t="s">
        <v>204</v>
      </c>
      <c r="E93" s="1422">
        <f>SUM(E94:E108)</f>
        <v>38421.110000000008</v>
      </c>
      <c r="F93" s="1364">
        <f>SUM(F94:F108)</f>
        <v>0</v>
      </c>
      <c r="G93" s="1364">
        <f>SUM(G94:G108)</f>
        <v>0</v>
      </c>
      <c r="H93" s="1409">
        <f>SUM(H94:H108)</f>
        <v>38421.110000000008</v>
      </c>
      <c r="I93" s="732"/>
      <c r="J93" s="1408">
        <f>SUM(J94:J108)</f>
        <v>0</v>
      </c>
      <c r="K93" s="1423">
        <f>IFERROR(J93/H93,"")</f>
        <v>0</v>
      </c>
      <c r="L93" s="1364">
        <f>SUM(L94:L108)</f>
        <v>0</v>
      </c>
      <c r="M93" s="1409">
        <f>SUM(M94:M108)</f>
        <v>0</v>
      </c>
      <c r="N93" s="732"/>
      <c r="O93" s="1410">
        <f>SUM(O94:O108)</f>
        <v>0</v>
      </c>
      <c r="P93" s="1411">
        <f>IFERROR(O93/H93,"")</f>
        <v>0</v>
      </c>
      <c r="Q93" s="1412">
        <f>SUM(Q94:Q108)</f>
        <v>0</v>
      </c>
      <c r="R93" s="1413">
        <f>SUM(R94:R108)</f>
        <v>0</v>
      </c>
      <c r="S93" s="732"/>
      <c r="T93" s="1414">
        <f>SUM(T94:T108)</f>
        <v>38421.110000000008</v>
      </c>
      <c r="U93" s="732"/>
      <c r="V93" s="1408">
        <f>SUM(V94:V108)</f>
        <v>38421.110000000008</v>
      </c>
      <c r="W93" s="1409">
        <f>SUM(W94:W108)</f>
        <v>0</v>
      </c>
      <c r="X93" s="729"/>
      <c r="AD93" s="1415">
        <v>0</v>
      </c>
      <c r="AE93" s="1416">
        <v>0</v>
      </c>
      <c r="AF93" s="1417">
        <v>0</v>
      </c>
      <c r="AG93" s="1418">
        <v>0</v>
      </c>
    </row>
    <row r="94" spans="1:33" s="737" customFormat="1" ht="15" customHeight="1">
      <c r="A94" s="1378"/>
      <c r="B94" s="1379" t="s">
        <v>240</v>
      </c>
      <c r="C94" s="707"/>
      <c r="D94" s="1380" t="s">
        <v>204</v>
      </c>
      <c r="E94" s="1381">
        <v>2216.5</v>
      </c>
      <c r="F94" s="1382"/>
      <c r="G94" s="1382"/>
      <c r="H94" s="1383">
        <f t="shared" ref="H94:H108" si="73">SUM(E94:G94)</f>
        <v>2216.5</v>
      </c>
      <c r="I94" s="734"/>
      <c r="J94" s="1384">
        <f t="shared" ref="J94:J108" si="74">H94*K94/100</f>
        <v>0</v>
      </c>
      <c r="K94" s="1385">
        <f>'BETON Qte'!K94</f>
        <v>0</v>
      </c>
      <c r="L94" s="1382">
        <f t="shared" ref="L94:L108" si="75">Q94+AF94</f>
        <v>0</v>
      </c>
      <c r="M94" s="1383">
        <f t="shared" ref="M94:M108" si="76">J94-L94</f>
        <v>0</v>
      </c>
      <c r="N94" s="734"/>
      <c r="O94" s="1386">
        <f t="shared" ref="O94:O108" si="77">J94-AD94</f>
        <v>0</v>
      </c>
      <c r="P94" s="1387">
        <f t="shared" ref="P94:P108" si="78">IFERROR(O94/H94,0)</f>
        <v>0</v>
      </c>
      <c r="Q94" s="1388"/>
      <c r="R94" s="1389">
        <f t="shared" ref="R94:R108" si="79">O94-Q94</f>
        <v>0</v>
      </c>
      <c r="S94" s="734"/>
      <c r="T94" s="1390">
        <v>2216.5</v>
      </c>
      <c r="U94" s="735"/>
      <c r="V94" s="1384">
        <f t="shared" ref="V94:V108" si="80">L94+T94</f>
        <v>2216.5</v>
      </c>
      <c r="W94" s="1383">
        <f t="shared" ref="W94:W108" si="81">H94-V94</f>
        <v>0</v>
      </c>
      <c r="X94" s="736"/>
      <c r="AD94" s="1391">
        <v>0</v>
      </c>
      <c r="AE94" s="1392">
        <v>0</v>
      </c>
      <c r="AF94" s="1393">
        <v>0</v>
      </c>
      <c r="AG94" s="1394">
        <v>0</v>
      </c>
    </row>
    <row r="95" spans="1:33" s="737" customFormat="1" ht="15" customHeight="1">
      <c r="A95" s="1378"/>
      <c r="B95" s="1379" t="s">
        <v>241</v>
      </c>
      <c r="C95" s="707"/>
      <c r="D95" s="1380" t="s">
        <v>204</v>
      </c>
      <c r="E95" s="1381">
        <v>1569.1000000000001</v>
      </c>
      <c r="F95" s="1382"/>
      <c r="G95" s="1382"/>
      <c r="H95" s="1383">
        <f t="shared" si="73"/>
        <v>1569.1000000000001</v>
      </c>
      <c r="I95" s="734"/>
      <c r="J95" s="1384">
        <f t="shared" si="74"/>
        <v>0</v>
      </c>
      <c r="K95" s="1385">
        <f>'BETON Qte'!K95</f>
        <v>0</v>
      </c>
      <c r="L95" s="1382">
        <f t="shared" si="75"/>
        <v>0</v>
      </c>
      <c r="M95" s="1383">
        <f t="shared" si="76"/>
        <v>0</v>
      </c>
      <c r="N95" s="734"/>
      <c r="O95" s="1386">
        <f t="shared" si="77"/>
        <v>0</v>
      </c>
      <c r="P95" s="1387">
        <f t="shared" si="78"/>
        <v>0</v>
      </c>
      <c r="Q95" s="1388"/>
      <c r="R95" s="1389">
        <f t="shared" si="79"/>
        <v>0</v>
      </c>
      <c r="S95" s="734"/>
      <c r="T95" s="1390">
        <v>1569.1000000000001</v>
      </c>
      <c r="U95" s="735"/>
      <c r="V95" s="1384">
        <f t="shared" si="80"/>
        <v>1569.1000000000001</v>
      </c>
      <c r="W95" s="1383">
        <f t="shared" si="81"/>
        <v>0</v>
      </c>
      <c r="X95" s="736"/>
      <c r="AD95" s="1391">
        <v>0</v>
      </c>
      <c r="AE95" s="1392">
        <v>0</v>
      </c>
      <c r="AF95" s="1393">
        <v>0</v>
      </c>
      <c r="AG95" s="1394">
        <v>0</v>
      </c>
    </row>
    <row r="96" spans="1:33" s="737" customFormat="1" ht="15" customHeight="1">
      <c r="A96" s="1378"/>
      <c r="B96" s="1379" t="s">
        <v>242</v>
      </c>
      <c r="C96" s="707"/>
      <c r="D96" s="1380" t="s">
        <v>204</v>
      </c>
      <c r="E96" s="1381">
        <v>9295</v>
      </c>
      <c r="F96" s="1382"/>
      <c r="G96" s="1382"/>
      <c r="H96" s="1383">
        <f t="shared" si="73"/>
        <v>9295</v>
      </c>
      <c r="I96" s="734"/>
      <c r="J96" s="1384">
        <f t="shared" si="74"/>
        <v>0</v>
      </c>
      <c r="K96" s="1385">
        <f>'BETON Qte'!K96</f>
        <v>0</v>
      </c>
      <c r="L96" s="1382">
        <f t="shared" si="75"/>
        <v>0</v>
      </c>
      <c r="M96" s="1383">
        <f t="shared" si="76"/>
        <v>0</v>
      </c>
      <c r="N96" s="734"/>
      <c r="O96" s="1386">
        <f t="shared" si="77"/>
        <v>0</v>
      </c>
      <c r="P96" s="1387">
        <f t="shared" si="78"/>
        <v>0</v>
      </c>
      <c r="Q96" s="1388"/>
      <c r="R96" s="1389">
        <f t="shared" si="79"/>
        <v>0</v>
      </c>
      <c r="S96" s="734"/>
      <c r="T96" s="1390">
        <v>9295</v>
      </c>
      <c r="U96" s="735"/>
      <c r="V96" s="1384">
        <f t="shared" si="80"/>
        <v>9295</v>
      </c>
      <c r="W96" s="1383">
        <f t="shared" si="81"/>
        <v>0</v>
      </c>
      <c r="X96" s="736"/>
      <c r="AD96" s="1391">
        <v>0</v>
      </c>
      <c r="AE96" s="1392">
        <v>0</v>
      </c>
      <c r="AF96" s="1393">
        <v>0</v>
      </c>
      <c r="AG96" s="1394">
        <v>0</v>
      </c>
    </row>
    <row r="97" spans="1:33" s="737" customFormat="1" ht="15" customHeight="1">
      <c r="A97" s="1378"/>
      <c r="B97" s="1379" t="s">
        <v>243</v>
      </c>
      <c r="C97" s="707"/>
      <c r="D97" s="1380" t="s">
        <v>204</v>
      </c>
      <c r="E97" s="1381">
        <v>2318.5500000000002</v>
      </c>
      <c r="F97" s="1382"/>
      <c r="G97" s="1382"/>
      <c r="H97" s="1383">
        <f t="shared" si="73"/>
        <v>2318.5500000000002</v>
      </c>
      <c r="I97" s="734"/>
      <c r="J97" s="1384">
        <f t="shared" si="74"/>
        <v>0</v>
      </c>
      <c r="K97" s="1385">
        <f>'BETON Qte'!K97</f>
        <v>0</v>
      </c>
      <c r="L97" s="1382">
        <f t="shared" si="75"/>
        <v>0</v>
      </c>
      <c r="M97" s="1383">
        <f t="shared" si="76"/>
        <v>0</v>
      </c>
      <c r="N97" s="734"/>
      <c r="O97" s="1386">
        <f t="shared" si="77"/>
        <v>0</v>
      </c>
      <c r="P97" s="1387">
        <f t="shared" si="78"/>
        <v>0</v>
      </c>
      <c r="Q97" s="1388"/>
      <c r="R97" s="1389">
        <f t="shared" si="79"/>
        <v>0</v>
      </c>
      <c r="S97" s="734"/>
      <c r="T97" s="1390">
        <v>2318.5500000000002</v>
      </c>
      <c r="U97" s="735"/>
      <c r="V97" s="1384">
        <f t="shared" si="80"/>
        <v>2318.5500000000002</v>
      </c>
      <c r="W97" s="1383">
        <f t="shared" si="81"/>
        <v>0</v>
      </c>
      <c r="X97" s="736"/>
      <c r="AD97" s="1391">
        <v>0</v>
      </c>
      <c r="AE97" s="1392">
        <v>0</v>
      </c>
      <c r="AF97" s="1393">
        <v>0</v>
      </c>
      <c r="AG97" s="1394">
        <v>0</v>
      </c>
    </row>
    <row r="98" spans="1:33" s="737" customFormat="1" ht="15" customHeight="1">
      <c r="A98" s="1378"/>
      <c r="B98" s="1379" t="s">
        <v>244</v>
      </c>
      <c r="C98" s="707"/>
      <c r="D98" s="1380" t="s">
        <v>204</v>
      </c>
      <c r="E98" s="1381">
        <v>1417</v>
      </c>
      <c r="F98" s="1382"/>
      <c r="G98" s="1382"/>
      <c r="H98" s="1383">
        <f t="shared" si="73"/>
        <v>1417</v>
      </c>
      <c r="I98" s="734"/>
      <c r="J98" s="1384">
        <f t="shared" si="74"/>
        <v>0</v>
      </c>
      <c r="K98" s="1385">
        <f>'BETON Qte'!K98</f>
        <v>0</v>
      </c>
      <c r="L98" s="1382">
        <f t="shared" si="75"/>
        <v>0</v>
      </c>
      <c r="M98" s="1383">
        <f t="shared" si="76"/>
        <v>0</v>
      </c>
      <c r="N98" s="734"/>
      <c r="O98" s="1386">
        <f t="shared" si="77"/>
        <v>0</v>
      </c>
      <c r="P98" s="1387">
        <f t="shared" si="78"/>
        <v>0</v>
      </c>
      <c r="Q98" s="1388"/>
      <c r="R98" s="1389">
        <f t="shared" si="79"/>
        <v>0</v>
      </c>
      <c r="S98" s="734"/>
      <c r="T98" s="1390">
        <v>1417</v>
      </c>
      <c r="U98" s="735"/>
      <c r="V98" s="1384">
        <f t="shared" si="80"/>
        <v>1417</v>
      </c>
      <c r="W98" s="1383">
        <f t="shared" si="81"/>
        <v>0</v>
      </c>
      <c r="X98" s="736"/>
      <c r="AD98" s="1391">
        <v>0</v>
      </c>
      <c r="AE98" s="1392">
        <v>0</v>
      </c>
      <c r="AF98" s="1393">
        <v>0</v>
      </c>
      <c r="AG98" s="1394">
        <v>0</v>
      </c>
    </row>
    <row r="99" spans="1:33" s="737" customFormat="1" ht="15" customHeight="1">
      <c r="A99" s="1378"/>
      <c r="B99" s="1379" t="s">
        <v>245</v>
      </c>
      <c r="C99" s="707"/>
      <c r="D99" s="1380" t="s">
        <v>204</v>
      </c>
      <c r="E99" s="1381">
        <v>104</v>
      </c>
      <c r="F99" s="1382"/>
      <c r="G99" s="1382"/>
      <c r="H99" s="1383">
        <f t="shared" si="73"/>
        <v>104</v>
      </c>
      <c r="I99" s="734"/>
      <c r="J99" s="1384">
        <f t="shared" si="74"/>
        <v>0</v>
      </c>
      <c r="K99" s="1385">
        <f>'BETON Qte'!K99</f>
        <v>0</v>
      </c>
      <c r="L99" s="1382">
        <f t="shared" si="75"/>
        <v>0</v>
      </c>
      <c r="M99" s="1383">
        <f t="shared" si="76"/>
        <v>0</v>
      </c>
      <c r="N99" s="734"/>
      <c r="O99" s="1386">
        <f t="shared" si="77"/>
        <v>0</v>
      </c>
      <c r="P99" s="1387">
        <f t="shared" si="78"/>
        <v>0</v>
      </c>
      <c r="Q99" s="1388"/>
      <c r="R99" s="1389">
        <f t="shared" si="79"/>
        <v>0</v>
      </c>
      <c r="S99" s="734"/>
      <c r="T99" s="1390">
        <v>104</v>
      </c>
      <c r="U99" s="735"/>
      <c r="V99" s="1384">
        <f t="shared" si="80"/>
        <v>104</v>
      </c>
      <c r="W99" s="1383">
        <f t="shared" si="81"/>
        <v>0</v>
      </c>
      <c r="X99" s="736"/>
      <c r="AD99" s="1391">
        <v>0</v>
      </c>
      <c r="AE99" s="1392">
        <v>0</v>
      </c>
      <c r="AF99" s="1393">
        <v>0</v>
      </c>
      <c r="AG99" s="1394">
        <v>0</v>
      </c>
    </row>
    <row r="100" spans="1:33" s="737" customFormat="1" ht="15" customHeight="1">
      <c r="A100" s="1378"/>
      <c r="B100" s="1379" t="s">
        <v>246</v>
      </c>
      <c r="C100" s="707"/>
      <c r="D100" s="1380" t="s">
        <v>204</v>
      </c>
      <c r="E100" s="1381">
        <v>2293.1999999999998</v>
      </c>
      <c r="F100" s="1382"/>
      <c r="G100" s="1382"/>
      <c r="H100" s="1383">
        <f t="shared" si="73"/>
        <v>2293.1999999999998</v>
      </c>
      <c r="I100" s="734"/>
      <c r="J100" s="1384">
        <f t="shared" si="74"/>
        <v>0</v>
      </c>
      <c r="K100" s="1385">
        <f>'BETON Qte'!K100</f>
        <v>0</v>
      </c>
      <c r="L100" s="1382">
        <f t="shared" si="75"/>
        <v>0</v>
      </c>
      <c r="M100" s="1383">
        <f t="shared" si="76"/>
        <v>0</v>
      </c>
      <c r="N100" s="734"/>
      <c r="O100" s="1386">
        <f t="shared" si="77"/>
        <v>0</v>
      </c>
      <c r="P100" s="1387">
        <f t="shared" si="78"/>
        <v>0</v>
      </c>
      <c r="Q100" s="1388"/>
      <c r="R100" s="1389">
        <f t="shared" si="79"/>
        <v>0</v>
      </c>
      <c r="S100" s="734"/>
      <c r="T100" s="1390">
        <v>2293.1999999999998</v>
      </c>
      <c r="U100" s="735"/>
      <c r="V100" s="1384">
        <f t="shared" si="80"/>
        <v>2293.1999999999998</v>
      </c>
      <c r="W100" s="1383">
        <f t="shared" si="81"/>
        <v>0</v>
      </c>
      <c r="X100" s="736"/>
      <c r="AD100" s="1391">
        <v>0</v>
      </c>
      <c r="AE100" s="1392">
        <v>0</v>
      </c>
      <c r="AF100" s="1393">
        <v>0</v>
      </c>
      <c r="AG100" s="1394">
        <v>0</v>
      </c>
    </row>
    <row r="101" spans="1:33" s="737" customFormat="1" ht="15" customHeight="1">
      <c r="A101" s="1378"/>
      <c r="B101" s="1379" t="s">
        <v>247</v>
      </c>
      <c r="C101" s="707"/>
      <c r="D101" s="1380" t="s">
        <v>204</v>
      </c>
      <c r="E101" s="1381">
        <v>811.19999999999993</v>
      </c>
      <c r="F101" s="1382"/>
      <c r="G101" s="1382"/>
      <c r="H101" s="1383">
        <f t="shared" si="73"/>
        <v>811.19999999999993</v>
      </c>
      <c r="I101" s="734"/>
      <c r="J101" s="1384">
        <f t="shared" si="74"/>
        <v>0</v>
      </c>
      <c r="K101" s="1385">
        <f>'BETON Qte'!K101</f>
        <v>0</v>
      </c>
      <c r="L101" s="1382">
        <f t="shared" si="75"/>
        <v>0</v>
      </c>
      <c r="M101" s="1383">
        <f t="shared" si="76"/>
        <v>0</v>
      </c>
      <c r="N101" s="734"/>
      <c r="O101" s="1386">
        <f t="shared" si="77"/>
        <v>0</v>
      </c>
      <c r="P101" s="1387">
        <f t="shared" si="78"/>
        <v>0</v>
      </c>
      <c r="Q101" s="1388"/>
      <c r="R101" s="1389">
        <f t="shared" si="79"/>
        <v>0</v>
      </c>
      <c r="S101" s="734"/>
      <c r="T101" s="1390">
        <v>811.19999999999993</v>
      </c>
      <c r="U101" s="735"/>
      <c r="V101" s="1384">
        <f t="shared" si="80"/>
        <v>811.19999999999993</v>
      </c>
      <c r="W101" s="1383">
        <f t="shared" si="81"/>
        <v>0</v>
      </c>
      <c r="X101" s="736"/>
      <c r="AD101" s="1391">
        <v>0</v>
      </c>
      <c r="AE101" s="1392">
        <v>0</v>
      </c>
      <c r="AF101" s="1393">
        <v>0</v>
      </c>
      <c r="AG101" s="1394">
        <v>0</v>
      </c>
    </row>
    <row r="102" spans="1:33" s="737" customFormat="1" ht="15" customHeight="1">
      <c r="A102" s="1378"/>
      <c r="B102" s="1379" t="s">
        <v>248</v>
      </c>
      <c r="C102" s="707"/>
      <c r="D102" s="1380" t="s">
        <v>204</v>
      </c>
      <c r="E102" s="1381">
        <v>393.90000000000003</v>
      </c>
      <c r="F102" s="1382"/>
      <c r="G102" s="1382"/>
      <c r="H102" s="1383">
        <f t="shared" si="73"/>
        <v>393.90000000000003</v>
      </c>
      <c r="I102" s="734"/>
      <c r="J102" s="1384">
        <f t="shared" si="74"/>
        <v>0</v>
      </c>
      <c r="K102" s="1385">
        <f>'BETON Qte'!K102</f>
        <v>0</v>
      </c>
      <c r="L102" s="1382">
        <f t="shared" si="75"/>
        <v>0</v>
      </c>
      <c r="M102" s="1383">
        <f t="shared" si="76"/>
        <v>0</v>
      </c>
      <c r="N102" s="734"/>
      <c r="O102" s="1386">
        <f t="shared" si="77"/>
        <v>0</v>
      </c>
      <c r="P102" s="1387">
        <f t="shared" si="78"/>
        <v>0</v>
      </c>
      <c r="Q102" s="1388"/>
      <c r="R102" s="1389">
        <f t="shared" si="79"/>
        <v>0</v>
      </c>
      <c r="S102" s="734"/>
      <c r="T102" s="1390">
        <v>393.90000000000003</v>
      </c>
      <c r="U102" s="735"/>
      <c r="V102" s="1384">
        <f t="shared" si="80"/>
        <v>393.90000000000003</v>
      </c>
      <c r="W102" s="1383">
        <f t="shared" si="81"/>
        <v>0</v>
      </c>
      <c r="X102" s="736"/>
      <c r="AD102" s="1391">
        <v>0</v>
      </c>
      <c r="AE102" s="1392">
        <v>0</v>
      </c>
      <c r="AF102" s="1393">
        <v>0</v>
      </c>
      <c r="AG102" s="1394">
        <v>0</v>
      </c>
    </row>
    <row r="103" spans="1:33" s="737" customFormat="1" ht="15" customHeight="1">
      <c r="A103" s="1378"/>
      <c r="B103" s="1379" t="s">
        <v>249</v>
      </c>
      <c r="C103" s="707"/>
      <c r="D103" s="1380" t="s">
        <v>204</v>
      </c>
      <c r="E103" s="1381">
        <v>100.10000000000001</v>
      </c>
      <c r="F103" s="1382"/>
      <c r="G103" s="1382"/>
      <c r="H103" s="1383">
        <f t="shared" si="73"/>
        <v>100.10000000000001</v>
      </c>
      <c r="I103" s="734"/>
      <c r="J103" s="1384">
        <f t="shared" si="74"/>
        <v>0</v>
      </c>
      <c r="K103" s="1385">
        <f>'BETON Qte'!K103</f>
        <v>0</v>
      </c>
      <c r="L103" s="1382">
        <f t="shared" si="75"/>
        <v>0</v>
      </c>
      <c r="M103" s="1383">
        <f t="shared" si="76"/>
        <v>0</v>
      </c>
      <c r="N103" s="734"/>
      <c r="O103" s="1386">
        <f t="shared" si="77"/>
        <v>0</v>
      </c>
      <c r="P103" s="1387">
        <f t="shared" si="78"/>
        <v>0</v>
      </c>
      <c r="Q103" s="1388"/>
      <c r="R103" s="1389">
        <f t="shared" si="79"/>
        <v>0</v>
      </c>
      <c r="S103" s="734"/>
      <c r="T103" s="1390">
        <v>100.10000000000001</v>
      </c>
      <c r="U103" s="735"/>
      <c r="V103" s="1384">
        <f t="shared" si="80"/>
        <v>100.10000000000001</v>
      </c>
      <c r="W103" s="1383">
        <f t="shared" si="81"/>
        <v>0</v>
      </c>
      <c r="X103" s="736"/>
      <c r="AD103" s="1391">
        <v>0</v>
      </c>
      <c r="AE103" s="1392">
        <v>0</v>
      </c>
      <c r="AF103" s="1393">
        <v>0</v>
      </c>
      <c r="AG103" s="1394">
        <v>0</v>
      </c>
    </row>
    <row r="104" spans="1:33" s="737" customFormat="1" ht="15" customHeight="1">
      <c r="A104" s="1378"/>
      <c r="B104" s="1379" t="s">
        <v>250</v>
      </c>
      <c r="C104" s="707"/>
      <c r="D104" s="1380" t="s">
        <v>204</v>
      </c>
      <c r="E104" s="1381">
        <v>1309.8799999999999</v>
      </c>
      <c r="F104" s="1382"/>
      <c r="G104" s="1382"/>
      <c r="H104" s="1383">
        <f t="shared" si="73"/>
        <v>1309.8799999999999</v>
      </c>
      <c r="I104" s="734"/>
      <c r="J104" s="1384">
        <f t="shared" si="74"/>
        <v>0</v>
      </c>
      <c r="K104" s="1385">
        <f>'BETON Qte'!K104</f>
        <v>0</v>
      </c>
      <c r="L104" s="1382">
        <f t="shared" si="75"/>
        <v>0</v>
      </c>
      <c r="M104" s="1383">
        <f t="shared" si="76"/>
        <v>0</v>
      </c>
      <c r="N104" s="734"/>
      <c r="O104" s="1386">
        <f t="shared" si="77"/>
        <v>0</v>
      </c>
      <c r="P104" s="1387">
        <f t="shared" si="78"/>
        <v>0</v>
      </c>
      <c r="Q104" s="1388"/>
      <c r="R104" s="1389">
        <f t="shared" si="79"/>
        <v>0</v>
      </c>
      <c r="S104" s="734"/>
      <c r="T104" s="1390">
        <v>1309.8799999999999</v>
      </c>
      <c r="U104" s="735"/>
      <c r="V104" s="1384">
        <f t="shared" si="80"/>
        <v>1309.8799999999999</v>
      </c>
      <c r="W104" s="1383">
        <f t="shared" si="81"/>
        <v>0</v>
      </c>
      <c r="X104" s="736"/>
      <c r="AD104" s="1391">
        <v>0</v>
      </c>
      <c r="AE104" s="1392">
        <v>0</v>
      </c>
      <c r="AF104" s="1393">
        <v>0</v>
      </c>
      <c r="AG104" s="1394">
        <v>0</v>
      </c>
    </row>
    <row r="105" spans="1:33" s="737" customFormat="1" ht="15" customHeight="1">
      <c r="A105" s="1378"/>
      <c r="B105" s="1379" t="s">
        <v>251</v>
      </c>
      <c r="C105" s="707"/>
      <c r="D105" s="1380" t="s">
        <v>204</v>
      </c>
      <c r="E105" s="1381">
        <v>15022.28</v>
      </c>
      <c r="F105" s="1382"/>
      <c r="G105" s="1382"/>
      <c r="H105" s="1383">
        <f t="shared" si="73"/>
        <v>15022.28</v>
      </c>
      <c r="I105" s="734"/>
      <c r="J105" s="1384">
        <f t="shared" si="74"/>
        <v>0</v>
      </c>
      <c r="K105" s="1385">
        <f>'BETON Qte'!K105</f>
        <v>0</v>
      </c>
      <c r="L105" s="1382">
        <f t="shared" si="75"/>
        <v>0</v>
      </c>
      <c r="M105" s="1383">
        <f t="shared" si="76"/>
        <v>0</v>
      </c>
      <c r="N105" s="734"/>
      <c r="O105" s="1386">
        <f t="shared" si="77"/>
        <v>0</v>
      </c>
      <c r="P105" s="1387">
        <f t="shared" si="78"/>
        <v>0</v>
      </c>
      <c r="Q105" s="1388"/>
      <c r="R105" s="1389">
        <f t="shared" si="79"/>
        <v>0</v>
      </c>
      <c r="S105" s="734"/>
      <c r="T105" s="1390">
        <v>15022.28</v>
      </c>
      <c r="U105" s="735"/>
      <c r="V105" s="1384">
        <f t="shared" si="80"/>
        <v>15022.28</v>
      </c>
      <c r="W105" s="1383">
        <f t="shared" si="81"/>
        <v>0</v>
      </c>
      <c r="X105" s="736"/>
      <c r="AD105" s="1391">
        <v>0</v>
      </c>
      <c r="AE105" s="1392">
        <v>0</v>
      </c>
      <c r="AF105" s="1393">
        <v>0</v>
      </c>
      <c r="AG105" s="1394">
        <v>0</v>
      </c>
    </row>
    <row r="106" spans="1:33" s="737" customFormat="1" ht="15" customHeight="1">
      <c r="A106" s="1378"/>
      <c r="B106" s="1379" t="s">
        <v>252</v>
      </c>
      <c r="C106" s="707"/>
      <c r="D106" s="1380" t="s">
        <v>204</v>
      </c>
      <c r="E106" s="1381">
        <v>335.40000000000003</v>
      </c>
      <c r="F106" s="1382"/>
      <c r="G106" s="1382"/>
      <c r="H106" s="1383">
        <f t="shared" si="73"/>
        <v>335.40000000000003</v>
      </c>
      <c r="I106" s="734"/>
      <c r="J106" s="1384">
        <f t="shared" si="74"/>
        <v>0</v>
      </c>
      <c r="K106" s="1385">
        <f>'BETON Qte'!K106</f>
        <v>0</v>
      </c>
      <c r="L106" s="1382">
        <f t="shared" si="75"/>
        <v>0</v>
      </c>
      <c r="M106" s="1383">
        <f t="shared" si="76"/>
        <v>0</v>
      </c>
      <c r="N106" s="734"/>
      <c r="O106" s="1386">
        <f t="shared" si="77"/>
        <v>0</v>
      </c>
      <c r="P106" s="1387">
        <f t="shared" si="78"/>
        <v>0</v>
      </c>
      <c r="Q106" s="1388"/>
      <c r="R106" s="1389">
        <f t="shared" si="79"/>
        <v>0</v>
      </c>
      <c r="S106" s="734"/>
      <c r="T106" s="1390">
        <v>335.40000000000003</v>
      </c>
      <c r="U106" s="735"/>
      <c r="V106" s="1384">
        <f t="shared" si="80"/>
        <v>335.40000000000003</v>
      </c>
      <c r="W106" s="1383">
        <f t="shared" si="81"/>
        <v>0</v>
      </c>
      <c r="X106" s="736"/>
      <c r="AD106" s="1391">
        <v>0</v>
      </c>
      <c r="AE106" s="1392">
        <v>0</v>
      </c>
      <c r="AF106" s="1393">
        <v>0</v>
      </c>
      <c r="AG106" s="1394">
        <v>0</v>
      </c>
    </row>
    <row r="107" spans="1:33" s="737" customFormat="1" ht="15" customHeight="1">
      <c r="A107" s="1378"/>
      <c r="B107" s="1379" t="s">
        <v>253</v>
      </c>
      <c r="C107" s="707"/>
      <c r="D107" s="1380" t="s">
        <v>204</v>
      </c>
      <c r="E107" s="1381">
        <v>1228.5</v>
      </c>
      <c r="F107" s="1382"/>
      <c r="G107" s="1382"/>
      <c r="H107" s="1383">
        <f t="shared" si="73"/>
        <v>1228.5</v>
      </c>
      <c r="I107" s="734"/>
      <c r="J107" s="1384">
        <f t="shared" si="74"/>
        <v>0</v>
      </c>
      <c r="K107" s="1385">
        <f>'BETON Qte'!K107</f>
        <v>0</v>
      </c>
      <c r="L107" s="1382">
        <f t="shared" si="75"/>
        <v>0</v>
      </c>
      <c r="M107" s="1383">
        <f t="shared" si="76"/>
        <v>0</v>
      </c>
      <c r="N107" s="734"/>
      <c r="O107" s="1386">
        <f t="shared" si="77"/>
        <v>0</v>
      </c>
      <c r="P107" s="1387">
        <f t="shared" si="78"/>
        <v>0</v>
      </c>
      <c r="Q107" s="1388"/>
      <c r="R107" s="1389">
        <f t="shared" si="79"/>
        <v>0</v>
      </c>
      <c r="S107" s="734"/>
      <c r="T107" s="1390">
        <v>1228.5</v>
      </c>
      <c r="U107" s="735"/>
      <c r="V107" s="1384">
        <f t="shared" si="80"/>
        <v>1228.5</v>
      </c>
      <c r="W107" s="1383">
        <f t="shared" si="81"/>
        <v>0</v>
      </c>
      <c r="X107" s="736"/>
      <c r="AD107" s="1391">
        <v>0</v>
      </c>
      <c r="AE107" s="1392">
        <v>0</v>
      </c>
      <c r="AF107" s="1393">
        <v>0</v>
      </c>
      <c r="AG107" s="1394">
        <v>0</v>
      </c>
    </row>
    <row r="108" spans="1:33" s="737" customFormat="1" ht="15" customHeight="1" thickBot="1">
      <c r="A108" s="1378"/>
      <c r="B108" s="1379" t="s">
        <v>254</v>
      </c>
      <c r="C108" s="707"/>
      <c r="D108" s="1380" t="s">
        <v>204</v>
      </c>
      <c r="E108" s="1381">
        <v>6.5</v>
      </c>
      <c r="F108" s="1382"/>
      <c r="G108" s="1382"/>
      <c r="H108" s="1383">
        <f t="shared" si="73"/>
        <v>6.5</v>
      </c>
      <c r="I108" s="734"/>
      <c r="J108" s="1384">
        <f t="shared" si="74"/>
        <v>0</v>
      </c>
      <c r="K108" s="1385">
        <f>'BETON Qte'!K108</f>
        <v>0</v>
      </c>
      <c r="L108" s="1382">
        <f t="shared" si="75"/>
        <v>0</v>
      </c>
      <c r="M108" s="1383">
        <f t="shared" si="76"/>
        <v>0</v>
      </c>
      <c r="N108" s="734"/>
      <c r="O108" s="1386">
        <f t="shared" si="77"/>
        <v>0</v>
      </c>
      <c r="P108" s="1387">
        <f t="shared" si="78"/>
        <v>0</v>
      </c>
      <c r="Q108" s="1388"/>
      <c r="R108" s="1389">
        <f t="shared" si="79"/>
        <v>0</v>
      </c>
      <c r="S108" s="734"/>
      <c r="T108" s="1390">
        <v>6.5</v>
      </c>
      <c r="U108" s="735"/>
      <c r="V108" s="1384">
        <f t="shared" si="80"/>
        <v>6.5</v>
      </c>
      <c r="W108" s="1383">
        <f t="shared" si="81"/>
        <v>0</v>
      </c>
      <c r="X108" s="736"/>
      <c r="AD108" s="1391">
        <v>0</v>
      </c>
      <c r="AE108" s="1392">
        <v>0</v>
      </c>
      <c r="AF108" s="1393">
        <v>0</v>
      </c>
      <c r="AG108" s="1394">
        <v>0</v>
      </c>
    </row>
    <row r="109" spans="1:33" s="733" customFormat="1" ht="19.5" customHeight="1" thickBot="1">
      <c r="A109" s="1419" t="s">
        <v>592</v>
      </c>
      <c r="B109" s="1420" t="s">
        <v>593</v>
      </c>
      <c r="C109" s="731"/>
      <c r="D109" s="1421" t="s">
        <v>204</v>
      </c>
      <c r="E109" s="1422">
        <f>SUM(E110:E112)</f>
        <v>266884.10232558142</v>
      </c>
      <c r="F109" s="1364">
        <f>SUM(F110:F112)</f>
        <v>0</v>
      </c>
      <c r="G109" s="1364">
        <f>SUM(G110:G112)</f>
        <v>0</v>
      </c>
      <c r="H109" s="1409">
        <f>SUM(H110:H112)</f>
        <v>266884.10232558142</v>
      </c>
      <c r="I109" s="732"/>
      <c r="J109" s="1408">
        <f>SUM(J110:J112)</f>
        <v>0</v>
      </c>
      <c r="K109" s="1423">
        <f>IFERROR(J109/H109,"")</f>
        <v>0</v>
      </c>
      <c r="L109" s="1364">
        <f>SUM(L110:L112)</f>
        <v>0</v>
      </c>
      <c r="M109" s="1409">
        <f>SUM(M110:M112)</f>
        <v>0</v>
      </c>
      <c r="N109" s="732"/>
      <c r="O109" s="1410">
        <f>SUM(O110:O112)</f>
        <v>0</v>
      </c>
      <c r="P109" s="1411">
        <f>IFERROR(O109/H109,"")</f>
        <v>0</v>
      </c>
      <c r="Q109" s="1412">
        <f>SUM(Q110:Q112)</f>
        <v>0</v>
      </c>
      <c r="R109" s="1413">
        <f>SUM(R110:R112)</f>
        <v>0</v>
      </c>
      <c r="S109" s="732"/>
      <c r="T109" s="1414">
        <f>SUM(T110:T112)</f>
        <v>266884.10232558142</v>
      </c>
      <c r="U109" s="732"/>
      <c r="V109" s="1408">
        <f>SUM(V110:V112)</f>
        <v>266884.10232558142</v>
      </c>
      <c r="W109" s="1409">
        <f>SUM(W110:W112)</f>
        <v>0</v>
      </c>
      <c r="X109" s="729"/>
      <c r="AD109" s="1415">
        <v>0</v>
      </c>
      <c r="AE109" s="1416">
        <v>0</v>
      </c>
      <c r="AF109" s="1417">
        <v>0</v>
      </c>
      <c r="AG109" s="1418">
        <v>0</v>
      </c>
    </row>
    <row r="110" spans="1:33" s="737" customFormat="1" ht="15" customHeight="1">
      <c r="A110" s="1378"/>
      <c r="B110" s="1379" t="s">
        <v>257</v>
      </c>
      <c r="C110" s="707"/>
      <c r="D110" s="1380" t="s">
        <v>204</v>
      </c>
      <c r="E110" s="1459">
        <v>199674.80000000002</v>
      </c>
      <c r="F110" s="1382"/>
      <c r="G110" s="1382"/>
      <c r="H110" s="1383">
        <f>SUM(E110:G110)</f>
        <v>199674.80000000002</v>
      </c>
      <c r="I110" s="734"/>
      <c r="J110" s="1384">
        <f>H110*K110/100</f>
        <v>0</v>
      </c>
      <c r="K110" s="1385">
        <f>'BETON Qte'!K110</f>
        <v>0</v>
      </c>
      <c r="L110" s="1382">
        <f>Q110+AF110</f>
        <v>0</v>
      </c>
      <c r="M110" s="1383">
        <f>J110-L110</f>
        <v>0</v>
      </c>
      <c r="N110" s="734"/>
      <c r="O110" s="1386">
        <f>J110-AD110</f>
        <v>0</v>
      </c>
      <c r="P110" s="1387">
        <f t="shared" ref="P110:P112" si="82">IFERROR(O110/H110,0)</f>
        <v>0</v>
      </c>
      <c r="Q110" s="1388"/>
      <c r="R110" s="1389">
        <f>O110-Q110</f>
        <v>0</v>
      </c>
      <c r="S110" s="734"/>
      <c r="T110" s="1390">
        <v>199674.80000000002</v>
      </c>
      <c r="U110" s="735"/>
      <c r="V110" s="1384">
        <f t="shared" ref="V110:V112" si="83">L110+T110</f>
        <v>199674.80000000002</v>
      </c>
      <c r="W110" s="1383">
        <f t="shared" ref="W110:W112" si="84">H110-V110</f>
        <v>0</v>
      </c>
      <c r="X110" s="736"/>
      <c r="AD110" s="1391">
        <v>0</v>
      </c>
      <c r="AE110" s="1392">
        <v>0</v>
      </c>
      <c r="AF110" s="1393">
        <v>0</v>
      </c>
      <c r="AG110" s="1394">
        <v>0</v>
      </c>
    </row>
    <row r="111" spans="1:33" s="737" customFormat="1" ht="15" customHeight="1">
      <c r="A111" s="1378"/>
      <c r="B111" s="1379" t="s">
        <v>257</v>
      </c>
      <c r="C111" s="707"/>
      <c r="D111" s="1380" t="s">
        <v>204</v>
      </c>
      <c r="E111" s="1459">
        <v>67209.30232558139</v>
      </c>
      <c r="F111" s="1382"/>
      <c r="G111" s="1382"/>
      <c r="H111" s="1383">
        <f t="shared" ref="H111:H112" si="85">SUM(E111:G111)</f>
        <v>67209.30232558139</v>
      </c>
      <c r="I111" s="734"/>
      <c r="J111" s="1384">
        <f t="shared" ref="J111:J112" si="86">H111*K111/100</f>
        <v>0</v>
      </c>
      <c r="K111" s="1385">
        <f>'BETON Qte'!K111</f>
        <v>0</v>
      </c>
      <c r="L111" s="1382">
        <f t="shared" ref="L111:L112" si="87">Q111+AF111</f>
        <v>0</v>
      </c>
      <c r="M111" s="1383">
        <f t="shared" ref="M111:M112" si="88">J111-L111</f>
        <v>0</v>
      </c>
      <c r="N111" s="734"/>
      <c r="O111" s="1386">
        <f t="shared" ref="O111:O112" si="89">J111-AD111</f>
        <v>0</v>
      </c>
      <c r="P111" s="1387">
        <f t="shared" si="82"/>
        <v>0</v>
      </c>
      <c r="Q111" s="1388"/>
      <c r="R111" s="1389">
        <f t="shared" ref="R111:R112" si="90">O111-Q111</f>
        <v>0</v>
      </c>
      <c r="S111" s="734"/>
      <c r="T111" s="1390">
        <v>67209.30232558139</v>
      </c>
      <c r="U111" s="735"/>
      <c r="V111" s="1384">
        <f t="shared" si="83"/>
        <v>67209.30232558139</v>
      </c>
      <c r="W111" s="1383">
        <f t="shared" si="84"/>
        <v>0</v>
      </c>
      <c r="X111" s="736"/>
      <c r="AD111" s="1391">
        <v>0</v>
      </c>
      <c r="AE111" s="1392">
        <v>0</v>
      </c>
      <c r="AF111" s="1393">
        <v>0</v>
      </c>
      <c r="AG111" s="1394">
        <v>0</v>
      </c>
    </row>
    <row r="112" spans="1:33" s="737" customFormat="1" ht="15" customHeight="1" thickBot="1">
      <c r="A112" s="1424"/>
      <c r="B112" s="1425" t="s">
        <v>258</v>
      </c>
      <c r="C112" s="707"/>
      <c r="D112" s="1426" t="s">
        <v>204</v>
      </c>
      <c r="E112" s="1460">
        <v>0</v>
      </c>
      <c r="F112" s="1428"/>
      <c r="G112" s="1428"/>
      <c r="H112" s="1429">
        <f t="shared" si="85"/>
        <v>0</v>
      </c>
      <c r="I112" s="734"/>
      <c r="J112" s="1430">
        <f t="shared" si="86"/>
        <v>0</v>
      </c>
      <c r="K112" s="1431">
        <f>'BETON Qte'!K112</f>
        <v>0</v>
      </c>
      <c r="L112" s="1428">
        <f t="shared" si="87"/>
        <v>0</v>
      </c>
      <c r="M112" s="1429">
        <f t="shared" si="88"/>
        <v>0</v>
      </c>
      <c r="N112" s="734"/>
      <c r="O112" s="1432">
        <f t="shared" si="89"/>
        <v>0</v>
      </c>
      <c r="P112" s="1433">
        <f t="shared" si="82"/>
        <v>0</v>
      </c>
      <c r="Q112" s="1434"/>
      <c r="R112" s="1435">
        <f t="shared" si="90"/>
        <v>0</v>
      </c>
      <c r="S112" s="734"/>
      <c r="T112" s="1436">
        <v>0</v>
      </c>
      <c r="U112" s="735"/>
      <c r="V112" s="1430">
        <f t="shared" si="83"/>
        <v>0</v>
      </c>
      <c r="W112" s="1429">
        <f t="shared" si="84"/>
        <v>0</v>
      </c>
      <c r="X112" s="736"/>
      <c r="AD112" s="1437">
        <v>0</v>
      </c>
      <c r="AE112" s="1438">
        <v>0</v>
      </c>
      <c r="AF112" s="1439">
        <v>0</v>
      </c>
      <c r="AG112" s="1440">
        <v>0</v>
      </c>
    </row>
    <row r="113" spans="1:33">
      <c r="E113" s="739"/>
      <c r="F113" s="739"/>
      <c r="G113" s="739"/>
      <c r="H113" s="739"/>
      <c r="I113" s="740"/>
      <c r="J113" s="739"/>
      <c r="K113" s="739"/>
      <c r="L113" s="739"/>
      <c r="M113" s="739"/>
      <c r="N113" s="740"/>
      <c r="O113" s="739"/>
      <c r="P113" s="739"/>
      <c r="Q113" s="739"/>
      <c r="R113" s="739"/>
      <c r="S113" s="740"/>
      <c r="T113" s="739"/>
      <c r="U113" s="741"/>
      <c r="V113" s="739"/>
      <c r="W113" s="739"/>
    </row>
    <row r="114" spans="1:33">
      <c r="E114" s="739"/>
      <c r="F114" s="739"/>
      <c r="G114" s="739"/>
      <c r="H114" s="739"/>
      <c r="I114" s="740"/>
      <c r="J114" s="739"/>
      <c r="K114" s="739"/>
      <c r="L114" s="739"/>
      <c r="M114" s="739"/>
      <c r="N114" s="740"/>
      <c r="O114" s="739"/>
      <c r="P114" s="1288"/>
      <c r="Q114" s="739"/>
      <c r="R114" s="739"/>
      <c r="S114" s="740"/>
      <c r="T114" s="739"/>
      <c r="U114" s="741"/>
      <c r="V114" s="739"/>
      <c r="W114" s="739"/>
    </row>
    <row r="115" spans="1:33">
      <c r="E115" s="739"/>
      <c r="F115" s="739"/>
      <c r="G115" s="739"/>
      <c r="H115" s="739"/>
      <c r="I115" s="740"/>
      <c r="J115" s="739"/>
      <c r="K115" s="739"/>
      <c r="L115" s="739"/>
      <c r="M115" s="739"/>
      <c r="N115" s="740"/>
      <c r="O115" s="739"/>
      <c r="P115" s="739"/>
      <c r="Q115" s="739"/>
      <c r="R115" s="739"/>
      <c r="S115" s="740"/>
      <c r="T115" s="739"/>
      <c r="U115" s="741"/>
      <c r="V115" s="739"/>
      <c r="W115" s="739"/>
    </row>
    <row r="116" spans="1:33">
      <c r="E116" s="739"/>
      <c r="F116" s="739"/>
      <c r="G116" s="739"/>
      <c r="H116" s="739"/>
      <c r="I116" s="740"/>
      <c r="J116" s="739"/>
      <c r="K116" s="739"/>
      <c r="L116" s="739"/>
      <c r="M116" s="739"/>
      <c r="N116" s="740"/>
      <c r="O116" s="739"/>
      <c r="P116" s="1288"/>
      <c r="Q116" s="739"/>
      <c r="R116" s="739"/>
      <c r="S116" s="740"/>
      <c r="T116" s="739"/>
      <c r="U116" s="741"/>
      <c r="V116" s="739"/>
      <c r="W116" s="739"/>
    </row>
    <row r="117" spans="1:33">
      <c r="E117" s="739"/>
      <c r="F117" s="739"/>
      <c r="G117" s="739"/>
      <c r="H117" s="739"/>
      <c r="I117" s="740"/>
      <c r="J117" s="739"/>
      <c r="K117" s="739"/>
      <c r="L117" s="739"/>
      <c r="M117" s="739"/>
      <c r="N117" s="740"/>
      <c r="O117" s="739"/>
      <c r="P117" s="739"/>
      <c r="Q117" s="739"/>
      <c r="R117" s="739"/>
      <c r="S117" s="740"/>
      <c r="T117" s="739"/>
      <c r="U117" s="741"/>
      <c r="V117" s="739"/>
      <c r="W117" s="739"/>
    </row>
    <row r="118" spans="1:33" ht="13.5" thickBot="1">
      <c r="E118" s="739"/>
      <c r="F118" s="739"/>
      <c r="G118" s="739"/>
      <c r="H118" s="739"/>
      <c r="I118" s="740"/>
      <c r="J118" s="739"/>
      <c r="K118" s="739"/>
      <c r="L118" s="739"/>
      <c r="M118" s="739"/>
      <c r="N118" s="740"/>
      <c r="O118" s="739"/>
      <c r="P118" s="739"/>
      <c r="Q118" s="739"/>
      <c r="R118" s="739"/>
      <c r="S118" s="740"/>
      <c r="T118" s="739"/>
      <c r="U118" s="741"/>
      <c r="V118" s="739"/>
      <c r="W118" s="739"/>
    </row>
    <row r="119" spans="1:33" s="730" customFormat="1" ht="19.5" customHeight="1" thickBot="1">
      <c r="A119" s="1461" t="s">
        <v>193</v>
      </c>
      <c r="B119" s="1442" t="s">
        <v>259</v>
      </c>
      <c r="C119" s="726"/>
      <c r="D119" s="1443" t="s">
        <v>204</v>
      </c>
      <c r="E119" s="1462">
        <f>SUM(E120:E154)</f>
        <v>249174.90000000008</v>
      </c>
      <c r="F119" s="1463">
        <f>SUM(F120:F154)</f>
        <v>0</v>
      </c>
      <c r="G119" s="1463">
        <f>SUM(G120:G154)</f>
        <v>0</v>
      </c>
      <c r="H119" s="1464">
        <f>SUM(H120:H154)</f>
        <v>249174.90000000008</v>
      </c>
      <c r="I119" s="727"/>
      <c r="J119" s="1465">
        <f>SUM(J120:J154)</f>
        <v>249174.90000000008</v>
      </c>
      <c r="K119" s="1466">
        <f>IFERROR(J119/H119,"")</f>
        <v>1</v>
      </c>
      <c r="L119" s="1467">
        <f t="shared" ref="L119:M119" si="91">SUM(L120:L154)</f>
        <v>15600</v>
      </c>
      <c r="M119" s="1352">
        <f t="shared" si="91"/>
        <v>233574.90000000008</v>
      </c>
      <c r="N119" s="727"/>
      <c r="O119" s="1448">
        <f>SUM(O120:O154)</f>
        <v>0</v>
      </c>
      <c r="P119" s="1468">
        <f>IFERROR(O119/H119,"")</f>
        <v>0</v>
      </c>
      <c r="Q119" s="1450">
        <f>SUM(Q120:Q154)</f>
        <v>0</v>
      </c>
      <c r="R119" s="1469">
        <f>SUM(R120:R154)</f>
        <v>0</v>
      </c>
      <c r="S119" s="727"/>
      <c r="T119" s="1452">
        <f>SUM(T120:T154)</f>
        <v>0</v>
      </c>
      <c r="U119" s="728"/>
      <c r="V119" s="1453">
        <f>SUM(V120:V154)</f>
        <v>0</v>
      </c>
      <c r="W119" s="1446">
        <f>SUM(W120:W154)</f>
        <v>0</v>
      </c>
      <c r="X119" s="729"/>
      <c r="AD119" s="1454">
        <v>249174.90000000008</v>
      </c>
      <c r="AE119" s="1455">
        <v>1</v>
      </c>
      <c r="AF119" s="1456">
        <v>15600</v>
      </c>
      <c r="AG119" s="1457">
        <v>233574.90000000008</v>
      </c>
    </row>
    <row r="120" spans="1:33" s="737" customFormat="1" ht="15" customHeight="1">
      <c r="A120" s="1378" t="s">
        <v>260</v>
      </c>
      <c r="B120" s="1379" t="s">
        <v>261</v>
      </c>
      <c r="C120" s="707"/>
      <c r="D120" s="1380" t="s">
        <v>204</v>
      </c>
      <c r="E120" s="1384">
        <v>3510</v>
      </c>
      <c r="F120" s="1382"/>
      <c r="G120" s="1382"/>
      <c r="H120" s="1383">
        <f t="shared" ref="H120:H150" si="92">SUM(E120:G120)</f>
        <v>3510</v>
      </c>
      <c r="I120" s="734"/>
      <c r="J120" s="1470">
        <f t="shared" ref="J120:J154" si="93">H120*K120/100</f>
        <v>3510</v>
      </c>
      <c r="K120" s="1471">
        <v>100</v>
      </c>
      <c r="L120" s="1382">
        <f t="shared" ref="L120:L154" si="94">Q120+AF120</f>
        <v>0</v>
      </c>
      <c r="M120" s="1472">
        <f t="shared" ref="M120:M154" si="95">J120-L120</f>
        <v>3510</v>
      </c>
      <c r="N120" s="738"/>
      <c r="O120" s="1386">
        <f t="shared" ref="O120:O154" si="96">J120-AD120</f>
        <v>0</v>
      </c>
      <c r="P120" s="1473">
        <f t="shared" ref="P120:P154" si="97">IFERROR(O120/H120,"")</f>
        <v>0</v>
      </c>
      <c r="Q120" s="1474"/>
      <c r="R120" s="1395">
        <f t="shared" ref="R120:R154" si="98">O120-Q120</f>
        <v>0</v>
      </c>
      <c r="S120" s="734"/>
      <c r="T120" s="1475"/>
      <c r="U120" s="735"/>
      <c r="V120" s="1384"/>
      <c r="W120" s="1383"/>
      <c r="X120" s="736"/>
      <c r="AD120" s="1391">
        <v>3510</v>
      </c>
      <c r="AE120" s="1476">
        <v>100</v>
      </c>
      <c r="AF120" s="1393">
        <v>0</v>
      </c>
      <c r="AG120" s="1394">
        <v>3510</v>
      </c>
    </row>
    <row r="121" spans="1:33" s="737" customFormat="1" ht="15" customHeight="1">
      <c r="A121" s="1378" t="s">
        <v>262</v>
      </c>
      <c r="B121" s="1379" t="s">
        <v>263</v>
      </c>
      <c r="C121" s="707"/>
      <c r="D121" s="1380" t="s">
        <v>204</v>
      </c>
      <c r="E121" s="1384">
        <v>3510</v>
      </c>
      <c r="F121" s="1382"/>
      <c r="G121" s="1382"/>
      <c r="H121" s="1383">
        <f t="shared" si="92"/>
        <v>3510</v>
      </c>
      <c r="I121" s="734"/>
      <c r="J121" s="1477">
        <f t="shared" si="93"/>
        <v>3510</v>
      </c>
      <c r="K121" s="1471">
        <v>100</v>
      </c>
      <c r="L121" s="1382">
        <f t="shared" si="94"/>
        <v>0</v>
      </c>
      <c r="M121" s="1472">
        <f t="shared" si="95"/>
        <v>3510</v>
      </c>
      <c r="N121" s="738"/>
      <c r="O121" s="1386">
        <f t="shared" si="96"/>
        <v>0</v>
      </c>
      <c r="P121" s="1473">
        <f t="shared" si="97"/>
        <v>0</v>
      </c>
      <c r="Q121" s="1478"/>
      <c r="R121" s="1395">
        <f t="shared" si="98"/>
        <v>0</v>
      </c>
      <c r="S121" s="734"/>
      <c r="T121" s="1475"/>
      <c r="U121" s="735"/>
      <c r="V121" s="1384"/>
      <c r="W121" s="1383"/>
      <c r="X121" s="736"/>
      <c r="AD121" s="1391">
        <v>3510</v>
      </c>
      <c r="AE121" s="1476">
        <v>100</v>
      </c>
      <c r="AF121" s="1393">
        <v>0</v>
      </c>
      <c r="AG121" s="1394">
        <v>3510</v>
      </c>
    </row>
    <row r="122" spans="1:33" s="737" customFormat="1" ht="15" customHeight="1">
      <c r="A122" s="1378" t="s">
        <v>264</v>
      </c>
      <c r="B122" s="1379" t="s">
        <v>265</v>
      </c>
      <c r="C122" s="707"/>
      <c r="D122" s="1380" t="s">
        <v>204</v>
      </c>
      <c r="E122" s="1384">
        <v>1170</v>
      </c>
      <c r="F122" s="1382"/>
      <c r="G122" s="1382"/>
      <c r="H122" s="1383">
        <f t="shared" si="92"/>
        <v>1170</v>
      </c>
      <c r="I122" s="734"/>
      <c r="J122" s="1477">
        <f t="shared" si="93"/>
        <v>1170</v>
      </c>
      <c r="K122" s="1471">
        <v>100</v>
      </c>
      <c r="L122" s="1382">
        <f t="shared" si="94"/>
        <v>0</v>
      </c>
      <c r="M122" s="1472">
        <f t="shared" si="95"/>
        <v>1170</v>
      </c>
      <c r="N122" s="738"/>
      <c r="O122" s="1386">
        <f t="shared" si="96"/>
        <v>0</v>
      </c>
      <c r="P122" s="1473">
        <f t="shared" si="97"/>
        <v>0</v>
      </c>
      <c r="Q122" s="1478"/>
      <c r="R122" s="1395">
        <f t="shared" si="98"/>
        <v>0</v>
      </c>
      <c r="S122" s="734"/>
      <c r="T122" s="1475"/>
      <c r="U122" s="735"/>
      <c r="V122" s="1384"/>
      <c r="W122" s="1383"/>
      <c r="X122" s="736"/>
      <c r="AD122" s="1391">
        <v>1170</v>
      </c>
      <c r="AE122" s="1476">
        <v>100</v>
      </c>
      <c r="AF122" s="1393">
        <v>0</v>
      </c>
      <c r="AG122" s="1394">
        <v>1170</v>
      </c>
    </row>
    <row r="123" spans="1:33" s="737" customFormat="1" ht="15" customHeight="1">
      <c r="A123" s="1378" t="s">
        <v>266</v>
      </c>
      <c r="B123" s="1379" t="s">
        <v>267</v>
      </c>
      <c r="C123" s="707"/>
      <c r="D123" s="1380" t="s">
        <v>204</v>
      </c>
      <c r="E123" s="1384">
        <v>3510</v>
      </c>
      <c r="F123" s="1382"/>
      <c r="G123" s="1382"/>
      <c r="H123" s="1383">
        <f t="shared" si="92"/>
        <v>3510</v>
      </c>
      <c r="I123" s="734"/>
      <c r="J123" s="1477">
        <f t="shared" si="93"/>
        <v>3510</v>
      </c>
      <c r="K123" s="1471">
        <v>100</v>
      </c>
      <c r="L123" s="1382">
        <f t="shared" si="94"/>
        <v>0</v>
      </c>
      <c r="M123" s="1472">
        <f t="shared" si="95"/>
        <v>3510</v>
      </c>
      <c r="N123" s="738"/>
      <c r="O123" s="1386">
        <f t="shared" si="96"/>
        <v>0</v>
      </c>
      <c r="P123" s="1473">
        <f t="shared" si="97"/>
        <v>0</v>
      </c>
      <c r="Q123" s="1478"/>
      <c r="R123" s="1395">
        <f t="shared" si="98"/>
        <v>0</v>
      </c>
      <c r="S123" s="734"/>
      <c r="T123" s="1475"/>
      <c r="U123" s="735"/>
      <c r="V123" s="1384"/>
      <c r="W123" s="1383"/>
      <c r="X123" s="736"/>
      <c r="AD123" s="1391">
        <v>3510</v>
      </c>
      <c r="AE123" s="1476">
        <v>100</v>
      </c>
      <c r="AF123" s="1393">
        <v>0</v>
      </c>
      <c r="AG123" s="1394">
        <v>3510</v>
      </c>
    </row>
    <row r="124" spans="1:33" s="737" customFormat="1" ht="15" customHeight="1">
      <c r="A124" s="1378" t="s">
        <v>268</v>
      </c>
      <c r="B124" s="1379" t="s">
        <v>269</v>
      </c>
      <c r="C124" s="707"/>
      <c r="D124" s="1380" t="s">
        <v>204</v>
      </c>
      <c r="E124" s="1384">
        <v>3510</v>
      </c>
      <c r="F124" s="1382"/>
      <c r="G124" s="1382"/>
      <c r="H124" s="1383">
        <f t="shared" si="92"/>
        <v>3510</v>
      </c>
      <c r="I124" s="734"/>
      <c r="J124" s="1477">
        <f t="shared" si="93"/>
        <v>3510</v>
      </c>
      <c r="K124" s="1471">
        <v>100</v>
      </c>
      <c r="L124" s="1382">
        <f t="shared" si="94"/>
        <v>0</v>
      </c>
      <c r="M124" s="1472">
        <f t="shared" si="95"/>
        <v>3510</v>
      </c>
      <c r="N124" s="738"/>
      <c r="O124" s="1386">
        <f t="shared" si="96"/>
        <v>0</v>
      </c>
      <c r="P124" s="1473">
        <f t="shared" si="97"/>
        <v>0</v>
      </c>
      <c r="Q124" s="1478"/>
      <c r="R124" s="1395">
        <f t="shared" si="98"/>
        <v>0</v>
      </c>
      <c r="S124" s="734"/>
      <c r="T124" s="1475"/>
      <c r="U124" s="735"/>
      <c r="V124" s="1384"/>
      <c r="W124" s="1383"/>
      <c r="X124" s="736"/>
      <c r="AD124" s="1391">
        <v>3510</v>
      </c>
      <c r="AE124" s="1476">
        <v>100</v>
      </c>
      <c r="AF124" s="1393">
        <v>0</v>
      </c>
      <c r="AG124" s="1394">
        <v>3510</v>
      </c>
    </row>
    <row r="125" spans="1:33" s="737" customFormat="1" ht="15" customHeight="1">
      <c r="A125" s="1378" t="s">
        <v>270</v>
      </c>
      <c r="B125" s="1379" t="s">
        <v>271</v>
      </c>
      <c r="C125" s="707"/>
      <c r="D125" s="1380" t="s">
        <v>204</v>
      </c>
      <c r="E125" s="1384">
        <v>3744</v>
      </c>
      <c r="F125" s="1382"/>
      <c r="G125" s="1382"/>
      <c r="H125" s="1383">
        <f t="shared" si="92"/>
        <v>3744</v>
      </c>
      <c r="I125" s="734"/>
      <c r="J125" s="1477">
        <f t="shared" si="93"/>
        <v>3744</v>
      </c>
      <c r="K125" s="1471">
        <v>100</v>
      </c>
      <c r="L125" s="1382">
        <f t="shared" si="94"/>
        <v>0</v>
      </c>
      <c r="M125" s="1472">
        <f t="shared" si="95"/>
        <v>3744</v>
      </c>
      <c r="N125" s="738"/>
      <c r="O125" s="1386">
        <f t="shared" si="96"/>
        <v>0</v>
      </c>
      <c r="P125" s="1473">
        <f t="shared" si="97"/>
        <v>0</v>
      </c>
      <c r="Q125" s="1478"/>
      <c r="R125" s="1395">
        <f t="shared" si="98"/>
        <v>0</v>
      </c>
      <c r="S125" s="734"/>
      <c r="T125" s="1475"/>
      <c r="U125" s="735"/>
      <c r="V125" s="1384"/>
      <c r="W125" s="1383"/>
      <c r="X125" s="736"/>
      <c r="AD125" s="1391">
        <v>3744</v>
      </c>
      <c r="AE125" s="1476">
        <v>100</v>
      </c>
      <c r="AF125" s="1393">
        <v>0</v>
      </c>
      <c r="AG125" s="1394">
        <v>3744</v>
      </c>
    </row>
    <row r="126" spans="1:33" s="737" customFormat="1" ht="15" customHeight="1">
      <c r="A126" s="1378" t="s">
        <v>272</v>
      </c>
      <c r="B126" s="1379" t="s">
        <v>273</v>
      </c>
      <c r="C126" s="707"/>
      <c r="D126" s="1380" t="s">
        <v>204</v>
      </c>
      <c r="E126" s="1384">
        <v>936</v>
      </c>
      <c r="F126" s="1382"/>
      <c r="G126" s="1382"/>
      <c r="H126" s="1383">
        <f t="shared" si="92"/>
        <v>936</v>
      </c>
      <c r="I126" s="734"/>
      <c r="J126" s="1477">
        <f t="shared" si="93"/>
        <v>936</v>
      </c>
      <c r="K126" s="1471">
        <v>100</v>
      </c>
      <c r="L126" s="1382">
        <f t="shared" si="94"/>
        <v>721</v>
      </c>
      <c r="M126" s="1472">
        <f t="shared" si="95"/>
        <v>215</v>
      </c>
      <c r="N126" s="738"/>
      <c r="O126" s="1386">
        <f t="shared" si="96"/>
        <v>0</v>
      </c>
      <c r="P126" s="1473">
        <f t="shared" si="97"/>
        <v>0</v>
      </c>
      <c r="Q126" s="1478"/>
      <c r="R126" s="1395">
        <f t="shared" si="98"/>
        <v>0</v>
      </c>
      <c r="S126" s="734"/>
      <c r="T126" s="1475"/>
      <c r="U126" s="735"/>
      <c r="V126" s="1384"/>
      <c r="W126" s="1383"/>
      <c r="X126" s="736"/>
      <c r="AD126" s="1391">
        <v>936</v>
      </c>
      <c r="AE126" s="1476">
        <v>100</v>
      </c>
      <c r="AF126" s="1393">
        <v>721</v>
      </c>
      <c r="AG126" s="1394">
        <v>215</v>
      </c>
    </row>
    <row r="127" spans="1:33" s="737" customFormat="1" ht="15" customHeight="1">
      <c r="A127" s="1378" t="s">
        <v>274</v>
      </c>
      <c r="B127" s="1379" t="s">
        <v>275</v>
      </c>
      <c r="C127" s="707"/>
      <c r="D127" s="1380" t="s">
        <v>204</v>
      </c>
      <c r="E127" s="1384">
        <v>15912</v>
      </c>
      <c r="F127" s="1382"/>
      <c r="G127" s="1382"/>
      <c r="H127" s="1383">
        <f t="shared" si="92"/>
        <v>15912</v>
      </c>
      <c r="I127" s="734"/>
      <c r="J127" s="1477">
        <f t="shared" si="93"/>
        <v>15912</v>
      </c>
      <c r="K127" s="1471">
        <v>100</v>
      </c>
      <c r="L127" s="1382">
        <f t="shared" si="94"/>
        <v>126</v>
      </c>
      <c r="M127" s="1472">
        <f t="shared" si="95"/>
        <v>15786</v>
      </c>
      <c r="N127" s="738"/>
      <c r="O127" s="1386">
        <f t="shared" si="96"/>
        <v>0</v>
      </c>
      <c r="P127" s="1473">
        <f t="shared" si="97"/>
        <v>0</v>
      </c>
      <c r="Q127" s="1478"/>
      <c r="R127" s="1395">
        <f t="shared" si="98"/>
        <v>0</v>
      </c>
      <c r="S127" s="734"/>
      <c r="T127" s="1475"/>
      <c r="U127" s="735"/>
      <c r="V127" s="1384"/>
      <c r="W127" s="1383"/>
      <c r="X127" s="736"/>
      <c r="AD127" s="1391">
        <v>15912</v>
      </c>
      <c r="AE127" s="1476">
        <v>100</v>
      </c>
      <c r="AF127" s="1393">
        <v>126</v>
      </c>
      <c r="AG127" s="1394">
        <v>15786</v>
      </c>
    </row>
    <row r="128" spans="1:33" s="737" customFormat="1" ht="15" customHeight="1">
      <c r="A128" s="1378" t="s">
        <v>276</v>
      </c>
      <c r="B128" s="1379" t="s">
        <v>277</v>
      </c>
      <c r="C128" s="707"/>
      <c r="D128" s="1380" t="s">
        <v>204</v>
      </c>
      <c r="E128" s="1384">
        <v>14040</v>
      </c>
      <c r="F128" s="1382"/>
      <c r="G128" s="1382"/>
      <c r="H128" s="1383">
        <f t="shared" si="92"/>
        <v>14040</v>
      </c>
      <c r="I128" s="734"/>
      <c r="J128" s="1477">
        <f t="shared" si="93"/>
        <v>14040</v>
      </c>
      <c r="K128" s="1471">
        <v>100</v>
      </c>
      <c r="L128" s="1382">
        <f t="shared" si="94"/>
        <v>1469</v>
      </c>
      <c r="M128" s="1472">
        <f t="shared" si="95"/>
        <v>12571</v>
      </c>
      <c r="N128" s="738"/>
      <c r="O128" s="1386">
        <f t="shared" si="96"/>
        <v>0</v>
      </c>
      <c r="P128" s="1473">
        <f t="shared" si="97"/>
        <v>0</v>
      </c>
      <c r="Q128" s="1478"/>
      <c r="R128" s="1395">
        <f t="shared" si="98"/>
        <v>0</v>
      </c>
      <c r="S128" s="734"/>
      <c r="T128" s="1475"/>
      <c r="U128" s="735"/>
      <c r="V128" s="1384"/>
      <c r="W128" s="1383"/>
      <c r="X128" s="736"/>
      <c r="AD128" s="1391">
        <v>14040</v>
      </c>
      <c r="AE128" s="1476">
        <v>100</v>
      </c>
      <c r="AF128" s="1393">
        <v>1469</v>
      </c>
      <c r="AG128" s="1394">
        <v>12571</v>
      </c>
    </row>
    <row r="129" spans="1:33" s="737" customFormat="1" ht="15" customHeight="1">
      <c r="A129" s="1378" t="s">
        <v>278</v>
      </c>
      <c r="B129" s="1379" t="s">
        <v>279</v>
      </c>
      <c r="C129" s="707"/>
      <c r="D129" s="1380" t="s">
        <v>204</v>
      </c>
      <c r="E129" s="1384">
        <v>43290</v>
      </c>
      <c r="F129" s="1382"/>
      <c r="G129" s="1382"/>
      <c r="H129" s="1383">
        <f t="shared" si="92"/>
        <v>43290</v>
      </c>
      <c r="I129" s="734"/>
      <c r="J129" s="1477">
        <f t="shared" si="93"/>
        <v>43290</v>
      </c>
      <c r="K129" s="1471">
        <v>100</v>
      </c>
      <c r="L129" s="1382">
        <f t="shared" si="94"/>
        <v>0</v>
      </c>
      <c r="M129" s="1472">
        <f t="shared" si="95"/>
        <v>43290</v>
      </c>
      <c r="N129" s="738"/>
      <c r="O129" s="1386">
        <f t="shared" si="96"/>
        <v>0</v>
      </c>
      <c r="P129" s="1473">
        <f t="shared" si="97"/>
        <v>0</v>
      </c>
      <c r="Q129" s="1478"/>
      <c r="R129" s="1395">
        <f t="shared" si="98"/>
        <v>0</v>
      </c>
      <c r="S129" s="734"/>
      <c r="T129" s="1475"/>
      <c r="U129" s="735"/>
      <c r="V129" s="1384"/>
      <c r="W129" s="1383"/>
      <c r="X129" s="736"/>
      <c r="AD129" s="1391">
        <v>43290</v>
      </c>
      <c r="AE129" s="1476">
        <v>100</v>
      </c>
      <c r="AF129" s="1393">
        <v>0</v>
      </c>
      <c r="AG129" s="1394">
        <v>43290</v>
      </c>
    </row>
    <row r="130" spans="1:33" s="737" customFormat="1" ht="15" customHeight="1">
      <c r="A130" s="1378" t="s">
        <v>280</v>
      </c>
      <c r="B130" s="1379" t="s">
        <v>281</v>
      </c>
      <c r="C130" s="707"/>
      <c r="D130" s="1380" t="s">
        <v>204</v>
      </c>
      <c r="E130" s="1384">
        <v>58500</v>
      </c>
      <c r="F130" s="1382"/>
      <c r="G130" s="1382"/>
      <c r="H130" s="1383">
        <f t="shared" si="92"/>
        <v>58500</v>
      </c>
      <c r="I130" s="734"/>
      <c r="J130" s="1477">
        <f t="shared" si="93"/>
        <v>58500</v>
      </c>
      <c r="K130" s="1471">
        <v>100</v>
      </c>
      <c r="L130" s="1382">
        <f t="shared" si="94"/>
        <v>0</v>
      </c>
      <c r="M130" s="1472">
        <f t="shared" si="95"/>
        <v>58500</v>
      </c>
      <c r="N130" s="738"/>
      <c r="O130" s="1386">
        <f t="shared" si="96"/>
        <v>0</v>
      </c>
      <c r="P130" s="1473">
        <f t="shared" si="97"/>
        <v>0</v>
      </c>
      <c r="Q130" s="1478"/>
      <c r="R130" s="1395">
        <f t="shared" si="98"/>
        <v>0</v>
      </c>
      <c r="S130" s="734"/>
      <c r="T130" s="1475"/>
      <c r="U130" s="735"/>
      <c r="V130" s="1384"/>
      <c r="W130" s="1383"/>
      <c r="X130" s="736"/>
      <c r="AD130" s="1391">
        <v>58500</v>
      </c>
      <c r="AE130" s="1476">
        <v>100</v>
      </c>
      <c r="AF130" s="1393">
        <v>0</v>
      </c>
      <c r="AG130" s="1394">
        <v>58500</v>
      </c>
    </row>
    <row r="131" spans="1:33" s="737" customFormat="1" ht="15" customHeight="1">
      <c r="A131" s="1378" t="s">
        <v>282</v>
      </c>
      <c r="B131" s="1379" t="s">
        <v>283</v>
      </c>
      <c r="C131" s="707"/>
      <c r="D131" s="1380" t="s">
        <v>204</v>
      </c>
      <c r="E131" s="1384">
        <v>15912</v>
      </c>
      <c r="F131" s="1382"/>
      <c r="G131" s="1382"/>
      <c r="H131" s="1383">
        <f t="shared" si="92"/>
        <v>15912</v>
      </c>
      <c r="I131" s="734"/>
      <c r="J131" s="1477">
        <f t="shared" si="93"/>
        <v>15912</v>
      </c>
      <c r="K131" s="1471">
        <v>100</v>
      </c>
      <c r="L131" s="1382">
        <f t="shared" si="94"/>
        <v>736</v>
      </c>
      <c r="M131" s="1472">
        <f t="shared" si="95"/>
        <v>15176</v>
      </c>
      <c r="N131" s="738"/>
      <c r="O131" s="1386">
        <f t="shared" si="96"/>
        <v>0</v>
      </c>
      <c r="P131" s="1473">
        <f t="shared" si="97"/>
        <v>0</v>
      </c>
      <c r="Q131" s="1478"/>
      <c r="R131" s="1395">
        <f t="shared" si="98"/>
        <v>0</v>
      </c>
      <c r="S131" s="734"/>
      <c r="T131" s="1475"/>
      <c r="U131" s="735"/>
      <c r="V131" s="1384"/>
      <c r="W131" s="1383"/>
      <c r="X131" s="736"/>
      <c r="AD131" s="1391">
        <v>15912</v>
      </c>
      <c r="AE131" s="1476">
        <v>100</v>
      </c>
      <c r="AF131" s="1393">
        <v>736</v>
      </c>
      <c r="AG131" s="1394">
        <v>15176</v>
      </c>
    </row>
    <row r="132" spans="1:33" s="737" customFormat="1" ht="15" customHeight="1">
      <c r="A132" s="1378" t="s">
        <v>284</v>
      </c>
      <c r="B132" s="1379" t="s">
        <v>285</v>
      </c>
      <c r="C132" s="707"/>
      <c r="D132" s="1380" t="s">
        <v>204</v>
      </c>
      <c r="E132" s="1384">
        <v>9360</v>
      </c>
      <c r="F132" s="1382"/>
      <c r="G132" s="1382"/>
      <c r="H132" s="1383">
        <f t="shared" si="92"/>
        <v>9360</v>
      </c>
      <c r="I132" s="734"/>
      <c r="J132" s="1477">
        <f t="shared" si="93"/>
        <v>9360</v>
      </c>
      <c r="K132" s="1471">
        <v>100</v>
      </c>
      <c r="L132" s="1382">
        <f t="shared" si="94"/>
        <v>825</v>
      </c>
      <c r="M132" s="1472">
        <f t="shared" si="95"/>
        <v>8535</v>
      </c>
      <c r="N132" s="738"/>
      <c r="O132" s="1386">
        <f t="shared" si="96"/>
        <v>0</v>
      </c>
      <c r="P132" s="1473">
        <f t="shared" si="97"/>
        <v>0</v>
      </c>
      <c r="Q132" s="1478"/>
      <c r="R132" s="1395">
        <f t="shared" si="98"/>
        <v>0</v>
      </c>
      <c r="S132" s="734"/>
      <c r="T132" s="1475"/>
      <c r="U132" s="735"/>
      <c r="V132" s="1384"/>
      <c r="W132" s="1383"/>
      <c r="X132" s="736"/>
      <c r="AD132" s="1391">
        <v>9360</v>
      </c>
      <c r="AE132" s="1476">
        <v>100</v>
      </c>
      <c r="AF132" s="1393">
        <v>825</v>
      </c>
      <c r="AG132" s="1394">
        <v>8535</v>
      </c>
    </row>
    <row r="133" spans="1:33" s="737" customFormat="1" ht="15" customHeight="1">
      <c r="A133" s="1378" t="s">
        <v>286</v>
      </c>
      <c r="B133" s="1379" t="s">
        <v>287</v>
      </c>
      <c r="C133" s="707"/>
      <c r="D133" s="1380" t="s">
        <v>204</v>
      </c>
      <c r="E133" s="1384">
        <v>2295.54</v>
      </c>
      <c r="F133" s="1382"/>
      <c r="G133" s="1382"/>
      <c r="H133" s="1383">
        <f t="shared" si="92"/>
        <v>2295.54</v>
      </c>
      <c r="I133" s="734"/>
      <c r="J133" s="1477">
        <f t="shared" si="93"/>
        <v>2295.54</v>
      </c>
      <c r="K133" s="1471">
        <v>100</v>
      </c>
      <c r="L133" s="1382">
        <f t="shared" si="94"/>
        <v>0</v>
      </c>
      <c r="M133" s="1472">
        <f t="shared" si="95"/>
        <v>2295.54</v>
      </c>
      <c r="N133" s="738"/>
      <c r="O133" s="1386">
        <f t="shared" si="96"/>
        <v>0</v>
      </c>
      <c r="P133" s="1473">
        <f t="shared" si="97"/>
        <v>0</v>
      </c>
      <c r="Q133" s="1478"/>
      <c r="R133" s="1395">
        <f t="shared" si="98"/>
        <v>0</v>
      </c>
      <c r="S133" s="734"/>
      <c r="T133" s="1475"/>
      <c r="U133" s="735"/>
      <c r="V133" s="1384"/>
      <c r="W133" s="1383"/>
      <c r="X133" s="736"/>
      <c r="AD133" s="1391">
        <v>2295.54</v>
      </c>
      <c r="AE133" s="1476">
        <v>100</v>
      </c>
      <c r="AF133" s="1393">
        <v>0</v>
      </c>
      <c r="AG133" s="1394">
        <v>2295.54</v>
      </c>
    </row>
    <row r="134" spans="1:33" s="737" customFormat="1" ht="15" customHeight="1">
      <c r="A134" s="1378" t="s">
        <v>288</v>
      </c>
      <c r="B134" s="1379" t="s">
        <v>289</v>
      </c>
      <c r="C134" s="707"/>
      <c r="D134" s="1380" t="s">
        <v>204</v>
      </c>
      <c r="E134" s="1384">
        <v>2295.54</v>
      </c>
      <c r="F134" s="1382"/>
      <c r="G134" s="1382"/>
      <c r="H134" s="1383">
        <f t="shared" si="92"/>
        <v>2295.54</v>
      </c>
      <c r="I134" s="734"/>
      <c r="J134" s="1477">
        <f t="shared" si="93"/>
        <v>2295.54</v>
      </c>
      <c r="K134" s="1471">
        <v>100</v>
      </c>
      <c r="L134" s="1382">
        <f t="shared" si="94"/>
        <v>56</v>
      </c>
      <c r="M134" s="1472">
        <f t="shared" si="95"/>
        <v>2239.54</v>
      </c>
      <c r="N134" s="738"/>
      <c r="O134" s="1386">
        <f t="shared" si="96"/>
        <v>0</v>
      </c>
      <c r="P134" s="1473">
        <f t="shared" si="97"/>
        <v>0</v>
      </c>
      <c r="Q134" s="1478"/>
      <c r="R134" s="1395">
        <f t="shared" si="98"/>
        <v>0</v>
      </c>
      <c r="S134" s="734"/>
      <c r="T134" s="1475"/>
      <c r="U134" s="735"/>
      <c r="V134" s="1384"/>
      <c r="W134" s="1383"/>
      <c r="X134" s="736"/>
      <c r="AD134" s="1391">
        <v>2295.54</v>
      </c>
      <c r="AE134" s="1476">
        <v>100</v>
      </c>
      <c r="AF134" s="1393">
        <v>56</v>
      </c>
      <c r="AG134" s="1394">
        <v>2239.54</v>
      </c>
    </row>
    <row r="135" spans="1:33" s="737" customFormat="1" ht="15" customHeight="1">
      <c r="A135" s="1378" t="s">
        <v>290</v>
      </c>
      <c r="B135" s="1379" t="s">
        <v>291</v>
      </c>
      <c r="C135" s="707"/>
      <c r="D135" s="1380" t="s">
        <v>204</v>
      </c>
      <c r="E135" s="1384">
        <v>5850</v>
      </c>
      <c r="F135" s="1382"/>
      <c r="G135" s="1382"/>
      <c r="H135" s="1383">
        <f t="shared" si="92"/>
        <v>5850</v>
      </c>
      <c r="I135" s="734"/>
      <c r="J135" s="1477">
        <f t="shared" si="93"/>
        <v>5850</v>
      </c>
      <c r="K135" s="1471">
        <v>100</v>
      </c>
      <c r="L135" s="1382">
        <f t="shared" si="94"/>
        <v>0</v>
      </c>
      <c r="M135" s="1472">
        <f t="shared" si="95"/>
        <v>5850</v>
      </c>
      <c r="N135" s="738"/>
      <c r="O135" s="1386">
        <f t="shared" si="96"/>
        <v>0</v>
      </c>
      <c r="P135" s="1473">
        <f t="shared" si="97"/>
        <v>0</v>
      </c>
      <c r="Q135" s="1478"/>
      <c r="R135" s="1395">
        <f t="shared" si="98"/>
        <v>0</v>
      </c>
      <c r="S135" s="734"/>
      <c r="T135" s="1475"/>
      <c r="U135" s="735"/>
      <c r="V135" s="1384"/>
      <c r="W135" s="1383"/>
      <c r="X135" s="736"/>
      <c r="AD135" s="1391">
        <v>5850</v>
      </c>
      <c r="AE135" s="1476">
        <v>100</v>
      </c>
      <c r="AF135" s="1393">
        <v>0</v>
      </c>
      <c r="AG135" s="1394">
        <v>5850</v>
      </c>
    </row>
    <row r="136" spans="1:33" s="737" customFormat="1" ht="15" customHeight="1">
      <c r="A136" s="1378" t="s">
        <v>292</v>
      </c>
      <c r="B136" s="1379" t="s">
        <v>293</v>
      </c>
      <c r="C136" s="707"/>
      <c r="D136" s="1380" t="s">
        <v>204</v>
      </c>
      <c r="E136" s="1384">
        <v>2237.04</v>
      </c>
      <c r="F136" s="1382"/>
      <c r="G136" s="1382"/>
      <c r="H136" s="1383">
        <f t="shared" si="92"/>
        <v>2237.04</v>
      </c>
      <c r="I136" s="734"/>
      <c r="J136" s="1477">
        <f t="shared" si="93"/>
        <v>2237.04</v>
      </c>
      <c r="K136" s="1471">
        <v>100</v>
      </c>
      <c r="L136" s="1382">
        <f t="shared" si="94"/>
        <v>0</v>
      </c>
      <c r="M136" s="1472">
        <f t="shared" si="95"/>
        <v>2237.04</v>
      </c>
      <c r="N136" s="738"/>
      <c r="O136" s="1386">
        <f t="shared" si="96"/>
        <v>0</v>
      </c>
      <c r="P136" s="1473">
        <f t="shared" si="97"/>
        <v>0</v>
      </c>
      <c r="Q136" s="1478"/>
      <c r="R136" s="1395">
        <f t="shared" si="98"/>
        <v>0</v>
      </c>
      <c r="S136" s="734"/>
      <c r="T136" s="1475"/>
      <c r="U136" s="735"/>
      <c r="V136" s="1384"/>
      <c r="W136" s="1383"/>
      <c r="X136" s="736"/>
      <c r="AD136" s="1391">
        <v>2237.04</v>
      </c>
      <c r="AE136" s="1476">
        <v>100</v>
      </c>
      <c r="AF136" s="1393">
        <v>0</v>
      </c>
      <c r="AG136" s="1394">
        <v>2237.04</v>
      </c>
    </row>
    <row r="137" spans="1:33" s="737" customFormat="1" ht="15" customHeight="1">
      <c r="A137" s="1378" t="s">
        <v>294</v>
      </c>
      <c r="B137" s="1379" t="s">
        <v>295</v>
      </c>
      <c r="C137" s="707"/>
      <c r="D137" s="1380" t="s">
        <v>204</v>
      </c>
      <c r="E137" s="1384">
        <v>2295.54</v>
      </c>
      <c r="F137" s="1382"/>
      <c r="G137" s="1382"/>
      <c r="H137" s="1383">
        <f t="shared" si="92"/>
        <v>2295.54</v>
      </c>
      <c r="I137" s="734"/>
      <c r="J137" s="1477">
        <f t="shared" si="93"/>
        <v>2295.54</v>
      </c>
      <c r="K137" s="1471">
        <v>100</v>
      </c>
      <c r="L137" s="1382">
        <f t="shared" si="94"/>
        <v>0</v>
      </c>
      <c r="M137" s="1472">
        <f t="shared" si="95"/>
        <v>2295.54</v>
      </c>
      <c r="N137" s="738"/>
      <c r="O137" s="1386">
        <f t="shared" si="96"/>
        <v>0</v>
      </c>
      <c r="P137" s="1473">
        <f t="shared" si="97"/>
        <v>0</v>
      </c>
      <c r="Q137" s="1478"/>
      <c r="R137" s="1395">
        <f t="shared" si="98"/>
        <v>0</v>
      </c>
      <c r="S137" s="734"/>
      <c r="T137" s="1475"/>
      <c r="U137" s="735"/>
      <c r="V137" s="1384"/>
      <c r="W137" s="1383"/>
      <c r="X137" s="736"/>
      <c r="AD137" s="1391">
        <v>2295.54</v>
      </c>
      <c r="AE137" s="1476">
        <v>100</v>
      </c>
      <c r="AF137" s="1393">
        <v>0</v>
      </c>
      <c r="AG137" s="1394">
        <v>2295.54</v>
      </c>
    </row>
    <row r="138" spans="1:33" s="737" customFormat="1" ht="15" customHeight="1">
      <c r="A138" s="1378" t="s">
        <v>296</v>
      </c>
      <c r="B138" s="1379" t="s">
        <v>297</v>
      </c>
      <c r="C138" s="707"/>
      <c r="D138" s="1380" t="s">
        <v>204</v>
      </c>
      <c r="E138" s="1384">
        <v>5850</v>
      </c>
      <c r="F138" s="1382"/>
      <c r="G138" s="1382"/>
      <c r="H138" s="1383">
        <f t="shared" si="92"/>
        <v>5850</v>
      </c>
      <c r="I138" s="734"/>
      <c r="J138" s="1477">
        <f t="shared" si="93"/>
        <v>5850</v>
      </c>
      <c r="K138" s="1471">
        <v>100</v>
      </c>
      <c r="L138" s="1382">
        <f t="shared" si="94"/>
        <v>0</v>
      </c>
      <c r="M138" s="1472">
        <f t="shared" si="95"/>
        <v>5850</v>
      </c>
      <c r="N138" s="738"/>
      <c r="O138" s="1386">
        <f t="shared" si="96"/>
        <v>0</v>
      </c>
      <c r="P138" s="1473">
        <f t="shared" si="97"/>
        <v>0</v>
      </c>
      <c r="Q138" s="1478"/>
      <c r="R138" s="1395">
        <f t="shared" si="98"/>
        <v>0</v>
      </c>
      <c r="S138" s="734"/>
      <c r="T138" s="1475"/>
      <c r="U138" s="735"/>
      <c r="V138" s="1384"/>
      <c r="W138" s="1383"/>
      <c r="X138" s="736"/>
      <c r="AD138" s="1391">
        <v>5850</v>
      </c>
      <c r="AE138" s="1476">
        <v>100</v>
      </c>
      <c r="AF138" s="1393">
        <v>0</v>
      </c>
      <c r="AG138" s="1394">
        <v>5850</v>
      </c>
    </row>
    <row r="139" spans="1:33" s="737" customFormat="1" ht="15" customHeight="1">
      <c r="A139" s="1378" t="s">
        <v>298</v>
      </c>
      <c r="B139" s="1379" t="s">
        <v>299</v>
      </c>
      <c r="C139" s="707"/>
      <c r="D139" s="1380" t="s">
        <v>204</v>
      </c>
      <c r="E139" s="1384">
        <v>2295.54</v>
      </c>
      <c r="F139" s="1382"/>
      <c r="G139" s="1382"/>
      <c r="H139" s="1383">
        <f t="shared" si="92"/>
        <v>2295.54</v>
      </c>
      <c r="I139" s="734"/>
      <c r="J139" s="1477">
        <f t="shared" si="93"/>
        <v>2295.54</v>
      </c>
      <c r="K139" s="1471">
        <v>100</v>
      </c>
      <c r="L139" s="1382">
        <f t="shared" si="94"/>
        <v>400</v>
      </c>
      <c r="M139" s="1472">
        <f t="shared" si="95"/>
        <v>1895.54</v>
      </c>
      <c r="N139" s="738"/>
      <c r="O139" s="1386">
        <f t="shared" si="96"/>
        <v>0</v>
      </c>
      <c r="P139" s="1473">
        <f t="shared" si="97"/>
        <v>0</v>
      </c>
      <c r="Q139" s="1478"/>
      <c r="R139" s="1395">
        <f t="shared" si="98"/>
        <v>0</v>
      </c>
      <c r="S139" s="734"/>
      <c r="T139" s="1475"/>
      <c r="U139" s="735"/>
      <c r="V139" s="1384"/>
      <c r="W139" s="1383"/>
      <c r="X139" s="736"/>
      <c r="AD139" s="1391">
        <v>2295.54</v>
      </c>
      <c r="AE139" s="1476">
        <v>100</v>
      </c>
      <c r="AF139" s="1393">
        <v>400</v>
      </c>
      <c r="AG139" s="1394">
        <v>1895.54</v>
      </c>
    </row>
    <row r="140" spans="1:33" s="737" customFormat="1" ht="15" customHeight="1">
      <c r="A140" s="1378" t="s">
        <v>300</v>
      </c>
      <c r="B140" s="1379" t="s">
        <v>301</v>
      </c>
      <c r="C140" s="707"/>
      <c r="D140" s="1380" t="s">
        <v>204</v>
      </c>
      <c r="E140" s="1384">
        <v>4680</v>
      </c>
      <c r="F140" s="1382"/>
      <c r="G140" s="1479"/>
      <c r="H140" s="1383">
        <f t="shared" si="92"/>
        <v>4680</v>
      </c>
      <c r="I140" s="734"/>
      <c r="J140" s="1477">
        <f t="shared" si="93"/>
        <v>4680</v>
      </c>
      <c r="K140" s="1471">
        <v>100</v>
      </c>
      <c r="L140" s="1382">
        <f t="shared" si="94"/>
        <v>0</v>
      </c>
      <c r="M140" s="1472">
        <f t="shared" si="95"/>
        <v>4680</v>
      </c>
      <c r="N140" s="738"/>
      <c r="O140" s="1386">
        <f t="shared" si="96"/>
        <v>0</v>
      </c>
      <c r="P140" s="1473">
        <f t="shared" si="97"/>
        <v>0</v>
      </c>
      <c r="Q140" s="1478"/>
      <c r="R140" s="1395">
        <f t="shared" si="98"/>
        <v>0</v>
      </c>
      <c r="S140" s="734"/>
      <c r="T140" s="1475"/>
      <c r="U140" s="735"/>
      <c r="V140" s="1384"/>
      <c r="W140" s="1383"/>
      <c r="X140" s="736"/>
      <c r="AD140" s="1391">
        <v>4680</v>
      </c>
      <c r="AE140" s="1476">
        <v>100</v>
      </c>
      <c r="AF140" s="1393">
        <v>0</v>
      </c>
      <c r="AG140" s="1394">
        <v>4680</v>
      </c>
    </row>
    <row r="141" spans="1:33" s="737" customFormat="1" ht="15" customHeight="1">
      <c r="A141" s="1378" t="s">
        <v>302</v>
      </c>
      <c r="B141" s="1379" t="s">
        <v>303</v>
      </c>
      <c r="C141" s="707"/>
      <c r="D141" s="1380" t="s">
        <v>204</v>
      </c>
      <c r="E141" s="1384">
        <v>3744</v>
      </c>
      <c r="F141" s="1382"/>
      <c r="G141" s="1479"/>
      <c r="H141" s="1383">
        <f t="shared" si="92"/>
        <v>3744</v>
      </c>
      <c r="I141" s="734"/>
      <c r="J141" s="1477">
        <f t="shared" si="93"/>
        <v>3744</v>
      </c>
      <c r="K141" s="1471">
        <v>100</v>
      </c>
      <c r="L141" s="1382">
        <f t="shared" si="94"/>
        <v>0</v>
      </c>
      <c r="M141" s="1472">
        <f t="shared" si="95"/>
        <v>3744</v>
      </c>
      <c r="N141" s="738"/>
      <c r="O141" s="1386">
        <f t="shared" si="96"/>
        <v>0</v>
      </c>
      <c r="P141" s="1473">
        <f t="shared" si="97"/>
        <v>0</v>
      </c>
      <c r="Q141" s="1478"/>
      <c r="R141" s="1395">
        <f t="shared" si="98"/>
        <v>0</v>
      </c>
      <c r="S141" s="734"/>
      <c r="T141" s="1475"/>
      <c r="U141" s="735"/>
      <c r="V141" s="1384"/>
      <c r="W141" s="1383"/>
      <c r="X141" s="736"/>
      <c r="AD141" s="1391">
        <v>3744</v>
      </c>
      <c r="AE141" s="1476">
        <v>100</v>
      </c>
      <c r="AF141" s="1393">
        <v>0</v>
      </c>
      <c r="AG141" s="1394">
        <v>3744</v>
      </c>
    </row>
    <row r="142" spans="1:33" s="737" customFormat="1" ht="15" customHeight="1">
      <c r="A142" s="1378" t="s">
        <v>304</v>
      </c>
      <c r="B142" s="1379" t="s">
        <v>305</v>
      </c>
      <c r="C142" s="707"/>
      <c r="D142" s="1380" t="s">
        <v>204</v>
      </c>
      <c r="E142" s="1384">
        <v>2646.54</v>
      </c>
      <c r="F142" s="1382"/>
      <c r="G142" s="1479"/>
      <c r="H142" s="1383">
        <f t="shared" si="92"/>
        <v>2646.54</v>
      </c>
      <c r="I142" s="734"/>
      <c r="J142" s="1477">
        <f t="shared" si="93"/>
        <v>2646.54</v>
      </c>
      <c r="K142" s="1471">
        <v>100</v>
      </c>
      <c r="L142" s="1382">
        <f t="shared" si="94"/>
        <v>0</v>
      </c>
      <c r="M142" s="1472">
        <f t="shared" si="95"/>
        <v>2646.54</v>
      </c>
      <c r="N142" s="738"/>
      <c r="O142" s="1386">
        <f t="shared" si="96"/>
        <v>0</v>
      </c>
      <c r="P142" s="1473">
        <f t="shared" si="97"/>
        <v>0</v>
      </c>
      <c r="Q142" s="1478"/>
      <c r="R142" s="1395">
        <f t="shared" si="98"/>
        <v>0</v>
      </c>
      <c r="S142" s="734"/>
      <c r="T142" s="1475"/>
      <c r="U142" s="735"/>
      <c r="V142" s="1384"/>
      <c r="W142" s="1383"/>
      <c r="X142" s="736"/>
      <c r="AD142" s="1391">
        <v>2646.54</v>
      </c>
      <c r="AE142" s="1476">
        <v>100</v>
      </c>
      <c r="AF142" s="1393">
        <v>0</v>
      </c>
      <c r="AG142" s="1394">
        <v>2646.54</v>
      </c>
    </row>
    <row r="143" spans="1:33" s="737" customFormat="1" ht="15" customHeight="1">
      <c r="A143" s="1378" t="s">
        <v>306</v>
      </c>
      <c r="B143" s="1379" t="s">
        <v>307</v>
      </c>
      <c r="C143" s="707"/>
      <c r="D143" s="1380" t="s">
        <v>204</v>
      </c>
      <c r="E143" s="1384">
        <v>2295.54</v>
      </c>
      <c r="F143" s="1382"/>
      <c r="G143" s="1382"/>
      <c r="H143" s="1383">
        <f t="shared" si="92"/>
        <v>2295.54</v>
      </c>
      <c r="I143" s="734"/>
      <c r="J143" s="1477">
        <f t="shared" si="93"/>
        <v>2295.54</v>
      </c>
      <c r="K143" s="1471">
        <v>100</v>
      </c>
      <c r="L143" s="1382">
        <f t="shared" si="94"/>
        <v>0</v>
      </c>
      <c r="M143" s="1472">
        <f t="shared" si="95"/>
        <v>2295.54</v>
      </c>
      <c r="N143" s="738"/>
      <c r="O143" s="1386">
        <f t="shared" si="96"/>
        <v>0</v>
      </c>
      <c r="P143" s="1473">
        <f t="shared" si="97"/>
        <v>0</v>
      </c>
      <c r="Q143" s="1478"/>
      <c r="R143" s="1395">
        <f t="shared" si="98"/>
        <v>0</v>
      </c>
      <c r="S143" s="734"/>
      <c r="T143" s="1475"/>
      <c r="U143" s="735"/>
      <c r="V143" s="1384"/>
      <c r="W143" s="1383"/>
      <c r="X143" s="736"/>
      <c r="AD143" s="1391">
        <v>2295.54</v>
      </c>
      <c r="AE143" s="1476">
        <v>100</v>
      </c>
      <c r="AF143" s="1393">
        <v>0</v>
      </c>
      <c r="AG143" s="1394">
        <v>2295.54</v>
      </c>
    </row>
    <row r="144" spans="1:33" s="737" customFormat="1" ht="15" customHeight="1">
      <c r="A144" s="1378" t="s">
        <v>308</v>
      </c>
      <c r="B144" s="1379" t="s">
        <v>309</v>
      </c>
      <c r="C144" s="707"/>
      <c r="D144" s="1380" t="s">
        <v>204</v>
      </c>
      <c r="E144" s="1384">
        <v>2295.54</v>
      </c>
      <c r="F144" s="1382"/>
      <c r="G144" s="1382"/>
      <c r="H144" s="1383">
        <f t="shared" si="92"/>
        <v>2295.54</v>
      </c>
      <c r="I144" s="734"/>
      <c r="J144" s="1477">
        <f t="shared" si="93"/>
        <v>2295.54</v>
      </c>
      <c r="K144" s="1471">
        <v>100</v>
      </c>
      <c r="L144" s="1382">
        <f t="shared" si="94"/>
        <v>0</v>
      </c>
      <c r="M144" s="1472">
        <f t="shared" si="95"/>
        <v>2295.54</v>
      </c>
      <c r="N144" s="738"/>
      <c r="O144" s="1386">
        <f t="shared" si="96"/>
        <v>0</v>
      </c>
      <c r="P144" s="1473">
        <f t="shared" si="97"/>
        <v>0</v>
      </c>
      <c r="Q144" s="1478"/>
      <c r="R144" s="1395">
        <f t="shared" si="98"/>
        <v>0</v>
      </c>
      <c r="S144" s="734"/>
      <c r="T144" s="1475"/>
      <c r="U144" s="735"/>
      <c r="V144" s="1384"/>
      <c r="W144" s="1383"/>
      <c r="X144" s="736"/>
      <c r="AD144" s="1391">
        <v>2295.54</v>
      </c>
      <c r="AE144" s="1476">
        <v>100</v>
      </c>
      <c r="AF144" s="1393">
        <v>0</v>
      </c>
      <c r="AG144" s="1394">
        <v>2295.54</v>
      </c>
    </row>
    <row r="145" spans="1:33" s="737" customFormat="1" ht="15" customHeight="1">
      <c r="A145" s="1378" t="s">
        <v>310</v>
      </c>
      <c r="B145" s="1379" t="s">
        <v>311</v>
      </c>
      <c r="C145" s="707"/>
      <c r="D145" s="1380" t="s">
        <v>204</v>
      </c>
      <c r="E145" s="1384">
        <v>2808</v>
      </c>
      <c r="F145" s="1382"/>
      <c r="G145" s="1382"/>
      <c r="H145" s="1383">
        <f t="shared" si="92"/>
        <v>2808</v>
      </c>
      <c r="I145" s="734"/>
      <c r="J145" s="1477">
        <f t="shared" si="93"/>
        <v>2808</v>
      </c>
      <c r="K145" s="1471">
        <v>100</v>
      </c>
      <c r="L145" s="1382">
        <f t="shared" si="94"/>
        <v>0</v>
      </c>
      <c r="M145" s="1472">
        <f t="shared" si="95"/>
        <v>2808</v>
      </c>
      <c r="N145" s="738"/>
      <c r="O145" s="1386">
        <f t="shared" si="96"/>
        <v>0</v>
      </c>
      <c r="P145" s="1473">
        <f t="shared" si="97"/>
        <v>0</v>
      </c>
      <c r="Q145" s="1478"/>
      <c r="R145" s="1395">
        <f t="shared" si="98"/>
        <v>0</v>
      </c>
      <c r="S145" s="734"/>
      <c r="T145" s="1475"/>
      <c r="U145" s="735"/>
      <c r="V145" s="1384"/>
      <c r="W145" s="1383"/>
      <c r="X145" s="736"/>
      <c r="AD145" s="1391">
        <v>2808</v>
      </c>
      <c r="AE145" s="1476">
        <v>100</v>
      </c>
      <c r="AF145" s="1393">
        <v>0</v>
      </c>
      <c r="AG145" s="1394">
        <v>2808</v>
      </c>
    </row>
    <row r="146" spans="1:33" s="737" customFormat="1" ht="15" customHeight="1">
      <c r="A146" s="1378" t="s">
        <v>312</v>
      </c>
      <c r="B146" s="1379" t="s">
        <v>313</v>
      </c>
      <c r="C146" s="707"/>
      <c r="D146" s="1380" t="s">
        <v>204</v>
      </c>
      <c r="E146" s="1384">
        <v>2295.54</v>
      </c>
      <c r="F146" s="1382"/>
      <c r="G146" s="1382"/>
      <c r="H146" s="1383">
        <f t="shared" si="92"/>
        <v>2295.54</v>
      </c>
      <c r="I146" s="734"/>
      <c r="J146" s="1477">
        <f t="shared" si="93"/>
        <v>2295.54</v>
      </c>
      <c r="K146" s="1471">
        <v>100</v>
      </c>
      <c r="L146" s="1382">
        <f t="shared" si="94"/>
        <v>0</v>
      </c>
      <c r="M146" s="1472">
        <f t="shared" si="95"/>
        <v>2295.54</v>
      </c>
      <c r="N146" s="738"/>
      <c r="O146" s="1386">
        <f t="shared" si="96"/>
        <v>0</v>
      </c>
      <c r="P146" s="1473">
        <f t="shared" si="97"/>
        <v>0</v>
      </c>
      <c r="Q146" s="1478"/>
      <c r="R146" s="1395">
        <f t="shared" si="98"/>
        <v>0</v>
      </c>
      <c r="S146" s="734"/>
      <c r="T146" s="1475"/>
      <c r="U146" s="735"/>
      <c r="V146" s="1384"/>
      <c r="W146" s="1383"/>
      <c r="X146" s="736"/>
      <c r="AD146" s="1391">
        <v>2295.54</v>
      </c>
      <c r="AE146" s="1476">
        <v>100</v>
      </c>
      <c r="AF146" s="1393">
        <v>0</v>
      </c>
      <c r="AG146" s="1394">
        <v>2295.54</v>
      </c>
    </row>
    <row r="147" spans="1:33" s="737" customFormat="1" ht="15" customHeight="1">
      <c r="A147" s="1378" t="s">
        <v>314</v>
      </c>
      <c r="B147" s="1379" t="s">
        <v>315</v>
      </c>
      <c r="C147" s="707"/>
      <c r="D147" s="1380" t="s">
        <v>204</v>
      </c>
      <c r="E147" s="1384">
        <v>25740</v>
      </c>
      <c r="F147" s="1382"/>
      <c r="G147" s="1382"/>
      <c r="H147" s="1383">
        <f t="shared" si="92"/>
        <v>25740</v>
      </c>
      <c r="I147" s="734"/>
      <c r="J147" s="1477">
        <f t="shared" si="93"/>
        <v>25740</v>
      </c>
      <c r="K147" s="1471">
        <v>100</v>
      </c>
      <c r="L147" s="1382">
        <f t="shared" si="94"/>
        <v>315</v>
      </c>
      <c r="M147" s="1472">
        <f t="shared" si="95"/>
        <v>25425</v>
      </c>
      <c r="N147" s="738"/>
      <c r="O147" s="1386">
        <f t="shared" si="96"/>
        <v>0</v>
      </c>
      <c r="P147" s="1473">
        <f t="shared" si="97"/>
        <v>0</v>
      </c>
      <c r="Q147" s="1478"/>
      <c r="R147" s="1395">
        <f t="shared" si="98"/>
        <v>0</v>
      </c>
      <c r="S147" s="734"/>
      <c r="T147" s="1475"/>
      <c r="U147" s="735"/>
      <c r="V147" s="1384"/>
      <c r="W147" s="1383"/>
      <c r="X147" s="736"/>
      <c r="AD147" s="1391">
        <v>25740</v>
      </c>
      <c r="AE147" s="1476">
        <v>100</v>
      </c>
      <c r="AF147" s="1393">
        <v>315</v>
      </c>
      <c r="AG147" s="1394">
        <v>25425</v>
      </c>
    </row>
    <row r="148" spans="1:33" s="737" customFormat="1" ht="15" customHeight="1">
      <c r="A148" s="1480" t="s">
        <v>316</v>
      </c>
      <c r="B148" s="1481" t="s">
        <v>317</v>
      </c>
      <c r="C148" s="707"/>
      <c r="D148" s="1482" t="s">
        <v>204</v>
      </c>
      <c r="E148" s="1396">
        <v>2646.54</v>
      </c>
      <c r="F148" s="1398"/>
      <c r="G148" s="1398"/>
      <c r="H148" s="1399">
        <f t="shared" si="92"/>
        <v>2646.54</v>
      </c>
      <c r="I148" s="734"/>
      <c r="J148" s="1477">
        <f t="shared" si="93"/>
        <v>2646.54</v>
      </c>
      <c r="K148" s="1471">
        <v>100</v>
      </c>
      <c r="L148" s="1382">
        <f t="shared" si="94"/>
        <v>0</v>
      </c>
      <c r="M148" s="1472">
        <f t="shared" si="95"/>
        <v>2646.54</v>
      </c>
      <c r="N148" s="738"/>
      <c r="O148" s="1400">
        <f t="shared" si="96"/>
        <v>0</v>
      </c>
      <c r="P148" s="1483">
        <f t="shared" si="97"/>
        <v>0</v>
      </c>
      <c r="Q148" s="1484"/>
      <c r="R148" s="1485">
        <f t="shared" si="98"/>
        <v>0</v>
      </c>
      <c r="S148" s="734"/>
      <c r="T148" s="1486"/>
      <c r="U148" s="735"/>
      <c r="V148" s="1396"/>
      <c r="W148" s="1399"/>
      <c r="X148" s="736"/>
      <c r="AD148" s="1404">
        <v>2646.54</v>
      </c>
      <c r="AE148" s="1487">
        <v>100</v>
      </c>
      <c r="AF148" s="1406">
        <v>0</v>
      </c>
      <c r="AG148" s="1407">
        <v>2646.54</v>
      </c>
    </row>
    <row r="149" spans="1:33" s="737" customFormat="1" ht="15" customHeight="1">
      <c r="A149" s="1480" t="s">
        <v>318</v>
      </c>
      <c r="B149" s="1481" t="s">
        <v>88</v>
      </c>
      <c r="C149" s="707"/>
      <c r="D149" s="1482" t="s">
        <v>204</v>
      </c>
      <c r="E149" s="1396">
        <v>0</v>
      </c>
      <c r="F149" s="1398"/>
      <c r="G149" s="1398"/>
      <c r="H149" s="1399">
        <f t="shared" si="92"/>
        <v>0</v>
      </c>
      <c r="I149" s="734"/>
      <c r="J149" s="1477">
        <f t="shared" si="93"/>
        <v>0</v>
      </c>
      <c r="K149" s="1471">
        <v>100</v>
      </c>
      <c r="L149" s="1382">
        <f t="shared" si="94"/>
        <v>1780</v>
      </c>
      <c r="M149" s="1472">
        <f t="shared" si="95"/>
        <v>-1780</v>
      </c>
      <c r="N149" s="738"/>
      <c r="O149" s="1400">
        <f t="shared" si="96"/>
        <v>0</v>
      </c>
      <c r="P149" s="1483" t="str">
        <f t="shared" si="97"/>
        <v/>
      </c>
      <c r="Q149" s="1484"/>
      <c r="R149" s="1485">
        <f t="shared" si="98"/>
        <v>0</v>
      </c>
      <c r="S149" s="734"/>
      <c r="T149" s="1486"/>
      <c r="U149" s="735"/>
      <c r="V149" s="1396"/>
      <c r="W149" s="1399"/>
      <c r="X149" s="736"/>
      <c r="AD149" s="1404">
        <v>0</v>
      </c>
      <c r="AE149" s="1487">
        <v>100</v>
      </c>
      <c r="AF149" s="1406">
        <v>1780</v>
      </c>
      <c r="AG149" s="1407">
        <v>-1780</v>
      </c>
    </row>
    <row r="150" spans="1:33" s="737" customFormat="1" ht="15" customHeight="1">
      <c r="A150" s="1480" t="s">
        <v>319</v>
      </c>
      <c r="B150" s="1481" t="s">
        <v>320</v>
      </c>
      <c r="C150" s="707"/>
      <c r="D150" s="1482" t="s">
        <v>204</v>
      </c>
      <c r="E150" s="1396">
        <v>0</v>
      </c>
      <c r="F150" s="1398"/>
      <c r="G150" s="1398"/>
      <c r="H150" s="1399">
        <f t="shared" si="92"/>
        <v>0</v>
      </c>
      <c r="I150" s="734"/>
      <c r="J150" s="1477">
        <f t="shared" si="93"/>
        <v>0</v>
      </c>
      <c r="K150" s="1471">
        <v>100</v>
      </c>
      <c r="L150" s="1382">
        <f t="shared" si="94"/>
        <v>0</v>
      </c>
      <c r="M150" s="1472">
        <f t="shared" si="95"/>
        <v>0</v>
      </c>
      <c r="N150" s="738"/>
      <c r="O150" s="1400">
        <f t="shared" si="96"/>
        <v>0</v>
      </c>
      <c r="P150" s="1483" t="str">
        <f t="shared" si="97"/>
        <v/>
      </c>
      <c r="Q150" s="1484"/>
      <c r="R150" s="1485">
        <f t="shared" si="98"/>
        <v>0</v>
      </c>
      <c r="S150" s="734"/>
      <c r="T150" s="1486"/>
      <c r="U150" s="735"/>
      <c r="V150" s="1396"/>
      <c r="W150" s="1399"/>
      <c r="X150" s="736"/>
      <c r="AD150" s="1404">
        <v>0</v>
      </c>
      <c r="AE150" s="1487">
        <v>100</v>
      </c>
      <c r="AF150" s="1406">
        <v>0</v>
      </c>
      <c r="AG150" s="1407">
        <v>0</v>
      </c>
    </row>
    <row r="151" spans="1:33" s="737" customFormat="1" ht="15" customHeight="1">
      <c r="A151" s="1480" t="s">
        <v>318</v>
      </c>
      <c r="B151" s="1481" t="s">
        <v>321</v>
      </c>
      <c r="C151" s="707"/>
      <c r="D151" s="1482" t="s">
        <v>204</v>
      </c>
      <c r="E151" s="1396">
        <v>0</v>
      </c>
      <c r="F151" s="1398"/>
      <c r="G151" s="1398"/>
      <c r="H151" s="1399">
        <f t="shared" ref="H151:H154" si="99">SUM(E151:G151)</f>
        <v>0</v>
      </c>
      <c r="I151" s="734"/>
      <c r="J151" s="1488">
        <f t="shared" si="93"/>
        <v>0</v>
      </c>
      <c r="K151" s="1489">
        <v>100</v>
      </c>
      <c r="L151" s="1398">
        <f t="shared" si="94"/>
        <v>269</v>
      </c>
      <c r="M151" s="1490">
        <f t="shared" si="95"/>
        <v>-269</v>
      </c>
      <c r="N151" s="738"/>
      <c r="O151" s="1400">
        <f t="shared" si="96"/>
        <v>0</v>
      </c>
      <c r="P151" s="1483" t="str">
        <f t="shared" si="97"/>
        <v/>
      </c>
      <c r="Q151" s="1484"/>
      <c r="R151" s="1485">
        <f t="shared" si="98"/>
        <v>0</v>
      </c>
      <c r="S151" s="734"/>
      <c r="T151" s="1486"/>
      <c r="U151" s="735"/>
      <c r="V151" s="1396"/>
      <c r="W151" s="1399"/>
      <c r="X151" s="736"/>
      <c r="AD151" s="1404">
        <v>0</v>
      </c>
      <c r="AE151" s="1487">
        <v>100</v>
      </c>
      <c r="AF151" s="1406">
        <v>269</v>
      </c>
      <c r="AG151" s="1407">
        <v>-269</v>
      </c>
    </row>
    <row r="152" spans="1:33" s="737" customFormat="1" ht="15" customHeight="1">
      <c r="A152" s="1480" t="s">
        <v>322</v>
      </c>
      <c r="B152" s="1481" t="s">
        <v>323</v>
      </c>
      <c r="C152" s="707"/>
      <c r="D152" s="1482" t="s">
        <v>204</v>
      </c>
      <c r="E152" s="1396">
        <v>0</v>
      </c>
      <c r="F152" s="1398"/>
      <c r="G152" s="1398"/>
      <c r="H152" s="1399">
        <f t="shared" si="99"/>
        <v>0</v>
      </c>
      <c r="I152" s="734"/>
      <c r="J152" s="1488">
        <f t="shared" si="93"/>
        <v>0</v>
      </c>
      <c r="K152" s="1489">
        <v>100</v>
      </c>
      <c r="L152" s="1398">
        <f t="shared" si="94"/>
        <v>2362</v>
      </c>
      <c r="M152" s="1490">
        <f t="shared" si="95"/>
        <v>-2362</v>
      </c>
      <c r="N152" s="738"/>
      <c r="O152" s="1400">
        <f t="shared" si="96"/>
        <v>0</v>
      </c>
      <c r="P152" s="1483" t="str">
        <f t="shared" si="97"/>
        <v/>
      </c>
      <c r="Q152" s="1478"/>
      <c r="R152" s="1485">
        <f t="shared" si="98"/>
        <v>0</v>
      </c>
      <c r="S152" s="734"/>
      <c r="T152" s="1486"/>
      <c r="U152" s="735"/>
      <c r="V152" s="1396"/>
      <c r="W152" s="1399"/>
      <c r="X152" s="736"/>
      <c r="AD152" s="1404">
        <v>0</v>
      </c>
      <c r="AE152" s="1487">
        <v>100</v>
      </c>
      <c r="AF152" s="1406">
        <v>2362</v>
      </c>
      <c r="AG152" s="1407">
        <v>-2362</v>
      </c>
    </row>
    <row r="153" spans="1:33" s="737" customFormat="1" ht="15" customHeight="1">
      <c r="A153" s="1480" t="s">
        <v>324</v>
      </c>
      <c r="B153" s="1481" t="s">
        <v>325</v>
      </c>
      <c r="C153" s="707"/>
      <c r="D153" s="1482" t="s">
        <v>204</v>
      </c>
      <c r="E153" s="1396">
        <v>0</v>
      </c>
      <c r="F153" s="1398"/>
      <c r="G153" s="1398"/>
      <c r="H153" s="1399">
        <f t="shared" si="99"/>
        <v>0</v>
      </c>
      <c r="I153" s="734"/>
      <c r="J153" s="1488">
        <f t="shared" si="93"/>
        <v>0</v>
      </c>
      <c r="K153" s="1489">
        <v>100</v>
      </c>
      <c r="L153" s="1398">
        <f t="shared" si="94"/>
        <v>6054</v>
      </c>
      <c r="M153" s="1490">
        <f t="shared" si="95"/>
        <v>-6054</v>
      </c>
      <c r="N153" s="738"/>
      <c r="O153" s="1400">
        <f t="shared" si="96"/>
        <v>0</v>
      </c>
      <c r="P153" s="1483" t="str">
        <f t="shared" si="97"/>
        <v/>
      </c>
      <c r="Q153" s="745"/>
      <c r="R153" s="1485">
        <f t="shared" si="98"/>
        <v>0</v>
      </c>
      <c r="S153" s="734"/>
      <c r="T153" s="1486"/>
      <c r="U153" s="735"/>
      <c r="V153" s="1396"/>
      <c r="W153" s="1399"/>
      <c r="X153" s="736"/>
      <c r="AD153" s="1404">
        <v>0</v>
      </c>
      <c r="AE153" s="1487">
        <v>100</v>
      </c>
      <c r="AF153" s="1406">
        <v>6054</v>
      </c>
      <c r="AG153" s="1407">
        <v>-6054</v>
      </c>
    </row>
    <row r="154" spans="1:33" s="737" customFormat="1" ht="15" customHeight="1" thickBot="1">
      <c r="A154" s="1424" t="s">
        <v>326</v>
      </c>
      <c r="B154" s="1425" t="s">
        <v>327</v>
      </c>
      <c r="C154" s="707"/>
      <c r="D154" s="1426" t="s">
        <v>204</v>
      </c>
      <c r="E154" s="1430">
        <v>0</v>
      </c>
      <c r="F154" s="1428"/>
      <c r="G154" s="1428"/>
      <c r="H154" s="1429">
        <f t="shared" si="99"/>
        <v>0</v>
      </c>
      <c r="I154" s="734"/>
      <c r="J154" s="1491">
        <f t="shared" si="93"/>
        <v>0</v>
      </c>
      <c r="K154" s="1492">
        <v>100</v>
      </c>
      <c r="L154" s="1493">
        <f t="shared" si="94"/>
        <v>487</v>
      </c>
      <c r="M154" s="1494">
        <f t="shared" si="95"/>
        <v>-487</v>
      </c>
      <c r="N154" s="738"/>
      <c r="O154" s="1432">
        <f t="shared" si="96"/>
        <v>0</v>
      </c>
      <c r="P154" s="1495" t="str">
        <f t="shared" si="97"/>
        <v/>
      </c>
      <c r="Q154" s="1536"/>
      <c r="R154" s="1496">
        <f t="shared" si="98"/>
        <v>0</v>
      </c>
      <c r="S154" s="734"/>
      <c r="T154" s="1497"/>
      <c r="U154" s="735"/>
      <c r="V154" s="1430"/>
      <c r="W154" s="1429"/>
      <c r="X154" s="736"/>
      <c r="AD154" s="1498">
        <v>0</v>
      </c>
      <c r="AE154" s="1499">
        <v>100</v>
      </c>
      <c r="AF154" s="1500">
        <v>487</v>
      </c>
      <c r="AG154" s="1501">
        <v>-487</v>
      </c>
    </row>
  </sheetData>
  <mergeCells count="15">
    <mergeCell ref="H9:H10"/>
    <mergeCell ref="J9:K9"/>
    <mergeCell ref="O9:P9"/>
    <mergeCell ref="T9:T10"/>
    <mergeCell ref="AD9:AE9"/>
    <mergeCell ref="A3:W3"/>
    <mergeCell ref="J8:M8"/>
    <mergeCell ref="O8:R8"/>
    <mergeCell ref="V8:W8"/>
    <mergeCell ref="AD8:AG8"/>
    <mergeCell ref="A9:A10"/>
    <mergeCell ref="B9:B10"/>
    <mergeCell ref="E9:E10"/>
    <mergeCell ref="F9:F10"/>
    <mergeCell ref="G9:G10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/>
  <rowBreaks count="1" manualBreakCount="1">
    <brk id="63" max="22" man="1"/>
  </rowBreaks>
  <colBreaks count="1" manualBreakCount="1">
    <brk id="23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>
    <tabColor rgb="FF00B050"/>
  </sheetPr>
  <dimension ref="A1:AG150"/>
  <sheetViews>
    <sheetView showGridLines="0" workbookViewId="0">
      <pane xSplit="4" ySplit="10" topLeftCell="E11" activePane="bottomRight" state="frozen"/>
      <selection activeCell="AA19" sqref="AA19"/>
      <selection pane="topRight" activeCell="AA19" sqref="AA19"/>
      <selection pane="bottomLeft" activeCell="AA19" sqref="AA19"/>
      <selection pane="bottomRight" activeCell="E16" sqref="E16"/>
    </sheetView>
  </sheetViews>
  <sheetFormatPr baseColWidth="10" defaultColWidth="10.85546875" defaultRowHeight="12.75"/>
  <cols>
    <col min="1" max="1" width="25.7109375" style="689" customWidth="1"/>
    <col min="2" max="2" width="40.7109375" style="689" customWidth="1"/>
    <col min="3" max="3" width="2.140625" style="690" customWidth="1"/>
    <col min="4" max="4" width="5.140625" style="689" customWidth="1"/>
    <col min="5" max="8" width="10.7109375" style="689" customWidth="1"/>
    <col min="9" max="9" width="2.7109375" style="690" customWidth="1"/>
    <col min="10" max="13" width="10.7109375" style="689" customWidth="1"/>
    <col min="14" max="14" width="2.7109375" style="690" customWidth="1"/>
    <col min="15" max="18" width="10.7109375" style="689" customWidth="1"/>
    <col min="19" max="19" width="2.7109375" style="690" customWidth="1"/>
    <col min="20" max="20" width="10.7109375" style="689" customWidth="1"/>
    <col min="21" max="21" width="2.7109375" style="691" customWidth="1"/>
    <col min="22" max="23" width="10.7109375" style="689" customWidth="1"/>
    <col min="24" max="24" width="2.7109375" style="692" customWidth="1"/>
    <col min="25" max="28" width="10.7109375" style="689" customWidth="1"/>
    <col min="29" max="29" width="2.7109375" style="689" customWidth="1"/>
    <col min="30" max="33" width="10.7109375" style="689" customWidth="1"/>
    <col min="34" max="16384" width="10.85546875" style="689"/>
  </cols>
  <sheetData>
    <row r="1" spans="1:33" ht="15" customHeight="1"/>
    <row r="2" spans="1:33" ht="15" customHeight="1" thickBot="1">
      <c r="B2" s="693"/>
    </row>
    <row r="3" spans="1:33" ht="23.25" customHeight="1" thickBot="1">
      <c r="A3" s="1720" t="s">
        <v>328</v>
      </c>
      <c r="B3" s="1721"/>
      <c r="C3" s="1721"/>
      <c r="D3" s="1721"/>
      <c r="E3" s="1721"/>
      <c r="F3" s="1721"/>
      <c r="G3" s="1721"/>
      <c r="H3" s="1721"/>
      <c r="I3" s="1721"/>
      <c r="J3" s="1721"/>
      <c r="K3" s="1721"/>
      <c r="L3" s="1721"/>
      <c r="M3" s="1721"/>
      <c r="N3" s="1721"/>
      <c r="O3" s="1721"/>
      <c r="P3" s="1721"/>
      <c r="Q3" s="1721"/>
      <c r="R3" s="1721"/>
      <c r="S3" s="1721"/>
      <c r="T3" s="1721"/>
      <c r="U3" s="1721"/>
      <c r="V3" s="1721"/>
      <c r="W3" s="1722"/>
      <c r="X3" s="695"/>
    </row>
    <row r="4" spans="1:33" ht="13.5" customHeight="1" thickBot="1"/>
    <row r="5" spans="1:33" s="693" customFormat="1" ht="13.5" customHeight="1" thickBot="1">
      <c r="B5" s="696" t="s">
        <v>184</v>
      </c>
      <c r="C5" s="697"/>
      <c r="E5" s="1344">
        <v>695</v>
      </c>
      <c r="F5" s="1344">
        <v>695</v>
      </c>
      <c r="G5" s="1344">
        <v>695</v>
      </c>
      <c r="H5" s="1344">
        <v>695</v>
      </c>
      <c r="I5" s="698"/>
      <c r="J5" s="1344">
        <f>H5</f>
        <v>695</v>
      </c>
      <c r="K5" s="699"/>
      <c r="L5" s="1344">
        <f>IFERROR(L6/(L11+L67+L119),"")</f>
        <v>9368.9577479186974</v>
      </c>
      <c r="M5" s="1344">
        <f>IFERROR(J5-L5,"")</f>
        <v>-8673.9577479186974</v>
      </c>
      <c r="N5" s="698"/>
      <c r="O5" s="1344">
        <f>H5</f>
        <v>695</v>
      </c>
      <c r="P5" s="699"/>
      <c r="Q5" s="1344" t="str">
        <f>IFERROR(Q6/(Q11+Q67+Q119),"")</f>
        <v/>
      </c>
      <c r="R5" s="1344" t="str">
        <f>IFERROR(O5-Q5,"")</f>
        <v/>
      </c>
      <c r="S5" s="698"/>
      <c r="T5" s="1344">
        <f>H5</f>
        <v>695</v>
      </c>
      <c r="U5" s="700"/>
      <c r="V5" s="1344">
        <f>IFERROR(V6/(V11+V67+V119),"")</f>
        <v>2908.550463240877</v>
      </c>
      <c r="W5" s="1344">
        <f>IFERROR(H5-V5,"")</f>
        <v>-2213.550463240877</v>
      </c>
      <c r="X5" s="701"/>
      <c r="AD5" s="1344">
        <v>695</v>
      </c>
      <c r="AE5" s="699"/>
      <c r="AF5" s="1344">
        <v>9368.9577479186974</v>
      </c>
      <c r="AG5" s="1344">
        <v>-8673.9577479186974</v>
      </c>
    </row>
    <row r="6" spans="1:33" s="694" customFormat="1" ht="13.5" customHeight="1" thickBot="1">
      <c r="B6" s="702" t="s">
        <v>174</v>
      </c>
      <c r="C6" s="703"/>
      <c r="E6" s="1345">
        <f>IFERROR(E5*(E11+E67),"")</f>
        <v>18719141.815000001</v>
      </c>
      <c r="F6" s="1345">
        <f>IFERROR(F5*(F11+F67),"")</f>
        <v>0</v>
      </c>
      <c r="G6" s="1345">
        <f>IFERROR(G5*(G11+G67),"")</f>
        <v>0</v>
      </c>
      <c r="H6" s="1345">
        <f>IFERROR(H5*(H11+H67),"")</f>
        <v>18719141.815000001</v>
      </c>
      <c r="I6" s="703"/>
      <c r="J6" s="1345">
        <f>IFERROR(J5*(J11+J67),"")</f>
        <v>3912070.3490000009</v>
      </c>
      <c r="L6" s="1345">
        <f>IFERROR(Q6+AF6,"")</f>
        <v>81383517.060000002</v>
      </c>
      <c r="M6" s="1345">
        <f>IFERROR(J6-L6,"")</f>
        <v>-77471446.710999995</v>
      </c>
      <c r="N6" s="703"/>
      <c r="O6" s="1345">
        <f>IFERROR(O5*(O11+O67),"")</f>
        <v>0</v>
      </c>
      <c r="Q6" s="1346"/>
      <c r="R6" s="1345">
        <f>IFERROR(O6-Q6,"")</f>
        <v>0</v>
      </c>
      <c r="S6" s="703"/>
      <c r="T6" s="1345">
        <f>IFERROR(T5*(T11+T67),"")</f>
        <v>17711379.421890046</v>
      </c>
      <c r="U6" s="704"/>
      <c r="V6" s="1345">
        <f>IFERROR(L6+T6,"")</f>
        <v>99094896.481890053</v>
      </c>
      <c r="W6" s="1345">
        <f>IFERROR(H6-V6,"")</f>
        <v>-80375754.666890055</v>
      </c>
      <c r="X6" s="705"/>
      <c r="AD6" s="1345">
        <v>3912070.3490000009</v>
      </c>
      <c r="AF6" s="1345">
        <v>81383517.060000002</v>
      </c>
      <c r="AG6" s="1345">
        <v>-77471446.710999995</v>
      </c>
    </row>
    <row r="7" spans="1:33" ht="13.5" customHeight="1" thickBot="1">
      <c r="A7" s="706"/>
      <c r="B7" s="706"/>
      <c r="C7" s="707"/>
      <c r="E7" s="708"/>
      <c r="F7" s="709"/>
      <c r="G7" s="709"/>
      <c r="H7" s="709"/>
      <c r="I7" s="707"/>
      <c r="J7" s="710" t="s">
        <v>185</v>
      </c>
      <c r="K7" s="710"/>
      <c r="L7" s="706"/>
      <c r="M7" s="706"/>
      <c r="N7" s="707"/>
      <c r="O7" s="706"/>
      <c r="P7" s="710"/>
      <c r="Q7" s="706"/>
      <c r="R7" s="706"/>
      <c r="S7" s="707"/>
      <c r="T7" s="706"/>
      <c r="U7" s="711"/>
      <c r="V7" s="706"/>
      <c r="W7" s="706"/>
      <c r="X7" s="712"/>
      <c r="AD7" s="710" t="s">
        <v>185</v>
      </c>
      <c r="AE7" s="710"/>
      <c r="AF7" s="706"/>
      <c r="AG7" s="706"/>
    </row>
    <row r="8" spans="1:33" ht="18" customHeight="1" thickBot="1">
      <c r="A8" s="706"/>
      <c r="B8" s="713"/>
      <c r="C8" s="714"/>
      <c r="E8" s="1502" t="s">
        <v>186</v>
      </c>
      <c r="F8" s="1503" t="s">
        <v>187</v>
      </c>
      <c r="G8" s="1503" t="s">
        <v>71</v>
      </c>
      <c r="H8" s="1504" t="s">
        <v>329</v>
      </c>
      <c r="I8" s="715"/>
      <c r="J8" s="1723" t="s">
        <v>188</v>
      </c>
      <c r="K8" s="1724"/>
      <c r="L8" s="1724"/>
      <c r="M8" s="1725"/>
      <c r="N8" s="714"/>
      <c r="O8" s="1726" t="s">
        <v>189</v>
      </c>
      <c r="P8" s="1727"/>
      <c r="Q8" s="1727"/>
      <c r="R8" s="1728"/>
      <c r="S8" s="714"/>
      <c r="T8" s="1505" t="s">
        <v>190</v>
      </c>
      <c r="U8" s="716"/>
      <c r="V8" s="1729" t="s">
        <v>191</v>
      </c>
      <c r="W8" s="1730"/>
      <c r="X8" s="717"/>
      <c r="AD8" s="1731" t="s">
        <v>192</v>
      </c>
      <c r="AE8" s="1732"/>
      <c r="AF8" s="1732"/>
      <c r="AG8" s="1733"/>
    </row>
    <row r="9" spans="1:33">
      <c r="A9" s="1713" t="s">
        <v>193</v>
      </c>
      <c r="B9" s="1715" t="s">
        <v>194</v>
      </c>
      <c r="C9" s="714" t="s">
        <v>195</v>
      </c>
      <c r="D9" s="1506" t="s">
        <v>196</v>
      </c>
      <c r="E9" s="1717" t="s">
        <v>171</v>
      </c>
      <c r="F9" s="1718" t="s">
        <v>171</v>
      </c>
      <c r="G9" s="1718" t="s">
        <v>171</v>
      </c>
      <c r="H9" s="1734" t="s">
        <v>171</v>
      </c>
      <c r="I9" s="714" t="s">
        <v>195</v>
      </c>
      <c r="J9" s="1736" t="s">
        <v>197</v>
      </c>
      <c r="K9" s="1737"/>
      <c r="L9" s="1507" t="s">
        <v>198</v>
      </c>
      <c r="M9" s="1508" t="s">
        <v>199</v>
      </c>
      <c r="N9" s="714" t="s">
        <v>195</v>
      </c>
      <c r="O9" s="1738" t="s">
        <v>197</v>
      </c>
      <c r="P9" s="1739"/>
      <c r="Q9" s="1509" t="s">
        <v>198</v>
      </c>
      <c r="R9" s="1510" t="s">
        <v>199</v>
      </c>
      <c r="S9" s="714" t="s">
        <v>195</v>
      </c>
      <c r="T9" s="1740" t="s">
        <v>200</v>
      </c>
      <c r="U9" s="716" t="s">
        <v>195</v>
      </c>
      <c r="V9" s="1511" t="s">
        <v>198</v>
      </c>
      <c r="W9" s="1508" t="s">
        <v>201</v>
      </c>
      <c r="X9" s="717"/>
      <c r="AD9" s="1738" t="s">
        <v>197</v>
      </c>
      <c r="AE9" s="1737"/>
      <c r="AF9" s="1507" t="s">
        <v>198</v>
      </c>
      <c r="AG9" s="1512" t="s">
        <v>199</v>
      </c>
    </row>
    <row r="10" spans="1:33" ht="13.5" customHeight="1" thickBot="1">
      <c r="A10" s="1714"/>
      <c r="B10" s="1716"/>
      <c r="C10" s="707"/>
      <c r="D10" s="1347" t="s">
        <v>202</v>
      </c>
      <c r="E10" s="1714"/>
      <c r="F10" s="1719"/>
      <c r="G10" s="1719"/>
      <c r="H10" s="1735"/>
      <c r="I10" s="707"/>
      <c r="J10" s="1348" t="s">
        <v>171</v>
      </c>
      <c r="K10" s="718" t="s">
        <v>43</v>
      </c>
      <c r="L10" s="719" t="s">
        <v>171</v>
      </c>
      <c r="M10" s="1513" t="s">
        <v>171</v>
      </c>
      <c r="N10" s="707"/>
      <c r="O10" s="720" t="s">
        <v>171</v>
      </c>
      <c r="P10" s="721" t="s">
        <v>43</v>
      </c>
      <c r="Q10" s="722" t="s">
        <v>171</v>
      </c>
      <c r="R10" s="723" t="s">
        <v>171</v>
      </c>
      <c r="S10" s="707"/>
      <c r="T10" s="1741"/>
      <c r="U10" s="711"/>
      <c r="V10" s="1348" t="s">
        <v>171</v>
      </c>
      <c r="W10" s="1513" t="s">
        <v>171</v>
      </c>
      <c r="X10" s="717"/>
      <c r="AD10" s="724" t="s">
        <v>171</v>
      </c>
      <c r="AE10" s="719" t="s">
        <v>43</v>
      </c>
      <c r="AF10" s="719" t="s">
        <v>171</v>
      </c>
      <c r="AG10" s="725" t="s">
        <v>171</v>
      </c>
    </row>
    <row r="11" spans="1:33" s="730" customFormat="1" ht="19.5" customHeight="1" thickBot="1">
      <c r="A11" s="1441"/>
      <c r="B11" s="1442" t="s">
        <v>203</v>
      </c>
      <c r="C11" s="726"/>
      <c r="D11" s="1443" t="s">
        <v>178</v>
      </c>
      <c r="E11" s="1444">
        <f>E12+E24+E35+E38+E41+E57</f>
        <v>13751.581</v>
      </c>
      <c r="F11" s="1445">
        <f>F12+F24+F35+F38+F41+F57</f>
        <v>0</v>
      </c>
      <c r="G11" s="1445">
        <f>G12+G24+G35+G38+G41+G57</f>
        <v>0</v>
      </c>
      <c r="H11" s="1446">
        <f>H12+H24+H35+H38+H41+H57</f>
        <v>13751.581</v>
      </c>
      <c r="I11" s="726"/>
      <c r="J11" s="1349">
        <f>J12+J24+J35+J38+J41+J57</f>
        <v>1627.4422000000002</v>
      </c>
      <c r="K11" s="1350">
        <f>IFERROR(J11/H11,"")</f>
        <v>0.11834582510912746</v>
      </c>
      <c r="L11" s="1351">
        <f>L12+L24+L35+L38+L41+L57</f>
        <v>1825.913</v>
      </c>
      <c r="M11" s="1352">
        <f>M12+M24+M35+M38+M41+M57</f>
        <v>-198.47080000000014</v>
      </c>
      <c r="N11" s="726"/>
      <c r="O11" s="1353">
        <f>O12+O24+O35+O38+O41+O57</f>
        <v>0</v>
      </c>
      <c r="P11" s="1354">
        <f>IFERROR(O11/H11,"")</f>
        <v>0</v>
      </c>
      <c r="Q11" s="1355">
        <f>Q12+Q24+Q35+Q38+Q41+Q57</f>
        <v>0</v>
      </c>
      <c r="R11" s="1356">
        <f>R12+R24+R35+R38+R41+R57</f>
        <v>0</v>
      </c>
      <c r="S11" s="726"/>
      <c r="T11" s="1357">
        <f>T12+T24+T35+T38+T41+T57</f>
        <v>11695.648775235459</v>
      </c>
      <c r="U11" s="728"/>
      <c r="V11" s="1358">
        <f>V12+V24+V35+V38+V41+V57</f>
        <v>13521.561775235459</v>
      </c>
      <c r="W11" s="1359">
        <f>W12+W24+W35+W38+W41+W57</f>
        <v>230.0192247645391</v>
      </c>
      <c r="X11" s="729"/>
      <c r="AD11" s="1360">
        <v>1627.4422000000002</v>
      </c>
      <c r="AE11" s="1361">
        <v>0.1513677104790449</v>
      </c>
      <c r="AF11" s="1362">
        <v>1825.913</v>
      </c>
      <c r="AG11" s="1363">
        <v>-198.47080000000014</v>
      </c>
    </row>
    <row r="12" spans="1:33" s="733" customFormat="1" ht="19.5" customHeight="1" thickBot="1">
      <c r="A12" s="1419" t="s">
        <v>205</v>
      </c>
      <c r="B12" s="1420" t="s">
        <v>206</v>
      </c>
      <c r="C12" s="731"/>
      <c r="D12" s="1421" t="s">
        <v>178</v>
      </c>
      <c r="E12" s="1422">
        <f>SUM(E13:E23)</f>
        <v>5344.6</v>
      </c>
      <c r="F12" s="1364">
        <f>SUM(F13:F23)</f>
        <v>0</v>
      </c>
      <c r="G12" s="1364">
        <f>SUM(G13:G23)</f>
        <v>0</v>
      </c>
      <c r="H12" s="1409">
        <f>SUM(H13:H23)</f>
        <v>5344.6</v>
      </c>
      <c r="I12" s="731"/>
      <c r="J12" s="1365">
        <f>SUM(J13:J23)</f>
        <v>1558.2107000000001</v>
      </c>
      <c r="K12" s="1366">
        <f>IFERROR(J12/H12,"")</f>
        <v>0.29154860981177261</v>
      </c>
      <c r="L12" s="1367">
        <f>SUM(L13:L23)</f>
        <v>1737.913</v>
      </c>
      <c r="M12" s="1368">
        <f>SUM(M13:M23)</f>
        <v>-179.70230000000015</v>
      </c>
      <c r="N12" s="731"/>
      <c r="O12" s="1369">
        <f>SUM(O13:O23)</f>
        <v>0</v>
      </c>
      <c r="P12" s="1370">
        <f t="shared" ref="P12:P60" si="0">IFERROR(O12/H12,"")</f>
        <v>0</v>
      </c>
      <c r="Q12" s="1371">
        <f>SUM(Q13:Q23)</f>
        <v>0</v>
      </c>
      <c r="R12" s="1372">
        <f>SUM(R13:R23)</f>
        <v>0</v>
      </c>
      <c r="S12" s="731"/>
      <c r="T12" s="1373">
        <f>SUM(T13:T23)</f>
        <v>1057.6306823200871</v>
      </c>
      <c r="U12" s="732"/>
      <c r="V12" s="1365">
        <f>SUM(V13:V23)</f>
        <v>2795.5436823200871</v>
      </c>
      <c r="W12" s="1368">
        <f>SUM(W13:W23)</f>
        <v>2549.0563176799124</v>
      </c>
      <c r="X12" s="729"/>
      <c r="AD12" s="1374">
        <v>1558.2107000000001</v>
      </c>
      <c r="AE12" s="1375">
        <v>0.66459553868463694</v>
      </c>
      <c r="AF12" s="1376">
        <v>1737.913</v>
      </c>
      <c r="AG12" s="1377">
        <v>-179.70230000000015</v>
      </c>
    </row>
    <row r="13" spans="1:33" s="737" customFormat="1" ht="15" customHeight="1">
      <c r="A13" s="1378"/>
      <c r="B13" s="1379" t="s">
        <v>207</v>
      </c>
      <c r="C13" s="707"/>
      <c r="D13" s="1380" t="s">
        <v>178</v>
      </c>
      <c r="E13" s="1381">
        <v>158</v>
      </c>
      <c r="F13" s="1382"/>
      <c r="G13" s="1382"/>
      <c r="H13" s="1383">
        <f>SUM(E13:G13)</f>
        <v>158</v>
      </c>
      <c r="I13" s="707"/>
      <c r="J13" s="1384">
        <f>H13*K13/100</f>
        <v>112.18</v>
      </c>
      <c r="K13" s="1385">
        <v>71</v>
      </c>
      <c r="L13" s="1382">
        <f>Q13+AF13</f>
        <v>161.57</v>
      </c>
      <c r="M13" s="1383">
        <f>J13-L13</f>
        <v>-49.389999999999986</v>
      </c>
      <c r="N13" s="707"/>
      <c r="O13" s="1386">
        <f>J13-AD13</f>
        <v>0</v>
      </c>
      <c r="P13" s="1387">
        <f t="shared" si="0"/>
        <v>0</v>
      </c>
      <c r="Q13" s="1388"/>
      <c r="R13" s="1389">
        <f>O13-Q13</f>
        <v>0</v>
      </c>
      <c r="S13" s="707"/>
      <c r="T13" s="1390">
        <v>65.622650000000021</v>
      </c>
      <c r="U13" s="735"/>
      <c r="V13" s="1384">
        <f>+L13+T13</f>
        <v>227.19265000000001</v>
      </c>
      <c r="W13" s="1383">
        <f>H13-V13</f>
        <v>-69.192650000000015</v>
      </c>
      <c r="X13" s="736"/>
      <c r="AD13" s="1391">
        <v>112.18</v>
      </c>
      <c r="AE13" s="1392">
        <v>71</v>
      </c>
      <c r="AF13" s="1393">
        <v>161.57</v>
      </c>
      <c r="AG13" s="1394">
        <v>-49.389999999999986</v>
      </c>
    </row>
    <row r="14" spans="1:33" s="737" customFormat="1" ht="15" customHeight="1">
      <c r="A14" s="1378"/>
      <c r="B14" s="1379" t="s">
        <v>208</v>
      </c>
      <c r="C14" s="707"/>
      <c r="D14" s="1380" t="s">
        <v>178</v>
      </c>
      <c r="E14" s="1381">
        <v>390</v>
      </c>
      <c r="F14" s="1382"/>
      <c r="G14" s="1382"/>
      <c r="H14" s="1383">
        <f t="shared" ref="H14:H20" si="1">SUM(E14:G14)</f>
        <v>390</v>
      </c>
      <c r="I14" s="707"/>
      <c r="J14" s="1384">
        <f t="shared" ref="J14:J20" si="2">H14*K14/100</f>
        <v>261.3</v>
      </c>
      <c r="K14" s="1385">
        <v>67</v>
      </c>
      <c r="L14" s="1382">
        <f t="shared" ref="L14:L20" si="3">Q14+AF14</f>
        <v>1.5</v>
      </c>
      <c r="M14" s="1383">
        <f t="shared" ref="M14:M20" si="4">J14-L14</f>
        <v>259.8</v>
      </c>
      <c r="N14" s="707"/>
      <c r="O14" s="1386">
        <f t="shared" ref="O14:O20" si="5">J14-AD14</f>
        <v>0</v>
      </c>
      <c r="P14" s="1387">
        <f t="shared" si="0"/>
        <v>0</v>
      </c>
      <c r="Q14" s="1388"/>
      <c r="R14" s="1389">
        <f t="shared" ref="R14:R20" si="6">O14-Q14</f>
        <v>0</v>
      </c>
      <c r="S14" s="707"/>
      <c r="T14" s="1390">
        <v>0.8640000000000001</v>
      </c>
      <c r="U14" s="735"/>
      <c r="V14" s="1384">
        <f t="shared" ref="V14:V20" si="7">+L14+T14</f>
        <v>2.3639999999999999</v>
      </c>
      <c r="W14" s="1383">
        <f t="shared" ref="W14:W20" si="8">H14-V14</f>
        <v>387.63600000000002</v>
      </c>
      <c r="X14" s="736"/>
      <c r="AD14" s="1391">
        <v>261.3</v>
      </c>
      <c r="AE14" s="1392">
        <v>67</v>
      </c>
      <c r="AF14" s="1393">
        <v>1.5</v>
      </c>
      <c r="AG14" s="1394">
        <v>259.8</v>
      </c>
    </row>
    <row r="15" spans="1:33" s="737" customFormat="1" ht="15" customHeight="1">
      <c r="A15" s="1378"/>
      <c r="B15" s="1379" t="s">
        <v>209</v>
      </c>
      <c r="C15" s="707"/>
      <c r="D15" s="1380" t="s">
        <v>178</v>
      </c>
      <c r="E15" s="1381">
        <v>3000</v>
      </c>
      <c r="F15" s="1382"/>
      <c r="G15" s="1382"/>
      <c r="H15" s="1383">
        <f t="shared" si="1"/>
        <v>3000</v>
      </c>
      <c r="I15" s="707"/>
      <c r="J15" s="1384">
        <f t="shared" si="2"/>
        <v>0</v>
      </c>
      <c r="K15" s="1385">
        <v>0</v>
      </c>
      <c r="L15" s="1382">
        <f t="shared" si="3"/>
        <v>83</v>
      </c>
      <c r="M15" s="1383">
        <f t="shared" si="4"/>
        <v>-83</v>
      </c>
      <c r="N15" s="707"/>
      <c r="O15" s="1386">
        <f t="shared" si="5"/>
        <v>0</v>
      </c>
      <c r="P15" s="1387">
        <f t="shared" si="0"/>
        <v>0</v>
      </c>
      <c r="Q15" s="1388"/>
      <c r="R15" s="1389">
        <f t="shared" si="6"/>
        <v>0</v>
      </c>
      <c r="S15" s="707"/>
      <c r="T15" s="1390">
        <v>0</v>
      </c>
      <c r="U15" s="735"/>
      <c r="V15" s="1384">
        <f t="shared" si="7"/>
        <v>83</v>
      </c>
      <c r="W15" s="1383">
        <f t="shared" si="8"/>
        <v>2917</v>
      </c>
      <c r="X15" s="736"/>
      <c r="AD15" s="1391">
        <v>0</v>
      </c>
      <c r="AE15" s="1392">
        <v>0</v>
      </c>
      <c r="AF15" s="1393">
        <v>83</v>
      </c>
      <c r="AG15" s="1394">
        <v>-83</v>
      </c>
    </row>
    <row r="16" spans="1:33" s="737" customFormat="1" ht="15" customHeight="1">
      <c r="A16" s="1378"/>
      <c r="B16" s="1379" t="s">
        <v>210</v>
      </c>
      <c r="C16" s="707"/>
      <c r="D16" s="1380" t="s">
        <v>178</v>
      </c>
      <c r="E16" s="1381">
        <v>203</v>
      </c>
      <c r="F16" s="1382"/>
      <c r="G16" s="1382"/>
      <c r="H16" s="1383">
        <f t="shared" si="1"/>
        <v>203</v>
      </c>
      <c r="I16" s="707"/>
      <c r="J16" s="1384">
        <f t="shared" si="2"/>
        <v>99.47</v>
      </c>
      <c r="K16" s="1385">
        <v>49</v>
      </c>
      <c r="L16" s="1382">
        <f t="shared" si="3"/>
        <v>20.5</v>
      </c>
      <c r="M16" s="1383">
        <f t="shared" si="4"/>
        <v>78.97</v>
      </c>
      <c r="N16" s="707"/>
      <c r="O16" s="1386">
        <f t="shared" si="5"/>
        <v>0</v>
      </c>
      <c r="P16" s="1387">
        <f t="shared" si="0"/>
        <v>0</v>
      </c>
      <c r="Q16" s="1388"/>
      <c r="R16" s="1389">
        <f t="shared" si="6"/>
        <v>0</v>
      </c>
      <c r="S16" s="707"/>
      <c r="T16" s="1390">
        <v>21.7196</v>
      </c>
      <c r="U16" s="735"/>
      <c r="V16" s="1384">
        <f t="shared" si="7"/>
        <v>42.2196</v>
      </c>
      <c r="W16" s="1383">
        <f t="shared" si="8"/>
        <v>160.78039999999999</v>
      </c>
      <c r="X16" s="736"/>
      <c r="AD16" s="1391">
        <v>99.47</v>
      </c>
      <c r="AE16" s="1392">
        <v>49</v>
      </c>
      <c r="AF16" s="1393">
        <v>20.5</v>
      </c>
      <c r="AG16" s="1394">
        <v>78.97</v>
      </c>
    </row>
    <row r="17" spans="1:33" s="737" customFormat="1" ht="15" customHeight="1">
      <c r="A17" s="1378"/>
      <c r="B17" s="1379" t="s">
        <v>211</v>
      </c>
      <c r="C17" s="707"/>
      <c r="D17" s="1380" t="s">
        <v>178</v>
      </c>
      <c r="E17" s="1381">
        <v>1063.47</v>
      </c>
      <c r="F17" s="1382"/>
      <c r="G17" s="1382"/>
      <c r="H17" s="1383">
        <f t="shared" si="1"/>
        <v>1063.47</v>
      </c>
      <c r="I17" s="707"/>
      <c r="J17" s="1384">
        <f t="shared" si="2"/>
        <v>840.1413</v>
      </c>
      <c r="K17" s="1385">
        <v>79</v>
      </c>
      <c r="L17" s="1382">
        <f t="shared" si="3"/>
        <v>284.23</v>
      </c>
      <c r="M17" s="1383">
        <f t="shared" si="4"/>
        <v>555.91129999999998</v>
      </c>
      <c r="N17" s="707"/>
      <c r="O17" s="1386">
        <f t="shared" si="5"/>
        <v>0</v>
      </c>
      <c r="P17" s="1387">
        <f t="shared" si="0"/>
        <v>0</v>
      </c>
      <c r="Q17" s="1388"/>
      <c r="R17" s="1389">
        <f t="shared" si="6"/>
        <v>0</v>
      </c>
      <c r="S17" s="707"/>
      <c r="T17" s="1390">
        <v>78.937500000000057</v>
      </c>
      <c r="U17" s="735"/>
      <c r="V17" s="1384">
        <f t="shared" si="7"/>
        <v>363.16750000000008</v>
      </c>
      <c r="W17" s="1383">
        <f t="shared" si="8"/>
        <v>700.30250000000001</v>
      </c>
      <c r="X17" s="736"/>
      <c r="AD17" s="1391">
        <v>840.1413</v>
      </c>
      <c r="AE17" s="1392">
        <v>79</v>
      </c>
      <c r="AF17" s="1393">
        <v>284.23</v>
      </c>
      <c r="AG17" s="1394">
        <v>555.91129999999998</v>
      </c>
    </row>
    <row r="18" spans="1:33" s="737" customFormat="1" ht="15" customHeight="1">
      <c r="A18" s="1378"/>
      <c r="B18" s="1379" t="s">
        <v>212</v>
      </c>
      <c r="C18" s="707"/>
      <c r="D18" s="1380" t="s">
        <v>178</v>
      </c>
      <c r="E18" s="1381">
        <v>81</v>
      </c>
      <c r="F18" s="1382"/>
      <c r="G18" s="1382"/>
      <c r="H18" s="1383">
        <f t="shared" si="1"/>
        <v>81</v>
      </c>
      <c r="I18" s="707"/>
      <c r="J18" s="1384">
        <f t="shared" si="2"/>
        <v>50.22</v>
      </c>
      <c r="K18" s="1385">
        <v>62</v>
      </c>
      <c r="L18" s="1382">
        <f t="shared" si="3"/>
        <v>98.712999999999994</v>
      </c>
      <c r="M18" s="1383">
        <f t="shared" si="4"/>
        <v>-48.492999999999995</v>
      </c>
      <c r="N18" s="707"/>
      <c r="O18" s="1386">
        <f t="shared" si="5"/>
        <v>0</v>
      </c>
      <c r="P18" s="1387">
        <f t="shared" si="0"/>
        <v>0</v>
      </c>
      <c r="Q18" s="1388"/>
      <c r="R18" s="1389">
        <f t="shared" si="6"/>
        <v>0</v>
      </c>
      <c r="S18" s="707"/>
      <c r="T18" s="1390">
        <v>175.37399999999985</v>
      </c>
      <c r="U18" s="735"/>
      <c r="V18" s="1384">
        <f t="shared" si="7"/>
        <v>274.08699999999988</v>
      </c>
      <c r="W18" s="1383">
        <f t="shared" si="8"/>
        <v>-193.08699999999988</v>
      </c>
      <c r="X18" s="736"/>
      <c r="AD18" s="1391">
        <v>50.22</v>
      </c>
      <c r="AE18" s="1392">
        <v>62</v>
      </c>
      <c r="AF18" s="1393">
        <v>98.712999999999994</v>
      </c>
      <c r="AG18" s="1394">
        <v>-48.492999999999995</v>
      </c>
    </row>
    <row r="19" spans="1:33" s="737" customFormat="1" ht="15" customHeight="1">
      <c r="A19" s="1378"/>
      <c r="B19" s="1379" t="s">
        <v>213</v>
      </c>
      <c r="C19" s="707"/>
      <c r="D19" s="1380" t="s">
        <v>178</v>
      </c>
      <c r="E19" s="1381">
        <v>11.2</v>
      </c>
      <c r="F19" s="1382"/>
      <c r="G19" s="1382"/>
      <c r="H19" s="1383">
        <f t="shared" si="1"/>
        <v>11.2</v>
      </c>
      <c r="I19" s="707"/>
      <c r="J19" s="1384">
        <f t="shared" si="2"/>
        <v>8.9600000000000009</v>
      </c>
      <c r="K19" s="1385">
        <v>80</v>
      </c>
      <c r="L19" s="1382">
        <f t="shared" si="3"/>
        <v>5.92</v>
      </c>
      <c r="M19" s="1383">
        <f t="shared" si="4"/>
        <v>3.0400000000000009</v>
      </c>
      <c r="N19" s="707"/>
      <c r="O19" s="1386">
        <f t="shared" si="5"/>
        <v>0</v>
      </c>
      <c r="P19" s="1387">
        <f t="shared" si="0"/>
        <v>0</v>
      </c>
      <c r="Q19" s="1388"/>
      <c r="R19" s="1389">
        <f t="shared" si="6"/>
        <v>0</v>
      </c>
      <c r="S19" s="707"/>
      <c r="T19" s="1390">
        <v>6.3125030332571939</v>
      </c>
      <c r="U19" s="735"/>
      <c r="V19" s="1384">
        <f t="shared" si="7"/>
        <v>12.232503033257194</v>
      </c>
      <c r="W19" s="1383">
        <f t="shared" si="8"/>
        <v>-1.0325030332571945</v>
      </c>
      <c r="X19" s="736"/>
      <c r="AD19" s="1391">
        <v>8.9600000000000009</v>
      </c>
      <c r="AE19" s="1392">
        <v>80</v>
      </c>
      <c r="AF19" s="1393">
        <v>5.92</v>
      </c>
      <c r="AG19" s="1394">
        <v>3.0400000000000009</v>
      </c>
    </row>
    <row r="20" spans="1:33" s="737" customFormat="1" ht="15" customHeight="1">
      <c r="A20" s="1378"/>
      <c r="B20" s="1379" t="s">
        <v>214</v>
      </c>
      <c r="C20" s="707"/>
      <c r="D20" s="1380" t="s">
        <v>178</v>
      </c>
      <c r="E20" s="1381">
        <v>111.93</v>
      </c>
      <c r="F20" s="1382"/>
      <c r="G20" s="1382"/>
      <c r="H20" s="1383">
        <f t="shared" si="1"/>
        <v>111.93</v>
      </c>
      <c r="I20" s="707"/>
      <c r="J20" s="1384">
        <f t="shared" si="2"/>
        <v>64.91940000000001</v>
      </c>
      <c r="K20" s="1385">
        <v>58</v>
      </c>
      <c r="L20" s="1382">
        <f t="shared" si="3"/>
        <v>63</v>
      </c>
      <c r="M20" s="1383">
        <f t="shared" si="4"/>
        <v>1.9194000000000102</v>
      </c>
      <c r="N20" s="707"/>
      <c r="O20" s="1386">
        <f t="shared" si="5"/>
        <v>0</v>
      </c>
      <c r="P20" s="1387">
        <f t="shared" si="0"/>
        <v>0</v>
      </c>
      <c r="Q20" s="1388"/>
      <c r="R20" s="1389">
        <f t="shared" si="6"/>
        <v>0</v>
      </c>
      <c r="S20" s="707"/>
      <c r="T20" s="1390">
        <v>46.030074999999897</v>
      </c>
      <c r="U20" s="735"/>
      <c r="V20" s="1384">
        <f t="shared" si="7"/>
        <v>109.0300749999999</v>
      </c>
      <c r="W20" s="1383">
        <f t="shared" si="8"/>
        <v>2.8999250000001098</v>
      </c>
      <c r="X20" s="736"/>
      <c r="AD20" s="1391">
        <v>64.91940000000001</v>
      </c>
      <c r="AE20" s="1392">
        <v>58</v>
      </c>
      <c r="AF20" s="1393">
        <v>63</v>
      </c>
      <c r="AG20" s="1394">
        <v>1.9194000000000102</v>
      </c>
    </row>
    <row r="21" spans="1:33" s="737" customFormat="1" ht="15" customHeight="1">
      <c r="A21" s="1378"/>
      <c r="B21" s="1379" t="s">
        <v>215</v>
      </c>
      <c r="C21" s="707"/>
      <c r="D21" s="1380" t="s">
        <v>178</v>
      </c>
      <c r="E21" s="1381">
        <v>252</v>
      </c>
      <c r="F21" s="1382"/>
      <c r="G21" s="1382"/>
      <c r="H21" s="1383">
        <f>SUM(E21:G21)</f>
        <v>252</v>
      </c>
      <c r="I21" s="707"/>
      <c r="J21" s="1384">
        <f>H21*K21/100</f>
        <v>65.52</v>
      </c>
      <c r="K21" s="1385">
        <v>26</v>
      </c>
      <c r="L21" s="1382">
        <f>Q21+AF21</f>
        <v>97.5</v>
      </c>
      <c r="M21" s="1383">
        <f>J21-L21</f>
        <v>-31.980000000000004</v>
      </c>
      <c r="N21" s="707"/>
      <c r="O21" s="1386">
        <f>J21-AD21</f>
        <v>0</v>
      </c>
      <c r="P21" s="1387">
        <f t="shared" si="0"/>
        <v>0</v>
      </c>
      <c r="Q21" s="1388"/>
      <c r="R21" s="1389">
        <f>O21-Q21</f>
        <v>0</v>
      </c>
      <c r="S21" s="707"/>
      <c r="T21" s="1390">
        <v>360.06435428683005</v>
      </c>
      <c r="U21" s="735"/>
      <c r="V21" s="1384">
        <f>+L21+T21</f>
        <v>457.56435428683005</v>
      </c>
      <c r="W21" s="1383">
        <f>H21-V21</f>
        <v>-205.56435428683005</v>
      </c>
      <c r="X21" s="736"/>
      <c r="AD21" s="1391">
        <v>65.52</v>
      </c>
      <c r="AE21" s="1392">
        <v>26</v>
      </c>
      <c r="AF21" s="1393">
        <v>97.5</v>
      </c>
      <c r="AG21" s="1394">
        <v>-31.980000000000004</v>
      </c>
    </row>
    <row r="22" spans="1:33" s="737" customFormat="1" ht="15" customHeight="1">
      <c r="A22" s="1378"/>
      <c r="B22" s="1379" t="s">
        <v>216</v>
      </c>
      <c r="C22" s="707"/>
      <c r="D22" s="1380" t="s">
        <v>178</v>
      </c>
      <c r="E22" s="1381">
        <v>74</v>
      </c>
      <c r="F22" s="1382"/>
      <c r="G22" s="1382"/>
      <c r="H22" s="1383">
        <f t="shared" ref="H22" si="9">SUM(E22:G22)</f>
        <v>74</v>
      </c>
      <c r="I22" s="707"/>
      <c r="J22" s="1384">
        <f>H22*K22/100</f>
        <v>55.5</v>
      </c>
      <c r="K22" s="1385">
        <v>75</v>
      </c>
      <c r="L22" s="1382">
        <f>Q22+AF22</f>
        <v>921.98</v>
      </c>
      <c r="M22" s="1383">
        <f>J22-L22</f>
        <v>-866.48</v>
      </c>
      <c r="N22" s="746"/>
      <c r="O22" s="1386">
        <f t="shared" ref="O22" si="10">J22-AD22</f>
        <v>0</v>
      </c>
      <c r="P22" s="1387">
        <f t="shared" si="0"/>
        <v>0</v>
      </c>
      <c r="Q22" s="1388"/>
      <c r="R22" s="1395">
        <f t="shared" ref="R22" si="11">O22-Q22</f>
        <v>0</v>
      </c>
      <c r="S22" s="707"/>
      <c r="T22" s="1390">
        <v>302.7059999999999</v>
      </c>
      <c r="U22" s="735"/>
      <c r="V22" s="1384">
        <f>+L22+T22</f>
        <v>1224.6859999999999</v>
      </c>
      <c r="W22" s="1383">
        <f t="shared" ref="W22" si="12">H22-V22</f>
        <v>-1150.6859999999999</v>
      </c>
      <c r="X22" s="736"/>
      <c r="AD22" s="1391">
        <v>55.5</v>
      </c>
      <c r="AE22" s="1392">
        <v>75</v>
      </c>
      <c r="AF22" s="1393">
        <v>921.98</v>
      </c>
      <c r="AG22" s="1394">
        <v>-866.48</v>
      </c>
    </row>
    <row r="23" spans="1:33" s="737" customFormat="1" ht="15" customHeight="1" thickBot="1">
      <c r="A23" s="1378"/>
      <c r="B23" s="1379" t="s">
        <v>217</v>
      </c>
      <c r="C23" s="707"/>
      <c r="D23" s="1380" t="s">
        <v>178</v>
      </c>
      <c r="E23" s="1381">
        <v>0</v>
      </c>
      <c r="F23" s="1382"/>
      <c r="G23" s="1382"/>
      <c r="H23" s="1383">
        <f>SUM(E23:G23)</f>
        <v>0</v>
      </c>
      <c r="I23" s="707"/>
      <c r="J23" s="1396">
        <f>H23*K23/100</f>
        <v>0</v>
      </c>
      <c r="K23" s="1397">
        <v>0</v>
      </c>
      <c r="L23" s="1398">
        <f>Q23+AF23</f>
        <v>0</v>
      </c>
      <c r="M23" s="1399">
        <f>J23-L23</f>
        <v>0</v>
      </c>
      <c r="N23" s="707"/>
      <c r="O23" s="1400">
        <f>J23-AD23</f>
        <v>0</v>
      </c>
      <c r="P23" s="1401" t="str">
        <f t="shared" si="0"/>
        <v/>
      </c>
      <c r="Q23" s="1402"/>
      <c r="R23" s="1403">
        <f>O23-Q23</f>
        <v>0</v>
      </c>
      <c r="S23" s="707"/>
      <c r="T23" s="1514">
        <v>0</v>
      </c>
      <c r="U23" s="735"/>
      <c r="V23" s="1396">
        <f>+L23+T23</f>
        <v>0</v>
      </c>
      <c r="W23" s="1399">
        <f>H23-V23</f>
        <v>0</v>
      </c>
      <c r="X23" s="736"/>
      <c r="AD23" s="1404">
        <v>0</v>
      </c>
      <c r="AE23" s="1405">
        <v>0</v>
      </c>
      <c r="AF23" s="1406">
        <v>0</v>
      </c>
      <c r="AG23" s="1407">
        <v>0</v>
      </c>
    </row>
    <row r="24" spans="1:33" s="733" customFormat="1" ht="19.5" customHeight="1" thickBot="1">
      <c r="A24" s="1419" t="s">
        <v>218</v>
      </c>
      <c r="B24" s="1420" t="s">
        <v>219</v>
      </c>
      <c r="C24" s="731"/>
      <c r="D24" s="1421" t="s">
        <v>178</v>
      </c>
      <c r="E24" s="1422">
        <f>SUM(E25:E34)</f>
        <v>7949.0910000000003</v>
      </c>
      <c r="F24" s="1364">
        <f>SUM(F25:F34)</f>
        <v>0</v>
      </c>
      <c r="G24" s="1364">
        <f>SUM(G25:G34)</f>
        <v>0</v>
      </c>
      <c r="H24" s="1409">
        <f>SUM(H25:H34)</f>
        <v>7949.0910000000003</v>
      </c>
      <c r="I24" s="731"/>
      <c r="J24" s="1408">
        <f>SUM(J25:J34)</f>
        <v>69.231499999999997</v>
      </c>
      <c r="K24" s="1423">
        <f>IFERROR(J24/H24,"")</f>
        <v>8.7093606048792242E-3</v>
      </c>
      <c r="L24" s="1364">
        <f>SUM(L25:L34)</f>
        <v>88</v>
      </c>
      <c r="M24" s="1409">
        <f>SUM(M25:M34)</f>
        <v>-18.7685</v>
      </c>
      <c r="N24" s="731"/>
      <c r="O24" s="1515">
        <f>SUM(O25:O34)</f>
        <v>0</v>
      </c>
      <c r="P24" s="1516">
        <f t="shared" si="0"/>
        <v>0</v>
      </c>
      <c r="Q24" s="1371">
        <f>SUM(Q25:Q34)</f>
        <v>0</v>
      </c>
      <c r="R24" s="1517">
        <f>SUM(R25:R34)</f>
        <v>0</v>
      </c>
      <c r="S24" s="731"/>
      <c r="T24" s="1518">
        <f>SUM(T25:T34)</f>
        <v>10180.128092915373</v>
      </c>
      <c r="U24" s="732"/>
      <c r="V24" s="1408">
        <f>SUM(V25:V34)</f>
        <v>10268.128092915373</v>
      </c>
      <c r="W24" s="1409">
        <f>SUM(W25:W34)</f>
        <v>-2319.0370929153733</v>
      </c>
      <c r="X24" s="729"/>
      <c r="AD24" s="1415">
        <v>69.231499999999997</v>
      </c>
      <c r="AE24" s="1416">
        <v>8.7093606048792242E-3</v>
      </c>
      <c r="AF24" s="1417">
        <v>88</v>
      </c>
      <c r="AG24" s="1418">
        <v>-18.7685</v>
      </c>
    </row>
    <row r="25" spans="1:33" s="737" customFormat="1" ht="15" customHeight="1">
      <c r="A25" s="1378"/>
      <c r="B25" s="1379" t="s">
        <v>220</v>
      </c>
      <c r="C25" s="707"/>
      <c r="D25" s="1380" t="s">
        <v>178</v>
      </c>
      <c r="E25" s="1381">
        <v>395.15</v>
      </c>
      <c r="F25" s="1382"/>
      <c r="G25" s="1382"/>
      <c r="H25" s="1383">
        <f t="shared" ref="H25:H34" si="13">SUM(E25:G25)</f>
        <v>395.15</v>
      </c>
      <c r="I25" s="707"/>
      <c r="J25" s="1384">
        <f t="shared" ref="J25:J34" si="14">+H25*K25/100</f>
        <v>3.9514999999999998</v>
      </c>
      <c r="K25" s="1385">
        <v>1</v>
      </c>
      <c r="L25" s="1382">
        <f t="shared" ref="L25:L34" si="15">Q25+AF25</f>
        <v>1.5</v>
      </c>
      <c r="M25" s="1383">
        <f t="shared" ref="M25:M34" si="16">J25-L25</f>
        <v>2.4514999999999998</v>
      </c>
      <c r="N25" s="707"/>
      <c r="O25" s="1386">
        <f t="shared" ref="O25:O34" si="17">J25-AD25</f>
        <v>0</v>
      </c>
      <c r="P25" s="1387">
        <f t="shared" si="0"/>
        <v>0</v>
      </c>
      <c r="Q25" s="1388"/>
      <c r="R25" s="1389">
        <f t="shared" ref="R25:R34" si="18">O25-Q25</f>
        <v>0</v>
      </c>
      <c r="S25" s="707"/>
      <c r="T25" s="1390">
        <v>339.98013291536995</v>
      </c>
      <c r="U25" s="735"/>
      <c r="V25" s="1384">
        <f t="shared" ref="V25:V34" si="19">+L25+T25</f>
        <v>341.48013291536995</v>
      </c>
      <c r="W25" s="1383">
        <f t="shared" ref="W25:W34" si="20">H25-V25</f>
        <v>53.669867084630027</v>
      </c>
      <c r="X25" s="736"/>
      <c r="AD25" s="1391">
        <v>3.9514999999999998</v>
      </c>
      <c r="AE25" s="1392">
        <v>1</v>
      </c>
      <c r="AF25" s="1393">
        <v>1.5</v>
      </c>
      <c r="AG25" s="1394">
        <v>2.4514999999999998</v>
      </c>
    </row>
    <row r="26" spans="1:33" s="737" customFormat="1" ht="15" customHeight="1">
      <c r="A26" s="1378"/>
      <c r="B26" s="1379" t="s">
        <v>221</v>
      </c>
      <c r="C26" s="707"/>
      <c r="D26" s="1380" t="s">
        <v>178</v>
      </c>
      <c r="E26" s="1381">
        <v>2176</v>
      </c>
      <c r="F26" s="1382"/>
      <c r="G26" s="1382"/>
      <c r="H26" s="1383">
        <f t="shared" si="13"/>
        <v>2176</v>
      </c>
      <c r="I26" s="707"/>
      <c r="J26" s="1384">
        <f t="shared" si="14"/>
        <v>65.28</v>
      </c>
      <c r="K26" s="1385">
        <v>3</v>
      </c>
      <c r="L26" s="1382">
        <f t="shared" si="15"/>
        <v>86.5</v>
      </c>
      <c r="M26" s="1383">
        <f t="shared" si="16"/>
        <v>-21.22</v>
      </c>
      <c r="N26" s="707"/>
      <c r="O26" s="1386">
        <f t="shared" si="17"/>
        <v>0</v>
      </c>
      <c r="P26" s="1387">
        <f t="shared" si="0"/>
        <v>0</v>
      </c>
      <c r="Q26" s="1388"/>
      <c r="R26" s="1389">
        <f t="shared" si="18"/>
        <v>0</v>
      </c>
      <c r="S26" s="707"/>
      <c r="T26" s="1390">
        <v>3071.2279600000043</v>
      </c>
      <c r="U26" s="735"/>
      <c r="V26" s="1384">
        <f t="shared" si="19"/>
        <v>3157.7279600000043</v>
      </c>
      <c r="W26" s="1383">
        <f t="shared" si="20"/>
        <v>-981.72796000000426</v>
      </c>
      <c r="X26" s="736"/>
      <c r="AD26" s="1391">
        <v>65.28</v>
      </c>
      <c r="AE26" s="1392">
        <v>3</v>
      </c>
      <c r="AF26" s="1393">
        <v>86.5</v>
      </c>
      <c r="AG26" s="1394">
        <v>-21.22</v>
      </c>
    </row>
    <row r="27" spans="1:33" s="737" customFormat="1" ht="15" customHeight="1">
      <c r="A27" s="1378"/>
      <c r="B27" s="1379" t="s">
        <v>222</v>
      </c>
      <c r="C27" s="707"/>
      <c r="D27" s="1380" t="s">
        <v>178</v>
      </c>
      <c r="E27" s="1381">
        <v>371.87</v>
      </c>
      <c r="F27" s="1382"/>
      <c r="G27" s="1382"/>
      <c r="H27" s="1383">
        <f t="shared" si="13"/>
        <v>371.87</v>
      </c>
      <c r="I27" s="707"/>
      <c r="J27" s="1384">
        <f t="shared" si="14"/>
        <v>0</v>
      </c>
      <c r="K27" s="1385">
        <v>0</v>
      </c>
      <c r="L27" s="1382">
        <f t="shared" si="15"/>
        <v>0</v>
      </c>
      <c r="M27" s="1383">
        <f t="shared" si="16"/>
        <v>0</v>
      </c>
      <c r="N27" s="707"/>
      <c r="O27" s="1386">
        <f t="shared" si="17"/>
        <v>0</v>
      </c>
      <c r="P27" s="1387">
        <f t="shared" si="0"/>
        <v>0</v>
      </c>
      <c r="Q27" s="1388"/>
      <c r="R27" s="1389">
        <f t="shared" si="18"/>
        <v>0</v>
      </c>
      <c r="S27" s="707"/>
      <c r="T27" s="1390">
        <v>371.87</v>
      </c>
      <c r="U27" s="735"/>
      <c r="V27" s="1384">
        <f t="shared" si="19"/>
        <v>371.87</v>
      </c>
      <c r="W27" s="1383">
        <f t="shared" si="20"/>
        <v>0</v>
      </c>
      <c r="X27" s="736"/>
      <c r="AD27" s="1391">
        <v>0</v>
      </c>
      <c r="AE27" s="1392">
        <v>0</v>
      </c>
      <c r="AF27" s="1393">
        <v>0</v>
      </c>
      <c r="AG27" s="1394">
        <v>0</v>
      </c>
    </row>
    <row r="28" spans="1:33" s="737" customFormat="1" ht="15" customHeight="1">
      <c r="A28" s="1378"/>
      <c r="B28" s="1379" t="s">
        <v>223</v>
      </c>
      <c r="C28" s="707"/>
      <c r="D28" s="1380" t="s">
        <v>178</v>
      </c>
      <c r="E28" s="1381">
        <v>1511</v>
      </c>
      <c r="F28" s="1382"/>
      <c r="G28" s="1382"/>
      <c r="H28" s="1383">
        <f t="shared" si="13"/>
        <v>1511</v>
      </c>
      <c r="I28" s="707"/>
      <c r="J28" s="1384">
        <f t="shared" si="14"/>
        <v>0</v>
      </c>
      <c r="K28" s="1385">
        <v>0</v>
      </c>
      <c r="L28" s="1382">
        <f t="shared" si="15"/>
        <v>0</v>
      </c>
      <c r="M28" s="1383">
        <f t="shared" si="16"/>
        <v>0</v>
      </c>
      <c r="N28" s="707"/>
      <c r="O28" s="1386">
        <f t="shared" si="17"/>
        <v>0</v>
      </c>
      <c r="P28" s="1387">
        <f t="shared" si="0"/>
        <v>0</v>
      </c>
      <c r="Q28" s="1388"/>
      <c r="R28" s="1389">
        <f t="shared" si="18"/>
        <v>0</v>
      </c>
      <c r="S28" s="707"/>
      <c r="T28" s="1390">
        <v>1511</v>
      </c>
      <c r="U28" s="735"/>
      <c r="V28" s="1384">
        <f t="shared" si="19"/>
        <v>1511</v>
      </c>
      <c r="W28" s="1383">
        <f t="shared" si="20"/>
        <v>0</v>
      </c>
      <c r="X28" s="736"/>
      <c r="AD28" s="1391">
        <v>0</v>
      </c>
      <c r="AE28" s="1392">
        <v>0</v>
      </c>
      <c r="AF28" s="1393">
        <v>0</v>
      </c>
      <c r="AG28" s="1394">
        <v>0</v>
      </c>
    </row>
    <row r="29" spans="1:33" s="737" customFormat="1" ht="15" customHeight="1">
      <c r="A29" s="1378"/>
      <c r="B29" s="1379" t="s">
        <v>224</v>
      </c>
      <c r="C29" s="707"/>
      <c r="D29" s="1380" t="s">
        <v>178</v>
      </c>
      <c r="E29" s="1381">
        <v>1354</v>
      </c>
      <c r="F29" s="1382"/>
      <c r="G29" s="1382"/>
      <c r="H29" s="1383">
        <f t="shared" si="13"/>
        <v>1354</v>
      </c>
      <c r="I29" s="707"/>
      <c r="J29" s="1384">
        <f t="shared" si="14"/>
        <v>0</v>
      </c>
      <c r="K29" s="1385">
        <v>0</v>
      </c>
      <c r="L29" s="1382">
        <f>Q29+AF29</f>
        <v>0</v>
      </c>
      <c r="M29" s="1383">
        <f>J29-L29</f>
        <v>0</v>
      </c>
      <c r="N29" s="707"/>
      <c r="O29" s="1386">
        <f>J29-AD29</f>
        <v>0</v>
      </c>
      <c r="P29" s="1387">
        <f t="shared" si="0"/>
        <v>0</v>
      </c>
      <c r="Q29" s="1388"/>
      <c r="R29" s="1389">
        <f>O29-Q29</f>
        <v>0</v>
      </c>
      <c r="S29" s="707"/>
      <c r="T29" s="1390">
        <v>4716</v>
      </c>
      <c r="U29" s="735"/>
      <c r="V29" s="1384">
        <f>+L29+T29</f>
        <v>4716</v>
      </c>
      <c r="W29" s="1383">
        <f>H29-V29</f>
        <v>-3362</v>
      </c>
      <c r="X29" s="736"/>
      <c r="AD29" s="1391">
        <v>0</v>
      </c>
      <c r="AE29" s="1392">
        <v>0</v>
      </c>
      <c r="AF29" s="1393">
        <v>0</v>
      </c>
      <c r="AG29" s="1394">
        <v>0</v>
      </c>
    </row>
    <row r="30" spans="1:33" s="737" customFormat="1" ht="15" customHeight="1">
      <c r="A30" s="1378"/>
      <c r="B30" s="1379" t="s">
        <v>225</v>
      </c>
      <c r="C30" s="707"/>
      <c r="D30" s="1380" t="s">
        <v>178</v>
      </c>
      <c r="E30" s="1381">
        <v>860.90000000000009</v>
      </c>
      <c r="F30" s="1382"/>
      <c r="G30" s="1382"/>
      <c r="H30" s="1383">
        <f t="shared" si="13"/>
        <v>860.90000000000009</v>
      </c>
      <c r="I30" s="707"/>
      <c r="J30" s="1384">
        <f t="shared" si="14"/>
        <v>0</v>
      </c>
      <c r="K30" s="1385">
        <v>0</v>
      </c>
      <c r="L30" s="1382">
        <f t="shared" si="15"/>
        <v>0</v>
      </c>
      <c r="M30" s="1383">
        <f t="shared" si="16"/>
        <v>0</v>
      </c>
      <c r="N30" s="707"/>
      <c r="O30" s="1386">
        <f t="shared" si="17"/>
        <v>0</v>
      </c>
      <c r="P30" s="1387">
        <f t="shared" si="0"/>
        <v>0</v>
      </c>
      <c r="Q30" s="1388"/>
      <c r="R30" s="1389">
        <f t="shared" si="18"/>
        <v>0</v>
      </c>
      <c r="S30" s="707"/>
      <c r="T30" s="1390">
        <v>0</v>
      </c>
      <c r="U30" s="735"/>
      <c r="V30" s="1384">
        <f t="shared" si="19"/>
        <v>0</v>
      </c>
      <c r="W30" s="1383">
        <f t="shared" si="20"/>
        <v>860.90000000000009</v>
      </c>
      <c r="X30" s="736"/>
      <c r="AD30" s="1391">
        <v>0</v>
      </c>
      <c r="AE30" s="1392">
        <v>0</v>
      </c>
      <c r="AF30" s="1393">
        <v>0</v>
      </c>
      <c r="AG30" s="1394">
        <v>0</v>
      </c>
    </row>
    <row r="31" spans="1:33" s="737" customFormat="1" ht="15" customHeight="1">
      <c r="A31" s="1378"/>
      <c r="B31" s="1379" t="s">
        <v>226</v>
      </c>
      <c r="C31" s="707"/>
      <c r="D31" s="1380" t="s">
        <v>178</v>
      </c>
      <c r="E31" s="1381">
        <v>579.48099999999999</v>
      </c>
      <c r="F31" s="1382"/>
      <c r="G31" s="1382"/>
      <c r="H31" s="1383">
        <f t="shared" si="13"/>
        <v>579.48099999999999</v>
      </c>
      <c r="I31" s="707"/>
      <c r="J31" s="1384">
        <f t="shared" si="14"/>
        <v>0</v>
      </c>
      <c r="K31" s="1385">
        <v>0</v>
      </c>
      <c r="L31" s="1382">
        <f t="shared" si="15"/>
        <v>0</v>
      </c>
      <c r="M31" s="1383">
        <f t="shared" si="16"/>
        <v>0</v>
      </c>
      <c r="N31" s="707"/>
      <c r="O31" s="1386">
        <f t="shared" si="17"/>
        <v>0</v>
      </c>
      <c r="P31" s="1387">
        <f t="shared" si="0"/>
        <v>0</v>
      </c>
      <c r="Q31" s="1388"/>
      <c r="R31" s="1389">
        <f t="shared" si="18"/>
        <v>0</v>
      </c>
      <c r="S31" s="707"/>
      <c r="T31" s="1390">
        <v>0</v>
      </c>
      <c r="U31" s="735"/>
      <c r="V31" s="1384">
        <f t="shared" si="19"/>
        <v>0</v>
      </c>
      <c r="W31" s="1383">
        <f t="shared" si="20"/>
        <v>579.48099999999999</v>
      </c>
      <c r="X31" s="736"/>
      <c r="AD31" s="1391">
        <v>0</v>
      </c>
      <c r="AE31" s="1392">
        <v>0</v>
      </c>
      <c r="AF31" s="1393">
        <v>0</v>
      </c>
      <c r="AG31" s="1394">
        <v>0</v>
      </c>
    </row>
    <row r="32" spans="1:33" s="737" customFormat="1" ht="15" customHeight="1">
      <c r="A32" s="1378"/>
      <c r="B32" s="1379" t="s">
        <v>227</v>
      </c>
      <c r="C32" s="707"/>
      <c r="D32" s="1380" t="s">
        <v>178</v>
      </c>
      <c r="E32" s="1381">
        <v>530.6400000000001</v>
      </c>
      <c r="F32" s="1382"/>
      <c r="G32" s="1382"/>
      <c r="H32" s="1383">
        <f t="shared" si="13"/>
        <v>530.6400000000001</v>
      </c>
      <c r="I32" s="707"/>
      <c r="J32" s="1384">
        <f t="shared" si="14"/>
        <v>0</v>
      </c>
      <c r="K32" s="1385">
        <v>0</v>
      </c>
      <c r="L32" s="1382">
        <f t="shared" si="15"/>
        <v>0</v>
      </c>
      <c r="M32" s="1383">
        <f t="shared" si="16"/>
        <v>0</v>
      </c>
      <c r="N32" s="707"/>
      <c r="O32" s="1386">
        <f t="shared" si="17"/>
        <v>0</v>
      </c>
      <c r="P32" s="1387">
        <f t="shared" si="0"/>
        <v>0</v>
      </c>
      <c r="Q32" s="1388"/>
      <c r="R32" s="1389">
        <f t="shared" si="18"/>
        <v>0</v>
      </c>
      <c r="S32" s="707"/>
      <c r="T32" s="1390">
        <v>0</v>
      </c>
      <c r="U32" s="735"/>
      <c r="V32" s="1384">
        <f t="shared" si="19"/>
        <v>0</v>
      </c>
      <c r="W32" s="1383">
        <f t="shared" si="20"/>
        <v>530.6400000000001</v>
      </c>
      <c r="X32" s="736"/>
      <c r="AD32" s="1391">
        <v>0</v>
      </c>
      <c r="AE32" s="1392">
        <v>0</v>
      </c>
      <c r="AF32" s="1393">
        <v>0</v>
      </c>
      <c r="AG32" s="1394">
        <v>0</v>
      </c>
    </row>
    <row r="33" spans="1:33" s="737" customFormat="1" ht="15" customHeight="1">
      <c r="A33" s="1378"/>
      <c r="B33" s="1379" t="s">
        <v>228</v>
      </c>
      <c r="C33" s="707"/>
      <c r="D33" s="1380" t="s">
        <v>178</v>
      </c>
      <c r="E33" s="1381">
        <v>0</v>
      </c>
      <c r="F33" s="1382"/>
      <c r="G33" s="1382"/>
      <c r="H33" s="1383">
        <f t="shared" si="13"/>
        <v>0</v>
      </c>
      <c r="I33" s="707"/>
      <c r="J33" s="1384">
        <f t="shared" si="14"/>
        <v>0</v>
      </c>
      <c r="K33" s="1385">
        <v>0</v>
      </c>
      <c r="L33" s="1382">
        <f t="shared" si="15"/>
        <v>0</v>
      </c>
      <c r="M33" s="1383">
        <f t="shared" si="16"/>
        <v>0</v>
      </c>
      <c r="N33" s="707"/>
      <c r="O33" s="1386">
        <f t="shared" si="17"/>
        <v>0</v>
      </c>
      <c r="P33" s="1387" t="str">
        <f t="shared" si="0"/>
        <v/>
      </c>
      <c r="Q33" s="1388"/>
      <c r="R33" s="1389">
        <f t="shared" si="18"/>
        <v>0</v>
      </c>
      <c r="S33" s="707"/>
      <c r="T33" s="1390">
        <v>0</v>
      </c>
      <c r="U33" s="735"/>
      <c r="V33" s="1384">
        <f t="shared" si="19"/>
        <v>0</v>
      </c>
      <c r="W33" s="1383">
        <f t="shared" si="20"/>
        <v>0</v>
      </c>
      <c r="X33" s="736"/>
      <c r="AD33" s="1391">
        <v>0</v>
      </c>
      <c r="AE33" s="1392">
        <v>0</v>
      </c>
      <c r="AF33" s="1393">
        <v>0</v>
      </c>
      <c r="AG33" s="1394">
        <v>0</v>
      </c>
    </row>
    <row r="34" spans="1:33" s="737" customFormat="1" ht="15" customHeight="1" thickBot="1">
      <c r="A34" s="1378"/>
      <c r="B34" s="1379" t="s">
        <v>229</v>
      </c>
      <c r="C34" s="707"/>
      <c r="D34" s="1380" t="s">
        <v>178</v>
      </c>
      <c r="E34" s="1381">
        <v>170.05</v>
      </c>
      <c r="F34" s="1382"/>
      <c r="G34" s="1382"/>
      <c r="H34" s="1383">
        <f t="shared" si="13"/>
        <v>170.05</v>
      </c>
      <c r="I34" s="707"/>
      <c r="J34" s="1396">
        <f t="shared" si="14"/>
        <v>0</v>
      </c>
      <c r="K34" s="1397">
        <v>0</v>
      </c>
      <c r="L34" s="1398">
        <f t="shared" si="15"/>
        <v>0</v>
      </c>
      <c r="M34" s="1399">
        <f t="shared" si="16"/>
        <v>0</v>
      </c>
      <c r="N34" s="707"/>
      <c r="O34" s="1400">
        <f t="shared" si="17"/>
        <v>0</v>
      </c>
      <c r="P34" s="1401">
        <f t="shared" si="0"/>
        <v>0</v>
      </c>
      <c r="Q34" s="1402"/>
      <c r="R34" s="1403">
        <f t="shared" si="18"/>
        <v>0</v>
      </c>
      <c r="S34" s="707"/>
      <c r="T34" s="1514">
        <v>170.05</v>
      </c>
      <c r="U34" s="735"/>
      <c r="V34" s="1396">
        <f t="shared" si="19"/>
        <v>170.05</v>
      </c>
      <c r="W34" s="1399">
        <f t="shared" si="20"/>
        <v>0</v>
      </c>
      <c r="X34" s="736"/>
      <c r="AD34" s="1404">
        <v>0</v>
      </c>
      <c r="AE34" s="1405">
        <v>0</v>
      </c>
      <c r="AF34" s="1406">
        <v>0</v>
      </c>
      <c r="AG34" s="1407">
        <v>0</v>
      </c>
    </row>
    <row r="35" spans="1:33" s="733" customFormat="1" ht="19.5" customHeight="1" thickBot="1">
      <c r="A35" s="1419" t="s">
        <v>230</v>
      </c>
      <c r="B35" s="1420" t="s">
        <v>231</v>
      </c>
      <c r="C35" s="731"/>
      <c r="D35" s="1421" t="s">
        <v>178</v>
      </c>
      <c r="E35" s="1422">
        <f>SUM(E36:E37)</f>
        <v>133.84</v>
      </c>
      <c r="F35" s="1364">
        <f>SUM(F36:F37)</f>
        <v>0</v>
      </c>
      <c r="G35" s="1364">
        <f>SUM(G36:G37)</f>
        <v>0</v>
      </c>
      <c r="H35" s="1409">
        <f>SUM(H36:H37)</f>
        <v>133.84</v>
      </c>
      <c r="I35" s="731"/>
      <c r="J35" s="1408">
        <f>SUM(J36:J37)</f>
        <v>0</v>
      </c>
      <c r="K35" s="1423">
        <f>IFERROR(J35/H35,"")</f>
        <v>0</v>
      </c>
      <c r="L35" s="1364">
        <f>SUM(L36:L37)</f>
        <v>0</v>
      </c>
      <c r="M35" s="1409">
        <f>SUM(M36:M37)</f>
        <v>0</v>
      </c>
      <c r="N35" s="731"/>
      <c r="O35" s="1515">
        <f>SUM(O36:O37)</f>
        <v>0</v>
      </c>
      <c r="P35" s="1516">
        <f t="shared" si="0"/>
        <v>0</v>
      </c>
      <c r="Q35" s="1371">
        <f>SUM(Q36:Q37)</f>
        <v>0</v>
      </c>
      <c r="R35" s="1517">
        <f>SUM(R36:R37)</f>
        <v>0</v>
      </c>
      <c r="S35" s="731"/>
      <c r="T35" s="1518">
        <f>SUM(T36:T37)</f>
        <v>133.84</v>
      </c>
      <c r="U35" s="747"/>
      <c r="V35" s="1408">
        <f>SUM(V36:V37)</f>
        <v>133.84</v>
      </c>
      <c r="W35" s="1409">
        <f>SUM(W36:W37)</f>
        <v>0</v>
      </c>
      <c r="X35" s="729"/>
      <c r="AD35" s="1415">
        <v>0</v>
      </c>
      <c r="AE35" s="1416">
        <v>0</v>
      </c>
      <c r="AF35" s="1519">
        <v>0</v>
      </c>
      <c r="AG35" s="1418">
        <v>0</v>
      </c>
    </row>
    <row r="36" spans="1:33" s="737" customFormat="1" ht="15" customHeight="1">
      <c r="A36" s="1378"/>
      <c r="B36" s="1379" t="s">
        <v>232</v>
      </c>
      <c r="C36" s="707"/>
      <c r="D36" s="1380" t="s">
        <v>178</v>
      </c>
      <c r="E36" s="1381">
        <v>111.74000000000001</v>
      </c>
      <c r="F36" s="1382"/>
      <c r="G36" s="1382"/>
      <c r="H36" s="1383">
        <f t="shared" ref="H36:H37" si="21">SUM(E36:G36)</f>
        <v>111.74000000000001</v>
      </c>
      <c r="I36" s="707"/>
      <c r="J36" s="1384">
        <f t="shared" ref="J36:J37" si="22">+H36*K36/100</f>
        <v>0</v>
      </c>
      <c r="K36" s="1385">
        <v>0</v>
      </c>
      <c r="L36" s="1382">
        <f t="shared" ref="L36:L37" si="23">Q36+AF36</f>
        <v>0</v>
      </c>
      <c r="M36" s="1383">
        <f t="shared" ref="M36:M37" si="24">J36-L36</f>
        <v>0</v>
      </c>
      <c r="N36" s="707"/>
      <c r="O36" s="1386">
        <f t="shared" ref="O36:O37" si="25">J36-AD36</f>
        <v>0</v>
      </c>
      <c r="P36" s="1387">
        <f t="shared" si="0"/>
        <v>0</v>
      </c>
      <c r="Q36" s="1388"/>
      <c r="R36" s="1389">
        <f t="shared" ref="R36:R37" si="26">O36-Q36</f>
        <v>0</v>
      </c>
      <c r="S36" s="707"/>
      <c r="T36" s="1390">
        <v>111.74000000000001</v>
      </c>
      <c r="U36" s="735"/>
      <c r="V36" s="1384">
        <f t="shared" ref="V36:V37" si="27">+L36+T36</f>
        <v>111.74000000000001</v>
      </c>
      <c r="W36" s="1383">
        <f t="shared" ref="W36:W37" si="28">H36-V36</f>
        <v>0</v>
      </c>
      <c r="X36" s="736"/>
      <c r="AD36" s="1391">
        <v>0</v>
      </c>
      <c r="AE36" s="1392">
        <v>0</v>
      </c>
      <c r="AF36" s="1393">
        <v>0</v>
      </c>
      <c r="AG36" s="1394">
        <v>0</v>
      </c>
    </row>
    <row r="37" spans="1:33" s="737" customFormat="1" ht="15" customHeight="1" thickBot="1">
      <c r="A37" s="1378"/>
      <c r="B37" s="1379" t="s">
        <v>233</v>
      </c>
      <c r="C37" s="707"/>
      <c r="D37" s="1380" t="s">
        <v>178</v>
      </c>
      <c r="E37" s="1381">
        <v>22.1</v>
      </c>
      <c r="F37" s="1382"/>
      <c r="G37" s="1382"/>
      <c r="H37" s="1383">
        <f t="shared" si="21"/>
        <v>22.1</v>
      </c>
      <c r="I37" s="707"/>
      <c r="J37" s="1396">
        <f t="shared" si="22"/>
        <v>0</v>
      </c>
      <c r="K37" s="1397">
        <v>0</v>
      </c>
      <c r="L37" s="1398">
        <f t="shared" si="23"/>
        <v>0</v>
      </c>
      <c r="M37" s="1399">
        <f t="shared" si="24"/>
        <v>0</v>
      </c>
      <c r="N37" s="707"/>
      <c r="O37" s="1400">
        <f t="shared" si="25"/>
        <v>0</v>
      </c>
      <c r="P37" s="1401">
        <f t="shared" si="0"/>
        <v>0</v>
      </c>
      <c r="Q37" s="1402"/>
      <c r="R37" s="1403">
        <f t="shared" si="26"/>
        <v>0</v>
      </c>
      <c r="S37" s="707"/>
      <c r="T37" s="1514">
        <v>22.1</v>
      </c>
      <c r="U37" s="735"/>
      <c r="V37" s="1396">
        <f t="shared" si="27"/>
        <v>22.1</v>
      </c>
      <c r="W37" s="1399">
        <f t="shared" si="28"/>
        <v>0</v>
      </c>
      <c r="X37" s="736"/>
      <c r="AD37" s="1404">
        <v>0</v>
      </c>
      <c r="AE37" s="1405">
        <v>0</v>
      </c>
      <c r="AF37" s="1406">
        <v>0</v>
      </c>
      <c r="AG37" s="1407">
        <v>0</v>
      </c>
    </row>
    <row r="38" spans="1:33" s="733" customFormat="1" ht="19.5" customHeight="1" thickBot="1">
      <c r="A38" s="1419" t="s">
        <v>234</v>
      </c>
      <c r="B38" s="1420" t="s">
        <v>235</v>
      </c>
      <c r="C38" s="731"/>
      <c r="D38" s="1421" t="s">
        <v>178</v>
      </c>
      <c r="E38" s="1422">
        <f>SUM(E39:E40)</f>
        <v>142</v>
      </c>
      <c r="F38" s="1364">
        <f>SUM(F39:F40)</f>
        <v>0</v>
      </c>
      <c r="G38" s="1364">
        <f>SUM(G39:G40)</f>
        <v>0</v>
      </c>
      <c r="H38" s="1409">
        <f>SUM(H39:H40)</f>
        <v>142</v>
      </c>
      <c r="I38" s="731"/>
      <c r="J38" s="1408">
        <f>SUM(J39:J40)</f>
        <v>0</v>
      </c>
      <c r="K38" s="1423">
        <f>IFERROR(J38/H38,"")</f>
        <v>0</v>
      </c>
      <c r="L38" s="1364">
        <f>SUM(L39:L40)</f>
        <v>0</v>
      </c>
      <c r="M38" s="1409">
        <f>SUM(M39:M40)</f>
        <v>0</v>
      </c>
      <c r="N38" s="731"/>
      <c r="O38" s="1515">
        <f>SUM(O39:O40)</f>
        <v>0</v>
      </c>
      <c r="P38" s="1516">
        <f t="shared" si="0"/>
        <v>0</v>
      </c>
      <c r="Q38" s="1371">
        <f>SUM(Q39:Q40)</f>
        <v>0</v>
      </c>
      <c r="R38" s="1517">
        <f>SUM(R39:R40)</f>
        <v>0</v>
      </c>
      <c r="S38" s="731"/>
      <c r="T38" s="1518">
        <f>SUM(T39:T40)</f>
        <v>142</v>
      </c>
      <c r="U38" s="732"/>
      <c r="V38" s="1408">
        <f>SUM(V39:V40)</f>
        <v>142</v>
      </c>
      <c r="W38" s="1409">
        <f>SUM(W39:W40)</f>
        <v>0</v>
      </c>
      <c r="X38" s="729"/>
      <c r="AD38" s="1415">
        <v>0</v>
      </c>
      <c r="AE38" s="1416">
        <v>0</v>
      </c>
      <c r="AF38" s="1417">
        <v>0</v>
      </c>
      <c r="AG38" s="1418">
        <v>0</v>
      </c>
    </row>
    <row r="39" spans="1:33" s="737" customFormat="1" ht="15" customHeight="1">
      <c r="A39" s="1378"/>
      <c r="B39" s="1379" t="s">
        <v>236</v>
      </c>
      <c r="C39" s="707"/>
      <c r="D39" s="1380" t="s">
        <v>178</v>
      </c>
      <c r="E39" s="1381">
        <v>84</v>
      </c>
      <c r="F39" s="1382"/>
      <c r="G39" s="1382"/>
      <c r="H39" s="1383">
        <f>SUM(E39:G39)</f>
        <v>84</v>
      </c>
      <c r="I39" s="707"/>
      <c r="J39" s="1384">
        <f>+H39*K39/100</f>
        <v>0</v>
      </c>
      <c r="K39" s="1385">
        <v>0</v>
      </c>
      <c r="L39" s="1382">
        <f>Q39+AF39</f>
        <v>0</v>
      </c>
      <c r="M39" s="1383">
        <f>J39-L39</f>
        <v>0</v>
      </c>
      <c r="N39" s="707"/>
      <c r="O39" s="1386">
        <f>J39-AD39</f>
        <v>0</v>
      </c>
      <c r="P39" s="1387">
        <f t="shared" si="0"/>
        <v>0</v>
      </c>
      <c r="Q39" s="1388"/>
      <c r="R39" s="1389">
        <f>O39-Q39</f>
        <v>0</v>
      </c>
      <c r="S39" s="707"/>
      <c r="T39" s="1390">
        <v>84</v>
      </c>
      <c r="U39" s="735"/>
      <c r="V39" s="1384">
        <f>+L39+T39</f>
        <v>84</v>
      </c>
      <c r="W39" s="1383">
        <f>H39-V39</f>
        <v>0</v>
      </c>
      <c r="X39" s="736"/>
      <c r="AD39" s="1391">
        <v>0</v>
      </c>
      <c r="AE39" s="1392">
        <v>0</v>
      </c>
      <c r="AF39" s="1393">
        <v>0</v>
      </c>
      <c r="AG39" s="1394">
        <v>0</v>
      </c>
    </row>
    <row r="40" spans="1:33" s="737" customFormat="1" ht="15" customHeight="1" thickBot="1">
      <c r="A40" s="1378"/>
      <c r="B40" s="1379" t="s">
        <v>237</v>
      </c>
      <c r="C40" s="707"/>
      <c r="D40" s="1380" t="s">
        <v>178</v>
      </c>
      <c r="E40" s="1381">
        <v>58</v>
      </c>
      <c r="F40" s="1382"/>
      <c r="G40" s="1382"/>
      <c r="H40" s="1383">
        <f>SUM(E40:G40)</f>
        <v>58</v>
      </c>
      <c r="I40" s="707"/>
      <c r="J40" s="1396">
        <f>+H40*K40/100</f>
        <v>0</v>
      </c>
      <c r="K40" s="1397">
        <v>0</v>
      </c>
      <c r="L40" s="1398">
        <f>Q40+AF40</f>
        <v>0</v>
      </c>
      <c r="M40" s="1399">
        <f>J40-L40</f>
        <v>0</v>
      </c>
      <c r="N40" s="707"/>
      <c r="O40" s="1400">
        <f>J40-AD40</f>
        <v>0</v>
      </c>
      <c r="P40" s="1401">
        <f t="shared" si="0"/>
        <v>0</v>
      </c>
      <c r="Q40" s="1402"/>
      <c r="R40" s="1403">
        <f>O40-Q40</f>
        <v>0</v>
      </c>
      <c r="S40" s="707"/>
      <c r="T40" s="1514">
        <v>58</v>
      </c>
      <c r="U40" s="735"/>
      <c r="V40" s="1396">
        <f>+L40+T40</f>
        <v>58</v>
      </c>
      <c r="W40" s="1399">
        <f>H40-V40</f>
        <v>0</v>
      </c>
      <c r="X40" s="736"/>
      <c r="AD40" s="1404">
        <v>0</v>
      </c>
      <c r="AE40" s="1405">
        <v>0</v>
      </c>
      <c r="AF40" s="1406">
        <v>0</v>
      </c>
      <c r="AG40" s="1407">
        <v>0</v>
      </c>
    </row>
    <row r="41" spans="1:33" s="733" customFormat="1" ht="19.5" customHeight="1" thickBot="1">
      <c r="A41" s="1419" t="s">
        <v>238</v>
      </c>
      <c r="B41" s="1420" t="s">
        <v>239</v>
      </c>
      <c r="C41" s="731"/>
      <c r="D41" s="1421" t="s">
        <v>178</v>
      </c>
      <c r="E41" s="1422">
        <f>SUM(E42:E56)</f>
        <v>182.05</v>
      </c>
      <c r="F41" s="1364">
        <f>SUM(F42:F56)</f>
        <v>0</v>
      </c>
      <c r="G41" s="1364">
        <f>SUM(G42:G56)</f>
        <v>0</v>
      </c>
      <c r="H41" s="1409">
        <f>SUM(H42:H56)</f>
        <v>182.05</v>
      </c>
      <c r="I41" s="731"/>
      <c r="J41" s="1408">
        <f>SUM(J42:J56)</f>
        <v>0</v>
      </c>
      <c r="K41" s="1423">
        <f>IFERROR(J41/H41,"")</f>
        <v>0</v>
      </c>
      <c r="L41" s="1364">
        <f>SUM(L42:L56)</f>
        <v>0</v>
      </c>
      <c r="M41" s="1409">
        <f>SUM(M42:M56)</f>
        <v>0</v>
      </c>
      <c r="N41" s="731"/>
      <c r="O41" s="1515">
        <f>SUM(O42:O56)</f>
        <v>0</v>
      </c>
      <c r="P41" s="1516">
        <f t="shared" si="0"/>
        <v>0</v>
      </c>
      <c r="Q41" s="1371">
        <f>SUM(Q42:Q56)</f>
        <v>0</v>
      </c>
      <c r="R41" s="1517">
        <f>SUM(R42:R56)</f>
        <v>0</v>
      </c>
      <c r="S41" s="731"/>
      <c r="T41" s="1518">
        <f>SUM(T42:T56)</f>
        <v>182.05</v>
      </c>
      <c r="U41" s="732"/>
      <c r="V41" s="1408">
        <f>SUM(V42:V56)</f>
        <v>182.05</v>
      </c>
      <c r="W41" s="1409">
        <f>SUM(W42:W62)</f>
        <v>0</v>
      </c>
      <c r="X41" s="729"/>
      <c r="AD41" s="1415">
        <v>0</v>
      </c>
      <c r="AE41" s="1416">
        <v>0</v>
      </c>
      <c r="AF41" s="1417">
        <v>0</v>
      </c>
      <c r="AG41" s="1418">
        <v>0</v>
      </c>
    </row>
    <row r="42" spans="1:33" s="737" customFormat="1" ht="15" customHeight="1">
      <c r="A42" s="1378"/>
      <c r="B42" s="1379" t="s">
        <v>240</v>
      </c>
      <c r="C42" s="707"/>
      <c r="D42" s="1380" t="s">
        <v>178</v>
      </c>
      <c r="E42" s="1381">
        <v>22.04</v>
      </c>
      <c r="F42" s="1382"/>
      <c r="G42" s="1382"/>
      <c r="H42" s="1383">
        <f t="shared" ref="H42:H56" si="29">SUM(E42:G42)</f>
        <v>22.04</v>
      </c>
      <c r="I42" s="707"/>
      <c r="J42" s="1384">
        <f t="shared" ref="J42:J56" si="30">+H42*K42/100</f>
        <v>0</v>
      </c>
      <c r="K42" s="1385">
        <v>0</v>
      </c>
      <c r="L42" s="1382">
        <f t="shared" ref="L42:L56" si="31">Q42+AF42</f>
        <v>0</v>
      </c>
      <c r="M42" s="1383">
        <f t="shared" ref="M42:M56" si="32">J42-L42</f>
        <v>0</v>
      </c>
      <c r="N42" s="707"/>
      <c r="O42" s="1386">
        <f t="shared" ref="O42:O56" si="33">J42-AD42</f>
        <v>0</v>
      </c>
      <c r="P42" s="1387">
        <f t="shared" si="0"/>
        <v>0</v>
      </c>
      <c r="Q42" s="1388"/>
      <c r="R42" s="1389">
        <f t="shared" ref="R42:R56" si="34">O42-Q42</f>
        <v>0</v>
      </c>
      <c r="S42" s="707"/>
      <c r="T42" s="1390">
        <v>22.04</v>
      </c>
      <c r="U42" s="735"/>
      <c r="V42" s="1384">
        <f t="shared" ref="V42:V56" si="35">+L42+T42</f>
        <v>22.04</v>
      </c>
      <c r="W42" s="1383">
        <f t="shared" ref="W42:W56" si="36">H42-V42</f>
        <v>0</v>
      </c>
      <c r="X42" s="736"/>
      <c r="AD42" s="1391">
        <v>0</v>
      </c>
      <c r="AE42" s="1392">
        <v>0</v>
      </c>
      <c r="AF42" s="1393">
        <v>0</v>
      </c>
      <c r="AG42" s="1394">
        <v>0</v>
      </c>
    </row>
    <row r="43" spans="1:33" s="737" customFormat="1" ht="15" customHeight="1">
      <c r="A43" s="1378"/>
      <c r="B43" s="1379" t="s">
        <v>241</v>
      </c>
      <c r="C43" s="707"/>
      <c r="D43" s="1380" t="s">
        <v>178</v>
      </c>
      <c r="E43" s="1381">
        <v>0</v>
      </c>
      <c r="F43" s="1382"/>
      <c r="G43" s="1382"/>
      <c r="H43" s="1383">
        <f t="shared" si="29"/>
        <v>0</v>
      </c>
      <c r="I43" s="707"/>
      <c r="J43" s="1384">
        <f t="shared" ref="J43:J50" si="37">H43*K43/100</f>
        <v>0</v>
      </c>
      <c r="K43" s="1385">
        <v>0</v>
      </c>
      <c r="L43" s="1382">
        <f t="shared" si="31"/>
        <v>0</v>
      </c>
      <c r="M43" s="1383">
        <f t="shared" si="32"/>
        <v>0</v>
      </c>
      <c r="N43" s="707"/>
      <c r="O43" s="1386">
        <f t="shared" si="33"/>
        <v>0</v>
      </c>
      <c r="P43" s="1387" t="str">
        <f t="shared" si="0"/>
        <v/>
      </c>
      <c r="Q43" s="1388"/>
      <c r="R43" s="1389">
        <f t="shared" si="34"/>
        <v>0</v>
      </c>
      <c r="S43" s="707"/>
      <c r="T43" s="1390">
        <v>0</v>
      </c>
      <c r="U43" s="735"/>
      <c r="V43" s="1384">
        <f t="shared" si="35"/>
        <v>0</v>
      </c>
      <c r="W43" s="1383">
        <f t="shared" si="36"/>
        <v>0</v>
      </c>
      <c r="X43" s="736"/>
      <c r="AD43" s="1391">
        <v>0</v>
      </c>
      <c r="AE43" s="1392">
        <v>0</v>
      </c>
      <c r="AF43" s="1393">
        <v>0</v>
      </c>
      <c r="AG43" s="1394">
        <v>0</v>
      </c>
    </row>
    <row r="44" spans="1:33" s="737" customFormat="1" ht="15" customHeight="1">
      <c r="A44" s="1378"/>
      <c r="B44" s="1379" t="s">
        <v>242</v>
      </c>
      <c r="C44" s="707"/>
      <c r="D44" s="1380" t="s">
        <v>178</v>
      </c>
      <c r="E44" s="1381">
        <v>0</v>
      </c>
      <c r="F44" s="1382"/>
      <c r="G44" s="1382"/>
      <c r="H44" s="1383">
        <f t="shared" si="29"/>
        <v>0</v>
      </c>
      <c r="I44" s="707"/>
      <c r="J44" s="1384">
        <f t="shared" si="37"/>
        <v>0</v>
      </c>
      <c r="K44" s="1385">
        <v>0</v>
      </c>
      <c r="L44" s="1382">
        <f t="shared" si="31"/>
        <v>0</v>
      </c>
      <c r="M44" s="1383">
        <f t="shared" si="32"/>
        <v>0</v>
      </c>
      <c r="N44" s="707"/>
      <c r="O44" s="1386">
        <f t="shared" si="33"/>
        <v>0</v>
      </c>
      <c r="P44" s="1387" t="str">
        <f t="shared" si="0"/>
        <v/>
      </c>
      <c r="Q44" s="1388"/>
      <c r="R44" s="1389">
        <f t="shared" si="34"/>
        <v>0</v>
      </c>
      <c r="S44" s="707"/>
      <c r="T44" s="1390">
        <v>0</v>
      </c>
      <c r="U44" s="735"/>
      <c r="V44" s="1384">
        <f t="shared" si="35"/>
        <v>0</v>
      </c>
      <c r="W44" s="1383">
        <f t="shared" si="36"/>
        <v>0</v>
      </c>
      <c r="X44" s="736"/>
      <c r="AD44" s="1391">
        <v>0</v>
      </c>
      <c r="AE44" s="1392">
        <v>0</v>
      </c>
      <c r="AF44" s="1393">
        <v>0</v>
      </c>
      <c r="AG44" s="1394">
        <v>0</v>
      </c>
    </row>
    <row r="45" spans="1:33" s="737" customFormat="1" ht="15" customHeight="1">
      <c r="A45" s="1378"/>
      <c r="B45" s="1379" t="s">
        <v>243</v>
      </c>
      <c r="C45" s="707"/>
      <c r="D45" s="1380" t="s">
        <v>178</v>
      </c>
      <c r="E45" s="1381">
        <v>0</v>
      </c>
      <c r="F45" s="1382"/>
      <c r="G45" s="1382"/>
      <c r="H45" s="1383">
        <f t="shared" si="29"/>
        <v>0</v>
      </c>
      <c r="I45" s="707"/>
      <c r="J45" s="1384">
        <f t="shared" si="37"/>
        <v>0</v>
      </c>
      <c r="K45" s="1385">
        <v>0</v>
      </c>
      <c r="L45" s="1382">
        <f t="shared" si="31"/>
        <v>0</v>
      </c>
      <c r="M45" s="1383">
        <f t="shared" si="32"/>
        <v>0</v>
      </c>
      <c r="N45" s="707"/>
      <c r="O45" s="1386">
        <f t="shared" si="33"/>
        <v>0</v>
      </c>
      <c r="P45" s="1387" t="str">
        <f t="shared" si="0"/>
        <v/>
      </c>
      <c r="Q45" s="1388"/>
      <c r="R45" s="1389">
        <f t="shared" si="34"/>
        <v>0</v>
      </c>
      <c r="S45" s="707"/>
      <c r="T45" s="1390">
        <v>0</v>
      </c>
      <c r="U45" s="735"/>
      <c r="V45" s="1384">
        <f t="shared" si="35"/>
        <v>0</v>
      </c>
      <c r="W45" s="1383">
        <f t="shared" si="36"/>
        <v>0</v>
      </c>
      <c r="X45" s="736"/>
      <c r="AD45" s="1391">
        <v>0</v>
      </c>
      <c r="AE45" s="1392">
        <v>0</v>
      </c>
      <c r="AF45" s="1393">
        <v>0</v>
      </c>
      <c r="AG45" s="1394">
        <v>0</v>
      </c>
    </row>
    <row r="46" spans="1:33" s="737" customFormat="1" ht="15" customHeight="1">
      <c r="A46" s="1378"/>
      <c r="B46" s="1379" t="s">
        <v>244</v>
      </c>
      <c r="C46" s="707"/>
      <c r="D46" s="1380" t="s">
        <v>178</v>
      </c>
      <c r="E46" s="1381">
        <v>0</v>
      </c>
      <c r="F46" s="1382"/>
      <c r="G46" s="1382"/>
      <c r="H46" s="1383">
        <f t="shared" si="29"/>
        <v>0</v>
      </c>
      <c r="I46" s="707"/>
      <c r="J46" s="1384">
        <f t="shared" si="37"/>
        <v>0</v>
      </c>
      <c r="K46" s="1385">
        <v>0</v>
      </c>
      <c r="L46" s="1382">
        <f t="shared" si="31"/>
        <v>0</v>
      </c>
      <c r="M46" s="1383">
        <f t="shared" si="32"/>
        <v>0</v>
      </c>
      <c r="N46" s="707"/>
      <c r="O46" s="1386">
        <f t="shared" si="33"/>
        <v>0</v>
      </c>
      <c r="P46" s="1387" t="str">
        <f t="shared" si="0"/>
        <v/>
      </c>
      <c r="Q46" s="1388"/>
      <c r="R46" s="1389">
        <f t="shared" si="34"/>
        <v>0</v>
      </c>
      <c r="S46" s="707"/>
      <c r="T46" s="1390">
        <v>0</v>
      </c>
      <c r="U46" s="735"/>
      <c r="V46" s="1384">
        <f t="shared" si="35"/>
        <v>0</v>
      </c>
      <c r="W46" s="1383">
        <f t="shared" si="36"/>
        <v>0</v>
      </c>
      <c r="X46" s="736"/>
      <c r="AD46" s="1391">
        <v>0</v>
      </c>
      <c r="AE46" s="1392">
        <v>0</v>
      </c>
      <c r="AF46" s="1393">
        <v>0</v>
      </c>
      <c r="AG46" s="1394">
        <v>0</v>
      </c>
    </row>
    <row r="47" spans="1:33" s="737" customFormat="1" ht="15" customHeight="1">
      <c r="A47" s="1378"/>
      <c r="B47" s="1379" t="s">
        <v>245</v>
      </c>
      <c r="C47" s="707"/>
      <c r="D47" s="1380" t="s">
        <v>178</v>
      </c>
      <c r="E47" s="1381">
        <v>2.4000000000000004</v>
      </c>
      <c r="F47" s="1382"/>
      <c r="G47" s="1382"/>
      <c r="H47" s="1383">
        <f t="shared" si="29"/>
        <v>2.4000000000000004</v>
      </c>
      <c r="I47" s="707"/>
      <c r="J47" s="1384">
        <f t="shared" si="37"/>
        <v>0</v>
      </c>
      <c r="K47" s="1385">
        <v>0</v>
      </c>
      <c r="L47" s="1382">
        <f t="shared" si="31"/>
        <v>0</v>
      </c>
      <c r="M47" s="1383">
        <f t="shared" si="32"/>
        <v>0</v>
      </c>
      <c r="N47" s="707"/>
      <c r="O47" s="1386">
        <f t="shared" si="33"/>
        <v>0</v>
      </c>
      <c r="P47" s="1387">
        <f t="shared" si="0"/>
        <v>0</v>
      </c>
      <c r="Q47" s="1388"/>
      <c r="R47" s="1389">
        <f t="shared" si="34"/>
        <v>0</v>
      </c>
      <c r="S47" s="707"/>
      <c r="T47" s="1390">
        <v>2.4000000000000004</v>
      </c>
      <c r="U47" s="735"/>
      <c r="V47" s="1384">
        <f t="shared" si="35"/>
        <v>2.4000000000000004</v>
      </c>
      <c r="W47" s="1383">
        <f t="shared" si="36"/>
        <v>0</v>
      </c>
      <c r="X47" s="736"/>
      <c r="AD47" s="1391">
        <v>0</v>
      </c>
      <c r="AE47" s="1392">
        <v>0</v>
      </c>
      <c r="AF47" s="1393">
        <v>0</v>
      </c>
      <c r="AG47" s="1394">
        <v>0</v>
      </c>
    </row>
    <row r="48" spans="1:33" s="737" customFormat="1" ht="15" customHeight="1">
      <c r="A48" s="1378"/>
      <c r="B48" s="1379" t="s">
        <v>246</v>
      </c>
      <c r="C48" s="707"/>
      <c r="D48" s="1380" t="s">
        <v>178</v>
      </c>
      <c r="E48" s="1381">
        <v>63</v>
      </c>
      <c r="F48" s="1382"/>
      <c r="G48" s="1382"/>
      <c r="H48" s="1383">
        <f t="shared" si="29"/>
        <v>63</v>
      </c>
      <c r="I48" s="707"/>
      <c r="J48" s="1384">
        <f t="shared" si="37"/>
        <v>0</v>
      </c>
      <c r="K48" s="1385">
        <v>0</v>
      </c>
      <c r="L48" s="1382">
        <f t="shared" si="31"/>
        <v>0</v>
      </c>
      <c r="M48" s="1383">
        <f t="shared" si="32"/>
        <v>0</v>
      </c>
      <c r="N48" s="707"/>
      <c r="O48" s="1386">
        <f t="shared" si="33"/>
        <v>0</v>
      </c>
      <c r="P48" s="1387">
        <f t="shared" si="0"/>
        <v>0</v>
      </c>
      <c r="Q48" s="1388"/>
      <c r="R48" s="1389">
        <f t="shared" si="34"/>
        <v>0</v>
      </c>
      <c r="S48" s="707"/>
      <c r="T48" s="1390">
        <v>63</v>
      </c>
      <c r="U48" s="735"/>
      <c r="V48" s="1384">
        <f t="shared" si="35"/>
        <v>63</v>
      </c>
      <c r="W48" s="1383">
        <f t="shared" si="36"/>
        <v>0</v>
      </c>
      <c r="X48" s="736"/>
      <c r="AD48" s="1391">
        <v>0</v>
      </c>
      <c r="AE48" s="1392">
        <v>0</v>
      </c>
      <c r="AF48" s="1393">
        <v>0</v>
      </c>
      <c r="AG48" s="1394">
        <v>0</v>
      </c>
    </row>
    <row r="49" spans="1:33" s="737" customFormat="1" ht="15" customHeight="1">
      <c r="A49" s="1378"/>
      <c r="B49" s="1379" t="s">
        <v>247</v>
      </c>
      <c r="C49" s="707"/>
      <c r="D49" s="1380" t="s">
        <v>178</v>
      </c>
      <c r="E49" s="1381">
        <v>16.5</v>
      </c>
      <c r="F49" s="1382"/>
      <c r="G49" s="1382"/>
      <c r="H49" s="1383">
        <f t="shared" si="29"/>
        <v>16.5</v>
      </c>
      <c r="I49" s="707"/>
      <c r="J49" s="1384">
        <f t="shared" si="37"/>
        <v>0</v>
      </c>
      <c r="K49" s="1385">
        <v>0</v>
      </c>
      <c r="L49" s="1382">
        <f t="shared" si="31"/>
        <v>0</v>
      </c>
      <c r="M49" s="1383">
        <f t="shared" si="32"/>
        <v>0</v>
      </c>
      <c r="N49" s="707"/>
      <c r="O49" s="1386">
        <f t="shared" si="33"/>
        <v>0</v>
      </c>
      <c r="P49" s="1387">
        <f t="shared" si="0"/>
        <v>0</v>
      </c>
      <c r="Q49" s="1388"/>
      <c r="R49" s="1389">
        <f t="shared" si="34"/>
        <v>0</v>
      </c>
      <c r="S49" s="707"/>
      <c r="T49" s="1390">
        <v>16.5</v>
      </c>
      <c r="U49" s="735"/>
      <c r="V49" s="1384">
        <f t="shared" si="35"/>
        <v>16.5</v>
      </c>
      <c r="W49" s="1383">
        <f t="shared" si="36"/>
        <v>0</v>
      </c>
      <c r="X49" s="736"/>
      <c r="AD49" s="1391">
        <v>0</v>
      </c>
      <c r="AE49" s="1392">
        <v>0</v>
      </c>
      <c r="AF49" s="1393">
        <v>0</v>
      </c>
      <c r="AG49" s="1394">
        <v>0</v>
      </c>
    </row>
    <row r="50" spans="1:33" s="737" customFormat="1" ht="15" customHeight="1">
      <c r="A50" s="1378"/>
      <c r="B50" s="1379" t="s">
        <v>248</v>
      </c>
      <c r="C50" s="707"/>
      <c r="D50" s="1380" t="s">
        <v>178</v>
      </c>
      <c r="E50" s="1381">
        <v>0</v>
      </c>
      <c r="F50" s="1382"/>
      <c r="G50" s="1382"/>
      <c r="H50" s="1383">
        <f t="shared" si="29"/>
        <v>0</v>
      </c>
      <c r="I50" s="707"/>
      <c r="J50" s="1384">
        <f t="shared" si="37"/>
        <v>0</v>
      </c>
      <c r="K50" s="1385">
        <v>0</v>
      </c>
      <c r="L50" s="1382">
        <f t="shared" si="31"/>
        <v>0</v>
      </c>
      <c r="M50" s="1383">
        <f t="shared" si="32"/>
        <v>0</v>
      </c>
      <c r="N50" s="707"/>
      <c r="O50" s="1386">
        <f t="shared" si="33"/>
        <v>0</v>
      </c>
      <c r="P50" s="1387" t="str">
        <f t="shared" si="0"/>
        <v/>
      </c>
      <c r="Q50" s="1388"/>
      <c r="R50" s="1389">
        <f t="shared" si="34"/>
        <v>0</v>
      </c>
      <c r="S50" s="707"/>
      <c r="T50" s="1390">
        <v>0</v>
      </c>
      <c r="U50" s="735"/>
      <c r="V50" s="1384">
        <f t="shared" si="35"/>
        <v>0</v>
      </c>
      <c r="W50" s="1383">
        <f t="shared" si="36"/>
        <v>0</v>
      </c>
      <c r="X50" s="736"/>
      <c r="AD50" s="1391">
        <v>0</v>
      </c>
      <c r="AE50" s="1392">
        <v>0</v>
      </c>
      <c r="AF50" s="1393">
        <v>0</v>
      </c>
      <c r="AG50" s="1394">
        <v>0</v>
      </c>
    </row>
    <row r="51" spans="1:33" s="737" customFormat="1" ht="15" customHeight="1">
      <c r="A51" s="1378"/>
      <c r="B51" s="1379" t="s">
        <v>249</v>
      </c>
      <c r="C51" s="707"/>
      <c r="D51" s="1380" t="s">
        <v>178</v>
      </c>
      <c r="E51" s="1381">
        <v>0</v>
      </c>
      <c r="F51" s="1382"/>
      <c r="G51" s="1382"/>
      <c r="H51" s="1383">
        <f t="shared" si="29"/>
        <v>0</v>
      </c>
      <c r="I51" s="707"/>
      <c r="J51" s="1384">
        <f t="shared" si="30"/>
        <v>0</v>
      </c>
      <c r="K51" s="1385">
        <v>0</v>
      </c>
      <c r="L51" s="1382">
        <f t="shared" si="31"/>
        <v>0</v>
      </c>
      <c r="M51" s="1383">
        <f t="shared" si="32"/>
        <v>0</v>
      </c>
      <c r="N51" s="707"/>
      <c r="O51" s="1386">
        <f t="shared" si="33"/>
        <v>0</v>
      </c>
      <c r="P51" s="1387" t="str">
        <f t="shared" si="0"/>
        <v/>
      </c>
      <c r="Q51" s="1388"/>
      <c r="R51" s="1389">
        <f t="shared" si="34"/>
        <v>0</v>
      </c>
      <c r="S51" s="707"/>
      <c r="T51" s="1390">
        <v>0</v>
      </c>
      <c r="U51" s="735"/>
      <c r="V51" s="1384">
        <f t="shared" si="35"/>
        <v>0</v>
      </c>
      <c r="W51" s="1383">
        <f t="shared" si="36"/>
        <v>0</v>
      </c>
      <c r="X51" s="736"/>
      <c r="AD51" s="1391">
        <v>0</v>
      </c>
      <c r="AE51" s="1392">
        <v>0</v>
      </c>
      <c r="AF51" s="1393">
        <v>0</v>
      </c>
      <c r="AG51" s="1394">
        <v>0</v>
      </c>
    </row>
    <row r="52" spans="1:33" s="737" customFormat="1" ht="15" customHeight="1">
      <c r="A52" s="1378"/>
      <c r="B52" s="1379" t="s">
        <v>250</v>
      </c>
      <c r="C52" s="707"/>
      <c r="D52" s="1380" t="s">
        <v>178</v>
      </c>
      <c r="E52" s="1381">
        <v>36.800000000000004</v>
      </c>
      <c r="F52" s="1382"/>
      <c r="G52" s="1382"/>
      <c r="H52" s="1383">
        <f t="shared" si="29"/>
        <v>36.800000000000004</v>
      </c>
      <c r="I52" s="707"/>
      <c r="J52" s="1384">
        <f t="shared" si="30"/>
        <v>0</v>
      </c>
      <c r="K52" s="1385">
        <v>0</v>
      </c>
      <c r="L52" s="1382">
        <f t="shared" si="31"/>
        <v>0</v>
      </c>
      <c r="M52" s="1383">
        <f t="shared" si="32"/>
        <v>0</v>
      </c>
      <c r="N52" s="707"/>
      <c r="O52" s="1386">
        <f t="shared" si="33"/>
        <v>0</v>
      </c>
      <c r="P52" s="1387">
        <f t="shared" si="0"/>
        <v>0</v>
      </c>
      <c r="Q52" s="1388"/>
      <c r="R52" s="1389">
        <f t="shared" si="34"/>
        <v>0</v>
      </c>
      <c r="S52" s="707"/>
      <c r="T52" s="1390">
        <v>36.800000000000004</v>
      </c>
      <c r="U52" s="735"/>
      <c r="V52" s="1384">
        <f t="shared" si="35"/>
        <v>36.800000000000004</v>
      </c>
      <c r="W52" s="1383">
        <f t="shared" si="36"/>
        <v>0</v>
      </c>
      <c r="X52" s="736"/>
      <c r="AD52" s="1391">
        <v>0</v>
      </c>
      <c r="AE52" s="1392">
        <v>0</v>
      </c>
      <c r="AF52" s="1393">
        <v>0</v>
      </c>
      <c r="AG52" s="1394">
        <v>0</v>
      </c>
    </row>
    <row r="53" spans="1:33" s="737" customFormat="1" ht="15" customHeight="1">
      <c r="A53" s="1378"/>
      <c r="B53" s="1379" t="s">
        <v>251</v>
      </c>
      <c r="C53" s="707"/>
      <c r="D53" s="1380" t="s">
        <v>178</v>
      </c>
      <c r="E53" s="1381">
        <v>0</v>
      </c>
      <c r="F53" s="1382"/>
      <c r="G53" s="1382"/>
      <c r="H53" s="1383">
        <f t="shared" si="29"/>
        <v>0</v>
      </c>
      <c r="I53" s="707"/>
      <c r="J53" s="1384">
        <f t="shared" si="30"/>
        <v>0</v>
      </c>
      <c r="K53" s="1385">
        <v>0</v>
      </c>
      <c r="L53" s="1382">
        <f t="shared" si="31"/>
        <v>0</v>
      </c>
      <c r="M53" s="1383">
        <f t="shared" si="32"/>
        <v>0</v>
      </c>
      <c r="N53" s="707"/>
      <c r="O53" s="1386">
        <f t="shared" si="33"/>
        <v>0</v>
      </c>
      <c r="P53" s="1387" t="str">
        <f t="shared" si="0"/>
        <v/>
      </c>
      <c r="Q53" s="1388"/>
      <c r="R53" s="1389">
        <f t="shared" si="34"/>
        <v>0</v>
      </c>
      <c r="S53" s="707"/>
      <c r="T53" s="1390">
        <v>0</v>
      </c>
      <c r="U53" s="735"/>
      <c r="V53" s="1384">
        <f t="shared" si="35"/>
        <v>0</v>
      </c>
      <c r="W53" s="1383">
        <f t="shared" si="36"/>
        <v>0</v>
      </c>
      <c r="X53" s="736"/>
      <c r="AD53" s="1391">
        <v>0</v>
      </c>
      <c r="AE53" s="1392">
        <v>0</v>
      </c>
      <c r="AF53" s="1393">
        <v>0</v>
      </c>
      <c r="AG53" s="1394">
        <v>0</v>
      </c>
    </row>
    <row r="54" spans="1:33" s="737" customFormat="1" ht="15" customHeight="1">
      <c r="A54" s="1378"/>
      <c r="B54" s="1379" t="s">
        <v>252</v>
      </c>
      <c r="C54" s="707"/>
      <c r="D54" s="1380" t="s">
        <v>178</v>
      </c>
      <c r="E54" s="1381">
        <v>0</v>
      </c>
      <c r="F54" s="1382"/>
      <c r="G54" s="1382"/>
      <c r="H54" s="1383">
        <f t="shared" si="29"/>
        <v>0</v>
      </c>
      <c r="I54" s="707"/>
      <c r="J54" s="1384">
        <f t="shared" si="30"/>
        <v>0</v>
      </c>
      <c r="K54" s="1385">
        <v>0</v>
      </c>
      <c r="L54" s="1382">
        <f t="shared" si="31"/>
        <v>0</v>
      </c>
      <c r="M54" s="1383">
        <f t="shared" si="32"/>
        <v>0</v>
      </c>
      <c r="N54" s="707"/>
      <c r="O54" s="1386">
        <f t="shared" si="33"/>
        <v>0</v>
      </c>
      <c r="P54" s="1387" t="str">
        <f t="shared" si="0"/>
        <v/>
      </c>
      <c r="Q54" s="1388"/>
      <c r="R54" s="1389">
        <f t="shared" si="34"/>
        <v>0</v>
      </c>
      <c r="S54" s="707"/>
      <c r="T54" s="1390">
        <v>0</v>
      </c>
      <c r="U54" s="735"/>
      <c r="V54" s="1384">
        <f t="shared" si="35"/>
        <v>0</v>
      </c>
      <c r="W54" s="1383">
        <f t="shared" si="36"/>
        <v>0</v>
      </c>
      <c r="X54" s="736"/>
      <c r="AD54" s="1391">
        <v>0</v>
      </c>
      <c r="AE54" s="1392">
        <v>0</v>
      </c>
      <c r="AF54" s="1393">
        <v>0</v>
      </c>
      <c r="AG54" s="1394">
        <v>0</v>
      </c>
    </row>
    <row r="55" spans="1:33" s="737" customFormat="1" ht="15" customHeight="1">
      <c r="A55" s="1378"/>
      <c r="B55" s="1379" t="s">
        <v>253</v>
      </c>
      <c r="C55" s="707"/>
      <c r="D55" s="1380" t="s">
        <v>178</v>
      </c>
      <c r="E55" s="1381">
        <v>41.31</v>
      </c>
      <c r="F55" s="1382"/>
      <c r="G55" s="1382"/>
      <c r="H55" s="1383">
        <f t="shared" si="29"/>
        <v>41.31</v>
      </c>
      <c r="I55" s="707"/>
      <c r="J55" s="1384">
        <f t="shared" si="30"/>
        <v>0</v>
      </c>
      <c r="K55" s="1385">
        <v>0</v>
      </c>
      <c r="L55" s="1382">
        <f t="shared" si="31"/>
        <v>0</v>
      </c>
      <c r="M55" s="1383">
        <f t="shared" si="32"/>
        <v>0</v>
      </c>
      <c r="N55" s="707"/>
      <c r="O55" s="1386">
        <f t="shared" si="33"/>
        <v>0</v>
      </c>
      <c r="P55" s="1387">
        <f t="shared" si="0"/>
        <v>0</v>
      </c>
      <c r="Q55" s="1388"/>
      <c r="R55" s="1389">
        <f t="shared" si="34"/>
        <v>0</v>
      </c>
      <c r="S55" s="707"/>
      <c r="T55" s="1390">
        <v>41.31</v>
      </c>
      <c r="U55" s="735"/>
      <c r="V55" s="1384">
        <f t="shared" si="35"/>
        <v>41.31</v>
      </c>
      <c r="W55" s="1383">
        <f t="shared" si="36"/>
        <v>0</v>
      </c>
      <c r="X55" s="736"/>
      <c r="AD55" s="1391">
        <v>0</v>
      </c>
      <c r="AE55" s="1392">
        <v>0</v>
      </c>
      <c r="AF55" s="1393">
        <v>0</v>
      </c>
      <c r="AG55" s="1394">
        <v>0</v>
      </c>
    </row>
    <row r="56" spans="1:33" s="737" customFormat="1" ht="15" customHeight="1" thickBot="1">
      <c r="A56" s="1378"/>
      <c r="B56" s="1379" t="s">
        <v>254</v>
      </c>
      <c r="C56" s="707"/>
      <c r="D56" s="1380" t="s">
        <v>178</v>
      </c>
      <c r="E56" s="1381">
        <v>0</v>
      </c>
      <c r="F56" s="1382"/>
      <c r="G56" s="1382"/>
      <c r="H56" s="1383">
        <f t="shared" si="29"/>
        <v>0</v>
      </c>
      <c r="I56" s="707"/>
      <c r="J56" s="1396">
        <f t="shared" si="30"/>
        <v>0</v>
      </c>
      <c r="K56" s="1397">
        <v>0</v>
      </c>
      <c r="L56" s="1398">
        <f t="shared" si="31"/>
        <v>0</v>
      </c>
      <c r="M56" s="1399">
        <f t="shared" si="32"/>
        <v>0</v>
      </c>
      <c r="N56" s="707"/>
      <c r="O56" s="1400">
        <f t="shared" si="33"/>
        <v>0</v>
      </c>
      <c r="P56" s="1401" t="str">
        <f t="shared" si="0"/>
        <v/>
      </c>
      <c r="Q56" s="1402"/>
      <c r="R56" s="1403">
        <f t="shared" si="34"/>
        <v>0</v>
      </c>
      <c r="S56" s="707"/>
      <c r="T56" s="1514">
        <v>0</v>
      </c>
      <c r="U56" s="735"/>
      <c r="V56" s="1396">
        <f t="shared" si="35"/>
        <v>0</v>
      </c>
      <c r="W56" s="1399">
        <f t="shared" si="36"/>
        <v>0</v>
      </c>
      <c r="X56" s="736"/>
      <c r="AD56" s="1404">
        <v>0</v>
      </c>
      <c r="AE56" s="1405">
        <v>0</v>
      </c>
      <c r="AF56" s="1406">
        <v>0</v>
      </c>
      <c r="AG56" s="1407">
        <v>0</v>
      </c>
    </row>
    <row r="57" spans="1:33" s="733" customFormat="1" ht="19.5" customHeight="1" thickBot="1">
      <c r="A57" s="1419" t="s">
        <v>255</v>
      </c>
      <c r="B57" s="1420" t="s">
        <v>256</v>
      </c>
      <c r="C57" s="731"/>
      <c r="D57" s="1421" t="s">
        <v>178</v>
      </c>
      <c r="E57" s="1422">
        <f>SUM(E58:E60)</f>
        <v>0</v>
      </c>
      <c r="F57" s="1364">
        <f>SUM(F58:F60)</f>
        <v>0</v>
      </c>
      <c r="G57" s="1364">
        <f>SUM(G58:G60)</f>
        <v>0</v>
      </c>
      <c r="H57" s="1409">
        <f>SUM(H58:H60)</f>
        <v>0</v>
      </c>
      <c r="I57" s="731"/>
      <c r="J57" s="1408">
        <f>SUM(J58:J60)</f>
        <v>0</v>
      </c>
      <c r="K57" s="1423" t="str">
        <f>IFERROR(J57/H57,"")</f>
        <v/>
      </c>
      <c r="L57" s="1364">
        <f>SUM(L58:L60)</f>
        <v>0</v>
      </c>
      <c r="M57" s="1409">
        <f>SUM(M58:M60)</f>
        <v>0</v>
      </c>
      <c r="N57" s="731"/>
      <c r="O57" s="1515">
        <f>SUM(O58:O60)</f>
        <v>0</v>
      </c>
      <c r="P57" s="1516" t="str">
        <f t="shared" si="0"/>
        <v/>
      </c>
      <c r="Q57" s="1371">
        <f>SUM(Q58:Q60)</f>
        <v>0</v>
      </c>
      <c r="R57" s="1517">
        <f>SUM(R58:R60)</f>
        <v>0</v>
      </c>
      <c r="S57" s="731"/>
      <c r="T57" s="1518">
        <f>SUM(T58:T60)</f>
        <v>0</v>
      </c>
      <c r="U57" s="732"/>
      <c r="V57" s="1408">
        <f>SUM(V58:V60)</f>
        <v>0</v>
      </c>
      <c r="W57" s="1409">
        <f>SUM(W58:W60)</f>
        <v>0</v>
      </c>
      <c r="X57" s="729"/>
      <c r="AD57" s="1415">
        <v>0</v>
      </c>
      <c r="AE57" s="1416" t="s">
        <v>67</v>
      </c>
      <c r="AF57" s="1519">
        <v>0</v>
      </c>
      <c r="AG57" s="1418">
        <v>0</v>
      </c>
    </row>
    <row r="58" spans="1:33" s="737" customFormat="1" ht="15" customHeight="1">
      <c r="A58" s="1378"/>
      <c r="B58" s="1379" t="s">
        <v>257</v>
      </c>
      <c r="C58" s="707"/>
      <c r="D58" s="1380" t="s">
        <v>178</v>
      </c>
      <c r="E58" s="1381">
        <v>0</v>
      </c>
      <c r="F58" s="1382"/>
      <c r="G58" s="1382"/>
      <c r="H58" s="1383">
        <f>SUM(E58:G58)</f>
        <v>0</v>
      </c>
      <c r="I58" s="707"/>
      <c r="J58" s="1384">
        <f t="shared" ref="J58:J60" si="38">+H58*K58/100</f>
        <v>0</v>
      </c>
      <c r="K58" s="1385">
        <v>0</v>
      </c>
      <c r="L58" s="1382">
        <f>Q58+AF58</f>
        <v>0</v>
      </c>
      <c r="M58" s="1383">
        <f>J58-L58</f>
        <v>0</v>
      </c>
      <c r="N58" s="707"/>
      <c r="O58" s="1386">
        <f>J58-AD58</f>
        <v>0</v>
      </c>
      <c r="P58" s="1387" t="str">
        <f t="shared" si="0"/>
        <v/>
      </c>
      <c r="Q58" s="1388"/>
      <c r="R58" s="1389">
        <f>O58-Q58</f>
        <v>0</v>
      </c>
      <c r="S58" s="707"/>
      <c r="T58" s="1390">
        <v>0</v>
      </c>
      <c r="U58" s="735"/>
      <c r="V58" s="1384">
        <f t="shared" ref="V58:V60" si="39">+L58+T58</f>
        <v>0</v>
      </c>
      <c r="W58" s="1383">
        <f>H58-V58</f>
        <v>0</v>
      </c>
      <c r="X58" s="736"/>
      <c r="AD58" s="1391">
        <v>0</v>
      </c>
      <c r="AE58" s="1392">
        <v>0</v>
      </c>
      <c r="AF58" s="1393">
        <v>0</v>
      </c>
      <c r="AG58" s="1394">
        <v>0</v>
      </c>
    </row>
    <row r="59" spans="1:33" s="737" customFormat="1" ht="15" customHeight="1">
      <c r="A59" s="1378"/>
      <c r="B59" s="1379" t="s">
        <v>257</v>
      </c>
      <c r="C59" s="707"/>
      <c r="D59" s="1380" t="s">
        <v>178</v>
      </c>
      <c r="E59" s="1381">
        <v>0</v>
      </c>
      <c r="F59" s="1382"/>
      <c r="G59" s="1382"/>
      <c r="H59" s="1383">
        <f>SUM(E59:G59)</f>
        <v>0</v>
      </c>
      <c r="I59" s="707"/>
      <c r="J59" s="1384">
        <f t="shared" si="38"/>
        <v>0</v>
      </c>
      <c r="K59" s="1385">
        <v>0</v>
      </c>
      <c r="L59" s="1382">
        <f>Q59+AF59</f>
        <v>0</v>
      </c>
      <c r="M59" s="1383">
        <f>J59-L59</f>
        <v>0</v>
      </c>
      <c r="N59" s="707"/>
      <c r="O59" s="1386">
        <f>J59-AD59</f>
        <v>0</v>
      </c>
      <c r="P59" s="1387" t="str">
        <f t="shared" si="0"/>
        <v/>
      </c>
      <c r="Q59" s="1388"/>
      <c r="R59" s="1389">
        <f>O59-Q59</f>
        <v>0</v>
      </c>
      <c r="S59" s="707"/>
      <c r="T59" s="1390">
        <v>0</v>
      </c>
      <c r="U59" s="735"/>
      <c r="V59" s="1384">
        <f t="shared" si="39"/>
        <v>0</v>
      </c>
      <c r="W59" s="1383">
        <f>H59-V59</f>
        <v>0</v>
      </c>
      <c r="X59" s="736"/>
      <c r="AD59" s="1391">
        <v>0</v>
      </c>
      <c r="AE59" s="1392">
        <v>0</v>
      </c>
      <c r="AF59" s="1393">
        <v>0</v>
      </c>
      <c r="AG59" s="1394">
        <v>0</v>
      </c>
    </row>
    <row r="60" spans="1:33" s="737" customFormat="1" ht="15" customHeight="1" thickBot="1">
      <c r="A60" s="1424"/>
      <c r="B60" s="1425" t="s">
        <v>258</v>
      </c>
      <c r="C60" s="707"/>
      <c r="D60" s="1426" t="s">
        <v>178</v>
      </c>
      <c r="E60" s="1427">
        <v>0</v>
      </c>
      <c r="F60" s="1428"/>
      <c r="G60" s="1428"/>
      <c r="H60" s="1429">
        <f>SUM(E60:G60)</f>
        <v>0</v>
      </c>
      <c r="I60" s="707"/>
      <c r="J60" s="1430">
        <f t="shared" si="38"/>
        <v>0</v>
      </c>
      <c r="K60" s="1431">
        <v>0</v>
      </c>
      <c r="L60" s="1428">
        <f>Q60+AF60</f>
        <v>0</v>
      </c>
      <c r="M60" s="1429">
        <f>J60-L60</f>
        <v>0</v>
      </c>
      <c r="N60" s="707"/>
      <c r="O60" s="1432">
        <f>J60-AD60</f>
        <v>0</v>
      </c>
      <c r="P60" s="1433" t="str">
        <f t="shared" si="0"/>
        <v/>
      </c>
      <c r="Q60" s="1434"/>
      <c r="R60" s="1435">
        <f>O60-Q60</f>
        <v>0</v>
      </c>
      <c r="S60" s="707"/>
      <c r="T60" s="1436">
        <v>0</v>
      </c>
      <c r="U60" s="735"/>
      <c r="V60" s="1430">
        <f t="shared" si="39"/>
        <v>0</v>
      </c>
      <c r="W60" s="1429">
        <f>H60-V60</f>
        <v>0</v>
      </c>
      <c r="X60" s="736"/>
      <c r="AD60" s="1437">
        <v>0</v>
      </c>
      <c r="AE60" s="1438">
        <v>0</v>
      </c>
      <c r="AF60" s="1439">
        <v>0</v>
      </c>
      <c r="AG60" s="1440">
        <v>0</v>
      </c>
    </row>
    <row r="61" spans="1:33">
      <c r="R61" s="748"/>
    </row>
    <row r="62" spans="1:33">
      <c r="R62" s="748"/>
    </row>
    <row r="64" spans="1:33">
      <c r="J64" s="749"/>
      <c r="M64" s="694"/>
    </row>
    <row r="65" spans="1:33">
      <c r="L65" s="694"/>
      <c r="M65" s="694"/>
    </row>
    <row r="66" spans="1:33" ht="13.5" customHeight="1" thickBot="1">
      <c r="A66" s="706"/>
      <c r="B66" s="706"/>
      <c r="C66" s="707"/>
      <c r="E66" s="708"/>
      <c r="F66" s="709"/>
      <c r="G66" s="709"/>
      <c r="H66" s="709"/>
      <c r="I66" s="707"/>
      <c r="J66" s="710"/>
      <c r="K66" s="710"/>
      <c r="L66" s="706"/>
      <c r="M66" s="706"/>
      <c r="N66" s="707"/>
      <c r="O66" s="706"/>
      <c r="P66" s="710"/>
      <c r="Q66" s="706"/>
      <c r="R66" s="706"/>
      <c r="S66" s="707"/>
      <c r="T66" s="706"/>
      <c r="U66" s="711"/>
      <c r="V66" s="706"/>
      <c r="W66" s="706"/>
      <c r="X66" s="712"/>
      <c r="AD66" s="710"/>
      <c r="AE66" s="710"/>
      <c r="AF66" s="706"/>
      <c r="AG66" s="706"/>
    </row>
    <row r="67" spans="1:33" s="730" customFormat="1" ht="19.5" customHeight="1" thickBot="1">
      <c r="A67" s="1441"/>
      <c r="B67" s="1442" t="s">
        <v>203</v>
      </c>
      <c r="C67" s="726"/>
      <c r="D67" s="1443" t="s">
        <v>178</v>
      </c>
      <c r="E67" s="1444">
        <f>E68+E79+E87+E90+E93+E109</f>
        <v>13182.436</v>
      </c>
      <c r="F67" s="1445">
        <f>F68+F79+F87+F90+F93+F109</f>
        <v>0</v>
      </c>
      <c r="G67" s="1445">
        <f>G68+G79+G87+G90+G93+G109</f>
        <v>0</v>
      </c>
      <c r="H67" s="1446">
        <f>H68+H79+H87+H90+H93+H109</f>
        <v>13182.436</v>
      </c>
      <c r="I67" s="726"/>
      <c r="J67" s="1349">
        <f>J68+J79+J87+J90+J93+J109</f>
        <v>4001.4360000000006</v>
      </c>
      <c r="K67" s="1350">
        <f>IFERROR(J67/H67,"")</f>
        <v>0.30354298704731059</v>
      </c>
      <c r="L67" s="1447">
        <f>L68+L79+L87+L90+L93+L109</f>
        <v>6760.2879999999996</v>
      </c>
      <c r="M67" s="1352">
        <f>M68+M79+M87+M90+M93+M109</f>
        <v>-2758.8519999999999</v>
      </c>
      <c r="N67" s="726"/>
      <c r="O67" s="1448">
        <f>O68+O79+O87+O90+O93+O109</f>
        <v>0</v>
      </c>
      <c r="P67" s="1449">
        <f t="shared" ref="P67:P112" si="40">IFERROR(O67/H67,"")</f>
        <v>0</v>
      </c>
      <c r="Q67" s="1450">
        <f>Q68+Q79+Q87+Q90+Q93+Q109</f>
        <v>0</v>
      </c>
      <c r="R67" s="1451">
        <f>R68+R79+R87+R90+R93+R109</f>
        <v>0</v>
      </c>
      <c r="S67" s="726"/>
      <c r="T67" s="1452">
        <f>T68+T79+T87+T90+T93+T109</f>
        <v>13788.350392951661</v>
      </c>
      <c r="U67" s="728"/>
      <c r="V67" s="1453">
        <f>V68+V79+V87+V90+V93+V109</f>
        <v>20548.63839295166</v>
      </c>
      <c r="W67" s="1446">
        <f>W68+W79+W87+W90+W93+W109</f>
        <v>-7366.2023929516599</v>
      </c>
      <c r="X67" s="729"/>
      <c r="AD67" s="1454">
        <v>4001.4360000000006</v>
      </c>
      <c r="AE67" s="1455">
        <v>0.30354298704731059</v>
      </c>
      <c r="AF67" s="1456">
        <v>6760.2879999999996</v>
      </c>
      <c r="AG67" s="1457">
        <v>-2758.8519999999999</v>
      </c>
    </row>
    <row r="68" spans="1:33" s="733" customFormat="1" ht="19.5" customHeight="1" thickBot="1">
      <c r="A68" s="1419" t="s">
        <v>581</v>
      </c>
      <c r="B68" s="1420" t="s">
        <v>582</v>
      </c>
      <c r="C68" s="731"/>
      <c r="D68" s="1421" t="s">
        <v>178</v>
      </c>
      <c r="E68" s="1422">
        <f>SUM(E69:E78)</f>
        <v>3506.7999999999997</v>
      </c>
      <c r="F68" s="1364">
        <f>SUM(F69:F78)</f>
        <v>0</v>
      </c>
      <c r="G68" s="1364">
        <f>SUM(G69:G78)</f>
        <v>0</v>
      </c>
      <c r="H68" s="1409">
        <f>SUM(H69:H78)</f>
        <v>3506.7999999999997</v>
      </c>
      <c r="I68" s="731"/>
      <c r="J68" s="1365">
        <f>SUM(J69:J78)</f>
        <v>3367.3560000000007</v>
      </c>
      <c r="K68" s="1366">
        <f>IFERROR(J68/H68,"")</f>
        <v>0.96023611269533504</v>
      </c>
      <c r="L68" s="1367">
        <f>SUM(L69:L78)</f>
        <v>5634.8679999999995</v>
      </c>
      <c r="M68" s="1368">
        <f>SUM(M69:M78)</f>
        <v>-2267.5119999999997</v>
      </c>
      <c r="N68" s="731"/>
      <c r="O68" s="1369">
        <f>SUM(O69:O78)</f>
        <v>0</v>
      </c>
      <c r="P68" s="1370">
        <f t="shared" si="40"/>
        <v>0</v>
      </c>
      <c r="Q68" s="1371">
        <f>SUM(Q69:Q78)</f>
        <v>0</v>
      </c>
      <c r="R68" s="1372">
        <f>SUM(R69:R78)</f>
        <v>0</v>
      </c>
      <c r="S68" s="731"/>
      <c r="T68" s="1373">
        <f>SUM(T69:T78)</f>
        <v>86.28</v>
      </c>
      <c r="U68" s="732"/>
      <c r="V68" s="1365">
        <f>SUM(V69:V78)</f>
        <v>5721.1479999999992</v>
      </c>
      <c r="W68" s="1368">
        <f>SUM(W69:W78)</f>
        <v>-2214.3479999999995</v>
      </c>
      <c r="X68" s="729"/>
      <c r="AD68" s="1374">
        <v>3367.3560000000007</v>
      </c>
      <c r="AE68" s="1375">
        <v>0.96023611269533504</v>
      </c>
      <c r="AF68" s="1376">
        <v>5634.8679999999995</v>
      </c>
      <c r="AG68" s="1377">
        <v>-2267.5119999999997</v>
      </c>
    </row>
    <row r="69" spans="1:33" s="737" customFormat="1" ht="15" customHeight="1">
      <c r="A69" s="1378"/>
      <c r="B69" s="1379" t="s">
        <v>207</v>
      </c>
      <c r="C69" s="707"/>
      <c r="D69" s="1380" t="s">
        <v>178</v>
      </c>
      <c r="E69" s="1381">
        <v>340</v>
      </c>
      <c r="F69" s="1382"/>
      <c r="G69" s="1382"/>
      <c r="H69" s="1383">
        <f>SUM(E69:G69)</f>
        <v>340</v>
      </c>
      <c r="I69" s="707"/>
      <c r="J69" s="1384">
        <f>H69*K69/100</f>
        <v>329.8</v>
      </c>
      <c r="K69" s="1385">
        <v>97</v>
      </c>
      <c r="L69" s="1382">
        <f>Q69+AF69</f>
        <v>331.00299999999999</v>
      </c>
      <c r="M69" s="1383">
        <f>J69-L69</f>
        <v>-1.2029999999999745</v>
      </c>
      <c r="N69" s="707"/>
      <c r="O69" s="1386">
        <f>J69-AD69</f>
        <v>0</v>
      </c>
      <c r="P69" s="1387">
        <f t="shared" si="40"/>
        <v>0</v>
      </c>
      <c r="Q69" s="1388"/>
      <c r="R69" s="1389">
        <f>O69-Q69</f>
        <v>0</v>
      </c>
      <c r="S69" s="707"/>
      <c r="T69" s="1390">
        <v>8.9700000000000006</v>
      </c>
      <c r="U69" s="735"/>
      <c r="V69" s="1384">
        <f>+L69+T69</f>
        <v>339.97300000000001</v>
      </c>
      <c r="W69" s="1383">
        <f>H69-V69</f>
        <v>2.6999999999986812E-2</v>
      </c>
      <c r="X69" s="736"/>
      <c r="AD69" s="1391">
        <v>329.8</v>
      </c>
      <c r="AE69" s="1392">
        <v>97</v>
      </c>
      <c r="AF69" s="1393">
        <v>331.00299999999999</v>
      </c>
      <c r="AG69" s="1394">
        <v>-1.2029999999999745</v>
      </c>
    </row>
    <row r="70" spans="1:33" s="737" customFormat="1" ht="15" customHeight="1">
      <c r="A70" s="1378"/>
      <c r="B70" s="1379" t="s">
        <v>208</v>
      </c>
      <c r="C70" s="707"/>
      <c r="D70" s="1380" t="s">
        <v>178</v>
      </c>
      <c r="E70" s="1381">
        <v>45.6</v>
      </c>
      <c r="F70" s="1382"/>
      <c r="G70" s="1382"/>
      <c r="H70" s="1383">
        <f t="shared" ref="H70:H76" si="41">SUM(E70:G70)</f>
        <v>45.6</v>
      </c>
      <c r="I70" s="707"/>
      <c r="J70" s="1384">
        <f t="shared" ref="J70:J76" si="42">H70*K70/100</f>
        <v>45.6</v>
      </c>
      <c r="K70" s="1385">
        <v>100</v>
      </c>
      <c r="L70" s="1382">
        <f t="shared" ref="L70:L76" si="43">Q70+AF70</f>
        <v>10.758000000000001</v>
      </c>
      <c r="M70" s="1383">
        <f t="shared" ref="M70:M76" si="44">J70-L70</f>
        <v>34.841999999999999</v>
      </c>
      <c r="N70" s="707"/>
      <c r="O70" s="1386">
        <f t="shared" ref="O70:O76" si="45">J70-AD70</f>
        <v>0</v>
      </c>
      <c r="P70" s="1387">
        <f t="shared" si="40"/>
        <v>0</v>
      </c>
      <c r="Q70" s="1388"/>
      <c r="R70" s="1389">
        <f t="shared" ref="R70:R76" si="46">O70-Q70</f>
        <v>0</v>
      </c>
      <c r="S70" s="707"/>
      <c r="T70" s="1390">
        <v>0</v>
      </c>
      <c r="U70" s="735"/>
      <c r="V70" s="1384">
        <f t="shared" ref="V70:V76" si="47">+L70+T70</f>
        <v>10.758000000000001</v>
      </c>
      <c r="W70" s="1383">
        <f t="shared" ref="W70:W76" si="48">H70-V70</f>
        <v>34.841999999999999</v>
      </c>
      <c r="X70" s="736"/>
      <c r="AD70" s="1391">
        <v>45.6</v>
      </c>
      <c r="AE70" s="1392">
        <v>100</v>
      </c>
      <c r="AF70" s="1393">
        <v>10.758000000000001</v>
      </c>
      <c r="AG70" s="1394">
        <v>34.841999999999999</v>
      </c>
    </row>
    <row r="71" spans="1:33" s="737" customFormat="1" ht="15" customHeight="1">
      <c r="A71" s="1378"/>
      <c r="B71" s="1379" t="s">
        <v>209</v>
      </c>
      <c r="C71" s="707"/>
      <c r="D71" s="1380" t="s">
        <v>178</v>
      </c>
      <c r="E71" s="1381"/>
      <c r="F71" s="1382"/>
      <c r="G71" s="1382"/>
      <c r="H71" s="1383">
        <f t="shared" si="41"/>
        <v>0</v>
      </c>
      <c r="I71" s="707"/>
      <c r="J71" s="1384">
        <f t="shared" si="42"/>
        <v>0</v>
      </c>
      <c r="K71" s="1385">
        <v>0</v>
      </c>
      <c r="L71" s="1382">
        <f t="shared" si="43"/>
        <v>2382.37</v>
      </c>
      <c r="M71" s="1383">
        <f t="shared" si="44"/>
        <v>-2382.37</v>
      </c>
      <c r="N71" s="707"/>
      <c r="O71" s="1386">
        <f t="shared" si="45"/>
        <v>0</v>
      </c>
      <c r="P71" s="1387" t="str">
        <f t="shared" si="40"/>
        <v/>
      </c>
      <c r="Q71" s="1388"/>
      <c r="R71" s="1389">
        <f t="shared" si="46"/>
        <v>0</v>
      </c>
      <c r="S71" s="707"/>
      <c r="T71" s="1390">
        <v>0</v>
      </c>
      <c r="U71" s="735"/>
      <c r="V71" s="1384">
        <f t="shared" si="47"/>
        <v>2382.37</v>
      </c>
      <c r="W71" s="1383">
        <f t="shared" si="48"/>
        <v>-2382.37</v>
      </c>
      <c r="X71" s="736"/>
      <c r="AD71" s="1391">
        <v>0</v>
      </c>
      <c r="AE71" s="1392">
        <v>0</v>
      </c>
      <c r="AF71" s="1393">
        <v>2382.37</v>
      </c>
      <c r="AG71" s="1394">
        <v>-2382.37</v>
      </c>
    </row>
    <row r="72" spans="1:33" s="737" customFormat="1" ht="15" customHeight="1">
      <c r="A72" s="1378"/>
      <c r="B72" s="1379" t="s">
        <v>210</v>
      </c>
      <c r="C72" s="707"/>
      <c r="D72" s="1380" t="s">
        <v>178</v>
      </c>
      <c r="E72" s="1381">
        <v>300</v>
      </c>
      <c r="F72" s="1382"/>
      <c r="G72" s="1382"/>
      <c r="H72" s="1383">
        <f t="shared" si="41"/>
        <v>300</v>
      </c>
      <c r="I72" s="707"/>
      <c r="J72" s="1384">
        <f t="shared" si="42"/>
        <v>270</v>
      </c>
      <c r="K72" s="1385">
        <v>90</v>
      </c>
      <c r="L72" s="1382">
        <f t="shared" si="43"/>
        <v>51.5</v>
      </c>
      <c r="M72" s="1383">
        <f t="shared" si="44"/>
        <v>218.5</v>
      </c>
      <c r="N72" s="707"/>
      <c r="O72" s="1386">
        <f t="shared" si="45"/>
        <v>0</v>
      </c>
      <c r="P72" s="1387">
        <f t="shared" si="40"/>
        <v>0</v>
      </c>
      <c r="Q72" s="1388"/>
      <c r="R72" s="1389">
        <f t="shared" si="46"/>
        <v>0</v>
      </c>
      <c r="S72" s="707"/>
      <c r="T72" s="1390">
        <v>5.6</v>
      </c>
      <c r="U72" s="735"/>
      <c r="V72" s="1384">
        <f t="shared" si="47"/>
        <v>57.1</v>
      </c>
      <c r="W72" s="1383">
        <f t="shared" si="48"/>
        <v>242.9</v>
      </c>
      <c r="X72" s="736"/>
      <c r="AD72" s="1391">
        <v>270</v>
      </c>
      <c r="AE72" s="1392">
        <v>90</v>
      </c>
      <c r="AF72" s="1393">
        <v>51.5</v>
      </c>
      <c r="AG72" s="1394">
        <v>218.5</v>
      </c>
    </row>
    <row r="73" spans="1:33" s="737" customFormat="1" ht="15" customHeight="1">
      <c r="A73" s="1378"/>
      <c r="B73" s="1379" t="s">
        <v>211</v>
      </c>
      <c r="C73" s="707"/>
      <c r="D73" s="1380" t="s">
        <v>178</v>
      </c>
      <c r="E73" s="1381">
        <v>1578</v>
      </c>
      <c r="F73" s="1382"/>
      <c r="G73" s="1382"/>
      <c r="H73" s="1383">
        <f t="shared" si="41"/>
        <v>1578</v>
      </c>
      <c r="I73" s="707"/>
      <c r="J73" s="1384">
        <f t="shared" si="42"/>
        <v>1530.66</v>
      </c>
      <c r="K73" s="1385">
        <v>97</v>
      </c>
      <c r="L73" s="1382">
        <f t="shared" si="43"/>
        <v>1579.857</v>
      </c>
      <c r="M73" s="1383">
        <f t="shared" si="44"/>
        <v>-49.196999999999889</v>
      </c>
      <c r="N73" s="707"/>
      <c r="O73" s="1386">
        <f t="shared" si="45"/>
        <v>0</v>
      </c>
      <c r="P73" s="1387">
        <f t="shared" si="40"/>
        <v>0</v>
      </c>
      <c r="Q73" s="1388"/>
      <c r="R73" s="1389">
        <f t="shared" si="46"/>
        <v>0</v>
      </c>
      <c r="S73" s="707"/>
      <c r="T73" s="1390">
        <v>24.78</v>
      </c>
      <c r="U73" s="735"/>
      <c r="V73" s="1384">
        <f t="shared" si="47"/>
        <v>1604.6369999999999</v>
      </c>
      <c r="W73" s="1383">
        <f t="shared" si="48"/>
        <v>-26.636999999999944</v>
      </c>
      <c r="X73" s="736"/>
      <c r="AD73" s="1391">
        <v>1530.66</v>
      </c>
      <c r="AE73" s="1392">
        <v>97</v>
      </c>
      <c r="AF73" s="1393">
        <v>1579.857</v>
      </c>
      <c r="AG73" s="1394">
        <v>-49.196999999999889</v>
      </c>
    </row>
    <row r="74" spans="1:33" s="737" customFormat="1" ht="15" customHeight="1">
      <c r="A74" s="1378"/>
      <c r="B74" s="1379" t="s">
        <v>212</v>
      </c>
      <c r="C74" s="707"/>
      <c r="D74" s="1380" t="s">
        <v>178</v>
      </c>
      <c r="E74" s="1381">
        <v>414</v>
      </c>
      <c r="F74" s="1382"/>
      <c r="G74" s="1382"/>
      <c r="H74" s="1383">
        <f t="shared" si="41"/>
        <v>414</v>
      </c>
      <c r="I74" s="707"/>
      <c r="J74" s="1384">
        <f t="shared" si="42"/>
        <v>405.72</v>
      </c>
      <c r="K74" s="1385">
        <v>98</v>
      </c>
      <c r="L74" s="1382">
        <f t="shared" si="43"/>
        <v>209.273</v>
      </c>
      <c r="M74" s="1383">
        <f t="shared" si="44"/>
        <v>196.44700000000003</v>
      </c>
      <c r="N74" s="707"/>
      <c r="O74" s="1386">
        <f t="shared" si="45"/>
        <v>0</v>
      </c>
      <c r="P74" s="1387">
        <f t="shared" si="40"/>
        <v>0</v>
      </c>
      <c r="Q74" s="1388"/>
      <c r="R74" s="1389">
        <f t="shared" si="46"/>
        <v>0</v>
      </c>
      <c r="S74" s="707"/>
      <c r="T74" s="1390">
        <v>4.1399999999999997</v>
      </c>
      <c r="U74" s="735"/>
      <c r="V74" s="1384">
        <f t="shared" si="47"/>
        <v>213.41299999999998</v>
      </c>
      <c r="W74" s="1383">
        <f t="shared" si="48"/>
        <v>200.58700000000002</v>
      </c>
      <c r="X74" s="736"/>
      <c r="AD74" s="1391">
        <v>405.72</v>
      </c>
      <c r="AE74" s="1392">
        <v>98</v>
      </c>
      <c r="AF74" s="1393">
        <v>209.273</v>
      </c>
      <c r="AG74" s="1394">
        <v>196.44700000000003</v>
      </c>
    </row>
    <row r="75" spans="1:33" s="737" customFormat="1" ht="15" customHeight="1">
      <c r="A75" s="1378"/>
      <c r="B75" s="1379" t="s">
        <v>213</v>
      </c>
      <c r="C75" s="707"/>
      <c r="D75" s="1380" t="s">
        <v>178</v>
      </c>
      <c r="E75" s="1381">
        <v>26</v>
      </c>
      <c r="F75" s="1382"/>
      <c r="G75" s="1382"/>
      <c r="H75" s="1383">
        <f t="shared" si="41"/>
        <v>26</v>
      </c>
      <c r="I75" s="707"/>
      <c r="J75" s="1384">
        <f t="shared" si="42"/>
        <v>20.8</v>
      </c>
      <c r="K75" s="1385">
        <v>80</v>
      </c>
      <c r="L75" s="1382">
        <f t="shared" si="43"/>
        <v>25</v>
      </c>
      <c r="M75" s="1383">
        <f t="shared" si="44"/>
        <v>-4.1999999999999993</v>
      </c>
      <c r="N75" s="707"/>
      <c r="O75" s="1386">
        <f t="shared" si="45"/>
        <v>0</v>
      </c>
      <c r="P75" s="1387">
        <f t="shared" si="40"/>
        <v>0</v>
      </c>
      <c r="Q75" s="1388"/>
      <c r="R75" s="1389">
        <f t="shared" si="46"/>
        <v>0</v>
      </c>
      <c r="S75" s="707"/>
      <c r="T75" s="1390">
        <v>6.35</v>
      </c>
      <c r="U75" s="735"/>
      <c r="V75" s="1384">
        <f t="shared" si="47"/>
        <v>31.35</v>
      </c>
      <c r="W75" s="1383">
        <f t="shared" si="48"/>
        <v>-5.3500000000000014</v>
      </c>
      <c r="X75" s="736"/>
      <c r="AD75" s="1391">
        <v>20.8</v>
      </c>
      <c r="AE75" s="1392">
        <v>80</v>
      </c>
      <c r="AF75" s="1393">
        <v>25</v>
      </c>
      <c r="AG75" s="1394">
        <v>-4.1999999999999993</v>
      </c>
    </row>
    <row r="76" spans="1:33" s="737" customFormat="1" ht="15" customHeight="1">
      <c r="A76" s="1378"/>
      <c r="B76" s="1379" t="s">
        <v>214</v>
      </c>
      <c r="C76" s="707"/>
      <c r="D76" s="1380" t="s">
        <v>178</v>
      </c>
      <c r="E76" s="1381">
        <v>172</v>
      </c>
      <c r="F76" s="1382"/>
      <c r="G76" s="1382"/>
      <c r="H76" s="1383">
        <f t="shared" si="41"/>
        <v>172</v>
      </c>
      <c r="I76" s="707"/>
      <c r="J76" s="1384">
        <f t="shared" si="42"/>
        <v>146.19999999999999</v>
      </c>
      <c r="K76" s="1385">
        <v>85</v>
      </c>
      <c r="L76" s="1382">
        <f t="shared" si="43"/>
        <v>117.5</v>
      </c>
      <c r="M76" s="1383">
        <f t="shared" si="44"/>
        <v>28.699999999999989</v>
      </c>
      <c r="N76" s="707"/>
      <c r="O76" s="1386">
        <f t="shared" si="45"/>
        <v>0</v>
      </c>
      <c r="P76" s="1387">
        <f t="shared" si="40"/>
        <v>0</v>
      </c>
      <c r="Q76" s="1388"/>
      <c r="R76" s="1389">
        <f t="shared" si="46"/>
        <v>0</v>
      </c>
      <c r="S76" s="707"/>
      <c r="T76" s="1390">
        <v>20.74</v>
      </c>
      <c r="U76" s="735"/>
      <c r="V76" s="1384">
        <f t="shared" si="47"/>
        <v>138.24</v>
      </c>
      <c r="W76" s="1383">
        <f t="shared" si="48"/>
        <v>33.759999999999991</v>
      </c>
      <c r="X76" s="736"/>
      <c r="AD76" s="1391">
        <v>146.19999999999999</v>
      </c>
      <c r="AE76" s="1392">
        <v>85</v>
      </c>
      <c r="AF76" s="1393">
        <v>117.5</v>
      </c>
      <c r="AG76" s="1394">
        <v>28.699999999999989</v>
      </c>
    </row>
    <row r="77" spans="1:33" s="737" customFormat="1" ht="15" customHeight="1">
      <c r="A77" s="1378"/>
      <c r="B77" s="1379" t="s">
        <v>215</v>
      </c>
      <c r="C77" s="707"/>
      <c r="D77" s="1380" t="s">
        <v>178</v>
      </c>
      <c r="E77" s="1381">
        <v>631.19999999999993</v>
      </c>
      <c r="F77" s="1382"/>
      <c r="G77" s="1382"/>
      <c r="H77" s="1383">
        <f>SUM(E77:G77)</f>
        <v>631.19999999999993</v>
      </c>
      <c r="I77" s="707"/>
      <c r="J77" s="1384">
        <f>H77*K77/100</f>
        <v>618.57599999999991</v>
      </c>
      <c r="K77" s="1385">
        <v>98</v>
      </c>
      <c r="L77" s="1382">
        <f>Q77+AF77</f>
        <v>629.60699999999997</v>
      </c>
      <c r="M77" s="1383">
        <f>J77-L77</f>
        <v>-11.031000000000063</v>
      </c>
      <c r="N77" s="707"/>
      <c r="O77" s="1386">
        <f>J77-AD77</f>
        <v>0</v>
      </c>
      <c r="P77" s="1387">
        <f t="shared" si="40"/>
        <v>0</v>
      </c>
      <c r="Q77" s="1388"/>
      <c r="R77" s="1389">
        <f>O77-Q77</f>
        <v>0</v>
      </c>
      <c r="S77" s="707"/>
      <c r="T77" s="1390">
        <v>15.7</v>
      </c>
      <c r="U77" s="735"/>
      <c r="V77" s="1384">
        <f>+L77+T77</f>
        <v>645.30700000000002</v>
      </c>
      <c r="W77" s="1383">
        <f>H77-V77</f>
        <v>-14.107000000000085</v>
      </c>
      <c r="X77" s="736"/>
      <c r="AD77" s="1391">
        <v>618.57599999999991</v>
      </c>
      <c r="AE77" s="1392">
        <v>98</v>
      </c>
      <c r="AF77" s="1393">
        <v>629.60699999999997</v>
      </c>
      <c r="AG77" s="1394">
        <v>-11.031000000000063</v>
      </c>
    </row>
    <row r="78" spans="1:33" s="737" customFormat="1" ht="15" customHeight="1" thickBot="1">
      <c r="A78" s="1378"/>
      <c r="B78" s="1379" t="s">
        <v>217</v>
      </c>
      <c r="C78" s="707"/>
      <c r="D78" s="1380" t="s">
        <v>178</v>
      </c>
      <c r="E78" s="1381">
        <v>0</v>
      </c>
      <c r="F78" s="1382"/>
      <c r="G78" s="1382"/>
      <c r="H78" s="1383">
        <f>SUM(E78:G78)</f>
        <v>0</v>
      </c>
      <c r="I78" s="707"/>
      <c r="J78" s="1396">
        <f>H78*K78/100</f>
        <v>0</v>
      </c>
      <c r="K78" s="1397">
        <v>100</v>
      </c>
      <c r="L78" s="1398">
        <f>Q78+AF78</f>
        <v>298</v>
      </c>
      <c r="M78" s="1399">
        <f>J78-L78</f>
        <v>-298</v>
      </c>
      <c r="N78" s="707"/>
      <c r="O78" s="1400">
        <f>J78-AD78</f>
        <v>0</v>
      </c>
      <c r="P78" s="1401" t="str">
        <f t="shared" si="40"/>
        <v/>
      </c>
      <c r="Q78" s="1388"/>
      <c r="R78" s="1403">
        <f>O78-Q78</f>
        <v>0</v>
      </c>
      <c r="S78" s="707"/>
      <c r="T78" s="1514">
        <v>0</v>
      </c>
      <c r="U78" s="735"/>
      <c r="V78" s="1396">
        <f>+L78+T78</f>
        <v>298</v>
      </c>
      <c r="W78" s="1399">
        <f>H78-V78</f>
        <v>-298</v>
      </c>
      <c r="X78" s="736"/>
      <c r="AD78" s="1404">
        <v>0</v>
      </c>
      <c r="AE78" s="1405">
        <v>100</v>
      </c>
      <c r="AF78" s="1406">
        <v>298</v>
      </c>
      <c r="AG78" s="1407">
        <v>-298</v>
      </c>
    </row>
    <row r="79" spans="1:33" s="733" customFormat="1" ht="19.5" customHeight="1" thickBot="1">
      <c r="A79" s="1419" t="s">
        <v>583</v>
      </c>
      <c r="B79" s="1420" t="s">
        <v>584</v>
      </c>
      <c r="C79" s="731"/>
      <c r="D79" s="1421" t="s">
        <v>178</v>
      </c>
      <c r="E79" s="1422">
        <f>SUM(E80:E86)</f>
        <v>9106.8860000000004</v>
      </c>
      <c r="F79" s="1364">
        <f>SUM(F80:F86)</f>
        <v>0</v>
      </c>
      <c r="G79" s="1364">
        <f>SUM(G80:G86)</f>
        <v>0</v>
      </c>
      <c r="H79" s="1409">
        <f>SUM(H80:H86)</f>
        <v>9106.8860000000004</v>
      </c>
      <c r="I79" s="731"/>
      <c r="J79" s="1408">
        <f>SUM(J80:J86)</f>
        <v>634.08000000000004</v>
      </c>
      <c r="K79" s="1340">
        <f>IFERROR(J79/H79,"")</f>
        <v>6.9626434326728145E-2</v>
      </c>
      <c r="L79" s="1364">
        <f>SUM(L80:L86)</f>
        <v>1125.42</v>
      </c>
      <c r="M79" s="1409">
        <f>SUM(M80:M86)</f>
        <v>-491.34000000000003</v>
      </c>
      <c r="N79" s="731"/>
      <c r="O79" s="1515">
        <f>SUM(O80:O86)</f>
        <v>0</v>
      </c>
      <c r="P79" s="1516">
        <f t="shared" si="40"/>
        <v>0</v>
      </c>
      <c r="Q79" s="1371">
        <f>SUM(Q80:Q86)</f>
        <v>0</v>
      </c>
      <c r="R79" s="1341">
        <f>SUM(R80:R86)</f>
        <v>0</v>
      </c>
      <c r="S79" s="731"/>
      <c r="T79" s="1518">
        <f>SUM(T80:T86)</f>
        <v>13133.32039295166</v>
      </c>
      <c r="U79" s="732"/>
      <c r="V79" s="1408">
        <f>SUM(V80:V86)</f>
        <v>14258.74039295166</v>
      </c>
      <c r="W79" s="1409">
        <f>SUM(W80:W86)</f>
        <v>-5151.85439295166</v>
      </c>
      <c r="X79" s="729"/>
      <c r="AD79" s="1415">
        <v>634.08000000000004</v>
      </c>
      <c r="AE79" s="1416">
        <v>6.9626434326728145E-2</v>
      </c>
      <c r="AF79" s="1417">
        <v>1125.42</v>
      </c>
      <c r="AG79" s="1418">
        <v>-491.34000000000003</v>
      </c>
    </row>
    <row r="80" spans="1:33" s="737" customFormat="1" ht="15" customHeight="1">
      <c r="A80" s="1378"/>
      <c r="B80" s="1379" t="s">
        <v>220</v>
      </c>
      <c r="C80" s="707"/>
      <c r="D80" s="1380" t="s">
        <v>178</v>
      </c>
      <c r="E80" s="1381">
        <v>604</v>
      </c>
      <c r="F80" s="1382"/>
      <c r="G80" s="1382"/>
      <c r="H80" s="1383">
        <f t="shared" ref="H80:H86" si="49">SUM(E80:G80)</f>
        <v>604</v>
      </c>
      <c r="I80" s="707"/>
      <c r="J80" s="1384">
        <f t="shared" ref="J80:J86" si="50">+H80*K80/100</f>
        <v>72.48</v>
      </c>
      <c r="K80" s="1385">
        <v>12</v>
      </c>
      <c r="L80" s="1382">
        <f t="shared" ref="L80:L83" si="51">Q80+AF80</f>
        <v>82.842999999999989</v>
      </c>
      <c r="M80" s="1383">
        <f t="shared" ref="M80:M83" si="52">J80-L80</f>
        <v>-10.362999999999985</v>
      </c>
      <c r="N80" s="707"/>
      <c r="O80" s="1386">
        <f t="shared" ref="O80:O83" si="53">J80-AD80</f>
        <v>0</v>
      </c>
      <c r="P80" s="1387">
        <f t="shared" si="40"/>
        <v>0</v>
      </c>
      <c r="Q80" s="1388"/>
      <c r="R80" s="1389">
        <f t="shared" ref="R80:R83" si="54">O80-Q80</f>
        <v>0</v>
      </c>
      <c r="S80" s="707"/>
      <c r="T80" s="1390">
        <v>621.27</v>
      </c>
      <c r="U80" s="735"/>
      <c r="V80" s="1384">
        <f t="shared" ref="V80:V83" si="55">+L80+T80</f>
        <v>704.11299999999994</v>
      </c>
      <c r="W80" s="1383">
        <f t="shared" ref="W80:W83" si="56">H80-V80</f>
        <v>-100.11299999999994</v>
      </c>
      <c r="X80" s="736"/>
      <c r="AD80" s="1391">
        <v>72.48</v>
      </c>
      <c r="AE80" s="1392">
        <v>12</v>
      </c>
      <c r="AF80" s="1393">
        <v>82.842999999999989</v>
      </c>
      <c r="AG80" s="1394">
        <v>-10.362999999999985</v>
      </c>
    </row>
    <row r="81" spans="1:33" s="737" customFormat="1" ht="15" customHeight="1">
      <c r="A81" s="1378"/>
      <c r="B81" s="1379" t="s">
        <v>221</v>
      </c>
      <c r="C81" s="707"/>
      <c r="D81" s="1380" t="s">
        <v>178</v>
      </c>
      <c r="E81" s="1381">
        <v>2240</v>
      </c>
      <c r="F81" s="1382"/>
      <c r="G81" s="1382"/>
      <c r="H81" s="1383">
        <f t="shared" si="49"/>
        <v>2240</v>
      </c>
      <c r="I81" s="707"/>
      <c r="J81" s="1384">
        <f t="shared" si="50"/>
        <v>403.2</v>
      </c>
      <c r="K81" s="1385">
        <v>18</v>
      </c>
      <c r="L81" s="1382">
        <f t="shared" si="51"/>
        <v>548.61699999999996</v>
      </c>
      <c r="M81" s="1383">
        <f t="shared" si="52"/>
        <v>-145.41699999999997</v>
      </c>
      <c r="N81" s="707"/>
      <c r="O81" s="1386">
        <f t="shared" si="53"/>
        <v>0</v>
      </c>
      <c r="P81" s="1387">
        <f t="shared" si="40"/>
        <v>0</v>
      </c>
      <c r="Q81" s="1388"/>
      <c r="R81" s="1389">
        <f t="shared" si="54"/>
        <v>0</v>
      </c>
      <c r="S81" s="707"/>
      <c r="T81" s="1390">
        <v>2573.0414560000049</v>
      </c>
      <c r="U81" s="735"/>
      <c r="V81" s="1384">
        <f t="shared" si="55"/>
        <v>3121.6584560000047</v>
      </c>
      <c r="W81" s="1383">
        <f t="shared" si="56"/>
        <v>-881.65845600000466</v>
      </c>
      <c r="X81" s="736"/>
      <c r="AD81" s="1391">
        <v>403.2</v>
      </c>
      <c r="AE81" s="1392">
        <v>18</v>
      </c>
      <c r="AF81" s="1393">
        <v>548.61699999999996</v>
      </c>
      <c r="AG81" s="1394">
        <v>-145.41699999999997</v>
      </c>
    </row>
    <row r="82" spans="1:33" s="737" customFormat="1" ht="15" customHeight="1">
      <c r="A82" s="1378"/>
      <c r="B82" s="1379" t="s">
        <v>222</v>
      </c>
      <c r="C82" s="707"/>
      <c r="D82" s="1380" t="s">
        <v>178</v>
      </c>
      <c r="E82" s="1381">
        <v>476</v>
      </c>
      <c r="F82" s="1382"/>
      <c r="G82" s="1382"/>
      <c r="H82" s="1383">
        <f t="shared" si="49"/>
        <v>476</v>
      </c>
      <c r="I82" s="707"/>
      <c r="J82" s="1384">
        <f t="shared" si="50"/>
        <v>0</v>
      </c>
      <c r="K82" s="1385">
        <v>0</v>
      </c>
      <c r="L82" s="1382">
        <f t="shared" si="51"/>
        <v>0</v>
      </c>
      <c r="M82" s="1383">
        <f t="shared" si="52"/>
        <v>0</v>
      </c>
      <c r="N82" s="707"/>
      <c r="O82" s="1386">
        <f t="shared" si="53"/>
        <v>0</v>
      </c>
      <c r="P82" s="1387">
        <f t="shared" si="40"/>
        <v>0</v>
      </c>
      <c r="Q82" s="1388"/>
      <c r="R82" s="1389">
        <f t="shared" si="54"/>
        <v>0</v>
      </c>
      <c r="S82" s="707"/>
      <c r="T82" s="1390">
        <v>476</v>
      </c>
      <c r="U82" s="735"/>
      <c r="V82" s="1384">
        <f t="shared" si="55"/>
        <v>476</v>
      </c>
      <c r="W82" s="1383">
        <f t="shared" si="56"/>
        <v>0</v>
      </c>
      <c r="X82" s="736"/>
      <c r="AD82" s="1391">
        <v>0</v>
      </c>
      <c r="AE82" s="1392">
        <v>0</v>
      </c>
      <c r="AF82" s="1393">
        <v>0</v>
      </c>
      <c r="AG82" s="1394">
        <v>0</v>
      </c>
    </row>
    <row r="83" spans="1:33" s="737" customFormat="1" ht="15" customHeight="1">
      <c r="A83" s="1378"/>
      <c r="B83" s="1379" t="s">
        <v>223</v>
      </c>
      <c r="C83" s="707"/>
      <c r="D83" s="1380" t="s">
        <v>178</v>
      </c>
      <c r="E83" s="1381">
        <v>1654</v>
      </c>
      <c r="F83" s="1382"/>
      <c r="G83" s="1382"/>
      <c r="H83" s="1383">
        <f t="shared" si="49"/>
        <v>1654</v>
      </c>
      <c r="I83" s="707"/>
      <c r="J83" s="1384">
        <f t="shared" si="50"/>
        <v>0</v>
      </c>
      <c r="K83" s="1385">
        <v>0</v>
      </c>
      <c r="L83" s="1382">
        <f t="shared" si="51"/>
        <v>0</v>
      </c>
      <c r="M83" s="1383">
        <f t="shared" si="52"/>
        <v>0</v>
      </c>
      <c r="N83" s="707"/>
      <c r="O83" s="1386">
        <f t="shared" si="53"/>
        <v>0</v>
      </c>
      <c r="P83" s="1387">
        <f t="shared" si="40"/>
        <v>0</v>
      </c>
      <c r="Q83" s="1388"/>
      <c r="R83" s="1389">
        <f t="shared" si="54"/>
        <v>0</v>
      </c>
      <c r="S83" s="707"/>
      <c r="T83" s="1390">
        <v>1654</v>
      </c>
      <c r="U83" s="735"/>
      <c r="V83" s="1384">
        <f t="shared" si="55"/>
        <v>1654</v>
      </c>
      <c r="W83" s="1383">
        <f t="shared" si="56"/>
        <v>0</v>
      </c>
      <c r="X83" s="736"/>
      <c r="AD83" s="1391">
        <v>0</v>
      </c>
      <c r="AE83" s="1392">
        <v>0</v>
      </c>
      <c r="AF83" s="1393">
        <v>0</v>
      </c>
      <c r="AG83" s="1394">
        <v>0</v>
      </c>
    </row>
    <row r="84" spans="1:33" s="737" customFormat="1" ht="15" customHeight="1">
      <c r="A84" s="1378"/>
      <c r="B84" s="1379" t="s">
        <v>224</v>
      </c>
      <c r="C84" s="707"/>
      <c r="D84" s="1380" t="s">
        <v>178</v>
      </c>
      <c r="E84" s="1381">
        <v>1980</v>
      </c>
      <c r="F84" s="1382"/>
      <c r="G84" s="1382"/>
      <c r="H84" s="1383">
        <f t="shared" si="49"/>
        <v>1980</v>
      </c>
      <c r="I84" s="707"/>
      <c r="J84" s="1384">
        <f t="shared" si="50"/>
        <v>158.4</v>
      </c>
      <c r="K84" s="1385">
        <v>8</v>
      </c>
      <c r="L84" s="1382">
        <f>Q84+AF84</f>
        <v>493.96000000000004</v>
      </c>
      <c r="M84" s="1383">
        <f>J84-L84</f>
        <v>-335.56000000000006</v>
      </c>
      <c r="N84" s="707"/>
      <c r="O84" s="1386">
        <f>J84-AD84</f>
        <v>0</v>
      </c>
      <c r="P84" s="1387">
        <f t="shared" si="40"/>
        <v>0</v>
      </c>
      <c r="Q84" s="1388"/>
      <c r="R84" s="1389">
        <f>O84-Q84</f>
        <v>0</v>
      </c>
      <c r="S84" s="707"/>
      <c r="T84" s="1390">
        <v>5656.122936951655</v>
      </c>
      <c r="U84" s="735"/>
      <c r="V84" s="1384">
        <f>+L84+T84</f>
        <v>6150.082936951655</v>
      </c>
      <c r="W84" s="1383">
        <f>H84-V84</f>
        <v>-4170.082936951655</v>
      </c>
      <c r="X84" s="736"/>
      <c r="AD84" s="1391">
        <v>158.4</v>
      </c>
      <c r="AE84" s="1392">
        <v>8</v>
      </c>
      <c r="AF84" s="1393">
        <v>493.96000000000004</v>
      </c>
      <c r="AG84" s="1394">
        <v>-335.56000000000006</v>
      </c>
    </row>
    <row r="85" spans="1:33" s="737" customFormat="1" ht="15" customHeight="1">
      <c r="A85" s="1378"/>
      <c r="B85" s="1458" t="s">
        <v>585</v>
      </c>
      <c r="C85" s="707"/>
      <c r="D85" s="1380" t="s">
        <v>178</v>
      </c>
      <c r="E85" s="1381">
        <v>1947.6859999999999</v>
      </c>
      <c r="F85" s="1382"/>
      <c r="G85" s="1382"/>
      <c r="H85" s="1383">
        <f t="shared" si="49"/>
        <v>1947.6859999999999</v>
      </c>
      <c r="I85" s="707"/>
      <c r="J85" s="1384">
        <f t="shared" si="50"/>
        <v>0</v>
      </c>
      <c r="K85" s="1385">
        <v>0</v>
      </c>
      <c r="L85" s="1382">
        <f t="shared" ref="L85:L86" si="57">Q85+AF85</f>
        <v>0</v>
      </c>
      <c r="M85" s="1383">
        <f t="shared" ref="M85:M86" si="58">J85-L85</f>
        <v>0</v>
      </c>
      <c r="N85" s="707"/>
      <c r="O85" s="1386">
        <f t="shared" ref="O85:O86" si="59">J85-AD85</f>
        <v>0</v>
      </c>
      <c r="P85" s="1387">
        <f t="shared" si="40"/>
        <v>0</v>
      </c>
      <c r="Q85" s="1388"/>
      <c r="R85" s="1389">
        <f t="shared" ref="R85:R86" si="60">O85-Q85</f>
        <v>0</v>
      </c>
      <c r="S85" s="707"/>
      <c r="T85" s="1390">
        <v>1947.6859999999999</v>
      </c>
      <c r="U85" s="735"/>
      <c r="V85" s="1384">
        <f t="shared" ref="V85:V86" si="61">+L85+T85</f>
        <v>1947.6859999999999</v>
      </c>
      <c r="W85" s="1383">
        <f t="shared" ref="W85:W86" si="62">H85-V85</f>
        <v>0</v>
      </c>
      <c r="X85" s="736"/>
      <c r="AD85" s="1391">
        <v>0</v>
      </c>
      <c r="AE85" s="1392">
        <v>0</v>
      </c>
      <c r="AF85" s="1393">
        <v>0</v>
      </c>
      <c r="AG85" s="1394">
        <v>0</v>
      </c>
    </row>
    <row r="86" spans="1:33" s="737" customFormat="1" ht="15" customHeight="1" thickBot="1">
      <c r="A86" s="1378"/>
      <c r="B86" s="1458" t="s">
        <v>229</v>
      </c>
      <c r="C86" s="707"/>
      <c r="D86" s="1380" t="s">
        <v>178</v>
      </c>
      <c r="E86" s="1381">
        <v>205.2</v>
      </c>
      <c r="F86" s="1382"/>
      <c r="G86" s="1382"/>
      <c r="H86" s="1383">
        <f t="shared" si="49"/>
        <v>205.2</v>
      </c>
      <c r="I86" s="707"/>
      <c r="J86" s="1396">
        <f t="shared" si="50"/>
        <v>0</v>
      </c>
      <c r="K86" s="1397">
        <v>0</v>
      </c>
      <c r="L86" s="1398">
        <f t="shared" si="57"/>
        <v>0</v>
      </c>
      <c r="M86" s="1399">
        <f t="shared" si="58"/>
        <v>0</v>
      </c>
      <c r="N86" s="707"/>
      <c r="O86" s="1400">
        <f t="shared" si="59"/>
        <v>0</v>
      </c>
      <c r="P86" s="1401">
        <f t="shared" si="40"/>
        <v>0</v>
      </c>
      <c r="Q86" s="1388"/>
      <c r="R86" s="1403">
        <f t="shared" si="60"/>
        <v>0</v>
      </c>
      <c r="S86" s="707"/>
      <c r="T86" s="1514">
        <v>205.2</v>
      </c>
      <c r="U86" s="735"/>
      <c r="V86" s="1396">
        <f t="shared" si="61"/>
        <v>205.2</v>
      </c>
      <c r="W86" s="1399">
        <f t="shared" si="62"/>
        <v>0</v>
      </c>
      <c r="X86" s="736"/>
      <c r="AD86" s="1404">
        <v>0</v>
      </c>
      <c r="AE86" s="1405">
        <v>0</v>
      </c>
      <c r="AF86" s="1406">
        <v>0</v>
      </c>
      <c r="AG86" s="1407">
        <v>0</v>
      </c>
    </row>
    <row r="87" spans="1:33" s="733" customFormat="1" ht="19.5" customHeight="1" thickBot="1">
      <c r="A87" s="1419" t="s">
        <v>586</v>
      </c>
      <c r="B87" s="1420" t="s">
        <v>587</v>
      </c>
      <c r="C87" s="731"/>
      <c r="D87" s="1421" t="s">
        <v>178</v>
      </c>
      <c r="E87" s="1422">
        <f>SUM(E88:E89)</f>
        <v>158.44</v>
      </c>
      <c r="F87" s="1364">
        <f>SUM(F88:F89)</f>
        <v>0</v>
      </c>
      <c r="G87" s="1364">
        <f>SUM(G88:G89)</f>
        <v>0</v>
      </c>
      <c r="H87" s="1409">
        <f>SUM(H88:H89)</f>
        <v>158.44</v>
      </c>
      <c r="I87" s="731"/>
      <c r="J87" s="1408">
        <f>SUM(J88:J89)</f>
        <v>0</v>
      </c>
      <c r="K87" s="1340">
        <f>IFERROR(J87/H87,"")</f>
        <v>0</v>
      </c>
      <c r="L87" s="1364">
        <f>SUM(L88:L89)</f>
        <v>0</v>
      </c>
      <c r="M87" s="1409">
        <f>SUM(M88:M89)</f>
        <v>0</v>
      </c>
      <c r="N87" s="731"/>
      <c r="O87" s="1515">
        <f>SUM(O88:O89)</f>
        <v>0</v>
      </c>
      <c r="P87" s="1516">
        <f t="shared" si="40"/>
        <v>0</v>
      </c>
      <c r="Q87" s="1371">
        <f>SUM(Q88:Q89)</f>
        <v>0</v>
      </c>
      <c r="R87" s="1341">
        <f>SUM(R88:R89)</f>
        <v>0</v>
      </c>
      <c r="S87" s="731"/>
      <c r="T87" s="1518">
        <f>SUM(T88:T89)</f>
        <v>158.44</v>
      </c>
      <c r="U87" s="732"/>
      <c r="V87" s="1408">
        <f>SUM(V88:V89)</f>
        <v>158.44</v>
      </c>
      <c r="W87" s="1409">
        <f>SUM(W88:W89)</f>
        <v>0</v>
      </c>
      <c r="X87" s="729"/>
      <c r="AD87" s="1415">
        <v>0</v>
      </c>
      <c r="AE87" s="1416">
        <v>0</v>
      </c>
      <c r="AF87" s="1519">
        <v>0</v>
      </c>
      <c r="AG87" s="1418">
        <v>0</v>
      </c>
    </row>
    <row r="88" spans="1:33" s="737" customFormat="1" ht="15" customHeight="1">
      <c r="A88" s="1378"/>
      <c r="B88" s="1379" t="s">
        <v>232</v>
      </c>
      <c r="C88" s="707"/>
      <c r="D88" s="1380" t="s">
        <v>178</v>
      </c>
      <c r="E88" s="1381">
        <v>132.28</v>
      </c>
      <c r="F88" s="1382"/>
      <c r="G88" s="1382"/>
      <c r="H88" s="1383">
        <f t="shared" ref="H88:H89" si="63">SUM(E88:G88)</f>
        <v>132.28</v>
      </c>
      <c r="I88" s="707"/>
      <c r="J88" s="1384">
        <f t="shared" ref="J88:J89" si="64">+H88*K88/100</f>
        <v>0</v>
      </c>
      <c r="K88" s="1385">
        <v>0</v>
      </c>
      <c r="L88" s="1382">
        <f t="shared" ref="L88:L89" si="65">Q88+AF88</f>
        <v>0</v>
      </c>
      <c r="M88" s="1383">
        <f t="shared" ref="M88:M89" si="66">J88-L88</f>
        <v>0</v>
      </c>
      <c r="N88" s="707"/>
      <c r="O88" s="1386">
        <f t="shared" ref="O88:O89" si="67">J88-AD88</f>
        <v>0</v>
      </c>
      <c r="P88" s="1387">
        <f t="shared" si="40"/>
        <v>0</v>
      </c>
      <c r="Q88" s="1388"/>
      <c r="R88" s="1389">
        <f t="shared" ref="R88:R89" si="68">O88-Q88</f>
        <v>0</v>
      </c>
      <c r="S88" s="707"/>
      <c r="T88" s="1390">
        <v>132.28</v>
      </c>
      <c r="U88" s="735"/>
      <c r="V88" s="1384">
        <f t="shared" ref="V88:V89" si="69">+L88+T88</f>
        <v>132.28</v>
      </c>
      <c r="W88" s="1383">
        <f t="shared" ref="W88:W89" si="70">H88-V88</f>
        <v>0</v>
      </c>
      <c r="X88" s="736"/>
      <c r="AD88" s="1391">
        <v>0</v>
      </c>
      <c r="AE88" s="1392">
        <v>0</v>
      </c>
      <c r="AF88" s="1393">
        <v>0</v>
      </c>
      <c r="AG88" s="1394">
        <v>0</v>
      </c>
    </row>
    <row r="89" spans="1:33" s="737" customFormat="1" ht="15" customHeight="1" thickBot="1">
      <c r="A89" s="1378"/>
      <c r="B89" s="1379" t="s">
        <v>233</v>
      </c>
      <c r="C89" s="707"/>
      <c r="D89" s="1380" t="s">
        <v>178</v>
      </c>
      <c r="E89" s="1381">
        <v>26.16</v>
      </c>
      <c r="F89" s="1382"/>
      <c r="G89" s="1382"/>
      <c r="H89" s="1383">
        <f t="shared" si="63"/>
        <v>26.16</v>
      </c>
      <c r="I89" s="707"/>
      <c r="J89" s="1396">
        <f t="shared" si="64"/>
        <v>0</v>
      </c>
      <c r="K89" s="1397">
        <v>0</v>
      </c>
      <c r="L89" s="1398">
        <f t="shared" si="65"/>
        <v>0</v>
      </c>
      <c r="M89" s="1399">
        <f t="shared" si="66"/>
        <v>0</v>
      </c>
      <c r="N89" s="707"/>
      <c r="O89" s="1400">
        <f t="shared" si="67"/>
        <v>0</v>
      </c>
      <c r="P89" s="1401">
        <f t="shared" si="40"/>
        <v>0</v>
      </c>
      <c r="Q89" s="1402"/>
      <c r="R89" s="1403">
        <f t="shared" si="68"/>
        <v>0</v>
      </c>
      <c r="S89" s="707"/>
      <c r="T89" s="1514">
        <v>26.16</v>
      </c>
      <c r="U89" s="735"/>
      <c r="V89" s="1396">
        <f t="shared" si="69"/>
        <v>26.16</v>
      </c>
      <c r="W89" s="1399">
        <f t="shared" si="70"/>
        <v>0</v>
      </c>
      <c r="X89" s="736"/>
      <c r="AD89" s="1404">
        <v>0</v>
      </c>
      <c r="AE89" s="1405">
        <v>0</v>
      </c>
      <c r="AF89" s="1406">
        <v>0</v>
      </c>
      <c r="AG89" s="1407">
        <v>0</v>
      </c>
    </row>
    <row r="90" spans="1:33" s="733" customFormat="1" ht="19.5" customHeight="1" thickBot="1">
      <c r="A90" s="1419" t="s">
        <v>588</v>
      </c>
      <c r="B90" s="1420" t="s">
        <v>589</v>
      </c>
      <c r="C90" s="731"/>
      <c r="D90" s="1421" t="s">
        <v>178</v>
      </c>
      <c r="E90" s="1422">
        <f>SUM(E91:E92)</f>
        <v>189</v>
      </c>
      <c r="F90" s="1364">
        <f>SUM(F91:F92)</f>
        <v>0</v>
      </c>
      <c r="G90" s="1364">
        <f>SUM(G91:G92)</f>
        <v>0</v>
      </c>
      <c r="H90" s="1409">
        <f>SUM(H91:H92)</f>
        <v>189</v>
      </c>
      <c r="I90" s="731"/>
      <c r="J90" s="1408">
        <f>SUM(J91:J92)</f>
        <v>0</v>
      </c>
      <c r="K90" s="1340">
        <f>IFERROR(J90/H90,"")</f>
        <v>0</v>
      </c>
      <c r="L90" s="1364">
        <f>SUM(L91:L92)</f>
        <v>0</v>
      </c>
      <c r="M90" s="1409">
        <f>SUM(M91:M92)</f>
        <v>0</v>
      </c>
      <c r="N90" s="731"/>
      <c r="O90" s="1515">
        <f>SUM(O91:O92)</f>
        <v>0</v>
      </c>
      <c r="P90" s="1516">
        <f t="shared" si="40"/>
        <v>0</v>
      </c>
      <c r="Q90" s="1371">
        <f>SUM(Q91:Q92)</f>
        <v>0</v>
      </c>
      <c r="R90" s="1341">
        <f>SUM(R91:R92)</f>
        <v>0</v>
      </c>
      <c r="S90" s="731"/>
      <c r="T90" s="1518">
        <f>SUM(T91:T92)</f>
        <v>189</v>
      </c>
      <c r="U90" s="732"/>
      <c r="V90" s="1408">
        <f>SUM(V91:V92)</f>
        <v>189</v>
      </c>
      <c r="W90" s="1409">
        <f>SUM(W91:W92)</f>
        <v>0</v>
      </c>
      <c r="X90" s="729"/>
      <c r="AD90" s="1415">
        <v>0</v>
      </c>
      <c r="AE90" s="1416">
        <v>0</v>
      </c>
      <c r="AF90" s="1417">
        <v>0</v>
      </c>
      <c r="AG90" s="1418">
        <v>0</v>
      </c>
    </row>
    <row r="91" spans="1:33" s="737" customFormat="1" ht="15" customHeight="1">
      <c r="A91" s="1378"/>
      <c r="B91" s="1379" t="s">
        <v>236</v>
      </c>
      <c r="C91" s="707"/>
      <c r="D91" s="1380" t="s">
        <v>178</v>
      </c>
      <c r="E91" s="1520">
        <v>112</v>
      </c>
      <c r="F91" s="1382"/>
      <c r="G91" s="1382"/>
      <c r="H91" s="1383">
        <f>SUM(E91:G91)</f>
        <v>112</v>
      </c>
      <c r="I91" s="707"/>
      <c r="J91" s="1384">
        <f>+H91*K91/100</f>
        <v>0</v>
      </c>
      <c r="K91" s="1385">
        <v>0</v>
      </c>
      <c r="L91" s="1382">
        <f>Q91+AF91</f>
        <v>0</v>
      </c>
      <c r="M91" s="1383">
        <f>J91-L91</f>
        <v>0</v>
      </c>
      <c r="N91" s="707"/>
      <c r="O91" s="1386">
        <f>J91-AD91</f>
        <v>0</v>
      </c>
      <c r="P91" s="1387">
        <f t="shared" si="40"/>
        <v>0</v>
      </c>
      <c r="Q91" s="1388"/>
      <c r="R91" s="1389">
        <f>O91-Q91</f>
        <v>0</v>
      </c>
      <c r="S91" s="707"/>
      <c r="T91" s="1390">
        <v>112</v>
      </c>
      <c r="U91" s="735"/>
      <c r="V91" s="1384">
        <f>+L91+T91</f>
        <v>112</v>
      </c>
      <c r="W91" s="1383">
        <f>H91-V91</f>
        <v>0</v>
      </c>
      <c r="X91" s="736"/>
      <c r="AD91" s="1391">
        <v>0</v>
      </c>
      <c r="AE91" s="1392">
        <v>0</v>
      </c>
      <c r="AF91" s="1393">
        <v>0</v>
      </c>
      <c r="AG91" s="1394">
        <v>0</v>
      </c>
    </row>
    <row r="92" spans="1:33" s="737" customFormat="1" ht="15" customHeight="1" thickBot="1">
      <c r="A92" s="1378"/>
      <c r="B92" s="1379" t="s">
        <v>237</v>
      </c>
      <c r="C92" s="707"/>
      <c r="D92" s="1380" t="s">
        <v>178</v>
      </c>
      <c r="E92" s="1520">
        <v>77</v>
      </c>
      <c r="F92" s="1382"/>
      <c r="G92" s="1382"/>
      <c r="H92" s="1383">
        <f>SUM(E92:G92)</f>
        <v>77</v>
      </c>
      <c r="I92" s="707"/>
      <c r="J92" s="1396">
        <f>+H92*K92/100</f>
        <v>0</v>
      </c>
      <c r="K92" s="1397">
        <v>0</v>
      </c>
      <c r="L92" s="1398">
        <f>Q92+AF92</f>
        <v>0</v>
      </c>
      <c r="M92" s="1399">
        <f>J92-L92</f>
        <v>0</v>
      </c>
      <c r="N92" s="707"/>
      <c r="O92" s="1400">
        <f>J92-AD92</f>
        <v>0</v>
      </c>
      <c r="P92" s="1401">
        <f t="shared" si="40"/>
        <v>0</v>
      </c>
      <c r="Q92" s="1402"/>
      <c r="R92" s="1403">
        <f>O92-Q92</f>
        <v>0</v>
      </c>
      <c r="S92" s="707"/>
      <c r="T92" s="1514">
        <v>77</v>
      </c>
      <c r="U92" s="735"/>
      <c r="V92" s="1396">
        <f>+L92+T92</f>
        <v>77</v>
      </c>
      <c r="W92" s="1399">
        <f>H92-V92</f>
        <v>0</v>
      </c>
      <c r="X92" s="736"/>
      <c r="AD92" s="1404">
        <v>0</v>
      </c>
      <c r="AE92" s="1405">
        <v>0</v>
      </c>
      <c r="AF92" s="1406">
        <v>0</v>
      </c>
      <c r="AG92" s="1407">
        <v>0</v>
      </c>
    </row>
    <row r="93" spans="1:33" s="733" customFormat="1" ht="19.5" customHeight="1" thickBot="1">
      <c r="A93" s="1419" t="s">
        <v>590</v>
      </c>
      <c r="B93" s="1420" t="s">
        <v>591</v>
      </c>
      <c r="C93" s="731"/>
      <c r="D93" s="1421" t="s">
        <v>178</v>
      </c>
      <c r="E93" s="1422">
        <f>SUM(E94:E108)</f>
        <v>221.31</v>
      </c>
      <c r="F93" s="1364">
        <f>SUM(F94:F108)</f>
        <v>0</v>
      </c>
      <c r="G93" s="1364">
        <f>SUM(G94:G108)</f>
        <v>0</v>
      </c>
      <c r="H93" s="1409">
        <f>SUM(H94:H108)</f>
        <v>221.31</v>
      </c>
      <c r="I93" s="731"/>
      <c r="J93" s="1408">
        <f>SUM(J94:J108)</f>
        <v>0</v>
      </c>
      <c r="K93" s="1340">
        <f>IFERROR(J93/H93,"")</f>
        <v>0</v>
      </c>
      <c r="L93" s="1364">
        <f>SUM(L94:L108)</f>
        <v>0</v>
      </c>
      <c r="M93" s="1409">
        <f>SUM(M94:M108)</f>
        <v>0</v>
      </c>
      <c r="N93" s="731"/>
      <c r="O93" s="1515">
        <f>SUM(O94:O108)</f>
        <v>0</v>
      </c>
      <c r="P93" s="1516">
        <f t="shared" si="40"/>
        <v>0</v>
      </c>
      <c r="Q93" s="1371">
        <f>SUM(Q94:Q108)</f>
        <v>0</v>
      </c>
      <c r="R93" s="1341">
        <f>SUM(R94:R108)</f>
        <v>0</v>
      </c>
      <c r="S93" s="731"/>
      <c r="T93" s="1518">
        <f>SUM(T94:T108)</f>
        <v>221.31</v>
      </c>
      <c r="U93" s="732"/>
      <c r="V93" s="1408">
        <f>SUM(V94:V108)</f>
        <v>221.31</v>
      </c>
      <c r="W93" s="1409">
        <f>SUM(W94:W118)</f>
        <v>0</v>
      </c>
      <c r="X93" s="729"/>
      <c r="AD93" s="1415">
        <v>0</v>
      </c>
      <c r="AE93" s="1416">
        <v>0</v>
      </c>
      <c r="AF93" s="1417">
        <v>0</v>
      </c>
      <c r="AG93" s="1418">
        <v>0</v>
      </c>
    </row>
    <row r="94" spans="1:33" s="737" customFormat="1" ht="15" customHeight="1">
      <c r="A94" s="1378"/>
      <c r="B94" s="1379" t="s">
        <v>240</v>
      </c>
      <c r="C94" s="707"/>
      <c r="D94" s="1380" t="s">
        <v>178</v>
      </c>
      <c r="E94" s="1520">
        <v>27.28</v>
      </c>
      <c r="F94" s="1382"/>
      <c r="G94" s="1382"/>
      <c r="H94" s="1383">
        <f t="shared" ref="H94:H108" si="71">SUM(E94:G94)</f>
        <v>27.28</v>
      </c>
      <c r="I94" s="707"/>
      <c r="J94" s="1384">
        <f t="shared" ref="J94" si="72">+H94*K94/100</f>
        <v>0</v>
      </c>
      <c r="K94" s="1385">
        <v>0</v>
      </c>
      <c r="L94" s="1382">
        <f t="shared" ref="L94:L108" si="73">Q94+AF94</f>
        <v>0</v>
      </c>
      <c r="M94" s="1383">
        <f t="shared" ref="M94:M108" si="74">J94-L94</f>
        <v>0</v>
      </c>
      <c r="N94" s="707"/>
      <c r="O94" s="1386">
        <f t="shared" ref="O94:O108" si="75">J94-AD94</f>
        <v>0</v>
      </c>
      <c r="P94" s="1387">
        <f t="shared" si="40"/>
        <v>0</v>
      </c>
      <c r="Q94" s="1388"/>
      <c r="R94" s="1389">
        <f t="shared" ref="R94:R108" si="76">O94-Q94</f>
        <v>0</v>
      </c>
      <c r="S94" s="707"/>
      <c r="T94" s="1390">
        <v>27.28</v>
      </c>
      <c r="U94" s="735"/>
      <c r="V94" s="1384">
        <f t="shared" ref="V94:V108" si="77">+L94+T94</f>
        <v>27.28</v>
      </c>
      <c r="W94" s="1383">
        <f t="shared" ref="W94:W108" si="78">H94-V94</f>
        <v>0</v>
      </c>
      <c r="X94" s="736"/>
      <c r="AD94" s="1391">
        <v>0</v>
      </c>
      <c r="AE94" s="1392">
        <v>0</v>
      </c>
      <c r="AF94" s="1393">
        <v>0</v>
      </c>
      <c r="AG94" s="1394">
        <v>0</v>
      </c>
    </row>
    <row r="95" spans="1:33" s="737" customFormat="1" ht="15" customHeight="1">
      <c r="A95" s="1378"/>
      <c r="B95" s="1379" t="s">
        <v>241</v>
      </c>
      <c r="C95" s="707"/>
      <c r="D95" s="1380" t="s">
        <v>178</v>
      </c>
      <c r="E95" s="1520">
        <v>0</v>
      </c>
      <c r="F95" s="1382"/>
      <c r="G95" s="1382"/>
      <c r="H95" s="1383">
        <f t="shared" si="71"/>
        <v>0</v>
      </c>
      <c r="I95" s="707"/>
      <c r="J95" s="1384">
        <f t="shared" ref="J95:J102" si="79">H95*K95/100</f>
        <v>0</v>
      </c>
      <c r="K95" s="1385">
        <v>0</v>
      </c>
      <c r="L95" s="1382">
        <f t="shared" si="73"/>
        <v>0</v>
      </c>
      <c r="M95" s="1383">
        <f t="shared" si="74"/>
        <v>0</v>
      </c>
      <c r="N95" s="707"/>
      <c r="O95" s="1386">
        <f t="shared" si="75"/>
        <v>0</v>
      </c>
      <c r="P95" s="1387" t="str">
        <f t="shared" si="40"/>
        <v/>
      </c>
      <c r="Q95" s="1388"/>
      <c r="R95" s="1389">
        <f t="shared" si="76"/>
        <v>0</v>
      </c>
      <c r="S95" s="707"/>
      <c r="T95" s="1390">
        <v>0</v>
      </c>
      <c r="U95" s="735"/>
      <c r="V95" s="1384">
        <f t="shared" si="77"/>
        <v>0</v>
      </c>
      <c r="W95" s="1383">
        <f t="shared" si="78"/>
        <v>0</v>
      </c>
      <c r="X95" s="736"/>
      <c r="AD95" s="1391">
        <v>0</v>
      </c>
      <c r="AE95" s="1392">
        <v>0</v>
      </c>
      <c r="AF95" s="1393">
        <v>0</v>
      </c>
      <c r="AG95" s="1394">
        <v>0</v>
      </c>
    </row>
    <row r="96" spans="1:33" s="737" customFormat="1" ht="15" customHeight="1">
      <c r="A96" s="1378"/>
      <c r="B96" s="1379" t="s">
        <v>242</v>
      </c>
      <c r="C96" s="707"/>
      <c r="D96" s="1380" t="s">
        <v>178</v>
      </c>
      <c r="E96" s="1520">
        <v>0</v>
      </c>
      <c r="F96" s="1382"/>
      <c r="G96" s="1382"/>
      <c r="H96" s="1383">
        <f t="shared" si="71"/>
        <v>0</v>
      </c>
      <c r="I96" s="707"/>
      <c r="J96" s="1384">
        <f t="shared" si="79"/>
        <v>0</v>
      </c>
      <c r="K96" s="1385">
        <v>0</v>
      </c>
      <c r="L96" s="1382">
        <f t="shared" si="73"/>
        <v>0</v>
      </c>
      <c r="M96" s="1383">
        <f t="shared" si="74"/>
        <v>0</v>
      </c>
      <c r="N96" s="707"/>
      <c r="O96" s="1386">
        <f t="shared" si="75"/>
        <v>0</v>
      </c>
      <c r="P96" s="1387" t="str">
        <f t="shared" si="40"/>
        <v/>
      </c>
      <c r="Q96" s="1388"/>
      <c r="R96" s="1389">
        <f t="shared" si="76"/>
        <v>0</v>
      </c>
      <c r="S96" s="707"/>
      <c r="T96" s="1390">
        <v>0</v>
      </c>
      <c r="U96" s="735"/>
      <c r="V96" s="1384">
        <f t="shared" si="77"/>
        <v>0</v>
      </c>
      <c r="W96" s="1383">
        <f t="shared" si="78"/>
        <v>0</v>
      </c>
      <c r="X96" s="736"/>
      <c r="AD96" s="1391">
        <v>0</v>
      </c>
      <c r="AE96" s="1392">
        <v>0</v>
      </c>
      <c r="AF96" s="1393">
        <v>0</v>
      </c>
      <c r="AG96" s="1394">
        <v>0</v>
      </c>
    </row>
    <row r="97" spans="1:33" s="737" customFormat="1" ht="15" customHeight="1">
      <c r="A97" s="1378"/>
      <c r="B97" s="1379" t="s">
        <v>243</v>
      </c>
      <c r="C97" s="707"/>
      <c r="D97" s="1380" t="s">
        <v>178</v>
      </c>
      <c r="E97" s="1520">
        <v>0</v>
      </c>
      <c r="F97" s="1382"/>
      <c r="G97" s="1382"/>
      <c r="H97" s="1383">
        <f t="shared" si="71"/>
        <v>0</v>
      </c>
      <c r="I97" s="707"/>
      <c r="J97" s="1384">
        <f t="shared" si="79"/>
        <v>0</v>
      </c>
      <c r="K97" s="1385">
        <v>0</v>
      </c>
      <c r="L97" s="1382">
        <f t="shared" si="73"/>
        <v>0</v>
      </c>
      <c r="M97" s="1383">
        <f t="shared" si="74"/>
        <v>0</v>
      </c>
      <c r="N97" s="707"/>
      <c r="O97" s="1386">
        <f t="shared" si="75"/>
        <v>0</v>
      </c>
      <c r="P97" s="1387" t="str">
        <f t="shared" si="40"/>
        <v/>
      </c>
      <c r="Q97" s="1388"/>
      <c r="R97" s="1389">
        <f t="shared" si="76"/>
        <v>0</v>
      </c>
      <c r="S97" s="707"/>
      <c r="T97" s="1390">
        <v>0</v>
      </c>
      <c r="U97" s="735"/>
      <c r="V97" s="1384">
        <f t="shared" si="77"/>
        <v>0</v>
      </c>
      <c r="W97" s="1383">
        <f t="shared" si="78"/>
        <v>0</v>
      </c>
      <c r="X97" s="736"/>
      <c r="AD97" s="1391">
        <v>0</v>
      </c>
      <c r="AE97" s="1392">
        <v>0</v>
      </c>
      <c r="AF97" s="1393">
        <v>0</v>
      </c>
      <c r="AG97" s="1394">
        <v>0</v>
      </c>
    </row>
    <row r="98" spans="1:33" s="737" customFormat="1" ht="15" customHeight="1">
      <c r="A98" s="1378"/>
      <c r="B98" s="1379" t="s">
        <v>244</v>
      </c>
      <c r="C98" s="707"/>
      <c r="D98" s="1380" t="s">
        <v>178</v>
      </c>
      <c r="E98" s="1520">
        <v>0</v>
      </c>
      <c r="F98" s="1382"/>
      <c r="G98" s="1382"/>
      <c r="H98" s="1383">
        <f t="shared" si="71"/>
        <v>0</v>
      </c>
      <c r="I98" s="707"/>
      <c r="J98" s="1384">
        <f t="shared" si="79"/>
        <v>0</v>
      </c>
      <c r="K98" s="1385">
        <v>0</v>
      </c>
      <c r="L98" s="1382">
        <f t="shared" si="73"/>
        <v>0</v>
      </c>
      <c r="M98" s="1383">
        <f t="shared" si="74"/>
        <v>0</v>
      </c>
      <c r="N98" s="707"/>
      <c r="O98" s="1386">
        <f t="shared" si="75"/>
        <v>0</v>
      </c>
      <c r="P98" s="1387" t="str">
        <f t="shared" si="40"/>
        <v/>
      </c>
      <c r="Q98" s="1388"/>
      <c r="R98" s="1389">
        <f t="shared" si="76"/>
        <v>0</v>
      </c>
      <c r="S98" s="707"/>
      <c r="T98" s="1390">
        <v>0</v>
      </c>
      <c r="U98" s="735"/>
      <c r="V98" s="1384">
        <f t="shared" si="77"/>
        <v>0</v>
      </c>
      <c r="W98" s="1383">
        <f t="shared" si="78"/>
        <v>0</v>
      </c>
      <c r="X98" s="736"/>
      <c r="AD98" s="1391">
        <v>0</v>
      </c>
      <c r="AE98" s="1392">
        <v>0</v>
      </c>
      <c r="AF98" s="1393">
        <v>0</v>
      </c>
      <c r="AG98" s="1394">
        <v>0</v>
      </c>
    </row>
    <row r="99" spans="1:33" s="737" customFormat="1" ht="15" customHeight="1">
      <c r="A99" s="1378"/>
      <c r="B99" s="1379" t="s">
        <v>245</v>
      </c>
      <c r="C99" s="707"/>
      <c r="D99" s="1380" t="s">
        <v>178</v>
      </c>
      <c r="E99" s="1520">
        <v>3.2</v>
      </c>
      <c r="F99" s="1382"/>
      <c r="G99" s="1382"/>
      <c r="H99" s="1383">
        <f t="shared" si="71"/>
        <v>3.2</v>
      </c>
      <c r="I99" s="707"/>
      <c r="J99" s="1384">
        <f t="shared" si="79"/>
        <v>0</v>
      </c>
      <c r="K99" s="1385">
        <v>0</v>
      </c>
      <c r="L99" s="1382">
        <f t="shared" si="73"/>
        <v>0</v>
      </c>
      <c r="M99" s="1383">
        <f t="shared" si="74"/>
        <v>0</v>
      </c>
      <c r="N99" s="707"/>
      <c r="O99" s="1386">
        <f t="shared" si="75"/>
        <v>0</v>
      </c>
      <c r="P99" s="1387">
        <f t="shared" si="40"/>
        <v>0</v>
      </c>
      <c r="Q99" s="1388"/>
      <c r="R99" s="1389">
        <f t="shared" si="76"/>
        <v>0</v>
      </c>
      <c r="S99" s="707"/>
      <c r="T99" s="1390">
        <v>3.2</v>
      </c>
      <c r="U99" s="735"/>
      <c r="V99" s="1384">
        <f t="shared" si="77"/>
        <v>3.2</v>
      </c>
      <c r="W99" s="1383">
        <f t="shared" si="78"/>
        <v>0</v>
      </c>
      <c r="X99" s="736"/>
      <c r="AD99" s="1391">
        <v>0</v>
      </c>
      <c r="AE99" s="1392">
        <v>0</v>
      </c>
      <c r="AF99" s="1393">
        <v>0</v>
      </c>
      <c r="AG99" s="1394">
        <v>0</v>
      </c>
    </row>
    <row r="100" spans="1:33" s="737" customFormat="1" ht="15" customHeight="1">
      <c r="A100" s="1378"/>
      <c r="B100" s="1379" t="s">
        <v>246</v>
      </c>
      <c r="C100" s="707"/>
      <c r="D100" s="1380" t="s">
        <v>178</v>
      </c>
      <c r="E100" s="1520">
        <v>78.400000000000006</v>
      </c>
      <c r="F100" s="1382"/>
      <c r="G100" s="1382"/>
      <c r="H100" s="1383">
        <f t="shared" si="71"/>
        <v>78.400000000000006</v>
      </c>
      <c r="I100" s="707"/>
      <c r="J100" s="1384">
        <f t="shared" si="79"/>
        <v>0</v>
      </c>
      <c r="K100" s="1385">
        <v>0</v>
      </c>
      <c r="L100" s="1382">
        <f t="shared" si="73"/>
        <v>0</v>
      </c>
      <c r="M100" s="1383">
        <f t="shared" si="74"/>
        <v>0</v>
      </c>
      <c r="N100" s="707"/>
      <c r="O100" s="1386">
        <f t="shared" si="75"/>
        <v>0</v>
      </c>
      <c r="P100" s="1387">
        <f t="shared" si="40"/>
        <v>0</v>
      </c>
      <c r="Q100" s="1388"/>
      <c r="R100" s="1389">
        <f t="shared" si="76"/>
        <v>0</v>
      </c>
      <c r="S100" s="707"/>
      <c r="T100" s="1390">
        <v>78.400000000000006</v>
      </c>
      <c r="U100" s="735"/>
      <c r="V100" s="1384">
        <f t="shared" si="77"/>
        <v>78.400000000000006</v>
      </c>
      <c r="W100" s="1383">
        <f t="shared" si="78"/>
        <v>0</v>
      </c>
      <c r="X100" s="736"/>
      <c r="AD100" s="1391">
        <v>0</v>
      </c>
      <c r="AE100" s="1392">
        <v>0</v>
      </c>
      <c r="AF100" s="1393">
        <v>0</v>
      </c>
      <c r="AG100" s="1394">
        <v>0</v>
      </c>
    </row>
    <row r="101" spans="1:33" s="737" customFormat="1" ht="15" customHeight="1">
      <c r="A101" s="1378"/>
      <c r="B101" s="1379" t="s">
        <v>247</v>
      </c>
      <c r="C101" s="707"/>
      <c r="D101" s="1380" t="s">
        <v>178</v>
      </c>
      <c r="E101" s="1520">
        <v>15.6</v>
      </c>
      <c r="F101" s="1382"/>
      <c r="G101" s="1382"/>
      <c r="H101" s="1383">
        <f t="shared" si="71"/>
        <v>15.6</v>
      </c>
      <c r="I101" s="707"/>
      <c r="J101" s="1384">
        <f t="shared" si="79"/>
        <v>0</v>
      </c>
      <c r="K101" s="1385">
        <v>0</v>
      </c>
      <c r="L101" s="1382">
        <f t="shared" si="73"/>
        <v>0</v>
      </c>
      <c r="M101" s="1383">
        <f t="shared" si="74"/>
        <v>0</v>
      </c>
      <c r="N101" s="707"/>
      <c r="O101" s="1386">
        <f t="shared" si="75"/>
        <v>0</v>
      </c>
      <c r="P101" s="1387">
        <f t="shared" si="40"/>
        <v>0</v>
      </c>
      <c r="Q101" s="1388"/>
      <c r="R101" s="1389">
        <f t="shared" si="76"/>
        <v>0</v>
      </c>
      <c r="S101" s="707"/>
      <c r="T101" s="1390">
        <v>15.6</v>
      </c>
      <c r="U101" s="735"/>
      <c r="V101" s="1384">
        <f t="shared" si="77"/>
        <v>15.6</v>
      </c>
      <c r="W101" s="1383">
        <f t="shared" si="78"/>
        <v>0</v>
      </c>
      <c r="X101" s="736"/>
      <c r="AD101" s="1391">
        <v>0</v>
      </c>
      <c r="AE101" s="1392">
        <v>0</v>
      </c>
      <c r="AF101" s="1393">
        <v>0</v>
      </c>
      <c r="AG101" s="1394">
        <v>0</v>
      </c>
    </row>
    <row r="102" spans="1:33" s="737" customFormat="1" ht="15" customHeight="1">
      <c r="A102" s="1378"/>
      <c r="B102" s="1379" t="s">
        <v>248</v>
      </c>
      <c r="C102" s="707"/>
      <c r="D102" s="1380" t="s">
        <v>178</v>
      </c>
      <c r="E102" s="1520">
        <v>0</v>
      </c>
      <c r="F102" s="1382"/>
      <c r="G102" s="1382"/>
      <c r="H102" s="1383">
        <f t="shared" si="71"/>
        <v>0</v>
      </c>
      <c r="I102" s="707"/>
      <c r="J102" s="1384">
        <f t="shared" si="79"/>
        <v>0</v>
      </c>
      <c r="K102" s="1385">
        <v>0</v>
      </c>
      <c r="L102" s="1382">
        <f t="shared" si="73"/>
        <v>0</v>
      </c>
      <c r="M102" s="1383">
        <f t="shared" si="74"/>
        <v>0</v>
      </c>
      <c r="N102" s="707"/>
      <c r="O102" s="1386">
        <f t="shared" si="75"/>
        <v>0</v>
      </c>
      <c r="P102" s="1387" t="str">
        <f t="shared" si="40"/>
        <v/>
      </c>
      <c r="Q102" s="1388"/>
      <c r="R102" s="1389">
        <f t="shared" si="76"/>
        <v>0</v>
      </c>
      <c r="S102" s="707"/>
      <c r="T102" s="1390">
        <v>0</v>
      </c>
      <c r="U102" s="735"/>
      <c r="V102" s="1384">
        <f t="shared" si="77"/>
        <v>0</v>
      </c>
      <c r="W102" s="1383">
        <f t="shared" si="78"/>
        <v>0</v>
      </c>
      <c r="X102" s="736"/>
      <c r="AD102" s="1391">
        <v>0</v>
      </c>
      <c r="AE102" s="1392">
        <v>0</v>
      </c>
      <c r="AF102" s="1393">
        <v>0</v>
      </c>
      <c r="AG102" s="1394">
        <v>0</v>
      </c>
    </row>
    <row r="103" spans="1:33" s="737" customFormat="1" ht="15" customHeight="1">
      <c r="A103" s="1378"/>
      <c r="B103" s="1379" t="s">
        <v>249</v>
      </c>
      <c r="C103" s="707"/>
      <c r="D103" s="1380" t="s">
        <v>178</v>
      </c>
      <c r="E103" s="1520">
        <v>0</v>
      </c>
      <c r="F103" s="1382"/>
      <c r="G103" s="1382"/>
      <c r="H103" s="1383">
        <f t="shared" si="71"/>
        <v>0</v>
      </c>
      <c r="I103" s="707"/>
      <c r="J103" s="1384">
        <f t="shared" ref="J103:J108" si="80">+H103*K103/100</f>
        <v>0</v>
      </c>
      <c r="K103" s="1385">
        <v>0</v>
      </c>
      <c r="L103" s="1382">
        <f t="shared" si="73"/>
        <v>0</v>
      </c>
      <c r="M103" s="1383">
        <f t="shared" si="74"/>
        <v>0</v>
      </c>
      <c r="N103" s="707"/>
      <c r="O103" s="1386">
        <f t="shared" si="75"/>
        <v>0</v>
      </c>
      <c r="P103" s="1387" t="str">
        <f t="shared" si="40"/>
        <v/>
      </c>
      <c r="Q103" s="1388"/>
      <c r="R103" s="1389">
        <f t="shared" si="76"/>
        <v>0</v>
      </c>
      <c r="S103" s="707"/>
      <c r="T103" s="1390">
        <v>0</v>
      </c>
      <c r="U103" s="735"/>
      <c r="V103" s="1384">
        <f t="shared" si="77"/>
        <v>0</v>
      </c>
      <c r="W103" s="1383">
        <f t="shared" si="78"/>
        <v>0</v>
      </c>
      <c r="X103" s="736"/>
      <c r="AD103" s="1391">
        <v>0</v>
      </c>
      <c r="AE103" s="1392">
        <v>0</v>
      </c>
      <c r="AF103" s="1393">
        <v>0</v>
      </c>
      <c r="AG103" s="1394">
        <v>0</v>
      </c>
    </row>
    <row r="104" spans="1:33" s="737" customFormat="1" ht="15" customHeight="1">
      <c r="A104" s="1378"/>
      <c r="B104" s="1379" t="s">
        <v>250</v>
      </c>
      <c r="C104" s="707"/>
      <c r="D104" s="1380" t="s">
        <v>178</v>
      </c>
      <c r="E104" s="1520">
        <v>45.800000000000004</v>
      </c>
      <c r="F104" s="1382"/>
      <c r="G104" s="1382"/>
      <c r="H104" s="1383">
        <f t="shared" si="71"/>
        <v>45.800000000000004</v>
      </c>
      <c r="I104" s="707"/>
      <c r="J104" s="1384">
        <f t="shared" si="80"/>
        <v>0</v>
      </c>
      <c r="K104" s="1385">
        <v>0</v>
      </c>
      <c r="L104" s="1382">
        <f t="shared" si="73"/>
        <v>0</v>
      </c>
      <c r="M104" s="1383">
        <f t="shared" si="74"/>
        <v>0</v>
      </c>
      <c r="N104" s="707"/>
      <c r="O104" s="1386">
        <f t="shared" si="75"/>
        <v>0</v>
      </c>
      <c r="P104" s="1387">
        <f t="shared" si="40"/>
        <v>0</v>
      </c>
      <c r="Q104" s="1388"/>
      <c r="R104" s="1389">
        <f t="shared" si="76"/>
        <v>0</v>
      </c>
      <c r="S104" s="707"/>
      <c r="T104" s="1390">
        <v>45.800000000000004</v>
      </c>
      <c r="U104" s="735"/>
      <c r="V104" s="1384">
        <f t="shared" si="77"/>
        <v>45.800000000000004</v>
      </c>
      <c r="W104" s="1383">
        <f t="shared" si="78"/>
        <v>0</v>
      </c>
      <c r="X104" s="736"/>
      <c r="AD104" s="1391">
        <v>0</v>
      </c>
      <c r="AE104" s="1392">
        <v>0</v>
      </c>
      <c r="AF104" s="1393">
        <v>0</v>
      </c>
      <c r="AG104" s="1394">
        <v>0</v>
      </c>
    </row>
    <row r="105" spans="1:33" s="737" customFormat="1" ht="15" customHeight="1">
      <c r="A105" s="1378"/>
      <c r="B105" s="1379" t="s">
        <v>251</v>
      </c>
      <c r="C105" s="707"/>
      <c r="D105" s="1380" t="s">
        <v>178</v>
      </c>
      <c r="E105" s="1520">
        <v>0</v>
      </c>
      <c r="F105" s="1382"/>
      <c r="G105" s="1382"/>
      <c r="H105" s="1383">
        <f t="shared" si="71"/>
        <v>0</v>
      </c>
      <c r="I105" s="707"/>
      <c r="J105" s="1384">
        <f t="shared" si="80"/>
        <v>0</v>
      </c>
      <c r="K105" s="1385">
        <v>0</v>
      </c>
      <c r="L105" s="1382">
        <f t="shared" si="73"/>
        <v>0</v>
      </c>
      <c r="M105" s="1383">
        <f t="shared" si="74"/>
        <v>0</v>
      </c>
      <c r="N105" s="707"/>
      <c r="O105" s="1386">
        <f t="shared" si="75"/>
        <v>0</v>
      </c>
      <c r="P105" s="1387" t="str">
        <f t="shared" si="40"/>
        <v/>
      </c>
      <c r="Q105" s="1388"/>
      <c r="R105" s="1389">
        <f t="shared" si="76"/>
        <v>0</v>
      </c>
      <c r="S105" s="707"/>
      <c r="T105" s="1390">
        <v>0</v>
      </c>
      <c r="U105" s="735"/>
      <c r="V105" s="1384">
        <f t="shared" si="77"/>
        <v>0</v>
      </c>
      <c r="W105" s="1383">
        <f t="shared" si="78"/>
        <v>0</v>
      </c>
      <c r="X105" s="736"/>
      <c r="AD105" s="1391">
        <v>0</v>
      </c>
      <c r="AE105" s="1392">
        <v>0</v>
      </c>
      <c r="AF105" s="1393">
        <v>0</v>
      </c>
      <c r="AG105" s="1394">
        <v>0</v>
      </c>
    </row>
    <row r="106" spans="1:33" s="737" customFormat="1" ht="15" customHeight="1">
      <c r="A106" s="1378"/>
      <c r="B106" s="1379" t="s">
        <v>252</v>
      </c>
      <c r="C106" s="707"/>
      <c r="D106" s="1380" t="s">
        <v>178</v>
      </c>
      <c r="E106" s="1520">
        <v>0</v>
      </c>
      <c r="F106" s="1382"/>
      <c r="G106" s="1382"/>
      <c r="H106" s="1383">
        <f t="shared" si="71"/>
        <v>0</v>
      </c>
      <c r="I106" s="707"/>
      <c r="J106" s="1384">
        <f t="shared" si="80"/>
        <v>0</v>
      </c>
      <c r="K106" s="1385">
        <v>0</v>
      </c>
      <c r="L106" s="1382">
        <f t="shared" si="73"/>
        <v>0</v>
      </c>
      <c r="M106" s="1383">
        <f t="shared" si="74"/>
        <v>0</v>
      </c>
      <c r="N106" s="707"/>
      <c r="O106" s="1386">
        <f t="shared" si="75"/>
        <v>0</v>
      </c>
      <c r="P106" s="1387" t="str">
        <f t="shared" si="40"/>
        <v/>
      </c>
      <c r="Q106" s="1388"/>
      <c r="R106" s="1389">
        <f t="shared" si="76"/>
        <v>0</v>
      </c>
      <c r="S106" s="707"/>
      <c r="T106" s="1390">
        <v>0</v>
      </c>
      <c r="U106" s="735"/>
      <c r="V106" s="1384">
        <f t="shared" si="77"/>
        <v>0</v>
      </c>
      <c r="W106" s="1383">
        <f t="shared" si="78"/>
        <v>0</v>
      </c>
      <c r="X106" s="736"/>
      <c r="AD106" s="1391">
        <v>0</v>
      </c>
      <c r="AE106" s="1392">
        <v>0</v>
      </c>
      <c r="AF106" s="1393">
        <v>0</v>
      </c>
      <c r="AG106" s="1394">
        <v>0</v>
      </c>
    </row>
    <row r="107" spans="1:33" s="737" customFormat="1" ht="15" customHeight="1">
      <c r="A107" s="1378"/>
      <c r="B107" s="1379" t="s">
        <v>253</v>
      </c>
      <c r="C107" s="707"/>
      <c r="D107" s="1380" t="s">
        <v>178</v>
      </c>
      <c r="E107" s="1520">
        <v>51.03</v>
      </c>
      <c r="F107" s="1382"/>
      <c r="G107" s="1382"/>
      <c r="H107" s="1383">
        <f t="shared" si="71"/>
        <v>51.03</v>
      </c>
      <c r="I107" s="707"/>
      <c r="J107" s="1384">
        <f t="shared" si="80"/>
        <v>0</v>
      </c>
      <c r="K107" s="1385">
        <v>0</v>
      </c>
      <c r="L107" s="1382">
        <f t="shared" si="73"/>
        <v>0</v>
      </c>
      <c r="M107" s="1383">
        <f t="shared" si="74"/>
        <v>0</v>
      </c>
      <c r="N107" s="707"/>
      <c r="O107" s="1386">
        <f t="shared" si="75"/>
        <v>0</v>
      </c>
      <c r="P107" s="1387">
        <f t="shared" si="40"/>
        <v>0</v>
      </c>
      <c r="Q107" s="1388"/>
      <c r="R107" s="1389">
        <f t="shared" si="76"/>
        <v>0</v>
      </c>
      <c r="S107" s="707"/>
      <c r="T107" s="1390">
        <v>51.03</v>
      </c>
      <c r="U107" s="735"/>
      <c r="V107" s="1384">
        <f t="shared" si="77"/>
        <v>51.03</v>
      </c>
      <c r="W107" s="1383">
        <f t="shared" si="78"/>
        <v>0</v>
      </c>
      <c r="X107" s="736"/>
      <c r="AD107" s="1391">
        <v>0</v>
      </c>
      <c r="AE107" s="1392">
        <v>0</v>
      </c>
      <c r="AF107" s="1393">
        <v>0</v>
      </c>
      <c r="AG107" s="1394">
        <v>0</v>
      </c>
    </row>
    <row r="108" spans="1:33" s="737" customFormat="1" ht="15" customHeight="1" thickBot="1">
      <c r="A108" s="1378"/>
      <c r="B108" s="1379" t="s">
        <v>254</v>
      </c>
      <c r="C108" s="707"/>
      <c r="D108" s="1380" t="s">
        <v>178</v>
      </c>
      <c r="E108" s="1520">
        <v>0</v>
      </c>
      <c r="F108" s="1382"/>
      <c r="G108" s="1382"/>
      <c r="H108" s="1383">
        <f t="shared" si="71"/>
        <v>0</v>
      </c>
      <c r="I108" s="707"/>
      <c r="J108" s="1396">
        <f t="shared" si="80"/>
        <v>0</v>
      </c>
      <c r="K108" s="1397">
        <v>0</v>
      </c>
      <c r="L108" s="1398">
        <f t="shared" si="73"/>
        <v>0</v>
      </c>
      <c r="M108" s="1399">
        <f t="shared" si="74"/>
        <v>0</v>
      </c>
      <c r="N108" s="707"/>
      <c r="O108" s="1400">
        <f t="shared" si="75"/>
        <v>0</v>
      </c>
      <c r="P108" s="1401" t="str">
        <f t="shared" si="40"/>
        <v/>
      </c>
      <c r="Q108" s="1402"/>
      <c r="R108" s="1403">
        <f t="shared" si="76"/>
        <v>0</v>
      </c>
      <c r="S108" s="707"/>
      <c r="T108" s="1514">
        <v>0</v>
      </c>
      <c r="U108" s="735"/>
      <c r="V108" s="1396">
        <f t="shared" si="77"/>
        <v>0</v>
      </c>
      <c r="W108" s="1399">
        <f t="shared" si="78"/>
        <v>0</v>
      </c>
      <c r="X108" s="736"/>
      <c r="AD108" s="1404">
        <v>0</v>
      </c>
      <c r="AE108" s="1405">
        <v>0</v>
      </c>
      <c r="AF108" s="1406">
        <v>0</v>
      </c>
      <c r="AG108" s="1407">
        <v>0</v>
      </c>
    </row>
    <row r="109" spans="1:33" s="733" customFormat="1" ht="19.5" customHeight="1" thickBot="1">
      <c r="A109" s="1419" t="s">
        <v>592</v>
      </c>
      <c r="B109" s="1420" t="s">
        <v>593</v>
      </c>
      <c r="C109" s="731"/>
      <c r="D109" s="1421" t="s">
        <v>178</v>
      </c>
      <c r="E109" s="1422">
        <f>SUM(E110:E112)</f>
        <v>0</v>
      </c>
      <c r="F109" s="1364">
        <f>SUM(F110:F112)</f>
        <v>0</v>
      </c>
      <c r="G109" s="1364">
        <f>SUM(G110:G112)</f>
        <v>0</v>
      </c>
      <c r="H109" s="1409">
        <f>SUM(H110:H112)</f>
        <v>0</v>
      </c>
      <c r="I109" s="731"/>
      <c r="J109" s="1408">
        <f>SUM(J110:J112)</f>
        <v>0</v>
      </c>
      <c r="K109" s="1340" t="str">
        <f>IFERROR(J109/H109,"")</f>
        <v/>
      </c>
      <c r="L109" s="1364">
        <f>SUM(L110:L112)</f>
        <v>0</v>
      </c>
      <c r="M109" s="1409">
        <f>SUM(M110:M112)</f>
        <v>0</v>
      </c>
      <c r="N109" s="731"/>
      <c r="O109" s="1515">
        <f>SUM(O110:O112)</f>
        <v>0</v>
      </c>
      <c r="P109" s="1516" t="str">
        <f t="shared" si="40"/>
        <v/>
      </c>
      <c r="Q109" s="1371">
        <f>SUM(Q110:Q112)</f>
        <v>0</v>
      </c>
      <c r="R109" s="1341">
        <f>SUM(R110:R112)</f>
        <v>0</v>
      </c>
      <c r="S109" s="731"/>
      <c r="T109" s="1518">
        <f>SUM(T110:T112)</f>
        <v>0</v>
      </c>
      <c r="U109" s="732"/>
      <c r="V109" s="1408">
        <f>SUM(V110:V112)</f>
        <v>0</v>
      </c>
      <c r="W109" s="1409">
        <f>SUM(W110:W112)</f>
        <v>0</v>
      </c>
      <c r="X109" s="729"/>
      <c r="AD109" s="1415">
        <v>0</v>
      </c>
      <c r="AE109" s="1416" t="s">
        <v>67</v>
      </c>
      <c r="AF109" s="1519">
        <v>0</v>
      </c>
      <c r="AG109" s="1418">
        <v>0</v>
      </c>
    </row>
    <row r="110" spans="1:33" s="737" customFormat="1" ht="15" customHeight="1">
      <c r="A110" s="1378"/>
      <c r="B110" s="1379" t="s">
        <v>257</v>
      </c>
      <c r="C110" s="707"/>
      <c r="D110" s="1380" t="s">
        <v>178</v>
      </c>
      <c r="E110" s="1381">
        <v>0</v>
      </c>
      <c r="F110" s="1382"/>
      <c r="G110" s="1382"/>
      <c r="H110" s="1383">
        <f>SUM(E110:G110)</f>
        <v>0</v>
      </c>
      <c r="I110" s="707"/>
      <c r="J110" s="1384">
        <f t="shared" ref="J110:J112" si="81">+H110*K110/100</f>
        <v>0</v>
      </c>
      <c r="K110" s="1385">
        <v>0</v>
      </c>
      <c r="L110" s="1382">
        <f>Q110+AF110</f>
        <v>0</v>
      </c>
      <c r="M110" s="1383">
        <f>J110-L110</f>
        <v>0</v>
      </c>
      <c r="N110" s="707"/>
      <c r="O110" s="1386">
        <f>J110-AD110</f>
        <v>0</v>
      </c>
      <c r="P110" s="1387" t="str">
        <f t="shared" si="40"/>
        <v/>
      </c>
      <c r="Q110" s="1388"/>
      <c r="R110" s="1389">
        <f>O110-Q110</f>
        <v>0</v>
      </c>
      <c r="S110" s="707"/>
      <c r="T110" s="1390">
        <v>0</v>
      </c>
      <c r="U110" s="735"/>
      <c r="V110" s="1384">
        <f t="shared" ref="V110:V112" si="82">+L110+T110</f>
        <v>0</v>
      </c>
      <c r="W110" s="1383">
        <f>H110-V110</f>
        <v>0</v>
      </c>
      <c r="X110" s="736"/>
      <c r="AD110" s="1391">
        <v>0</v>
      </c>
      <c r="AE110" s="1392">
        <v>0</v>
      </c>
      <c r="AF110" s="1393">
        <v>0</v>
      </c>
      <c r="AG110" s="1394">
        <v>0</v>
      </c>
    </row>
    <row r="111" spans="1:33" s="737" customFormat="1" ht="15" customHeight="1">
      <c r="A111" s="1378"/>
      <c r="B111" s="1379" t="s">
        <v>257</v>
      </c>
      <c r="C111" s="707"/>
      <c r="D111" s="1380" t="s">
        <v>178</v>
      </c>
      <c r="E111" s="1381">
        <v>0</v>
      </c>
      <c r="F111" s="1382"/>
      <c r="G111" s="1382"/>
      <c r="H111" s="1383">
        <f>SUM(E111:G111)</f>
        <v>0</v>
      </c>
      <c r="I111" s="707"/>
      <c r="J111" s="1384">
        <f t="shared" si="81"/>
        <v>0</v>
      </c>
      <c r="K111" s="1385">
        <v>0</v>
      </c>
      <c r="L111" s="1382">
        <f>Q111+AF111</f>
        <v>0</v>
      </c>
      <c r="M111" s="1383">
        <f>J111-L111</f>
        <v>0</v>
      </c>
      <c r="N111" s="707"/>
      <c r="O111" s="1386">
        <f>J111-AD111</f>
        <v>0</v>
      </c>
      <c r="P111" s="1387" t="str">
        <f t="shared" si="40"/>
        <v/>
      </c>
      <c r="Q111" s="1388"/>
      <c r="R111" s="1389">
        <f>O111-Q111</f>
        <v>0</v>
      </c>
      <c r="S111" s="707"/>
      <c r="T111" s="1390">
        <v>0</v>
      </c>
      <c r="U111" s="735"/>
      <c r="V111" s="1384">
        <f t="shared" si="82"/>
        <v>0</v>
      </c>
      <c r="W111" s="1383">
        <f>H111-V111</f>
        <v>0</v>
      </c>
      <c r="X111" s="736"/>
      <c r="AD111" s="1391">
        <v>0</v>
      </c>
      <c r="AE111" s="1392">
        <v>0</v>
      </c>
      <c r="AF111" s="1393">
        <v>0</v>
      </c>
      <c r="AG111" s="1394">
        <v>0</v>
      </c>
    </row>
    <row r="112" spans="1:33" s="737" customFormat="1" ht="15" customHeight="1" thickBot="1">
      <c r="A112" s="1424"/>
      <c r="B112" s="1425" t="s">
        <v>258</v>
      </c>
      <c r="C112" s="707"/>
      <c r="D112" s="1426" t="s">
        <v>178</v>
      </c>
      <c r="E112" s="1427">
        <v>0</v>
      </c>
      <c r="F112" s="1428"/>
      <c r="G112" s="1428"/>
      <c r="H112" s="1429">
        <f>SUM(E112:G112)</f>
        <v>0</v>
      </c>
      <c r="I112" s="707"/>
      <c r="J112" s="1430">
        <f t="shared" si="81"/>
        <v>0</v>
      </c>
      <c r="K112" s="1431">
        <v>0</v>
      </c>
      <c r="L112" s="1428">
        <f>Q112+AF112</f>
        <v>0</v>
      </c>
      <c r="M112" s="1429">
        <f>J112-L112</f>
        <v>0</v>
      </c>
      <c r="N112" s="707"/>
      <c r="O112" s="1432">
        <f>J112-AD112</f>
        <v>0</v>
      </c>
      <c r="P112" s="1433" t="str">
        <f t="shared" si="40"/>
        <v/>
      </c>
      <c r="Q112" s="1434"/>
      <c r="R112" s="1435">
        <f>O112-Q112</f>
        <v>0</v>
      </c>
      <c r="S112" s="707"/>
      <c r="T112" s="1436">
        <v>0</v>
      </c>
      <c r="U112" s="735"/>
      <c r="V112" s="1430">
        <f t="shared" si="82"/>
        <v>0</v>
      </c>
      <c r="W112" s="1429">
        <f>H112-V112</f>
        <v>0</v>
      </c>
      <c r="X112" s="736"/>
      <c r="AD112" s="1437">
        <v>0</v>
      </c>
      <c r="AE112" s="1438">
        <v>0</v>
      </c>
      <c r="AF112" s="1439">
        <v>0</v>
      </c>
      <c r="AG112" s="1440">
        <v>0</v>
      </c>
    </row>
    <row r="118" spans="1:33" ht="13.5" thickBot="1"/>
    <row r="119" spans="1:33" s="730" customFormat="1" ht="19.5" customHeight="1" thickBot="1">
      <c r="A119" s="1461" t="s">
        <v>193</v>
      </c>
      <c r="B119" s="1442" t="s">
        <v>330</v>
      </c>
      <c r="C119" s="726"/>
      <c r="D119" s="1443" t="s">
        <v>178</v>
      </c>
      <c r="E119" s="1462">
        <f>SUM(E120:E123)</f>
        <v>0</v>
      </c>
      <c r="F119" s="1463">
        <f t="shared" ref="F119:J119" si="83">SUM(F120:F123)</f>
        <v>0</v>
      </c>
      <c r="G119" s="1463">
        <f t="shared" si="83"/>
        <v>0</v>
      </c>
      <c r="H119" s="1464">
        <f t="shared" si="83"/>
        <v>0</v>
      </c>
      <c r="I119" s="726"/>
      <c r="J119" s="1465">
        <f t="shared" si="83"/>
        <v>0</v>
      </c>
      <c r="K119" s="1466" t="str">
        <f>IFERROR(J119/H119,"")</f>
        <v/>
      </c>
      <c r="L119" s="1467">
        <f t="shared" ref="L119" si="84">SUM(L120:L123)</f>
        <v>100.306</v>
      </c>
      <c r="M119" s="1352">
        <f t="shared" ref="M119:O119" si="85">SUM(M120:M123)</f>
        <v>-100.306</v>
      </c>
      <c r="N119" s="726"/>
      <c r="O119" s="1448">
        <f t="shared" si="85"/>
        <v>0</v>
      </c>
      <c r="P119" s="1468" t="str">
        <f t="shared" ref="P119:P123" si="86">IFERROR(O119/H119,"")</f>
        <v/>
      </c>
      <c r="Q119" s="1450">
        <f>SUM(Q120:Q123)</f>
        <v>0</v>
      </c>
      <c r="R119" s="1469">
        <f>SUM(R120:R123)</f>
        <v>0</v>
      </c>
      <c r="S119" s="726"/>
      <c r="T119" s="1452">
        <f>SUM(T120:T124)</f>
        <v>0</v>
      </c>
      <c r="U119" s="750"/>
      <c r="V119" s="1453">
        <f t="shared" ref="V119:W119" si="87">SUM(V120:V123)</f>
        <v>0</v>
      </c>
      <c r="W119" s="1446">
        <f t="shared" si="87"/>
        <v>0</v>
      </c>
      <c r="X119" s="729"/>
      <c r="AD119" s="1454">
        <v>0</v>
      </c>
      <c r="AE119" s="1455" t="s">
        <v>67</v>
      </c>
      <c r="AF119" s="1456">
        <v>100.306</v>
      </c>
      <c r="AG119" s="1457">
        <v>-100.306</v>
      </c>
    </row>
    <row r="120" spans="1:33" s="737" customFormat="1" ht="15" customHeight="1">
      <c r="A120" s="1378" t="s">
        <v>318</v>
      </c>
      <c r="B120" s="1379" t="s">
        <v>88</v>
      </c>
      <c r="C120" s="707"/>
      <c r="D120" s="1380" t="s">
        <v>178</v>
      </c>
      <c r="E120" s="1521">
        <v>0</v>
      </c>
      <c r="F120" s="1393"/>
      <c r="G120" s="1393"/>
      <c r="H120" s="1383">
        <f t="shared" ref="H120:H123" si="88">SUM(E120:G120)</f>
        <v>0</v>
      </c>
      <c r="I120" s="707"/>
      <c r="J120" s="1470">
        <f t="shared" ref="J120:J123" si="89">H120*K120/100</f>
        <v>0</v>
      </c>
      <c r="K120" s="1471">
        <v>0</v>
      </c>
      <c r="L120" s="1382">
        <f t="shared" ref="L120:L123" si="90">Q120+AF120</f>
        <v>23.88</v>
      </c>
      <c r="M120" s="1472">
        <f t="shared" ref="M120:M123" si="91">J120-L120</f>
        <v>-23.88</v>
      </c>
      <c r="N120" s="746"/>
      <c r="O120" s="1386">
        <f t="shared" ref="O120:O123" si="92">J120-AD120</f>
        <v>0</v>
      </c>
      <c r="P120" s="1473" t="str">
        <f t="shared" si="86"/>
        <v/>
      </c>
      <c r="Q120" s="1474"/>
      <c r="R120" s="1395">
        <f t="shared" ref="R120:R123" si="93">O120-Q120</f>
        <v>0</v>
      </c>
      <c r="S120" s="707"/>
      <c r="T120" s="1475"/>
      <c r="U120" s="711"/>
      <c r="V120" s="1384"/>
      <c r="W120" s="1383"/>
      <c r="X120" s="736"/>
      <c r="AD120" s="1391">
        <v>0</v>
      </c>
      <c r="AE120" s="1476">
        <v>0</v>
      </c>
      <c r="AF120" s="1393">
        <v>23.88</v>
      </c>
      <c r="AG120" s="1394">
        <v>-23.88</v>
      </c>
    </row>
    <row r="121" spans="1:33" s="737" customFormat="1" ht="15" customHeight="1">
      <c r="A121" s="1378" t="s">
        <v>319</v>
      </c>
      <c r="B121" s="1379" t="s">
        <v>320</v>
      </c>
      <c r="C121" s="707"/>
      <c r="D121" s="1380" t="s">
        <v>178</v>
      </c>
      <c r="E121" s="1521">
        <v>0</v>
      </c>
      <c r="F121" s="1393"/>
      <c r="G121" s="1393"/>
      <c r="H121" s="1383">
        <f t="shared" si="88"/>
        <v>0</v>
      </c>
      <c r="I121" s="707"/>
      <c r="J121" s="1342">
        <f t="shared" si="89"/>
        <v>0</v>
      </c>
      <c r="K121" s="1471">
        <v>0</v>
      </c>
      <c r="L121" s="1382">
        <f t="shared" si="90"/>
        <v>0</v>
      </c>
      <c r="M121" s="1472">
        <f t="shared" si="91"/>
        <v>0</v>
      </c>
      <c r="N121" s="746"/>
      <c r="O121" s="1386">
        <f t="shared" si="92"/>
        <v>0</v>
      </c>
      <c r="P121" s="1473" t="str">
        <f t="shared" si="86"/>
        <v/>
      </c>
      <c r="Q121" s="1522"/>
      <c r="R121" s="1395">
        <f t="shared" si="93"/>
        <v>0</v>
      </c>
      <c r="S121" s="707"/>
      <c r="T121" s="1475"/>
      <c r="U121" s="711"/>
      <c r="V121" s="1384"/>
      <c r="W121" s="1383"/>
      <c r="X121" s="736"/>
      <c r="AD121" s="1391">
        <v>0</v>
      </c>
      <c r="AE121" s="1476">
        <v>0</v>
      </c>
      <c r="AF121" s="1393">
        <v>0</v>
      </c>
      <c r="AG121" s="1394">
        <v>0</v>
      </c>
    </row>
    <row r="122" spans="1:33" s="737" customFormat="1" ht="15" customHeight="1">
      <c r="A122" s="1378" t="s">
        <v>318</v>
      </c>
      <c r="B122" s="1379" t="s">
        <v>321</v>
      </c>
      <c r="C122" s="707"/>
      <c r="D122" s="1380" t="s">
        <v>178</v>
      </c>
      <c r="E122" s="1521">
        <v>0</v>
      </c>
      <c r="F122" s="1393"/>
      <c r="G122" s="1393"/>
      <c r="H122" s="1383">
        <f t="shared" si="88"/>
        <v>0</v>
      </c>
      <c r="I122" s="707"/>
      <c r="J122" s="1342">
        <f t="shared" si="89"/>
        <v>0</v>
      </c>
      <c r="K122" s="1471">
        <v>0</v>
      </c>
      <c r="L122" s="1382">
        <f t="shared" si="90"/>
        <v>2</v>
      </c>
      <c r="M122" s="1472">
        <f t="shared" si="91"/>
        <v>-2</v>
      </c>
      <c r="N122" s="746"/>
      <c r="O122" s="1386">
        <f t="shared" si="92"/>
        <v>0</v>
      </c>
      <c r="P122" s="1473" t="str">
        <f t="shared" si="86"/>
        <v/>
      </c>
      <c r="Q122" s="1522"/>
      <c r="R122" s="1395">
        <f t="shared" si="93"/>
        <v>0</v>
      </c>
      <c r="S122" s="707"/>
      <c r="T122" s="1475"/>
      <c r="U122" s="711"/>
      <c r="V122" s="1384"/>
      <c r="W122" s="1383"/>
      <c r="X122" s="736"/>
      <c r="AD122" s="1391">
        <v>0</v>
      </c>
      <c r="AE122" s="1476">
        <v>0</v>
      </c>
      <c r="AF122" s="1393">
        <v>2</v>
      </c>
      <c r="AG122" s="1394">
        <v>-2</v>
      </c>
    </row>
    <row r="123" spans="1:33" s="737" customFormat="1" ht="15" customHeight="1" thickBot="1">
      <c r="A123" s="1424" t="s">
        <v>322</v>
      </c>
      <c r="B123" s="1425" t="s">
        <v>323</v>
      </c>
      <c r="C123" s="707"/>
      <c r="D123" s="1426" t="s">
        <v>178</v>
      </c>
      <c r="E123" s="1523">
        <v>0</v>
      </c>
      <c r="F123" s="1500"/>
      <c r="G123" s="1500"/>
      <c r="H123" s="1429">
        <f t="shared" si="88"/>
        <v>0</v>
      </c>
      <c r="I123" s="707"/>
      <c r="J123" s="1524">
        <f t="shared" si="89"/>
        <v>0</v>
      </c>
      <c r="K123" s="1525">
        <v>0</v>
      </c>
      <c r="L123" s="1428">
        <f t="shared" si="90"/>
        <v>74.426000000000002</v>
      </c>
      <c r="M123" s="1526">
        <f t="shared" si="91"/>
        <v>-74.426000000000002</v>
      </c>
      <c r="N123" s="746"/>
      <c r="O123" s="1432">
        <f t="shared" si="92"/>
        <v>0</v>
      </c>
      <c r="P123" s="1495" t="str">
        <f t="shared" si="86"/>
        <v/>
      </c>
      <c r="Q123" s="1527"/>
      <c r="R123" s="1496">
        <f t="shared" si="93"/>
        <v>0</v>
      </c>
      <c r="S123" s="707"/>
      <c r="U123" s="711"/>
      <c r="V123" s="1430"/>
      <c r="W123" s="1429"/>
      <c r="X123" s="736"/>
      <c r="AD123" s="1437">
        <v>0</v>
      </c>
      <c r="AE123" s="1528">
        <v>0</v>
      </c>
      <c r="AF123" s="1439">
        <v>74.426000000000002</v>
      </c>
      <c r="AG123" s="1440">
        <v>-74.426000000000002</v>
      </c>
    </row>
    <row r="124" spans="1:33" ht="13.5" thickBot="1">
      <c r="J124" s="690"/>
      <c r="K124" s="690"/>
      <c r="T124" s="1497"/>
    </row>
    <row r="125" spans="1:33">
      <c r="J125" s="690"/>
      <c r="K125" s="690"/>
    </row>
    <row r="126" spans="1:33">
      <c r="J126" s="690"/>
      <c r="K126" s="690"/>
    </row>
    <row r="127" spans="1:33">
      <c r="J127" s="690"/>
      <c r="K127" s="690"/>
    </row>
    <row r="128" spans="1:33">
      <c r="J128" s="690"/>
      <c r="K128" s="690"/>
    </row>
    <row r="129" spans="10:11">
      <c r="J129" s="690"/>
      <c r="K129" s="690"/>
    </row>
    <row r="130" spans="10:11">
      <c r="J130" s="690"/>
      <c r="K130" s="690"/>
    </row>
    <row r="131" spans="10:11">
      <c r="J131" s="690"/>
      <c r="K131" s="690"/>
    </row>
    <row r="132" spans="10:11">
      <c r="J132" s="690"/>
      <c r="K132" s="690"/>
    </row>
    <row r="133" spans="10:11">
      <c r="J133" s="690"/>
      <c r="K133" s="690"/>
    </row>
    <row r="134" spans="10:11">
      <c r="J134" s="690"/>
      <c r="K134" s="690"/>
    </row>
    <row r="135" spans="10:11">
      <c r="J135" s="690"/>
      <c r="K135" s="690"/>
    </row>
    <row r="136" spans="10:11">
      <c r="J136" s="690"/>
      <c r="K136" s="690"/>
    </row>
    <row r="137" spans="10:11">
      <c r="J137" s="690"/>
      <c r="K137" s="690"/>
    </row>
    <row r="138" spans="10:11">
      <c r="J138" s="690"/>
      <c r="K138" s="690"/>
    </row>
    <row r="139" spans="10:11">
      <c r="J139" s="690"/>
      <c r="K139" s="690"/>
    </row>
    <row r="140" spans="10:11">
      <c r="J140" s="690"/>
      <c r="K140" s="690"/>
    </row>
    <row r="141" spans="10:11">
      <c r="J141" s="690"/>
      <c r="K141" s="690"/>
    </row>
    <row r="142" spans="10:11">
      <c r="J142" s="690"/>
      <c r="K142" s="690"/>
    </row>
    <row r="143" spans="10:11">
      <c r="J143" s="690"/>
      <c r="K143" s="690"/>
    </row>
    <row r="144" spans="10:11">
      <c r="J144" s="690"/>
      <c r="K144" s="690"/>
    </row>
    <row r="145" spans="7:11">
      <c r="G145" s="751"/>
      <c r="J145" s="690"/>
      <c r="K145" s="690"/>
    </row>
    <row r="146" spans="7:11">
      <c r="G146" s="751"/>
      <c r="J146" s="690"/>
      <c r="K146" s="690"/>
    </row>
    <row r="147" spans="7:11">
      <c r="G147" s="751"/>
      <c r="J147" s="690"/>
      <c r="K147" s="690"/>
    </row>
    <row r="148" spans="7:11">
      <c r="J148" s="690"/>
      <c r="K148" s="690"/>
    </row>
    <row r="149" spans="7:11">
      <c r="J149" s="690"/>
      <c r="K149" s="690"/>
    </row>
    <row r="150" spans="7:11">
      <c r="J150" s="690"/>
      <c r="K150" s="690"/>
    </row>
  </sheetData>
  <mergeCells count="15">
    <mergeCell ref="H9:H10"/>
    <mergeCell ref="J9:K9"/>
    <mergeCell ref="O9:P9"/>
    <mergeCell ref="T9:T10"/>
    <mergeCell ref="AD9:AE9"/>
    <mergeCell ref="A3:W3"/>
    <mergeCell ref="J8:M8"/>
    <mergeCell ref="O8:R8"/>
    <mergeCell ref="V8:W8"/>
    <mergeCell ref="AD8:AG8"/>
    <mergeCell ref="A9:A10"/>
    <mergeCell ref="B9:B10"/>
    <mergeCell ref="E9:E10"/>
    <mergeCell ref="F9:F10"/>
    <mergeCell ref="G9:G10"/>
  </mergeCells>
  <printOptions horizontalCentered="1"/>
  <pageMargins left="0" right="0" top="0.39370078740157483" bottom="0.39370078740157483" header="0" footer="0"/>
  <pageSetup paperSize="8" scale="84" orientation="landscape"/>
  <rowBreaks count="1" manualBreakCount="1">
    <brk id="63" max="22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>
    <tabColor rgb="FF00B0F0"/>
  </sheetPr>
  <dimension ref="A1:AG149"/>
  <sheetViews>
    <sheetView showGridLines="0" workbookViewId="0">
      <pane xSplit="4" ySplit="10" topLeftCell="E11" activePane="bottomRight" state="frozen"/>
      <selection activeCell="B15" sqref="B15"/>
      <selection pane="topRight" activeCell="B15" sqref="B15"/>
      <selection pane="bottomLeft" activeCell="B15" sqref="B15"/>
      <selection pane="bottomRight" activeCell="E16" sqref="E16"/>
    </sheetView>
  </sheetViews>
  <sheetFormatPr baseColWidth="10" defaultColWidth="10.85546875" defaultRowHeight="12.75"/>
  <cols>
    <col min="1" max="1" width="25.7109375" style="689" customWidth="1"/>
    <col min="2" max="2" width="40.7109375" style="689" customWidth="1"/>
    <col min="3" max="3" width="2.140625" style="690" customWidth="1"/>
    <col min="4" max="4" width="5.140625" style="689" customWidth="1"/>
    <col min="5" max="8" width="10.7109375" style="689" customWidth="1"/>
    <col min="9" max="9" width="2.7109375" style="690" customWidth="1"/>
    <col min="10" max="13" width="10.7109375" style="689" customWidth="1"/>
    <col min="14" max="14" width="2.7109375" style="690" customWidth="1"/>
    <col min="15" max="18" width="10.7109375" style="689" customWidth="1"/>
    <col min="19" max="19" width="2.7109375" style="690" customWidth="1"/>
    <col min="20" max="20" width="10.7109375" style="689" customWidth="1"/>
    <col min="21" max="21" width="2.7109375" style="691" customWidth="1"/>
    <col min="22" max="23" width="10.7109375" style="689" customWidth="1"/>
    <col min="24" max="24" width="2.7109375" style="692" customWidth="1"/>
    <col min="25" max="28" width="10.7109375" style="689" customWidth="1"/>
    <col min="29" max="29" width="2.7109375" style="689" customWidth="1"/>
    <col min="30" max="33" width="10.7109375" style="689" customWidth="1"/>
    <col min="34" max="16384" width="10.85546875" style="689"/>
  </cols>
  <sheetData>
    <row r="1" spans="1:33" ht="15" customHeight="1">
      <c r="A1" s="688"/>
    </row>
    <row r="2" spans="1:33" ht="15" customHeight="1" thickBot="1">
      <c r="B2" s="693"/>
      <c r="G2" s="694"/>
    </row>
    <row r="3" spans="1:33" ht="23.25" customHeight="1" thickBot="1">
      <c r="A3" s="1720" t="s">
        <v>331</v>
      </c>
      <c r="B3" s="1721"/>
      <c r="C3" s="1721"/>
      <c r="D3" s="1721"/>
      <c r="E3" s="1721"/>
      <c r="F3" s="1721"/>
      <c r="G3" s="1721"/>
      <c r="H3" s="1721"/>
      <c r="I3" s="1721"/>
      <c r="J3" s="1721"/>
      <c r="K3" s="1721"/>
      <c r="L3" s="1721"/>
      <c r="M3" s="1721"/>
      <c r="N3" s="1721"/>
      <c r="O3" s="1721"/>
      <c r="P3" s="1721"/>
      <c r="Q3" s="1721"/>
      <c r="R3" s="1721"/>
      <c r="S3" s="1721"/>
      <c r="T3" s="1721"/>
      <c r="U3" s="1721"/>
      <c r="V3" s="1721"/>
      <c r="W3" s="1722"/>
      <c r="X3" s="695"/>
    </row>
    <row r="4" spans="1:33" ht="13.5" customHeight="1" thickBot="1"/>
    <row r="5" spans="1:33" s="693" customFormat="1" ht="13.5" customHeight="1" thickBot="1">
      <c r="B5" s="696" t="s">
        <v>184</v>
      </c>
      <c r="C5" s="697"/>
      <c r="E5" s="1344">
        <v>7150</v>
      </c>
      <c r="F5" s="1344">
        <v>7150</v>
      </c>
      <c r="G5" s="1344">
        <v>7150</v>
      </c>
      <c r="H5" s="1344">
        <v>7150</v>
      </c>
      <c r="I5" s="698"/>
      <c r="J5" s="1344">
        <f>H5</f>
        <v>7150</v>
      </c>
      <c r="K5" s="699"/>
      <c r="L5" s="1344">
        <f>IFERROR(L6/(L11+L67),"")</f>
        <v>22929.445995739236</v>
      </c>
      <c r="M5" s="1344">
        <f>IFERROR(J5-L5,"")</f>
        <v>-15779.445995739236</v>
      </c>
      <c r="N5" s="698"/>
      <c r="O5" s="1344">
        <f>H5</f>
        <v>7150</v>
      </c>
      <c r="P5" s="699"/>
      <c r="Q5" s="1344" t="str">
        <f>IFERROR(Q6/(Q11+Q67),"")</f>
        <v/>
      </c>
      <c r="R5" s="1344" t="str">
        <f>IFERROR(O5-Q5,"")</f>
        <v/>
      </c>
      <c r="S5" s="698"/>
      <c r="T5" s="1344">
        <f>H5</f>
        <v>7150</v>
      </c>
      <c r="U5" s="700"/>
      <c r="V5" s="1344">
        <f>IFERROR(V6/(V11+V67),"")</f>
        <v>9674.8228985486476</v>
      </c>
      <c r="W5" s="1344">
        <f>IFERROR(H5-V5,"")</f>
        <v>-2524.8228985486476</v>
      </c>
      <c r="X5" s="701"/>
      <c r="AD5" s="1344">
        <v>7150</v>
      </c>
      <c r="AE5" s="699"/>
      <c r="AF5" s="1344">
        <v>22929.445995739236</v>
      </c>
      <c r="AG5" s="1344">
        <v>-15779.445995739236</v>
      </c>
    </row>
    <row r="6" spans="1:33" s="694" customFormat="1" ht="13.5" customHeight="1" thickBot="1">
      <c r="B6" s="702" t="s">
        <v>174</v>
      </c>
      <c r="C6" s="703"/>
      <c r="E6" s="1345">
        <f>IFERROR(E5*(E11+E67),"")</f>
        <v>22502671.491914112</v>
      </c>
      <c r="F6" s="1345">
        <f>IFERROR(F5*(F11+F67),"")</f>
        <v>0</v>
      </c>
      <c r="G6" s="1345">
        <f>IFERROR(G5*(G11+G67),"")</f>
        <v>0</v>
      </c>
      <c r="H6" s="1345">
        <f>IFERROR(H5*(H11+H67),"")</f>
        <v>22502671.491914112</v>
      </c>
      <c r="I6" s="703"/>
      <c r="J6" s="1345">
        <f>IFERROR(J5*(J11+J67),"")</f>
        <v>3520734.9320000005</v>
      </c>
      <c r="L6" s="1345">
        <f>IFERROR(Q6+AF6,"")</f>
        <v>10946036</v>
      </c>
      <c r="M6" s="1345">
        <f>IFERROR(J6-L6,"")</f>
        <v>-7425301.068</v>
      </c>
      <c r="N6" s="703"/>
      <c r="O6" s="1345">
        <f>IFERROR(O5*(O11+O67),"")</f>
        <v>0</v>
      </c>
      <c r="Q6" s="1346"/>
      <c r="R6" s="1345">
        <f>IFERROR(O6-Q6,"")</f>
        <v>0</v>
      </c>
      <c r="S6" s="703"/>
      <c r="T6" s="1345">
        <f>IFERROR(T5*(T11+T67),"")</f>
        <v>17918671.789031062</v>
      </c>
      <c r="U6" s="704"/>
      <c r="V6" s="1345">
        <f>IFERROR(L6+T6,"")</f>
        <v>28864707.789031062</v>
      </c>
      <c r="W6" s="1345">
        <f>IFERROR(H6-V6,"")</f>
        <v>-6362036.2971169502</v>
      </c>
      <c r="X6" s="705"/>
      <c r="AD6" s="1345">
        <v>3520734.9320000005</v>
      </c>
      <c r="AF6" s="1345">
        <v>10946036</v>
      </c>
      <c r="AG6" s="1345">
        <v>-7425301.068</v>
      </c>
    </row>
    <row r="7" spans="1:33" ht="13.5" customHeight="1" thickBot="1">
      <c r="A7" s="706"/>
      <c r="B7" s="706"/>
      <c r="C7" s="707"/>
      <c r="E7" s="708"/>
      <c r="F7" s="709"/>
      <c r="G7" s="709"/>
      <c r="H7" s="709"/>
      <c r="I7" s="707"/>
      <c r="J7" s="710" t="s">
        <v>185</v>
      </c>
      <c r="K7" s="710" t="s">
        <v>185</v>
      </c>
      <c r="L7" s="706"/>
      <c r="M7" s="706"/>
      <c r="N7" s="707"/>
      <c r="O7" s="706"/>
      <c r="P7" s="710" t="s">
        <v>185</v>
      </c>
      <c r="Q7" s="706"/>
      <c r="R7" s="706"/>
      <c r="S7" s="707"/>
      <c r="T7" s="706"/>
      <c r="U7" s="711"/>
      <c r="V7" s="706"/>
      <c r="W7" s="706"/>
      <c r="X7" s="712"/>
      <c r="AD7" s="710" t="s">
        <v>185</v>
      </c>
      <c r="AE7" s="710" t="s">
        <v>185</v>
      </c>
      <c r="AF7" s="706"/>
      <c r="AG7" s="706"/>
    </row>
    <row r="8" spans="1:33" ht="18" customHeight="1" thickBot="1">
      <c r="A8" s="706"/>
      <c r="B8" s="713"/>
      <c r="C8" s="714"/>
      <c r="E8" s="1502" t="s">
        <v>186</v>
      </c>
      <c r="F8" s="1503" t="s">
        <v>187</v>
      </c>
      <c r="G8" s="1503" t="s">
        <v>71</v>
      </c>
      <c r="H8" s="1504" t="s">
        <v>186</v>
      </c>
      <c r="I8" s="715"/>
      <c r="J8" s="1723" t="s">
        <v>188</v>
      </c>
      <c r="K8" s="1724"/>
      <c r="L8" s="1724"/>
      <c r="M8" s="1725"/>
      <c r="N8" s="714"/>
      <c r="O8" s="1726" t="s">
        <v>189</v>
      </c>
      <c r="P8" s="1727"/>
      <c r="Q8" s="1727"/>
      <c r="R8" s="1728"/>
      <c r="S8" s="714"/>
      <c r="T8" s="1505" t="s">
        <v>190</v>
      </c>
      <c r="U8" s="716"/>
      <c r="V8" s="1729" t="s">
        <v>191</v>
      </c>
      <c r="W8" s="1730"/>
      <c r="X8" s="717"/>
      <c r="AD8" s="1731" t="s">
        <v>192</v>
      </c>
      <c r="AE8" s="1732"/>
      <c r="AF8" s="1732"/>
      <c r="AG8" s="1733"/>
    </row>
    <row r="9" spans="1:33">
      <c r="A9" s="1713" t="s">
        <v>193</v>
      </c>
      <c r="B9" s="1715" t="s">
        <v>194</v>
      </c>
      <c r="C9" s="714" t="s">
        <v>195</v>
      </c>
      <c r="D9" s="1506" t="s">
        <v>196</v>
      </c>
      <c r="E9" s="1717" t="s">
        <v>171</v>
      </c>
      <c r="F9" s="1718" t="s">
        <v>171</v>
      </c>
      <c r="G9" s="1718" t="s">
        <v>171</v>
      </c>
      <c r="H9" s="1734" t="s">
        <v>171</v>
      </c>
      <c r="I9" s="714" t="s">
        <v>195</v>
      </c>
      <c r="J9" s="1736" t="s">
        <v>197</v>
      </c>
      <c r="K9" s="1737"/>
      <c r="L9" s="1507" t="s">
        <v>198</v>
      </c>
      <c r="M9" s="1508" t="s">
        <v>199</v>
      </c>
      <c r="N9" s="714" t="s">
        <v>195</v>
      </c>
      <c r="O9" s="1738" t="s">
        <v>197</v>
      </c>
      <c r="P9" s="1739"/>
      <c r="Q9" s="1509" t="s">
        <v>198</v>
      </c>
      <c r="R9" s="1510" t="s">
        <v>199</v>
      </c>
      <c r="S9" s="714" t="s">
        <v>195</v>
      </c>
      <c r="T9" s="1740" t="s">
        <v>200</v>
      </c>
      <c r="U9" s="716" t="s">
        <v>195</v>
      </c>
      <c r="V9" s="1511" t="s">
        <v>198</v>
      </c>
      <c r="W9" s="1508" t="s">
        <v>201</v>
      </c>
      <c r="X9" s="717"/>
      <c r="AD9" s="1738" t="s">
        <v>197</v>
      </c>
      <c r="AE9" s="1737"/>
      <c r="AF9" s="1507" t="s">
        <v>198</v>
      </c>
      <c r="AG9" s="1512" t="s">
        <v>199</v>
      </c>
    </row>
    <row r="10" spans="1:33" ht="13.5" customHeight="1" thickBot="1">
      <c r="A10" s="1714"/>
      <c r="B10" s="1716"/>
      <c r="C10" s="707"/>
      <c r="D10" s="1347" t="s">
        <v>202</v>
      </c>
      <c r="E10" s="1714"/>
      <c r="F10" s="1719"/>
      <c r="G10" s="1719"/>
      <c r="H10" s="1735"/>
      <c r="I10" s="707"/>
      <c r="J10" s="1348" t="s">
        <v>171</v>
      </c>
      <c r="K10" s="718" t="s">
        <v>43</v>
      </c>
      <c r="L10" s="719" t="s">
        <v>171</v>
      </c>
      <c r="M10" s="1513" t="s">
        <v>171</v>
      </c>
      <c r="N10" s="707"/>
      <c r="O10" s="720" t="s">
        <v>171</v>
      </c>
      <c r="P10" s="721" t="s">
        <v>43</v>
      </c>
      <c r="Q10" s="722" t="s">
        <v>171</v>
      </c>
      <c r="R10" s="723" t="s">
        <v>171</v>
      </c>
      <c r="S10" s="707"/>
      <c r="T10" s="1741"/>
      <c r="U10" s="711"/>
      <c r="V10" s="1348" t="s">
        <v>171</v>
      </c>
      <c r="W10" s="1513" t="s">
        <v>171</v>
      </c>
      <c r="X10" s="717"/>
      <c r="AD10" s="724" t="s">
        <v>171</v>
      </c>
      <c r="AE10" s="719" t="s">
        <v>43</v>
      </c>
      <c r="AF10" s="719" t="s">
        <v>171</v>
      </c>
      <c r="AG10" s="725" t="s">
        <v>171</v>
      </c>
    </row>
    <row r="11" spans="1:33" s="730" customFormat="1" ht="19.5" customHeight="1" thickBot="1">
      <c r="A11" s="1441"/>
      <c r="B11" s="1442" t="s">
        <v>203</v>
      </c>
      <c r="C11" s="726"/>
      <c r="D11" s="1443" t="s">
        <v>332</v>
      </c>
      <c r="E11" s="1444">
        <f>E12+E24+E35+E38+E41+E57</f>
        <v>1756.2611488343557</v>
      </c>
      <c r="F11" s="1445">
        <f>F12+F24+F35+F38+F41+F57</f>
        <v>0</v>
      </c>
      <c r="G11" s="1445">
        <f>G12+G24+G35+G38+G41+G57</f>
        <v>0</v>
      </c>
      <c r="H11" s="1446">
        <f>H12+H24+H35+H38+H41+H57</f>
        <v>1756.2611488343557</v>
      </c>
      <c r="I11" s="727"/>
      <c r="J11" s="1349">
        <f>J12+J24+J35+J38+J41+J57</f>
        <v>6.7332000000000001</v>
      </c>
      <c r="K11" s="1350">
        <f>IFERROR(J11/H11,"")</f>
        <v>3.8338261963312675E-3</v>
      </c>
      <c r="L11" s="1351">
        <f>L12+L24+L35+L38+L41+L57</f>
        <v>162.28199999999998</v>
      </c>
      <c r="M11" s="1352">
        <f>M12+M24+M35+M38+M41+M57</f>
        <v>-155.5488</v>
      </c>
      <c r="N11" s="727"/>
      <c r="O11" s="1353">
        <f>O12+O24+O35+O38+O41+O57</f>
        <v>0</v>
      </c>
      <c r="P11" s="1354">
        <f>IFERROR(O11/H11,"")</f>
        <v>0</v>
      </c>
      <c r="Q11" s="1355">
        <f>Q12+Q24+Q35+Q38+Q41+Q57</f>
        <v>0</v>
      </c>
      <c r="R11" s="1356">
        <f>R12+R24+R35+R38+R41+R57</f>
        <v>0</v>
      </c>
      <c r="S11" s="727"/>
      <c r="T11" s="1357">
        <f>T12+T24+T35+T38+T41+T57</f>
        <v>1379.3850418408545</v>
      </c>
      <c r="U11" s="728"/>
      <c r="V11" s="1358">
        <f>V12+V24+V35+V38+V41+V57</f>
        <v>1541.6670418408544</v>
      </c>
      <c r="W11" s="1359">
        <f>W12+W24+W35+W38+W41+W57</f>
        <v>214.59410699350121</v>
      </c>
      <c r="X11" s="729"/>
      <c r="AD11" s="1360">
        <v>6.7332000000000001</v>
      </c>
      <c r="AE11" s="1361">
        <v>6.8131788929897148E-3</v>
      </c>
      <c r="AF11" s="1362">
        <v>162.28199999999998</v>
      </c>
      <c r="AG11" s="1363">
        <v>-155.5488</v>
      </c>
    </row>
    <row r="12" spans="1:33" s="733" customFormat="1" ht="19.5" customHeight="1" thickBot="1">
      <c r="A12" s="1419" t="s">
        <v>205</v>
      </c>
      <c r="B12" s="1420" t="s">
        <v>206</v>
      </c>
      <c r="C12" s="731"/>
      <c r="D12" s="1421" t="s">
        <v>332</v>
      </c>
      <c r="E12" s="1422">
        <f>SUM(E13:E23)</f>
        <v>943.03539999999998</v>
      </c>
      <c r="F12" s="1364">
        <f>SUM(F13:F23)</f>
        <v>0</v>
      </c>
      <c r="G12" s="1364">
        <f>SUM(G13:G23)</f>
        <v>0</v>
      </c>
      <c r="H12" s="1409">
        <f>SUM(H13:H23)</f>
        <v>943.03539999999998</v>
      </c>
      <c r="I12" s="732"/>
      <c r="J12" s="1365">
        <f>SUM(J13:J23)</f>
        <v>6.7332000000000001</v>
      </c>
      <c r="K12" s="1366">
        <f>IFERROR(J12/H12,"")</f>
        <v>7.1399228491316443E-3</v>
      </c>
      <c r="L12" s="1367">
        <f>SUM(L13:L23)</f>
        <v>151.93799999999999</v>
      </c>
      <c r="M12" s="1368">
        <f>SUM(M13:M23)</f>
        <v>-145.20480000000001</v>
      </c>
      <c r="N12" s="732"/>
      <c r="O12" s="1369">
        <f>SUM(O13:O23)</f>
        <v>0</v>
      </c>
      <c r="P12" s="1370">
        <f t="shared" ref="P12:P60" si="0">IFERROR(O12/H12,"")</f>
        <v>0</v>
      </c>
      <c r="Q12" s="1371">
        <f>SUM(Q13:Q23)</f>
        <v>0</v>
      </c>
      <c r="R12" s="1372">
        <f>SUM(R13:R23)</f>
        <v>0</v>
      </c>
      <c r="S12" s="732"/>
      <c r="T12" s="1373">
        <f>SUM(T13:T23)</f>
        <v>87.298680049254372</v>
      </c>
      <c r="U12" s="732"/>
      <c r="V12" s="1365">
        <f>SUM(V13:V23)</f>
        <v>239.2366800492544</v>
      </c>
      <c r="W12" s="1368">
        <f>SUM(W13:W23)</f>
        <v>703.79871995074552</v>
      </c>
      <c r="X12" s="729"/>
      <c r="AD12" s="1374">
        <v>6.7332000000000001</v>
      </c>
      <c r="AE12" s="1375">
        <v>3.846764711595483E-2</v>
      </c>
      <c r="AF12" s="1376">
        <v>151.93799999999999</v>
      </c>
      <c r="AG12" s="1377">
        <v>-145.20480000000001</v>
      </c>
    </row>
    <row r="13" spans="1:33" s="737" customFormat="1" ht="15" customHeight="1">
      <c r="A13" s="1378"/>
      <c r="B13" s="1379" t="s">
        <v>207</v>
      </c>
      <c r="C13" s="707"/>
      <c r="D13" s="1380" t="s">
        <v>332</v>
      </c>
      <c r="E13" s="1381">
        <v>0</v>
      </c>
      <c r="F13" s="1382"/>
      <c r="G13" s="1382"/>
      <c r="H13" s="1383">
        <f>SUM(E13:G13)</f>
        <v>0</v>
      </c>
      <c r="I13" s="734"/>
      <c r="J13" s="1384">
        <f>H13*K13/100</f>
        <v>0</v>
      </c>
      <c r="K13" s="1385">
        <f>'BETON Qte'!K13</f>
        <v>71</v>
      </c>
      <c r="L13" s="1382">
        <f>Q13+AF13</f>
        <v>0</v>
      </c>
      <c r="M13" s="1383">
        <f>J13-L13</f>
        <v>0</v>
      </c>
      <c r="N13" s="734"/>
      <c r="O13" s="1386">
        <f>J13-AD13</f>
        <v>0</v>
      </c>
      <c r="P13" s="1387" t="str">
        <f t="shared" si="0"/>
        <v/>
      </c>
      <c r="Q13" s="1388"/>
      <c r="R13" s="1389">
        <f>O13-Q13</f>
        <v>0</v>
      </c>
      <c r="S13" s="734"/>
      <c r="T13" s="1390">
        <v>0</v>
      </c>
      <c r="U13" s="735"/>
      <c r="V13" s="1384">
        <f>L13+T13</f>
        <v>0</v>
      </c>
      <c r="W13" s="1383">
        <f>H13-V13</f>
        <v>0</v>
      </c>
      <c r="X13" s="736"/>
      <c r="AD13" s="1391">
        <v>0</v>
      </c>
      <c r="AE13" s="1392">
        <v>71</v>
      </c>
      <c r="AF13" s="1393">
        <v>0</v>
      </c>
      <c r="AG13" s="1394">
        <v>0</v>
      </c>
    </row>
    <row r="14" spans="1:33" s="737" customFormat="1" ht="15" customHeight="1">
      <c r="A14" s="1378"/>
      <c r="B14" s="1379" t="s">
        <v>208</v>
      </c>
      <c r="C14" s="707"/>
      <c r="D14" s="1380" t="s">
        <v>332</v>
      </c>
      <c r="E14" s="1381">
        <v>0</v>
      </c>
      <c r="F14" s="1382"/>
      <c r="G14" s="1382"/>
      <c r="H14" s="1383">
        <f t="shared" ref="H14:H23" si="1">SUM(E14:G14)</f>
        <v>0</v>
      </c>
      <c r="I14" s="734"/>
      <c r="J14" s="1384">
        <f t="shared" ref="J14:J23" si="2">H14*K14/100</f>
        <v>0</v>
      </c>
      <c r="K14" s="1385">
        <f>'BETON Qte'!K14</f>
        <v>67</v>
      </c>
      <c r="L14" s="1382">
        <f t="shared" ref="L14:L23" si="3">Q14+AF14</f>
        <v>0</v>
      </c>
      <c r="M14" s="1383">
        <f t="shared" ref="M14:M23" si="4">J14-L14</f>
        <v>0</v>
      </c>
      <c r="N14" s="734"/>
      <c r="O14" s="1386">
        <f t="shared" ref="O14:O23" si="5">J14-AD14</f>
        <v>0</v>
      </c>
      <c r="P14" s="1387" t="str">
        <f t="shared" si="0"/>
        <v/>
      </c>
      <c r="Q14" s="1388"/>
      <c r="R14" s="1389">
        <f t="shared" ref="R14:R23" si="6">O14-Q14</f>
        <v>0</v>
      </c>
      <c r="S14" s="734"/>
      <c r="T14" s="1390">
        <v>0</v>
      </c>
      <c r="U14" s="735"/>
      <c r="V14" s="1384">
        <f t="shared" ref="V14:V23" si="7">L14+T14</f>
        <v>0</v>
      </c>
      <c r="W14" s="1383">
        <f t="shared" ref="W14:W23" si="8">H14-V14</f>
        <v>0</v>
      </c>
      <c r="X14" s="736"/>
      <c r="AD14" s="1391">
        <v>0</v>
      </c>
      <c r="AE14" s="1392">
        <v>67</v>
      </c>
      <c r="AF14" s="1393">
        <v>0</v>
      </c>
      <c r="AG14" s="1394">
        <v>0</v>
      </c>
    </row>
    <row r="15" spans="1:33" s="737" customFormat="1" ht="15" customHeight="1">
      <c r="A15" s="1378"/>
      <c r="B15" s="1379" t="s">
        <v>209</v>
      </c>
      <c r="C15" s="707"/>
      <c r="D15" s="1380" t="s">
        <v>332</v>
      </c>
      <c r="E15" s="1381">
        <v>768</v>
      </c>
      <c r="F15" s="1382"/>
      <c r="G15" s="1382"/>
      <c r="H15" s="1383">
        <f t="shared" si="1"/>
        <v>768</v>
      </c>
      <c r="I15" s="734"/>
      <c r="J15" s="1384">
        <f t="shared" si="2"/>
        <v>0</v>
      </c>
      <c r="K15" s="1385">
        <f>'BETON Qte'!K15</f>
        <v>0</v>
      </c>
      <c r="L15" s="1382">
        <f t="shared" si="3"/>
        <v>0</v>
      </c>
      <c r="M15" s="1383">
        <f t="shared" si="4"/>
        <v>0</v>
      </c>
      <c r="N15" s="734"/>
      <c r="O15" s="1386">
        <f t="shared" si="5"/>
        <v>0</v>
      </c>
      <c r="P15" s="1387">
        <f t="shared" si="0"/>
        <v>0</v>
      </c>
      <c r="Q15" s="1388"/>
      <c r="R15" s="1389">
        <f t="shared" si="6"/>
        <v>0</v>
      </c>
      <c r="S15" s="734"/>
      <c r="T15" s="1390">
        <v>0</v>
      </c>
      <c r="U15" s="735"/>
      <c r="V15" s="1384">
        <f t="shared" si="7"/>
        <v>0</v>
      </c>
      <c r="W15" s="1383">
        <f t="shared" si="8"/>
        <v>768</v>
      </c>
      <c r="X15" s="736"/>
      <c r="AD15" s="1391">
        <v>0</v>
      </c>
      <c r="AE15" s="1392">
        <v>0</v>
      </c>
      <c r="AF15" s="1393">
        <v>0</v>
      </c>
      <c r="AG15" s="1394">
        <v>0</v>
      </c>
    </row>
    <row r="16" spans="1:33" s="737" customFormat="1" ht="15" customHeight="1">
      <c r="A16" s="1378"/>
      <c r="B16" s="1379" t="s">
        <v>210</v>
      </c>
      <c r="C16" s="707"/>
      <c r="D16" s="1380" t="s">
        <v>332</v>
      </c>
      <c r="E16" s="1381">
        <v>0</v>
      </c>
      <c r="F16" s="1382"/>
      <c r="G16" s="1382"/>
      <c r="H16" s="1383">
        <f t="shared" si="1"/>
        <v>0</v>
      </c>
      <c r="I16" s="734"/>
      <c r="J16" s="1384">
        <f t="shared" si="2"/>
        <v>0</v>
      </c>
      <c r="K16" s="1385">
        <f>'BETON Qte'!K16</f>
        <v>49</v>
      </c>
      <c r="L16" s="1382">
        <f t="shared" si="3"/>
        <v>0.6</v>
      </c>
      <c r="M16" s="1383">
        <f t="shared" si="4"/>
        <v>-0.6</v>
      </c>
      <c r="N16" s="734"/>
      <c r="O16" s="1386">
        <f t="shared" si="5"/>
        <v>0</v>
      </c>
      <c r="P16" s="1387" t="str">
        <f t="shared" si="0"/>
        <v/>
      </c>
      <c r="Q16" s="1388"/>
      <c r="R16" s="1389">
        <f t="shared" si="6"/>
        <v>0</v>
      </c>
      <c r="S16" s="734"/>
      <c r="T16" s="1390">
        <v>0.62986839999999999</v>
      </c>
      <c r="U16" s="735"/>
      <c r="V16" s="1384">
        <f t="shared" si="7"/>
        <v>1.2298684</v>
      </c>
      <c r="W16" s="1383">
        <f t="shared" si="8"/>
        <v>-1.2298684</v>
      </c>
      <c r="X16" s="736"/>
      <c r="AD16" s="1391">
        <v>0</v>
      </c>
      <c r="AE16" s="1392">
        <v>49</v>
      </c>
      <c r="AF16" s="1393">
        <v>0.6</v>
      </c>
      <c r="AG16" s="1394">
        <v>-0.6</v>
      </c>
    </row>
    <row r="17" spans="1:33" s="737" customFormat="1" ht="15" customHeight="1">
      <c r="A17" s="1378"/>
      <c r="B17" s="1379" t="s">
        <v>211</v>
      </c>
      <c r="C17" s="707"/>
      <c r="D17" s="1380" t="s">
        <v>332</v>
      </c>
      <c r="E17" s="1381">
        <v>0</v>
      </c>
      <c r="F17" s="1382"/>
      <c r="G17" s="1382"/>
      <c r="H17" s="1383">
        <f t="shared" si="1"/>
        <v>0</v>
      </c>
      <c r="I17" s="734"/>
      <c r="J17" s="1384">
        <f t="shared" si="2"/>
        <v>0</v>
      </c>
      <c r="K17" s="1385">
        <f>'BETON Qte'!K17</f>
        <v>79</v>
      </c>
      <c r="L17" s="1382">
        <f t="shared" si="3"/>
        <v>12.343</v>
      </c>
      <c r="M17" s="1383">
        <f t="shared" si="4"/>
        <v>-12.343</v>
      </c>
      <c r="N17" s="734"/>
      <c r="O17" s="1386">
        <f t="shared" si="5"/>
        <v>0</v>
      </c>
      <c r="P17" s="1387" t="str">
        <f t="shared" si="0"/>
        <v/>
      </c>
      <c r="Q17" s="1388"/>
      <c r="R17" s="1389">
        <f t="shared" si="6"/>
        <v>0</v>
      </c>
      <c r="S17" s="734"/>
      <c r="T17" s="1390">
        <v>3.7100624999999998</v>
      </c>
      <c r="U17" s="735"/>
      <c r="V17" s="1384">
        <f t="shared" si="7"/>
        <v>16.053062499999999</v>
      </c>
      <c r="W17" s="1383">
        <f t="shared" si="8"/>
        <v>-16.053062499999999</v>
      </c>
      <c r="X17" s="736"/>
      <c r="AD17" s="1391">
        <v>0</v>
      </c>
      <c r="AE17" s="1392">
        <v>79</v>
      </c>
      <c r="AF17" s="1393">
        <v>12.343</v>
      </c>
      <c r="AG17" s="1394">
        <v>-12.343</v>
      </c>
    </row>
    <row r="18" spans="1:33" s="737" customFormat="1" ht="15" customHeight="1">
      <c r="A18" s="1378"/>
      <c r="B18" s="1379" t="s">
        <v>212</v>
      </c>
      <c r="C18" s="707"/>
      <c r="D18" s="1380" t="s">
        <v>332</v>
      </c>
      <c r="E18" s="1381">
        <v>0</v>
      </c>
      <c r="F18" s="1382"/>
      <c r="G18" s="1382"/>
      <c r="H18" s="1383">
        <f t="shared" si="1"/>
        <v>0</v>
      </c>
      <c r="I18" s="734"/>
      <c r="J18" s="1384">
        <f t="shared" si="2"/>
        <v>0</v>
      </c>
      <c r="K18" s="1385">
        <f>'BETON Qte'!K18</f>
        <v>62</v>
      </c>
      <c r="L18" s="1382">
        <f t="shared" si="3"/>
        <v>28.321999999999999</v>
      </c>
      <c r="M18" s="1383">
        <f t="shared" si="4"/>
        <v>-28.321999999999999</v>
      </c>
      <c r="N18" s="734"/>
      <c r="O18" s="1386">
        <f t="shared" si="5"/>
        <v>0</v>
      </c>
      <c r="P18" s="1387" t="str">
        <f t="shared" si="0"/>
        <v/>
      </c>
      <c r="Q18" s="1388"/>
      <c r="R18" s="1389">
        <f t="shared" si="6"/>
        <v>0</v>
      </c>
      <c r="S18" s="734"/>
      <c r="T18" s="1390">
        <v>18.414269999999998</v>
      </c>
      <c r="U18" s="735"/>
      <c r="V18" s="1384">
        <f t="shared" si="7"/>
        <v>46.736269999999998</v>
      </c>
      <c r="W18" s="1383">
        <f t="shared" si="8"/>
        <v>-46.736269999999998</v>
      </c>
      <c r="X18" s="736"/>
      <c r="AD18" s="1391">
        <v>0</v>
      </c>
      <c r="AE18" s="1392">
        <v>62</v>
      </c>
      <c r="AF18" s="1393">
        <v>28.321999999999999</v>
      </c>
      <c r="AG18" s="1394">
        <v>-28.321999999999999</v>
      </c>
    </row>
    <row r="19" spans="1:33" s="737" customFormat="1" ht="15" customHeight="1">
      <c r="A19" s="1378"/>
      <c r="B19" s="1379" t="s">
        <v>213</v>
      </c>
      <c r="C19" s="707"/>
      <c r="D19" s="1380" t="s">
        <v>332</v>
      </c>
      <c r="E19" s="1381">
        <v>0</v>
      </c>
      <c r="F19" s="1382"/>
      <c r="G19" s="1382"/>
      <c r="H19" s="1383">
        <f t="shared" si="1"/>
        <v>0</v>
      </c>
      <c r="I19" s="734"/>
      <c r="J19" s="1384">
        <f t="shared" si="2"/>
        <v>0</v>
      </c>
      <c r="K19" s="1385">
        <f>'BETON Qte'!K19</f>
        <v>80</v>
      </c>
      <c r="L19" s="1382">
        <f t="shared" si="3"/>
        <v>13.9</v>
      </c>
      <c r="M19" s="1383">
        <f t="shared" si="4"/>
        <v>-13.9</v>
      </c>
      <c r="N19" s="734"/>
      <c r="O19" s="1386">
        <f t="shared" si="5"/>
        <v>0</v>
      </c>
      <c r="P19" s="1387" t="str">
        <f t="shared" si="0"/>
        <v/>
      </c>
      <c r="Q19" s="1388"/>
      <c r="R19" s="1389">
        <f t="shared" si="6"/>
        <v>0</v>
      </c>
      <c r="S19" s="734"/>
      <c r="T19" s="1390">
        <v>4.3240645777811801</v>
      </c>
      <c r="U19" s="735"/>
      <c r="V19" s="1384">
        <f t="shared" si="7"/>
        <v>18.224064577781181</v>
      </c>
      <c r="W19" s="1383">
        <f t="shared" si="8"/>
        <v>-18.224064577781181</v>
      </c>
      <c r="X19" s="736"/>
      <c r="AD19" s="1391">
        <v>0</v>
      </c>
      <c r="AE19" s="1392">
        <v>80</v>
      </c>
      <c r="AF19" s="1393">
        <v>13.9</v>
      </c>
      <c r="AG19" s="1394">
        <v>-13.9</v>
      </c>
    </row>
    <row r="20" spans="1:33" s="737" customFormat="1" ht="15" customHeight="1">
      <c r="A20" s="1378"/>
      <c r="B20" s="1379" t="s">
        <v>214</v>
      </c>
      <c r="C20" s="707"/>
      <c r="D20" s="1380" t="s">
        <v>332</v>
      </c>
      <c r="E20" s="1381">
        <v>0</v>
      </c>
      <c r="F20" s="1382"/>
      <c r="G20" s="1382"/>
      <c r="H20" s="1383">
        <f t="shared" si="1"/>
        <v>0</v>
      </c>
      <c r="I20" s="734"/>
      <c r="J20" s="1384">
        <f t="shared" si="2"/>
        <v>0</v>
      </c>
      <c r="K20" s="1385">
        <f>'BETON Qte'!K20</f>
        <v>58</v>
      </c>
      <c r="L20" s="1382">
        <f t="shared" si="3"/>
        <v>13.925000000000001</v>
      </c>
      <c r="M20" s="1383">
        <f t="shared" si="4"/>
        <v>-13.925000000000001</v>
      </c>
      <c r="N20" s="734"/>
      <c r="O20" s="1386">
        <f t="shared" si="5"/>
        <v>0</v>
      </c>
      <c r="P20" s="1387" t="str">
        <f t="shared" si="0"/>
        <v/>
      </c>
      <c r="Q20" s="1388"/>
      <c r="R20" s="1389">
        <f t="shared" si="6"/>
        <v>0</v>
      </c>
      <c r="S20" s="734"/>
      <c r="T20" s="1390">
        <v>12.520180399999999</v>
      </c>
      <c r="U20" s="735"/>
      <c r="V20" s="1384">
        <f t="shared" si="7"/>
        <v>26.445180399999998</v>
      </c>
      <c r="W20" s="1383">
        <f t="shared" si="8"/>
        <v>-26.445180399999998</v>
      </c>
      <c r="X20" s="736"/>
      <c r="AD20" s="1391">
        <v>0</v>
      </c>
      <c r="AE20" s="1392">
        <v>58</v>
      </c>
      <c r="AF20" s="1393">
        <v>13.925000000000001</v>
      </c>
      <c r="AG20" s="1394">
        <v>-13.925000000000001</v>
      </c>
    </row>
    <row r="21" spans="1:33" s="737" customFormat="1" ht="15" customHeight="1">
      <c r="A21" s="1378"/>
      <c r="B21" s="1379" t="s">
        <v>215</v>
      </c>
      <c r="C21" s="707"/>
      <c r="D21" s="1380" t="s">
        <v>332</v>
      </c>
      <c r="E21" s="1381">
        <v>8.82</v>
      </c>
      <c r="F21" s="1382"/>
      <c r="G21" s="1382"/>
      <c r="H21" s="1383">
        <f t="shared" si="1"/>
        <v>8.82</v>
      </c>
      <c r="I21" s="734"/>
      <c r="J21" s="1384">
        <f t="shared" si="2"/>
        <v>2.2932000000000001</v>
      </c>
      <c r="K21" s="1385">
        <f>'BETON Qte'!K21</f>
        <v>26</v>
      </c>
      <c r="L21" s="1382">
        <f t="shared" si="3"/>
        <v>4.6870000000000003</v>
      </c>
      <c r="M21" s="1383">
        <f t="shared" si="4"/>
        <v>-2.3938000000000001</v>
      </c>
      <c r="N21" s="734"/>
      <c r="O21" s="1386">
        <f t="shared" si="5"/>
        <v>0</v>
      </c>
      <c r="P21" s="1387">
        <f t="shared" si="0"/>
        <v>0</v>
      </c>
      <c r="Q21" s="1388"/>
      <c r="R21" s="1389">
        <f t="shared" si="6"/>
        <v>0</v>
      </c>
      <c r="S21" s="734"/>
      <c r="T21" s="1390">
        <v>14.4025741714732</v>
      </c>
      <c r="U21" s="735"/>
      <c r="V21" s="1384">
        <f t="shared" si="7"/>
        <v>19.089574171473199</v>
      </c>
      <c r="W21" s="1383">
        <f t="shared" si="8"/>
        <v>-10.269574171473199</v>
      </c>
      <c r="X21" s="736"/>
      <c r="AD21" s="1391">
        <v>2.2932000000000001</v>
      </c>
      <c r="AE21" s="1392">
        <v>26</v>
      </c>
      <c r="AF21" s="1393">
        <v>4.6870000000000003</v>
      </c>
      <c r="AG21" s="1394">
        <v>-2.3938000000000001</v>
      </c>
    </row>
    <row r="22" spans="1:33" s="737" customFormat="1" ht="15" customHeight="1">
      <c r="A22" s="1378"/>
      <c r="B22" s="1379" t="s">
        <v>216</v>
      </c>
      <c r="C22" s="707"/>
      <c r="D22" s="1380" t="s">
        <v>332</v>
      </c>
      <c r="E22" s="1381">
        <v>5.92</v>
      </c>
      <c r="F22" s="1382"/>
      <c r="G22" s="1382"/>
      <c r="H22" s="1383">
        <f t="shared" si="1"/>
        <v>5.92</v>
      </c>
      <c r="I22" s="734"/>
      <c r="J22" s="1384">
        <f t="shared" si="2"/>
        <v>4.4400000000000004</v>
      </c>
      <c r="K22" s="1385">
        <f>'BETON Qte'!K22</f>
        <v>75</v>
      </c>
      <c r="L22" s="1382">
        <f t="shared" si="3"/>
        <v>78.161000000000001</v>
      </c>
      <c r="M22" s="1383">
        <f t="shared" si="4"/>
        <v>-73.721000000000004</v>
      </c>
      <c r="N22" s="738"/>
      <c r="O22" s="1386">
        <f t="shared" si="5"/>
        <v>0</v>
      </c>
      <c r="P22" s="1387">
        <f t="shared" si="0"/>
        <v>0</v>
      </c>
      <c r="Q22" s="1388"/>
      <c r="R22" s="1395">
        <f t="shared" si="6"/>
        <v>0</v>
      </c>
      <c r="S22" s="734"/>
      <c r="T22" s="1390">
        <v>33.29766</v>
      </c>
      <c r="U22" s="735"/>
      <c r="V22" s="1384">
        <f t="shared" si="7"/>
        <v>111.45866000000001</v>
      </c>
      <c r="W22" s="1383">
        <f t="shared" si="8"/>
        <v>-105.53866000000001</v>
      </c>
      <c r="X22" s="736"/>
      <c r="AD22" s="1391">
        <v>4.4400000000000004</v>
      </c>
      <c r="AE22" s="1392">
        <v>75</v>
      </c>
      <c r="AF22" s="1393">
        <v>78.161000000000001</v>
      </c>
      <c r="AG22" s="1394">
        <v>-73.721000000000004</v>
      </c>
    </row>
    <row r="23" spans="1:33" s="737" customFormat="1" ht="15" customHeight="1" thickBot="1">
      <c r="A23" s="1378"/>
      <c r="B23" s="1379" t="s">
        <v>217</v>
      </c>
      <c r="C23" s="707"/>
      <c r="D23" s="1380" t="s">
        <v>332</v>
      </c>
      <c r="E23" s="1381">
        <v>160.2954</v>
      </c>
      <c r="F23" s="1382"/>
      <c r="G23" s="1382"/>
      <c r="H23" s="1383">
        <f t="shared" si="1"/>
        <v>160.2954</v>
      </c>
      <c r="I23" s="734"/>
      <c r="J23" s="1396">
        <f t="shared" si="2"/>
        <v>0</v>
      </c>
      <c r="K23" s="1397">
        <f>'BETON Qte'!K23</f>
        <v>0</v>
      </c>
      <c r="L23" s="1398">
        <f t="shared" si="3"/>
        <v>0</v>
      </c>
      <c r="M23" s="1399">
        <f t="shared" si="4"/>
        <v>0</v>
      </c>
      <c r="N23" s="734"/>
      <c r="O23" s="1400">
        <f t="shared" si="5"/>
        <v>0</v>
      </c>
      <c r="P23" s="1401">
        <f t="shared" si="0"/>
        <v>0</v>
      </c>
      <c r="Q23" s="1402"/>
      <c r="R23" s="1403">
        <f t="shared" si="6"/>
        <v>0</v>
      </c>
      <c r="S23" s="734"/>
      <c r="T23" s="1514">
        <v>0</v>
      </c>
      <c r="U23" s="735"/>
      <c r="V23" s="1396">
        <f t="shared" si="7"/>
        <v>0</v>
      </c>
      <c r="W23" s="1399">
        <f t="shared" si="8"/>
        <v>160.2954</v>
      </c>
      <c r="X23" s="736"/>
      <c r="AD23" s="1404">
        <v>0</v>
      </c>
      <c r="AE23" s="1405">
        <v>0</v>
      </c>
      <c r="AF23" s="1406">
        <v>0</v>
      </c>
      <c r="AG23" s="1407">
        <v>0</v>
      </c>
    </row>
    <row r="24" spans="1:33" s="733" customFormat="1" ht="19.5" customHeight="1" thickBot="1">
      <c r="A24" s="1419" t="s">
        <v>218</v>
      </c>
      <c r="B24" s="1420" t="s">
        <v>219</v>
      </c>
      <c r="C24" s="731"/>
      <c r="D24" s="1421" t="s">
        <v>332</v>
      </c>
      <c r="E24" s="1422">
        <f>SUM(E25:E34)</f>
        <v>762.78395999999998</v>
      </c>
      <c r="F24" s="1364">
        <f>SUM(F25:F34)</f>
        <v>0</v>
      </c>
      <c r="G24" s="1364">
        <f>SUM(G25:G34)</f>
        <v>0</v>
      </c>
      <c r="H24" s="1409">
        <f>SUM(H25:H34)</f>
        <v>762.78395999999998</v>
      </c>
      <c r="I24" s="732"/>
      <c r="J24" s="1408">
        <f>SUM(J25:J34)</f>
        <v>0</v>
      </c>
      <c r="K24" s="1423">
        <f>IFERROR(J24/H24,"")</f>
        <v>0</v>
      </c>
      <c r="L24" s="1364">
        <f>SUM(L25:L34)</f>
        <v>10.343999999999999</v>
      </c>
      <c r="M24" s="1409">
        <f>SUM(M25:M34)</f>
        <v>-10.343999999999999</v>
      </c>
      <c r="N24" s="732"/>
      <c r="O24" s="1515">
        <f>SUM(O25:O34)</f>
        <v>0</v>
      </c>
      <c r="P24" s="1516">
        <f t="shared" si="0"/>
        <v>0</v>
      </c>
      <c r="Q24" s="1371">
        <f>SUM(Q25:Q34)</f>
        <v>0</v>
      </c>
      <c r="R24" s="1517">
        <f>SUM(R25:R34)</f>
        <v>0</v>
      </c>
      <c r="S24" s="732"/>
      <c r="T24" s="1518">
        <f>SUM(T25:T34)</f>
        <v>1241.6445729572442</v>
      </c>
      <c r="U24" s="732"/>
      <c r="V24" s="1408">
        <f>SUM(V25:V34)</f>
        <v>1251.9885729572443</v>
      </c>
      <c r="W24" s="1409">
        <f>SUM(W25:W34)</f>
        <v>-489.20461295724431</v>
      </c>
      <c r="X24" s="729"/>
      <c r="AD24" s="1415">
        <v>0</v>
      </c>
      <c r="AE24" s="1416">
        <v>0</v>
      </c>
      <c r="AF24" s="1417">
        <v>10.343999999999999</v>
      </c>
      <c r="AG24" s="1418">
        <v>-10.343999999999999</v>
      </c>
    </row>
    <row r="25" spans="1:33" s="737" customFormat="1" ht="15" customHeight="1">
      <c r="A25" s="1378"/>
      <c r="B25" s="1379" t="s">
        <v>220</v>
      </c>
      <c r="C25" s="707"/>
      <c r="D25" s="1380" t="s">
        <v>332</v>
      </c>
      <c r="E25" s="1381">
        <v>0</v>
      </c>
      <c r="F25" s="1382"/>
      <c r="G25" s="1382"/>
      <c r="H25" s="1383">
        <f t="shared" ref="H25:H34" si="9">SUM(E25:G25)</f>
        <v>0</v>
      </c>
      <c r="I25" s="734"/>
      <c r="J25" s="1384">
        <f t="shared" ref="J25:J34" si="10">H25*K25/100</f>
        <v>0</v>
      </c>
      <c r="K25" s="1385">
        <f>'BETON Qte'!K25</f>
        <v>1</v>
      </c>
      <c r="L25" s="1382">
        <f t="shared" ref="L25:L34" si="11">Q25+AF25</f>
        <v>0.2</v>
      </c>
      <c r="M25" s="1383">
        <f t="shared" ref="M25:M34" si="12">J25-L25</f>
        <v>-0.2</v>
      </c>
      <c r="N25" s="734"/>
      <c r="O25" s="1386">
        <f t="shared" ref="O25:O34" si="13">J25-AD25</f>
        <v>0</v>
      </c>
      <c r="P25" s="1387" t="str">
        <f t="shared" si="0"/>
        <v/>
      </c>
      <c r="Q25" s="1388"/>
      <c r="R25" s="1389">
        <f t="shared" ref="R25:R34" si="14">O25-Q25</f>
        <v>0</v>
      </c>
      <c r="S25" s="734"/>
      <c r="T25" s="1390">
        <v>67.316066317243298</v>
      </c>
      <c r="U25" s="735"/>
      <c r="V25" s="1384">
        <f t="shared" ref="V25:V34" si="15">L25+T25</f>
        <v>67.5160663172433</v>
      </c>
      <c r="W25" s="1383">
        <f t="shared" ref="W25:W34" si="16">H25-V25</f>
        <v>-67.5160663172433</v>
      </c>
      <c r="X25" s="736"/>
      <c r="AD25" s="1391">
        <v>0</v>
      </c>
      <c r="AE25" s="1392">
        <v>1</v>
      </c>
      <c r="AF25" s="1393">
        <v>0.2</v>
      </c>
      <c r="AG25" s="1394">
        <v>-0.2</v>
      </c>
    </row>
    <row r="26" spans="1:33" s="737" customFormat="1" ht="15" customHeight="1">
      <c r="A26" s="1378"/>
      <c r="B26" s="1379" t="s">
        <v>221</v>
      </c>
      <c r="C26" s="707"/>
      <c r="D26" s="1380" t="s">
        <v>332</v>
      </c>
      <c r="E26" s="1381">
        <v>0</v>
      </c>
      <c r="F26" s="1382"/>
      <c r="G26" s="1382"/>
      <c r="H26" s="1383">
        <f t="shared" si="9"/>
        <v>0</v>
      </c>
      <c r="I26" s="734"/>
      <c r="J26" s="1384">
        <f t="shared" si="10"/>
        <v>0</v>
      </c>
      <c r="K26" s="1385">
        <f>'BETON Qte'!K26</f>
        <v>3</v>
      </c>
      <c r="L26" s="1382">
        <f t="shared" si="11"/>
        <v>10.144</v>
      </c>
      <c r="M26" s="1383">
        <f t="shared" si="12"/>
        <v>-10.144</v>
      </c>
      <c r="N26" s="734"/>
      <c r="O26" s="1386">
        <f t="shared" si="13"/>
        <v>0</v>
      </c>
      <c r="P26" s="1387" t="str">
        <f t="shared" si="0"/>
        <v/>
      </c>
      <c r="Q26" s="1388"/>
      <c r="R26" s="1389">
        <f t="shared" si="14"/>
        <v>0</v>
      </c>
      <c r="S26" s="734"/>
      <c r="T26" s="1390">
        <v>411.54454664000099</v>
      </c>
      <c r="U26" s="735"/>
      <c r="V26" s="1384">
        <f t="shared" si="15"/>
        <v>421.68854664000099</v>
      </c>
      <c r="W26" s="1383">
        <f t="shared" si="16"/>
        <v>-421.68854664000099</v>
      </c>
      <c r="X26" s="736"/>
      <c r="AD26" s="1391">
        <v>0</v>
      </c>
      <c r="AE26" s="1392">
        <v>3</v>
      </c>
      <c r="AF26" s="1393">
        <v>10.144</v>
      </c>
      <c r="AG26" s="1394">
        <v>-10.144</v>
      </c>
    </row>
    <row r="27" spans="1:33" s="737" customFormat="1" ht="15" customHeight="1">
      <c r="A27" s="1378"/>
      <c r="B27" s="1379" t="s">
        <v>222</v>
      </c>
      <c r="C27" s="707"/>
      <c r="D27" s="1380" t="s">
        <v>332</v>
      </c>
      <c r="E27" s="1381">
        <v>0</v>
      </c>
      <c r="F27" s="1382"/>
      <c r="G27" s="1382"/>
      <c r="H27" s="1383">
        <f t="shared" si="9"/>
        <v>0</v>
      </c>
      <c r="I27" s="734"/>
      <c r="J27" s="1384">
        <f t="shared" si="10"/>
        <v>0</v>
      </c>
      <c r="K27" s="1385">
        <f>'BETON Qte'!K27</f>
        <v>0</v>
      </c>
      <c r="L27" s="1382">
        <f t="shared" si="11"/>
        <v>0</v>
      </c>
      <c r="M27" s="1383">
        <f t="shared" si="12"/>
        <v>0</v>
      </c>
      <c r="N27" s="734"/>
      <c r="O27" s="1386">
        <f t="shared" si="13"/>
        <v>0</v>
      </c>
      <c r="P27" s="1387" t="str">
        <f t="shared" si="0"/>
        <v/>
      </c>
      <c r="Q27" s="1388"/>
      <c r="R27" s="1389">
        <f t="shared" si="14"/>
        <v>0</v>
      </c>
      <c r="S27" s="734"/>
      <c r="T27" s="1390">
        <v>0</v>
      </c>
      <c r="U27" s="735"/>
      <c r="V27" s="1384">
        <f t="shared" si="15"/>
        <v>0</v>
      </c>
      <c r="W27" s="1383">
        <f t="shared" si="16"/>
        <v>0</v>
      </c>
      <c r="X27" s="736"/>
      <c r="AD27" s="1391">
        <v>0</v>
      </c>
      <c r="AE27" s="1392">
        <v>0</v>
      </c>
      <c r="AF27" s="1393">
        <v>0</v>
      </c>
      <c r="AG27" s="1394">
        <v>0</v>
      </c>
    </row>
    <row r="28" spans="1:33" s="737" customFormat="1" ht="15" customHeight="1">
      <c r="A28" s="1378"/>
      <c r="B28" s="1379" t="s">
        <v>223</v>
      </c>
      <c r="C28" s="707"/>
      <c r="D28" s="1380" t="s">
        <v>332</v>
      </c>
      <c r="E28" s="1381">
        <v>0</v>
      </c>
      <c r="F28" s="1382"/>
      <c r="G28" s="1382"/>
      <c r="H28" s="1383">
        <f t="shared" si="9"/>
        <v>0</v>
      </c>
      <c r="I28" s="734"/>
      <c r="J28" s="1384">
        <f t="shared" si="10"/>
        <v>0</v>
      </c>
      <c r="K28" s="1385">
        <f>'BETON Qte'!K28</f>
        <v>0</v>
      </c>
      <c r="L28" s="1382">
        <f t="shared" si="11"/>
        <v>0</v>
      </c>
      <c r="M28" s="1383">
        <f t="shared" si="12"/>
        <v>0</v>
      </c>
      <c r="N28" s="734"/>
      <c r="O28" s="1386">
        <f t="shared" si="13"/>
        <v>0</v>
      </c>
      <c r="P28" s="1387" t="str">
        <f t="shared" si="0"/>
        <v/>
      </c>
      <c r="Q28" s="1388"/>
      <c r="R28" s="1389">
        <f t="shared" si="14"/>
        <v>0</v>
      </c>
      <c r="S28" s="734"/>
      <c r="T28" s="1390">
        <v>0</v>
      </c>
      <c r="U28" s="735"/>
      <c r="V28" s="1384">
        <f t="shared" si="15"/>
        <v>0</v>
      </c>
      <c r="W28" s="1383">
        <f t="shared" si="16"/>
        <v>0</v>
      </c>
      <c r="X28" s="736"/>
      <c r="AD28" s="1391">
        <v>0</v>
      </c>
      <c r="AE28" s="1392">
        <v>0</v>
      </c>
      <c r="AF28" s="1393">
        <v>0</v>
      </c>
      <c r="AG28" s="1394">
        <v>0</v>
      </c>
    </row>
    <row r="29" spans="1:33" s="737" customFormat="1" ht="15" customHeight="1">
      <c r="A29" s="1378"/>
      <c r="B29" s="1379" t="s">
        <v>224</v>
      </c>
      <c r="C29" s="707"/>
      <c r="D29" s="1380" t="s">
        <v>332</v>
      </c>
      <c r="E29" s="1381">
        <v>731.85245999999995</v>
      </c>
      <c r="F29" s="1382"/>
      <c r="G29" s="1382"/>
      <c r="H29" s="1383">
        <f t="shared" si="9"/>
        <v>731.85245999999995</v>
      </c>
      <c r="I29" s="734"/>
      <c r="J29" s="1384">
        <f t="shared" si="10"/>
        <v>0</v>
      </c>
      <c r="K29" s="1385">
        <f>'BETON Qte'!K29</f>
        <v>0</v>
      </c>
      <c r="L29" s="1382">
        <f t="shared" si="11"/>
        <v>0</v>
      </c>
      <c r="M29" s="1383">
        <f t="shared" si="12"/>
        <v>0</v>
      </c>
      <c r="N29" s="734"/>
      <c r="O29" s="1386">
        <f t="shared" si="13"/>
        <v>0</v>
      </c>
      <c r="P29" s="1387">
        <f t="shared" si="0"/>
        <v>0</v>
      </c>
      <c r="Q29" s="1388"/>
      <c r="R29" s="1389">
        <f t="shared" si="14"/>
        <v>0</v>
      </c>
      <c r="S29" s="734"/>
      <c r="T29" s="1390">
        <v>731.85245999999995</v>
      </c>
      <c r="U29" s="735"/>
      <c r="V29" s="1384">
        <f t="shared" si="15"/>
        <v>731.85245999999995</v>
      </c>
      <c r="W29" s="1383">
        <f t="shared" si="16"/>
        <v>0</v>
      </c>
      <c r="X29" s="736"/>
      <c r="AD29" s="1391">
        <v>0</v>
      </c>
      <c r="AE29" s="1392">
        <v>0</v>
      </c>
      <c r="AF29" s="1393">
        <v>0</v>
      </c>
      <c r="AG29" s="1394">
        <v>0</v>
      </c>
    </row>
    <row r="30" spans="1:33" s="737" customFormat="1" ht="15" customHeight="1">
      <c r="A30" s="1378"/>
      <c r="B30" s="1379" t="s">
        <v>225</v>
      </c>
      <c r="C30" s="707"/>
      <c r="D30" s="1380" t="s">
        <v>332</v>
      </c>
      <c r="E30" s="1381">
        <v>6.4567500000000004</v>
      </c>
      <c r="F30" s="1382"/>
      <c r="G30" s="1382"/>
      <c r="H30" s="1383">
        <f t="shared" si="9"/>
        <v>6.4567500000000004</v>
      </c>
      <c r="I30" s="734"/>
      <c r="J30" s="1384">
        <f t="shared" si="10"/>
        <v>0</v>
      </c>
      <c r="K30" s="1385">
        <f>'BETON Qte'!K30</f>
        <v>0</v>
      </c>
      <c r="L30" s="1382">
        <f t="shared" si="11"/>
        <v>0</v>
      </c>
      <c r="M30" s="1383">
        <f t="shared" si="12"/>
        <v>0</v>
      </c>
      <c r="N30" s="734"/>
      <c r="O30" s="1386">
        <f t="shared" si="13"/>
        <v>0</v>
      </c>
      <c r="P30" s="1387">
        <f t="shared" si="0"/>
        <v>0</v>
      </c>
      <c r="Q30" s="1388"/>
      <c r="R30" s="1389">
        <f t="shared" si="14"/>
        <v>0</v>
      </c>
      <c r="S30" s="734"/>
      <c r="T30" s="1390">
        <v>6.4567500000000004</v>
      </c>
      <c r="U30" s="735"/>
      <c r="V30" s="1384">
        <f t="shared" si="15"/>
        <v>6.4567500000000004</v>
      </c>
      <c r="W30" s="1383">
        <f t="shared" si="16"/>
        <v>0</v>
      </c>
      <c r="X30" s="736"/>
      <c r="AD30" s="1391">
        <v>0</v>
      </c>
      <c r="AE30" s="1392">
        <v>0</v>
      </c>
      <c r="AF30" s="1393">
        <v>0</v>
      </c>
      <c r="AG30" s="1394">
        <v>0</v>
      </c>
    </row>
    <row r="31" spans="1:33" s="737" customFormat="1" ht="15" customHeight="1">
      <c r="A31" s="1378"/>
      <c r="B31" s="1379" t="s">
        <v>226</v>
      </c>
      <c r="C31" s="707"/>
      <c r="D31" s="1380" t="s">
        <v>332</v>
      </c>
      <c r="E31" s="1381">
        <v>3.2677499999999999</v>
      </c>
      <c r="F31" s="1382"/>
      <c r="G31" s="1382"/>
      <c r="H31" s="1383">
        <f t="shared" si="9"/>
        <v>3.2677499999999999</v>
      </c>
      <c r="I31" s="734"/>
      <c r="J31" s="1384">
        <f t="shared" si="10"/>
        <v>0</v>
      </c>
      <c r="K31" s="1385">
        <f>'BETON Qte'!K31</f>
        <v>0</v>
      </c>
      <c r="L31" s="1382">
        <f t="shared" si="11"/>
        <v>0</v>
      </c>
      <c r="M31" s="1383">
        <f t="shared" si="12"/>
        <v>0</v>
      </c>
      <c r="N31" s="734"/>
      <c r="O31" s="1386">
        <f t="shared" si="13"/>
        <v>0</v>
      </c>
      <c r="P31" s="1387">
        <f t="shared" si="0"/>
        <v>0</v>
      </c>
      <c r="Q31" s="1388"/>
      <c r="R31" s="1389">
        <f t="shared" si="14"/>
        <v>0</v>
      </c>
      <c r="S31" s="734"/>
      <c r="T31" s="1390">
        <v>3.2677499999999999</v>
      </c>
      <c r="U31" s="735"/>
      <c r="V31" s="1384">
        <f t="shared" si="15"/>
        <v>3.2677499999999999</v>
      </c>
      <c r="W31" s="1383">
        <f t="shared" si="16"/>
        <v>0</v>
      </c>
      <c r="X31" s="736"/>
      <c r="AD31" s="1391">
        <v>0</v>
      </c>
      <c r="AE31" s="1392">
        <v>0</v>
      </c>
      <c r="AF31" s="1393">
        <v>0</v>
      </c>
      <c r="AG31" s="1394">
        <v>0</v>
      </c>
    </row>
    <row r="32" spans="1:33" s="737" customFormat="1" ht="15" customHeight="1">
      <c r="A32" s="1378"/>
      <c r="B32" s="1379" t="s">
        <v>227</v>
      </c>
      <c r="C32" s="707"/>
      <c r="D32" s="1380" t="s">
        <v>332</v>
      </c>
      <c r="E32" s="1381">
        <v>2.4119999999999999</v>
      </c>
      <c r="F32" s="1382"/>
      <c r="G32" s="1382"/>
      <c r="H32" s="1383">
        <f t="shared" si="9"/>
        <v>2.4119999999999999</v>
      </c>
      <c r="I32" s="734"/>
      <c r="J32" s="1384">
        <f t="shared" si="10"/>
        <v>0</v>
      </c>
      <c r="K32" s="1385">
        <f>'BETON Qte'!K32</f>
        <v>0</v>
      </c>
      <c r="L32" s="1382">
        <f t="shared" si="11"/>
        <v>0</v>
      </c>
      <c r="M32" s="1383">
        <f t="shared" si="12"/>
        <v>0</v>
      </c>
      <c r="N32" s="734"/>
      <c r="O32" s="1386">
        <f t="shared" si="13"/>
        <v>0</v>
      </c>
      <c r="P32" s="1387">
        <f t="shared" si="0"/>
        <v>0</v>
      </c>
      <c r="Q32" s="1388"/>
      <c r="R32" s="1389">
        <f t="shared" si="14"/>
        <v>0</v>
      </c>
      <c r="S32" s="734"/>
      <c r="T32" s="1390">
        <v>2.4119999999999999</v>
      </c>
      <c r="U32" s="735"/>
      <c r="V32" s="1384">
        <f t="shared" si="15"/>
        <v>2.4119999999999999</v>
      </c>
      <c r="W32" s="1383">
        <f t="shared" si="16"/>
        <v>0</v>
      </c>
      <c r="X32" s="736"/>
      <c r="AD32" s="1391">
        <v>0</v>
      </c>
      <c r="AE32" s="1392">
        <v>0</v>
      </c>
      <c r="AF32" s="1393">
        <v>0</v>
      </c>
      <c r="AG32" s="1394">
        <v>0</v>
      </c>
    </row>
    <row r="33" spans="1:33" s="737" customFormat="1" ht="15" customHeight="1">
      <c r="A33" s="1378"/>
      <c r="B33" s="1379" t="s">
        <v>228</v>
      </c>
      <c r="C33" s="707"/>
      <c r="D33" s="1380" t="s">
        <v>332</v>
      </c>
      <c r="E33" s="1381">
        <v>0</v>
      </c>
      <c r="F33" s="1382"/>
      <c r="G33" s="1382"/>
      <c r="H33" s="1383">
        <f t="shared" si="9"/>
        <v>0</v>
      </c>
      <c r="I33" s="734"/>
      <c r="J33" s="1384">
        <f t="shared" si="10"/>
        <v>0</v>
      </c>
      <c r="K33" s="1385">
        <f>'BETON Qte'!K33</f>
        <v>0</v>
      </c>
      <c r="L33" s="1382">
        <f t="shared" si="11"/>
        <v>0</v>
      </c>
      <c r="M33" s="1383">
        <f t="shared" si="12"/>
        <v>0</v>
      </c>
      <c r="N33" s="734"/>
      <c r="O33" s="1386">
        <f t="shared" si="13"/>
        <v>0</v>
      </c>
      <c r="P33" s="1387" t="str">
        <f t="shared" si="0"/>
        <v/>
      </c>
      <c r="Q33" s="1388"/>
      <c r="R33" s="1389">
        <f t="shared" si="14"/>
        <v>0</v>
      </c>
      <c r="S33" s="734"/>
      <c r="T33" s="1390">
        <v>0</v>
      </c>
      <c r="U33" s="735"/>
      <c r="V33" s="1384">
        <f t="shared" si="15"/>
        <v>0</v>
      </c>
      <c r="W33" s="1383">
        <f t="shared" si="16"/>
        <v>0</v>
      </c>
      <c r="X33" s="736"/>
      <c r="AD33" s="1391">
        <v>0</v>
      </c>
      <c r="AE33" s="1392">
        <v>0</v>
      </c>
      <c r="AF33" s="1393">
        <v>0</v>
      </c>
      <c r="AG33" s="1394">
        <v>0</v>
      </c>
    </row>
    <row r="34" spans="1:33" s="737" customFormat="1" ht="15" customHeight="1" thickBot="1">
      <c r="A34" s="1378"/>
      <c r="B34" s="1379" t="s">
        <v>229</v>
      </c>
      <c r="C34" s="707"/>
      <c r="D34" s="1380" t="s">
        <v>332</v>
      </c>
      <c r="E34" s="1381">
        <v>18.795000000000002</v>
      </c>
      <c r="F34" s="1382"/>
      <c r="G34" s="1382"/>
      <c r="H34" s="1383">
        <f t="shared" si="9"/>
        <v>18.795000000000002</v>
      </c>
      <c r="I34" s="734"/>
      <c r="J34" s="1396">
        <f t="shared" si="10"/>
        <v>0</v>
      </c>
      <c r="K34" s="1397">
        <f>'BETON Qte'!K34</f>
        <v>0</v>
      </c>
      <c r="L34" s="1398">
        <f t="shared" si="11"/>
        <v>0</v>
      </c>
      <c r="M34" s="1399">
        <f t="shared" si="12"/>
        <v>0</v>
      </c>
      <c r="N34" s="734"/>
      <c r="O34" s="1400">
        <f t="shared" si="13"/>
        <v>0</v>
      </c>
      <c r="P34" s="1401">
        <f t="shared" si="0"/>
        <v>0</v>
      </c>
      <c r="Q34" s="1402"/>
      <c r="R34" s="1403">
        <f t="shared" si="14"/>
        <v>0</v>
      </c>
      <c r="S34" s="734"/>
      <c r="T34" s="1514">
        <v>18.795000000000002</v>
      </c>
      <c r="U34" s="735"/>
      <c r="V34" s="1396">
        <f t="shared" si="15"/>
        <v>18.795000000000002</v>
      </c>
      <c r="W34" s="1399">
        <f t="shared" si="16"/>
        <v>0</v>
      </c>
      <c r="X34" s="736"/>
      <c r="AD34" s="1404">
        <v>0</v>
      </c>
      <c r="AE34" s="1405">
        <v>0</v>
      </c>
      <c r="AF34" s="1406">
        <v>0</v>
      </c>
      <c r="AG34" s="1407">
        <v>0</v>
      </c>
    </row>
    <row r="35" spans="1:33" s="733" customFormat="1" ht="19.5" customHeight="1" thickBot="1">
      <c r="A35" s="1419" t="s">
        <v>230</v>
      </c>
      <c r="B35" s="1420" t="s">
        <v>231</v>
      </c>
      <c r="C35" s="731"/>
      <c r="D35" s="1421" t="s">
        <v>332</v>
      </c>
      <c r="E35" s="1422">
        <f>SUM(E36:E37)</f>
        <v>5.5101599999999999</v>
      </c>
      <c r="F35" s="1364">
        <f>SUM(F36:F37)</f>
        <v>0</v>
      </c>
      <c r="G35" s="1364">
        <f>SUM(G36:G37)</f>
        <v>0</v>
      </c>
      <c r="H35" s="1409">
        <f>SUM(H36:H37)</f>
        <v>5.5101599999999999</v>
      </c>
      <c r="I35" s="732"/>
      <c r="J35" s="1408">
        <f>SUM(J36:J37)</f>
        <v>0</v>
      </c>
      <c r="K35" s="1423">
        <f>IFERROR(J35/H35,"")</f>
        <v>0</v>
      </c>
      <c r="L35" s="1364">
        <f>SUM(L36:L37)</f>
        <v>0</v>
      </c>
      <c r="M35" s="1409">
        <f>SUM(M36:M37)</f>
        <v>0</v>
      </c>
      <c r="N35" s="732"/>
      <c r="O35" s="1515">
        <f>SUM(O36:O37)</f>
        <v>0</v>
      </c>
      <c r="P35" s="1516">
        <f t="shared" si="0"/>
        <v>0</v>
      </c>
      <c r="Q35" s="1371">
        <f>SUM(Q36:Q37)</f>
        <v>0</v>
      </c>
      <c r="R35" s="1517">
        <f>SUM(R36:R37)</f>
        <v>0</v>
      </c>
      <c r="S35" s="732"/>
      <c r="T35" s="1518">
        <f>SUM(T36:T37)</f>
        <v>5.5101599999999999</v>
      </c>
      <c r="U35" s="747"/>
      <c r="V35" s="1408">
        <f>SUM(V36:V37)</f>
        <v>5.5101599999999999</v>
      </c>
      <c r="W35" s="1409">
        <f>SUM(W36:W37)</f>
        <v>0</v>
      </c>
      <c r="X35" s="729"/>
      <c r="AD35" s="1415">
        <v>0</v>
      </c>
      <c r="AE35" s="1416">
        <v>0</v>
      </c>
      <c r="AF35" s="1519">
        <v>0</v>
      </c>
      <c r="AG35" s="1418">
        <v>0</v>
      </c>
    </row>
    <row r="36" spans="1:33" s="737" customFormat="1" ht="15" customHeight="1">
      <c r="A36" s="1378"/>
      <c r="B36" s="1379" t="s">
        <v>232</v>
      </c>
      <c r="C36" s="707"/>
      <c r="D36" s="1380" t="s">
        <v>332</v>
      </c>
      <c r="E36" s="1381">
        <v>4.6372099999999996</v>
      </c>
      <c r="F36" s="1382"/>
      <c r="G36" s="1382"/>
      <c r="H36" s="1383">
        <f t="shared" ref="H36:H37" si="17">SUM(E36:G36)</f>
        <v>4.6372099999999996</v>
      </c>
      <c r="I36" s="734"/>
      <c r="J36" s="1384">
        <f t="shared" ref="J36:J37" si="18">H36*K36/100</f>
        <v>0</v>
      </c>
      <c r="K36" s="1385">
        <f>'BETON Qte'!K36</f>
        <v>0</v>
      </c>
      <c r="L36" s="1382">
        <f t="shared" ref="L36:L37" si="19">Q36+AF36</f>
        <v>0</v>
      </c>
      <c r="M36" s="1383">
        <f t="shared" ref="M36:M37" si="20">J36-L36</f>
        <v>0</v>
      </c>
      <c r="N36" s="734"/>
      <c r="O36" s="1386">
        <f t="shared" ref="O36:O37" si="21">J36-AD36</f>
        <v>0</v>
      </c>
      <c r="P36" s="1387">
        <f t="shared" si="0"/>
        <v>0</v>
      </c>
      <c r="Q36" s="1388"/>
      <c r="R36" s="1389">
        <f t="shared" ref="R36:R37" si="22">O36-Q36</f>
        <v>0</v>
      </c>
      <c r="S36" s="734"/>
      <c r="T36" s="1390">
        <v>4.6372099999999996</v>
      </c>
      <c r="U36" s="735"/>
      <c r="V36" s="1384">
        <f t="shared" ref="V36:V37" si="23">L36+T36</f>
        <v>4.6372099999999996</v>
      </c>
      <c r="W36" s="1383">
        <f t="shared" ref="W36:W37" si="24">H36-V36</f>
        <v>0</v>
      </c>
      <c r="X36" s="736"/>
      <c r="AD36" s="1391">
        <v>0</v>
      </c>
      <c r="AE36" s="1392">
        <v>0</v>
      </c>
      <c r="AF36" s="1393">
        <v>0</v>
      </c>
      <c r="AG36" s="1394">
        <v>0</v>
      </c>
    </row>
    <row r="37" spans="1:33" s="737" customFormat="1" ht="15" customHeight="1" thickBot="1">
      <c r="A37" s="1378"/>
      <c r="B37" s="1379" t="s">
        <v>233</v>
      </c>
      <c r="C37" s="707"/>
      <c r="D37" s="1380" t="s">
        <v>332</v>
      </c>
      <c r="E37" s="1381">
        <v>0.87295</v>
      </c>
      <c r="F37" s="1382"/>
      <c r="G37" s="1382"/>
      <c r="H37" s="1383">
        <f t="shared" si="17"/>
        <v>0.87295</v>
      </c>
      <c r="I37" s="734"/>
      <c r="J37" s="1396">
        <f t="shared" si="18"/>
        <v>0</v>
      </c>
      <c r="K37" s="1397">
        <f>'BETON Qte'!K37</f>
        <v>0</v>
      </c>
      <c r="L37" s="1398">
        <f t="shared" si="19"/>
        <v>0</v>
      </c>
      <c r="M37" s="1399">
        <f t="shared" si="20"/>
        <v>0</v>
      </c>
      <c r="N37" s="734"/>
      <c r="O37" s="1400">
        <f t="shared" si="21"/>
        <v>0</v>
      </c>
      <c r="P37" s="1401">
        <f t="shared" si="0"/>
        <v>0</v>
      </c>
      <c r="Q37" s="1402"/>
      <c r="R37" s="1403">
        <f t="shared" si="22"/>
        <v>0</v>
      </c>
      <c r="S37" s="734"/>
      <c r="T37" s="1514">
        <v>0.87295</v>
      </c>
      <c r="U37" s="735"/>
      <c r="V37" s="1396">
        <f t="shared" si="23"/>
        <v>0.87295</v>
      </c>
      <c r="W37" s="1399">
        <f t="shared" si="24"/>
        <v>0</v>
      </c>
      <c r="X37" s="736"/>
      <c r="AD37" s="1404">
        <v>0</v>
      </c>
      <c r="AE37" s="1405">
        <v>0</v>
      </c>
      <c r="AF37" s="1406">
        <v>0</v>
      </c>
      <c r="AG37" s="1407">
        <v>0</v>
      </c>
    </row>
    <row r="38" spans="1:33" s="733" customFormat="1" ht="19.5" customHeight="1" thickBot="1">
      <c r="A38" s="1419" t="s">
        <v>234</v>
      </c>
      <c r="B38" s="1420" t="s">
        <v>235</v>
      </c>
      <c r="C38" s="731"/>
      <c r="D38" s="1421" t="s">
        <v>332</v>
      </c>
      <c r="E38" s="1422">
        <f>SUM(E39:E40)</f>
        <v>0</v>
      </c>
      <c r="F38" s="1364">
        <f>SUM(F39:F40)</f>
        <v>0</v>
      </c>
      <c r="G38" s="1364">
        <f>SUM(G39:G40)</f>
        <v>0</v>
      </c>
      <c r="H38" s="1409">
        <f>SUM(H39:H40)</f>
        <v>0</v>
      </c>
      <c r="I38" s="732"/>
      <c r="J38" s="1408">
        <f>SUM(J39:J40)</f>
        <v>0</v>
      </c>
      <c r="K38" s="1423" t="str">
        <f>IFERROR(J38/H38,"")</f>
        <v/>
      </c>
      <c r="L38" s="1364">
        <f>SUM(L39:L40)</f>
        <v>0</v>
      </c>
      <c r="M38" s="1409">
        <f>SUM(M39:M40)</f>
        <v>0</v>
      </c>
      <c r="N38" s="732"/>
      <c r="O38" s="1515">
        <f>SUM(O39:O40)</f>
        <v>0</v>
      </c>
      <c r="P38" s="1516" t="str">
        <f t="shared" si="0"/>
        <v/>
      </c>
      <c r="Q38" s="1371">
        <f>SUM(Q39:Q40)</f>
        <v>0</v>
      </c>
      <c r="R38" s="1517">
        <f>SUM(R39:R40)</f>
        <v>0</v>
      </c>
      <c r="S38" s="732"/>
      <c r="T38" s="1518">
        <f>SUM(T39:T40)</f>
        <v>0</v>
      </c>
      <c r="U38" s="732"/>
      <c r="V38" s="1408">
        <f>SUM(V39:V40)</f>
        <v>0</v>
      </c>
      <c r="W38" s="1409">
        <f>SUM(W39:W40)</f>
        <v>0</v>
      </c>
      <c r="X38" s="729"/>
      <c r="AD38" s="1415">
        <v>0</v>
      </c>
      <c r="AE38" s="1416" t="s">
        <v>67</v>
      </c>
      <c r="AF38" s="1417">
        <v>0</v>
      </c>
      <c r="AG38" s="1418">
        <v>0</v>
      </c>
    </row>
    <row r="39" spans="1:33" s="737" customFormat="1" ht="15" customHeight="1">
      <c r="A39" s="1378"/>
      <c r="B39" s="1379" t="s">
        <v>236</v>
      </c>
      <c r="C39" s="707"/>
      <c r="D39" s="1380" t="s">
        <v>332</v>
      </c>
      <c r="E39" s="1381">
        <v>0</v>
      </c>
      <c r="F39" s="1382"/>
      <c r="G39" s="1382"/>
      <c r="H39" s="1383">
        <f>SUM(E39:G39)</f>
        <v>0</v>
      </c>
      <c r="I39" s="734"/>
      <c r="J39" s="1384">
        <f>H39*K39/100</f>
        <v>0</v>
      </c>
      <c r="K39" s="1385">
        <f>'BETON Qte'!K39</f>
        <v>0</v>
      </c>
      <c r="L39" s="1382">
        <f>Q39+AF39</f>
        <v>0</v>
      </c>
      <c r="M39" s="1383">
        <f>J39-L39</f>
        <v>0</v>
      </c>
      <c r="N39" s="734"/>
      <c r="O39" s="1386">
        <f>J39-AD39</f>
        <v>0</v>
      </c>
      <c r="P39" s="1387" t="str">
        <f t="shared" si="0"/>
        <v/>
      </c>
      <c r="Q39" s="1388"/>
      <c r="R39" s="1389">
        <f>O39-Q39</f>
        <v>0</v>
      </c>
      <c r="S39" s="734"/>
      <c r="T39" s="1390">
        <v>0</v>
      </c>
      <c r="U39" s="735"/>
      <c r="V39" s="1384">
        <f t="shared" ref="V39:V40" si="25">L39+T39</f>
        <v>0</v>
      </c>
      <c r="W39" s="1383">
        <f t="shared" ref="W39:W40" si="26">H39-V39</f>
        <v>0</v>
      </c>
      <c r="X39" s="736"/>
      <c r="AD39" s="1391">
        <v>0</v>
      </c>
      <c r="AE39" s="1392">
        <v>0</v>
      </c>
      <c r="AF39" s="1393">
        <v>0</v>
      </c>
      <c r="AG39" s="1394">
        <v>0</v>
      </c>
    </row>
    <row r="40" spans="1:33" s="737" customFormat="1" ht="15" customHeight="1" thickBot="1">
      <c r="A40" s="1378"/>
      <c r="B40" s="1379" t="s">
        <v>237</v>
      </c>
      <c r="C40" s="707"/>
      <c r="D40" s="1380" t="s">
        <v>332</v>
      </c>
      <c r="E40" s="1381">
        <v>0</v>
      </c>
      <c r="F40" s="1382"/>
      <c r="G40" s="1382"/>
      <c r="H40" s="1383">
        <f>SUM(E40:G40)</f>
        <v>0</v>
      </c>
      <c r="I40" s="734"/>
      <c r="J40" s="1396">
        <f>H40*K40/100</f>
        <v>0</v>
      </c>
      <c r="K40" s="1397">
        <f>'BETON Qte'!K40</f>
        <v>0</v>
      </c>
      <c r="L40" s="1398">
        <f>Q40+AF40</f>
        <v>0</v>
      </c>
      <c r="M40" s="1399">
        <f>J40-L40</f>
        <v>0</v>
      </c>
      <c r="N40" s="734"/>
      <c r="O40" s="1400">
        <f>J40-AD40</f>
        <v>0</v>
      </c>
      <c r="P40" s="1401" t="str">
        <f t="shared" si="0"/>
        <v/>
      </c>
      <c r="Q40" s="1402"/>
      <c r="R40" s="1403">
        <f>O40-Q40</f>
        <v>0</v>
      </c>
      <c r="S40" s="734"/>
      <c r="T40" s="1514">
        <v>0</v>
      </c>
      <c r="U40" s="735"/>
      <c r="V40" s="1396">
        <f t="shared" si="25"/>
        <v>0</v>
      </c>
      <c r="W40" s="1399">
        <f t="shared" si="26"/>
        <v>0</v>
      </c>
      <c r="X40" s="736"/>
      <c r="AD40" s="1404">
        <v>0</v>
      </c>
      <c r="AE40" s="1405">
        <v>0</v>
      </c>
      <c r="AF40" s="1406">
        <v>0</v>
      </c>
      <c r="AG40" s="1407">
        <v>0</v>
      </c>
    </row>
    <row r="41" spans="1:33" s="733" customFormat="1" ht="19.5" customHeight="1" thickBot="1">
      <c r="A41" s="1419" t="s">
        <v>238</v>
      </c>
      <c r="B41" s="1420" t="s">
        <v>239</v>
      </c>
      <c r="C41" s="731"/>
      <c r="D41" s="1421" t="s">
        <v>332</v>
      </c>
      <c r="E41" s="1422">
        <f>SUM(E42:E56)</f>
        <v>10.698499999999999</v>
      </c>
      <c r="F41" s="1364">
        <f>SUM(F42:F56)</f>
        <v>0</v>
      </c>
      <c r="G41" s="1364">
        <f>SUM(G42:G56)</f>
        <v>0</v>
      </c>
      <c r="H41" s="1409">
        <f>SUM(H42:H56)</f>
        <v>10.698499999999999</v>
      </c>
      <c r="I41" s="732"/>
      <c r="J41" s="1408">
        <f>SUM(J42:J56)</f>
        <v>0</v>
      </c>
      <c r="K41" s="1423">
        <f>IFERROR(J41/H41,"")</f>
        <v>0</v>
      </c>
      <c r="L41" s="1364">
        <f>SUM(L42:L56)</f>
        <v>0</v>
      </c>
      <c r="M41" s="1409">
        <f>SUM(M42:M56)</f>
        <v>0</v>
      </c>
      <c r="N41" s="732"/>
      <c r="O41" s="1515">
        <f>SUM(O42:O56)</f>
        <v>0</v>
      </c>
      <c r="P41" s="1516">
        <f t="shared" si="0"/>
        <v>0</v>
      </c>
      <c r="Q41" s="1371">
        <f>SUM(Q42:Q56)</f>
        <v>0</v>
      </c>
      <c r="R41" s="1517">
        <f>SUM(R42:R56)</f>
        <v>0</v>
      </c>
      <c r="S41" s="732"/>
      <c r="T41" s="1518">
        <f>SUM(T42:T56)</f>
        <v>10.698499999999999</v>
      </c>
      <c r="U41" s="732"/>
      <c r="V41" s="1408">
        <f>SUM(V42:V56)</f>
        <v>10.698499999999999</v>
      </c>
      <c r="W41" s="1409">
        <f>SUM(W42:W56)</f>
        <v>0</v>
      </c>
      <c r="X41" s="729"/>
      <c r="AD41" s="1415">
        <v>0</v>
      </c>
      <c r="AE41" s="1416">
        <v>0</v>
      </c>
      <c r="AF41" s="1417">
        <v>0</v>
      </c>
      <c r="AG41" s="1418">
        <v>0</v>
      </c>
    </row>
    <row r="42" spans="1:33" s="737" customFormat="1" ht="15" customHeight="1">
      <c r="A42" s="1378"/>
      <c r="B42" s="1379" t="s">
        <v>240</v>
      </c>
      <c r="C42" s="707"/>
      <c r="D42" s="1380" t="s">
        <v>332</v>
      </c>
      <c r="E42" s="1381">
        <v>0.82650000000000001</v>
      </c>
      <c r="F42" s="1382"/>
      <c r="G42" s="1382"/>
      <c r="H42" s="1383">
        <f t="shared" ref="H42:H56" si="27">SUM(E42:G42)</f>
        <v>0.82650000000000001</v>
      </c>
      <c r="I42" s="734"/>
      <c r="J42" s="1384">
        <f t="shared" ref="J42:J56" si="28">H42*K42/100</f>
        <v>0</v>
      </c>
      <c r="K42" s="1385">
        <f>'BETON Qte'!K42</f>
        <v>0</v>
      </c>
      <c r="L42" s="1382">
        <f t="shared" ref="L42:L56" si="29">Q42+AF42</f>
        <v>0</v>
      </c>
      <c r="M42" s="1383">
        <f t="shared" ref="M42:M56" si="30">J42-L42</f>
        <v>0</v>
      </c>
      <c r="N42" s="734"/>
      <c r="O42" s="1386">
        <f t="shared" ref="O42:O56" si="31">J42-AD42</f>
        <v>0</v>
      </c>
      <c r="P42" s="1387">
        <f t="shared" si="0"/>
        <v>0</v>
      </c>
      <c r="Q42" s="1388"/>
      <c r="R42" s="1389">
        <f t="shared" ref="R42:R56" si="32">O42-Q42</f>
        <v>0</v>
      </c>
      <c r="S42" s="734"/>
      <c r="T42" s="1390">
        <v>0.82650000000000001</v>
      </c>
      <c r="U42" s="735"/>
      <c r="V42" s="1384">
        <f t="shared" ref="V42:V56" si="33">L42+T42</f>
        <v>0.82650000000000001</v>
      </c>
      <c r="W42" s="1383">
        <f t="shared" ref="W42:W56" si="34">H42-V42</f>
        <v>0</v>
      </c>
      <c r="X42" s="736"/>
      <c r="AD42" s="1391">
        <v>0</v>
      </c>
      <c r="AE42" s="1392">
        <v>0</v>
      </c>
      <c r="AF42" s="1393">
        <v>0</v>
      </c>
      <c r="AG42" s="1394">
        <v>0</v>
      </c>
    </row>
    <row r="43" spans="1:33" s="737" customFormat="1" ht="15" customHeight="1">
      <c r="A43" s="1378"/>
      <c r="B43" s="1379" t="s">
        <v>241</v>
      </c>
      <c r="C43" s="707"/>
      <c r="D43" s="1380" t="s">
        <v>332</v>
      </c>
      <c r="E43" s="1381">
        <v>0</v>
      </c>
      <c r="F43" s="1382"/>
      <c r="G43" s="1382"/>
      <c r="H43" s="1383">
        <f t="shared" si="27"/>
        <v>0</v>
      </c>
      <c r="I43" s="734"/>
      <c r="J43" s="1384">
        <f t="shared" si="28"/>
        <v>0</v>
      </c>
      <c r="K43" s="1385">
        <f>'BETON Qte'!K43</f>
        <v>0</v>
      </c>
      <c r="L43" s="1382">
        <f t="shared" si="29"/>
        <v>0</v>
      </c>
      <c r="M43" s="1383">
        <f t="shared" si="30"/>
        <v>0</v>
      </c>
      <c r="N43" s="734"/>
      <c r="O43" s="1386">
        <f t="shared" si="31"/>
        <v>0</v>
      </c>
      <c r="P43" s="1387" t="str">
        <f t="shared" si="0"/>
        <v/>
      </c>
      <c r="Q43" s="1388"/>
      <c r="R43" s="1389">
        <f t="shared" si="32"/>
        <v>0</v>
      </c>
      <c r="S43" s="734"/>
      <c r="T43" s="1390">
        <v>0</v>
      </c>
      <c r="U43" s="735"/>
      <c r="V43" s="1384">
        <f t="shared" si="33"/>
        <v>0</v>
      </c>
      <c r="W43" s="1383">
        <f t="shared" si="34"/>
        <v>0</v>
      </c>
      <c r="X43" s="736"/>
      <c r="AD43" s="1391">
        <v>0</v>
      </c>
      <c r="AE43" s="1392">
        <v>0</v>
      </c>
      <c r="AF43" s="1393">
        <v>0</v>
      </c>
      <c r="AG43" s="1394">
        <v>0</v>
      </c>
    </row>
    <row r="44" spans="1:33" s="737" customFormat="1" ht="15" customHeight="1">
      <c r="A44" s="1378"/>
      <c r="B44" s="1379" t="s">
        <v>242</v>
      </c>
      <c r="C44" s="707"/>
      <c r="D44" s="1380" t="s">
        <v>332</v>
      </c>
      <c r="E44" s="1381">
        <v>0</v>
      </c>
      <c r="F44" s="1382"/>
      <c r="G44" s="1382"/>
      <c r="H44" s="1383">
        <f t="shared" si="27"/>
        <v>0</v>
      </c>
      <c r="I44" s="734"/>
      <c r="J44" s="1384">
        <f t="shared" si="28"/>
        <v>0</v>
      </c>
      <c r="K44" s="1385">
        <f>'BETON Qte'!K44</f>
        <v>0</v>
      </c>
      <c r="L44" s="1382">
        <f t="shared" si="29"/>
        <v>0</v>
      </c>
      <c r="M44" s="1383">
        <f t="shared" si="30"/>
        <v>0</v>
      </c>
      <c r="N44" s="734"/>
      <c r="O44" s="1386">
        <f t="shared" si="31"/>
        <v>0</v>
      </c>
      <c r="P44" s="1387" t="str">
        <f t="shared" si="0"/>
        <v/>
      </c>
      <c r="Q44" s="1388"/>
      <c r="R44" s="1389">
        <f t="shared" si="32"/>
        <v>0</v>
      </c>
      <c r="S44" s="734"/>
      <c r="T44" s="1390">
        <v>0</v>
      </c>
      <c r="U44" s="735"/>
      <c r="V44" s="1384">
        <f t="shared" si="33"/>
        <v>0</v>
      </c>
      <c r="W44" s="1383">
        <f t="shared" si="34"/>
        <v>0</v>
      </c>
      <c r="X44" s="736"/>
      <c r="AD44" s="1391">
        <v>0</v>
      </c>
      <c r="AE44" s="1392">
        <v>0</v>
      </c>
      <c r="AF44" s="1393">
        <v>0</v>
      </c>
      <c r="AG44" s="1394">
        <v>0</v>
      </c>
    </row>
    <row r="45" spans="1:33" s="737" customFormat="1" ht="15" customHeight="1">
      <c r="A45" s="1378"/>
      <c r="B45" s="1379" t="s">
        <v>243</v>
      </c>
      <c r="C45" s="707"/>
      <c r="D45" s="1380" t="s">
        <v>332</v>
      </c>
      <c r="E45" s="1381">
        <v>0</v>
      </c>
      <c r="F45" s="1382"/>
      <c r="G45" s="1382"/>
      <c r="H45" s="1383">
        <f t="shared" si="27"/>
        <v>0</v>
      </c>
      <c r="I45" s="734"/>
      <c r="J45" s="1384">
        <f t="shared" si="28"/>
        <v>0</v>
      </c>
      <c r="K45" s="1385">
        <f>'BETON Qte'!K45</f>
        <v>0</v>
      </c>
      <c r="L45" s="1382">
        <f t="shared" si="29"/>
        <v>0</v>
      </c>
      <c r="M45" s="1383">
        <f t="shared" si="30"/>
        <v>0</v>
      </c>
      <c r="N45" s="734"/>
      <c r="O45" s="1386">
        <f t="shared" si="31"/>
        <v>0</v>
      </c>
      <c r="P45" s="1387" t="str">
        <f t="shared" si="0"/>
        <v/>
      </c>
      <c r="Q45" s="1388"/>
      <c r="R45" s="1389">
        <f t="shared" si="32"/>
        <v>0</v>
      </c>
      <c r="S45" s="734"/>
      <c r="T45" s="1390">
        <v>0</v>
      </c>
      <c r="U45" s="735"/>
      <c r="V45" s="1384">
        <f t="shared" si="33"/>
        <v>0</v>
      </c>
      <c r="W45" s="1383">
        <f t="shared" si="34"/>
        <v>0</v>
      </c>
      <c r="X45" s="736"/>
      <c r="AD45" s="1391">
        <v>0</v>
      </c>
      <c r="AE45" s="1392">
        <v>0</v>
      </c>
      <c r="AF45" s="1393">
        <v>0</v>
      </c>
      <c r="AG45" s="1394">
        <v>0</v>
      </c>
    </row>
    <row r="46" spans="1:33" s="737" customFormat="1" ht="15" customHeight="1">
      <c r="A46" s="1378"/>
      <c r="B46" s="1379" t="s">
        <v>244</v>
      </c>
      <c r="C46" s="707"/>
      <c r="D46" s="1380" t="s">
        <v>332</v>
      </c>
      <c r="E46" s="1381">
        <v>0</v>
      </c>
      <c r="F46" s="1382"/>
      <c r="G46" s="1382"/>
      <c r="H46" s="1383">
        <f t="shared" si="27"/>
        <v>0</v>
      </c>
      <c r="I46" s="734"/>
      <c r="J46" s="1384">
        <f t="shared" si="28"/>
        <v>0</v>
      </c>
      <c r="K46" s="1385">
        <f>'BETON Qte'!K46</f>
        <v>0</v>
      </c>
      <c r="L46" s="1382">
        <f t="shared" si="29"/>
        <v>0</v>
      </c>
      <c r="M46" s="1383">
        <f t="shared" si="30"/>
        <v>0</v>
      </c>
      <c r="N46" s="734"/>
      <c r="O46" s="1386">
        <f t="shared" si="31"/>
        <v>0</v>
      </c>
      <c r="P46" s="1387" t="str">
        <f t="shared" si="0"/>
        <v/>
      </c>
      <c r="Q46" s="1388"/>
      <c r="R46" s="1389">
        <f t="shared" si="32"/>
        <v>0</v>
      </c>
      <c r="S46" s="734"/>
      <c r="T46" s="1390">
        <v>0</v>
      </c>
      <c r="U46" s="735"/>
      <c r="V46" s="1384">
        <f t="shared" si="33"/>
        <v>0</v>
      </c>
      <c r="W46" s="1383">
        <f t="shared" si="34"/>
        <v>0</v>
      </c>
      <c r="X46" s="736"/>
      <c r="AD46" s="1391">
        <v>0</v>
      </c>
      <c r="AE46" s="1392">
        <v>0</v>
      </c>
      <c r="AF46" s="1393">
        <v>0</v>
      </c>
      <c r="AG46" s="1394">
        <v>0</v>
      </c>
    </row>
    <row r="47" spans="1:33" s="737" customFormat="1" ht="15" customHeight="1">
      <c r="A47" s="1378"/>
      <c r="B47" s="1379" t="s">
        <v>245</v>
      </c>
      <c r="C47" s="707"/>
      <c r="D47" s="1380" t="s">
        <v>332</v>
      </c>
      <c r="E47" s="1381">
        <v>0.12</v>
      </c>
      <c r="F47" s="1382"/>
      <c r="G47" s="1382"/>
      <c r="H47" s="1383">
        <f t="shared" si="27"/>
        <v>0.12</v>
      </c>
      <c r="I47" s="734"/>
      <c r="J47" s="1384">
        <f t="shared" si="28"/>
        <v>0</v>
      </c>
      <c r="K47" s="1385">
        <f>'BETON Qte'!K47</f>
        <v>0</v>
      </c>
      <c r="L47" s="1382">
        <f t="shared" si="29"/>
        <v>0</v>
      </c>
      <c r="M47" s="1383">
        <f t="shared" si="30"/>
        <v>0</v>
      </c>
      <c r="N47" s="734"/>
      <c r="O47" s="1386">
        <f t="shared" si="31"/>
        <v>0</v>
      </c>
      <c r="P47" s="1387">
        <f t="shared" si="0"/>
        <v>0</v>
      </c>
      <c r="Q47" s="1388"/>
      <c r="R47" s="1389">
        <f t="shared" si="32"/>
        <v>0</v>
      </c>
      <c r="S47" s="734"/>
      <c r="T47" s="1390">
        <v>0.12</v>
      </c>
      <c r="U47" s="735"/>
      <c r="V47" s="1384">
        <f t="shared" si="33"/>
        <v>0.12</v>
      </c>
      <c r="W47" s="1383">
        <f t="shared" si="34"/>
        <v>0</v>
      </c>
      <c r="X47" s="736"/>
      <c r="AD47" s="1391">
        <v>0</v>
      </c>
      <c r="AE47" s="1392">
        <v>0</v>
      </c>
      <c r="AF47" s="1393">
        <v>0</v>
      </c>
      <c r="AG47" s="1394">
        <v>0</v>
      </c>
    </row>
    <row r="48" spans="1:33" s="737" customFormat="1" ht="15" customHeight="1">
      <c r="A48" s="1378"/>
      <c r="B48" s="1379" t="s">
        <v>246</v>
      </c>
      <c r="C48" s="707"/>
      <c r="D48" s="1380" t="s">
        <v>332</v>
      </c>
      <c r="E48" s="1381">
        <v>3.15</v>
      </c>
      <c r="F48" s="1382"/>
      <c r="G48" s="1382"/>
      <c r="H48" s="1383">
        <f t="shared" si="27"/>
        <v>3.15</v>
      </c>
      <c r="I48" s="734"/>
      <c r="J48" s="1384">
        <f t="shared" si="28"/>
        <v>0</v>
      </c>
      <c r="K48" s="1385">
        <f>'BETON Qte'!K48</f>
        <v>0</v>
      </c>
      <c r="L48" s="1382">
        <f t="shared" si="29"/>
        <v>0</v>
      </c>
      <c r="M48" s="1383">
        <f t="shared" si="30"/>
        <v>0</v>
      </c>
      <c r="N48" s="734"/>
      <c r="O48" s="1386">
        <f t="shared" si="31"/>
        <v>0</v>
      </c>
      <c r="P48" s="1387">
        <f t="shared" si="0"/>
        <v>0</v>
      </c>
      <c r="Q48" s="1388"/>
      <c r="R48" s="1389">
        <f t="shared" si="32"/>
        <v>0</v>
      </c>
      <c r="S48" s="734"/>
      <c r="T48" s="1390">
        <v>3.15</v>
      </c>
      <c r="U48" s="735"/>
      <c r="V48" s="1384">
        <f t="shared" si="33"/>
        <v>3.15</v>
      </c>
      <c r="W48" s="1383">
        <f t="shared" si="34"/>
        <v>0</v>
      </c>
      <c r="X48" s="736"/>
      <c r="AD48" s="1391">
        <v>0</v>
      </c>
      <c r="AE48" s="1392">
        <v>0</v>
      </c>
      <c r="AF48" s="1393">
        <v>0</v>
      </c>
      <c r="AG48" s="1394">
        <v>0</v>
      </c>
    </row>
    <row r="49" spans="1:33" s="737" customFormat="1" ht="15" customHeight="1">
      <c r="A49" s="1378"/>
      <c r="B49" s="1379" t="s">
        <v>247</v>
      </c>
      <c r="C49" s="707"/>
      <c r="D49" s="1380" t="s">
        <v>332</v>
      </c>
      <c r="E49" s="1381">
        <v>0.82499999999999996</v>
      </c>
      <c r="F49" s="1382"/>
      <c r="G49" s="1382"/>
      <c r="H49" s="1383">
        <f t="shared" si="27"/>
        <v>0.82499999999999996</v>
      </c>
      <c r="I49" s="734"/>
      <c r="J49" s="1384">
        <f t="shared" si="28"/>
        <v>0</v>
      </c>
      <c r="K49" s="1385">
        <f>'BETON Qte'!K49</f>
        <v>0</v>
      </c>
      <c r="L49" s="1382">
        <f t="shared" si="29"/>
        <v>0</v>
      </c>
      <c r="M49" s="1383">
        <f t="shared" si="30"/>
        <v>0</v>
      </c>
      <c r="N49" s="734"/>
      <c r="O49" s="1386">
        <f t="shared" si="31"/>
        <v>0</v>
      </c>
      <c r="P49" s="1387">
        <f t="shared" si="0"/>
        <v>0</v>
      </c>
      <c r="Q49" s="1388"/>
      <c r="R49" s="1389">
        <f t="shared" si="32"/>
        <v>0</v>
      </c>
      <c r="S49" s="734"/>
      <c r="T49" s="1390">
        <v>0.82499999999999996</v>
      </c>
      <c r="U49" s="735"/>
      <c r="V49" s="1384">
        <f t="shared" si="33"/>
        <v>0.82499999999999996</v>
      </c>
      <c r="W49" s="1383">
        <f t="shared" si="34"/>
        <v>0</v>
      </c>
      <c r="X49" s="736"/>
      <c r="AD49" s="1391">
        <v>0</v>
      </c>
      <c r="AE49" s="1392">
        <v>0</v>
      </c>
      <c r="AF49" s="1393">
        <v>0</v>
      </c>
      <c r="AG49" s="1394">
        <v>0</v>
      </c>
    </row>
    <row r="50" spans="1:33" s="737" customFormat="1" ht="15" customHeight="1">
      <c r="A50" s="1378"/>
      <c r="B50" s="1379" t="s">
        <v>248</v>
      </c>
      <c r="C50" s="707"/>
      <c r="D50" s="1380" t="s">
        <v>332</v>
      </c>
      <c r="E50" s="1381">
        <v>0</v>
      </c>
      <c r="F50" s="1382"/>
      <c r="G50" s="1382"/>
      <c r="H50" s="1383">
        <f t="shared" si="27"/>
        <v>0</v>
      </c>
      <c r="I50" s="734"/>
      <c r="J50" s="1384">
        <f t="shared" si="28"/>
        <v>0</v>
      </c>
      <c r="K50" s="1385">
        <f>'BETON Qte'!K50</f>
        <v>0</v>
      </c>
      <c r="L50" s="1382">
        <f t="shared" si="29"/>
        <v>0</v>
      </c>
      <c r="M50" s="1383">
        <f t="shared" si="30"/>
        <v>0</v>
      </c>
      <c r="N50" s="734"/>
      <c r="O50" s="1386">
        <f t="shared" si="31"/>
        <v>0</v>
      </c>
      <c r="P50" s="1387" t="str">
        <f t="shared" si="0"/>
        <v/>
      </c>
      <c r="Q50" s="1388"/>
      <c r="R50" s="1389">
        <f t="shared" si="32"/>
        <v>0</v>
      </c>
      <c r="S50" s="734"/>
      <c r="T50" s="1390">
        <v>0</v>
      </c>
      <c r="U50" s="735"/>
      <c r="V50" s="1384">
        <f t="shared" si="33"/>
        <v>0</v>
      </c>
      <c r="W50" s="1383">
        <f t="shared" si="34"/>
        <v>0</v>
      </c>
      <c r="X50" s="736"/>
      <c r="AD50" s="1391">
        <v>0</v>
      </c>
      <c r="AE50" s="1392">
        <v>0</v>
      </c>
      <c r="AF50" s="1393">
        <v>0</v>
      </c>
      <c r="AG50" s="1394">
        <v>0</v>
      </c>
    </row>
    <row r="51" spans="1:33" s="737" customFormat="1" ht="15" customHeight="1">
      <c r="A51" s="1378"/>
      <c r="B51" s="1379" t="s">
        <v>249</v>
      </c>
      <c r="C51" s="707"/>
      <c r="D51" s="1380" t="s">
        <v>332</v>
      </c>
      <c r="E51" s="1381">
        <v>0</v>
      </c>
      <c r="F51" s="1382"/>
      <c r="G51" s="1382"/>
      <c r="H51" s="1383">
        <f t="shared" si="27"/>
        <v>0</v>
      </c>
      <c r="I51" s="734"/>
      <c r="J51" s="1384">
        <f t="shared" si="28"/>
        <v>0</v>
      </c>
      <c r="K51" s="1385">
        <f>'BETON Qte'!K51</f>
        <v>0</v>
      </c>
      <c r="L51" s="1382">
        <f t="shared" si="29"/>
        <v>0</v>
      </c>
      <c r="M51" s="1383">
        <f t="shared" si="30"/>
        <v>0</v>
      </c>
      <c r="N51" s="734"/>
      <c r="O51" s="1386">
        <f t="shared" si="31"/>
        <v>0</v>
      </c>
      <c r="P51" s="1387" t="str">
        <f t="shared" si="0"/>
        <v/>
      </c>
      <c r="Q51" s="1388"/>
      <c r="R51" s="1389">
        <f t="shared" si="32"/>
        <v>0</v>
      </c>
      <c r="S51" s="734"/>
      <c r="T51" s="1390">
        <v>0</v>
      </c>
      <c r="U51" s="735"/>
      <c r="V51" s="1384">
        <f t="shared" si="33"/>
        <v>0</v>
      </c>
      <c r="W51" s="1383">
        <f t="shared" si="34"/>
        <v>0</v>
      </c>
      <c r="X51" s="736"/>
      <c r="AD51" s="1391">
        <v>0</v>
      </c>
      <c r="AE51" s="1392">
        <v>0</v>
      </c>
      <c r="AF51" s="1393">
        <v>0</v>
      </c>
      <c r="AG51" s="1394">
        <v>0</v>
      </c>
    </row>
    <row r="52" spans="1:33" s="737" customFormat="1" ht="15" customHeight="1">
      <c r="A52" s="1378"/>
      <c r="B52" s="1379" t="s">
        <v>250</v>
      </c>
      <c r="C52" s="707"/>
      <c r="D52" s="1380" t="s">
        <v>332</v>
      </c>
      <c r="E52" s="1381">
        <v>3.3119999999999998</v>
      </c>
      <c r="F52" s="1382"/>
      <c r="G52" s="1382"/>
      <c r="H52" s="1383">
        <f t="shared" si="27"/>
        <v>3.3119999999999998</v>
      </c>
      <c r="I52" s="734"/>
      <c r="J52" s="1384">
        <f t="shared" si="28"/>
        <v>0</v>
      </c>
      <c r="K52" s="1385">
        <f>'BETON Qte'!K52</f>
        <v>0</v>
      </c>
      <c r="L52" s="1382">
        <f t="shared" si="29"/>
        <v>0</v>
      </c>
      <c r="M52" s="1383">
        <f t="shared" si="30"/>
        <v>0</v>
      </c>
      <c r="N52" s="734"/>
      <c r="O52" s="1386">
        <f t="shared" si="31"/>
        <v>0</v>
      </c>
      <c r="P52" s="1387">
        <f t="shared" si="0"/>
        <v>0</v>
      </c>
      <c r="Q52" s="1388"/>
      <c r="R52" s="1389">
        <f t="shared" si="32"/>
        <v>0</v>
      </c>
      <c r="S52" s="734"/>
      <c r="T52" s="1390">
        <v>3.3119999999999998</v>
      </c>
      <c r="U52" s="735"/>
      <c r="V52" s="1384">
        <f t="shared" si="33"/>
        <v>3.3119999999999998</v>
      </c>
      <c r="W52" s="1383">
        <f t="shared" si="34"/>
        <v>0</v>
      </c>
      <c r="X52" s="736"/>
      <c r="AD52" s="1391">
        <v>0</v>
      </c>
      <c r="AE52" s="1392">
        <v>0</v>
      </c>
      <c r="AF52" s="1393">
        <v>0</v>
      </c>
      <c r="AG52" s="1394">
        <v>0</v>
      </c>
    </row>
    <row r="53" spans="1:33" s="737" customFormat="1" ht="15" customHeight="1">
      <c r="A53" s="1378"/>
      <c r="B53" s="1379" t="s">
        <v>251</v>
      </c>
      <c r="C53" s="707"/>
      <c r="D53" s="1380" t="s">
        <v>332</v>
      </c>
      <c r="E53" s="1381">
        <v>0</v>
      </c>
      <c r="F53" s="1382"/>
      <c r="G53" s="1382"/>
      <c r="H53" s="1383">
        <f t="shared" si="27"/>
        <v>0</v>
      </c>
      <c r="I53" s="734"/>
      <c r="J53" s="1384">
        <f t="shared" si="28"/>
        <v>0</v>
      </c>
      <c r="K53" s="1385">
        <f>'BETON Qte'!K53</f>
        <v>0</v>
      </c>
      <c r="L53" s="1382">
        <f t="shared" si="29"/>
        <v>0</v>
      </c>
      <c r="M53" s="1383">
        <f t="shared" si="30"/>
        <v>0</v>
      </c>
      <c r="N53" s="734"/>
      <c r="O53" s="1386">
        <f t="shared" si="31"/>
        <v>0</v>
      </c>
      <c r="P53" s="1387" t="str">
        <f t="shared" si="0"/>
        <v/>
      </c>
      <c r="Q53" s="1388"/>
      <c r="R53" s="1389">
        <f t="shared" si="32"/>
        <v>0</v>
      </c>
      <c r="S53" s="734"/>
      <c r="T53" s="1390">
        <v>0</v>
      </c>
      <c r="U53" s="735"/>
      <c r="V53" s="1384">
        <f t="shared" si="33"/>
        <v>0</v>
      </c>
      <c r="W53" s="1383">
        <f t="shared" si="34"/>
        <v>0</v>
      </c>
      <c r="X53" s="736"/>
      <c r="AD53" s="1391">
        <v>0</v>
      </c>
      <c r="AE53" s="1392">
        <v>0</v>
      </c>
      <c r="AF53" s="1393">
        <v>0</v>
      </c>
      <c r="AG53" s="1394">
        <v>0</v>
      </c>
    </row>
    <row r="54" spans="1:33" s="737" customFormat="1" ht="15" customHeight="1">
      <c r="A54" s="1378"/>
      <c r="B54" s="1379" t="s">
        <v>252</v>
      </c>
      <c r="C54" s="707"/>
      <c r="D54" s="1380" t="s">
        <v>332</v>
      </c>
      <c r="E54" s="1381">
        <v>0</v>
      </c>
      <c r="F54" s="1382"/>
      <c r="G54" s="1382"/>
      <c r="H54" s="1383">
        <f t="shared" si="27"/>
        <v>0</v>
      </c>
      <c r="I54" s="734"/>
      <c r="J54" s="1384">
        <f t="shared" si="28"/>
        <v>0</v>
      </c>
      <c r="K54" s="1385">
        <f>'BETON Qte'!K54</f>
        <v>0</v>
      </c>
      <c r="L54" s="1382">
        <f t="shared" si="29"/>
        <v>0</v>
      </c>
      <c r="M54" s="1383">
        <f t="shared" si="30"/>
        <v>0</v>
      </c>
      <c r="N54" s="734"/>
      <c r="O54" s="1386">
        <f t="shared" si="31"/>
        <v>0</v>
      </c>
      <c r="P54" s="1387" t="str">
        <f t="shared" si="0"/>
        <v/>
      </c>
      <c r="Q54" s="1388"/>
      <c r="R54" s="1389">
        <f t="shared" si="32"/>
        <v>0</v>
      </c>
      <c r="S54" s="734"/>
      <c r="T54" s="1390">
        <v>0</v>
      </c>
      <c r="U54" s="735"/>
      <c r="V54" s="1384">
        <f t="shared" si="33"/>
        <v>0</v>
      </c>
      <c r="W54" s="1383">
        <f t="shared" si="34"/>
        <v>0</v>
      </c>
      <c r="X54" s="736"/>
      <c r="AD54" s="1391">
        <v>0</v>
      </c>
      <c r="AE54" s="1392">
        <v>0</v>
      </c>
      <c r="AF54" s="1393">
        <v>0</v>
      </c>
      <c r="AG54" s="1394">
        <v>0</v>
      </c>
    </row>
    <row r="55" spans="1:33" s="737" customFormat="1" ht="15" customHeight="1">
      <c r="A55" s="1378"/>
      <c r="B55" s="1379" t="s">
        <v>253</v>
      </c>
      <c r="C55" s="707"/>
      <c r="D55" s="1380" t="s">
        <v>332</v>
      </c>
      <c r="E55" s="1381">
        <v>2.4649999999999999</v>
      </c>
      <c r="F55" s="1382"/>
      <c r="G55" s="1382"/>
      <c r="H55" s="1383">
        <f t="shared" si="27"/>
        <v>2.4649999999999999</v>
      </c>
      <c r="I55" s="734"/>
      <c r="J55" s="1384">
        <f t="shared" si="28"/>
        <v>0</v>
      </c>
      <c r="K55" s="1385">
        <f>'BETON Qte'!K55</f>
        <v>0</v>
      </c>
      <c r="L55" s="1382">
        <f t="shared" si="29"/>
        <v>0</v>
      </c>
      <c r="M55" s="1383">
        <f t="shared" si="30"/>
        <v>0</v>
      </c>
      <c r="N55" s="734"/>
      <c r="O55" s="1386">
        <f t="shared" si="31"/>
        <v>0</v>
      </c>
      <c r="P55" s="1387">
        <f t="shared" si="0"/>
        <v>0</v>
      </c>
      <c r="Q55" s="1388"/>
      <c r="R55" s="1389">
        <f t="shared" si="32"/>
        <v>0</v>
      </c>
      <c r="S55" s="734"/>
      <c r="T55" s="1390">
        <v>2.4649999999999999</v>
      </c>
      <c r="U55" s="735"/>
      <c r="V55" s="1384">
        <f t="shared" si="33"/>
        <v>2.4649999999999999</v>
      </c>
      <c r="W55" s="1383">
        <f t="shared" si="34"/>
        <v>0</v>
      </c>
      <c r="X55" s="736"/>
      <c r="AD55" s="1391">
        <v>0</v>
      </c>
      <c r="AE55" s="1392">
        <v>0</v>
      </c>
      <c r="AF55" s="1393">
        <v>0</v>
      </c>
      <c r="AG55" s="1394">
        <v>0</v>
      </c>
    </row>
    <row r="56" spans="1:33" s="737" customFormat="1" ht="15" customHeight="1" thickBot="1">
      <c r="A56" s="1378"/>
      <c r="B56" s="1379" t="s">
        <v>254</v>
      </c>
      <c r="C56" s="707"/>
      <c r="D56" s="1380" t="s">
        <v>332</v>
      </c>
      <c r="E56" s="1381">
        <v>0</v>
      </c>
      <c r="F56" s="1382"/>
      <c r="G56" s="1382"/>
      <c r="H56" s="1383">
        <f t="shared" si="27"/>
        <v>0</v>
      </c>
      <c r="I56" s="734"/>
      <c r="J56" s="1396">
        <f t="shared" si="28"/>
        <v>0</v>
      </c>
      <c r="K56" s="1397">
        <f>'BETON Qte'!K56</f>
        <v>0</v>
      </c>
      <c r="L56" s="1398">
        <f t="shared" si="29"/>
        <v>0</v>
      </c>
      <c r="M56" s="1399">
        <f t="shared" si="30"/>
        <v>0</v>
      </c>
      <c r="N56" s="734"/>
      <c r="O56" s="1400">
        <f t="shared" si="31"/>
        <v>0</v>
      </c>
      <c r="P56" s="1401" t="str">
        <f t="shared" si="0"/>
        <v/>
      </c>
      <c r="Q56" s="1402"/>
      <c r="R56" s="1403">
        <f t="shared" si="32"/>
        <v>0</v>
      </c>
      <c r="S56" s="734"/>
      <c r="T56" s="1514">
        <v>0</v>
      </c>
      <c r="U56" s="735"/>
      <c r="V56" s="1396">
        <f t="shared" si="33"/>
        <v>0</v>
      </c>
      <c r="W56" s="1399">
        <f t="shared" si="34"/>
        <v>0</v>
      </c>
      <c r="X56" s="736"/>
      <c r="AD56" s="1404">
        <v>0</v>
      </c>
      <c r="AE56" s="1405">
        <v>0</v>
      </c>
      <c r="AF56" s="1406">
        <v>0</v>
      </c>
      <c r="AG56" s="1407">
        <v>0</v>
      </c>
    </row>
    <row r="57" spans="1:33" s="733" customFormat="1" ht="19.5" customHeight="1" thickBot="1">
      <c r="A57" s="1419" t="s">
        <v>255</v>
      </c>
      <c r="B57" s="1420" t="s">
        <v>256</v>
      </c>
      <c r="C57" s="731"/>
      <c r="D57" s="1421" t="s">
        <v>332</v>
      </c>
      <c r="E57" s="1422">
        <f>SUM(E58:E60)</f>
        <v>34.233128834355824</v>
      </c>
      <c r="F57" s="1364">
        <f>SUM(F58:F60)</f>
        <v>0</v>
      </c>
      <c r="G57" s="1364">
        <f>SUM(G58:G60)</f>
        <v>0</v>
      </c>
      <c r="H57" s="1409">
        <f>SUM(H58:H60)</f>
        <v>34.233128834355824</v>
      </c>
      <c r="I57" s="732"/>
      <c r="J57" s="1408">
        <f>SUM(J58:J60)</f>
        <v>0</v>
      </c>
      <c r="K57" s="1423">
        <f>IFERROR(J57/H57,"")</f>
        <v>0</v>
      </c>
      <c r="L57" s="1364">
        <f>SUM(L58:L60)</f>
        <v>0</v>
      </c>
      <c r="M57" s="1409">
        <f>SUM(M58:M60)</f>
        <v>0</v>
      </c>
      <c r="N57" s="732"/>
      <c r="O57" s="1515">
        <f>SUM(O58:O60)</f>
        <v>0</v>
      </c>
      <c r="P57" s="1516">
        <f t="shared" si="0"/>
        <v>0</v>
      </c>
      <c r="Q57" s="1371">
        <f>SUM(Q58:Q60)</f>
        <v>0</v>
      </c>
      <c r="R57" s="1517">
        <f>SUM(R58:R60)</f>
        <v>0</v>
      </c>
      <c r="S57" s="732"/>
      <c r="T57" s="1518">
        <f>SUM(T58:T60)</f>
        <v>34.233128834355824</v>
      </c>
      <c r="U57" s="732"/>
      <c r="V57" s="1408">
        <f>SUM(V58:V60)</f>
        <v>34.233128834355824</v>
      </c>
      <c r="W57" s="1409">
        <f>SUM(W58:W60)</f>
        <v>0</v>
      </c>
      <c r="X57" s="729"/>
      <c r="AD57" s="1415">
        <v>0</v>
      </c>
      <c r="AE57" s="1416">
        <v>0</v>
      </c>
      <c r="AF57" s="1519">
        <v>0</v>
      </c>
      <c r="AG57" s="1418">
        <v>0</v>
      </c>
    </row>
    <row r="58" spans="1:33" s="737" customFormat="1" ht="15" customHeight="1">
      <c r="A58" s="1378"/>
      <c r="B58" s="1379" t="s">
        <v>257</v>
      </c>
      <c r="C58" s="707"/>
      <c r="D58" s="1380" t="s">
        <v>332</v>
      </c>
      <c r="E58" s="1381">
        <v>0</v>
      </c>
      <c r="F58" s="1382"/>
      <c r="G58" s="1382"/>
      <c r="H58" s="1383">
        <f>SUM(E58:G58)</f>
        <v>0</v>
      </c>
      <c r="I58" s="734"/>
      <c r="J58" s="1384">
        <f>H58*K58/100</f>
        <v>0</v>
      </c>
      <c r="K58" s="1385">
        <f>'BETON Qte'!K58</f>
        <v>0</v>
      </c>
      <c r="L58" s="1382">
        <f>Q58+AF58</f>
        <v>0</v>
      </c>
      <c r="M58" s="1383">
        <f>J58-L58</f>
        <v>0</v>
      </c>
      <c r="N58" s="734"/>
      <c r="O58" s="1386">
        <f>J58-AD58</f>
        <v>0</v>
      </c>
      <c r="P58" s="1387" t="str">
        <f t="shared" si="0"/>
        <v/>
      </c>
      <c r="Q58" s="1388"/>
      <c r="R58" s="1389">
        <f>O58-Q58</f>
        <v>0</v>
      </c>
      <c r="S58" s="734"/>
      <c r="T58" s="1390">
        <v>0</v>
      </c>
      <c r="U58" s="735"/>
      <c r="V58" s="1384">
        <f t="shared" ref="V58:V60" si="35">L58+T58</f>
        <v>0</v>
      </c>
      <c r="W58" s="1383">
        <f t="shared" ref="W58:W60" si="36">H58-V58</f>
        <v>0</v>
      </c>
      <c r="X58" s="736"/>
      <c r="AD58" s="1391">
        <v>0</v>
      </c>
      <c r="AE58" s="1392">
        <v>0</v>
      </c>
      <c r="AF58" s="1393">
        <v>0</v>
      </c>
      <c r="AG58" s="1394">
        <v>0</v>
      </c>
    </row>
    <row r="59" spans="1:33" s="737" customFormat="1" ht="15" customHeight="1">
      <c r="A59" s="1378"/>
      <c r="B59" s="1379" t="s">
        <v>257</v>
      </c>
      <c r="C59" s="707"/>
      <c r="D59" s="1380" t="s">
        <v>332</v>
      </c>
      <c r="E59" s="1381">
        <v>0</v>
      </c>
      <c r="F59" s="1382"/>
      <c r="G59" s="1382"/>
      <c r="H59" s="1383">
        <f t="shared" ref="H59:H60" si="37">SUM(E59:G59)</f>
        <v>0</v>
      </c>
      <c r="I59" s="734"/>
      <c r="J59" s="1384">
        <f t="shared" ref="J59:J60" si="38">H59*K59/100</f>
        <v>0</v>
      </c>
      <c r="K59" s="1385">
        <f>'BETON Qte'!K59</f>
        <v>0</v>
      </c>
      <c r="L59" s="1382">
        <f t="shared" ref="L59:L60" si="39">Q59+AF59</f>
        <v>0</v>
      </c>
      <c r="M59" s="1383">
        <f t="shared" ref="M59:M60" si="40">J59-L59</f>
        <v>0</v>
      </c>
      <c r="N59" s="734"/>
      <c r="O59" s="1386">
        <f t="shared" ref="O59:O60" si="41">J59-AD59</f>
        <v>0</v>
      </c>
      <c r="P59" s="1387" t="str">
        <f t="shared" si="0"/>
        <v/>
      </c>
      <c r="Q59" s="1388"/>
      <c r="R59" s="1389">
        <f t="shared" ref="R59:R60" si="42">O59-Q59</f>
        <v>0</v>
      </c>
      <c r="S59" s="734"/>
      <c r="T59" s="1390">
        <v>0</v>
      </c>
      <c r="U59" s="735"/>
      <c r="V59" s="1384">
        <f t="shared" si="35"/>
        <v>0</v>
      </c>
      <c r="W59" s="1383">
        <f t="shared" si="36"/>
        <v>0</v>
      </c>
      <c r="X59" s="736"/>
      <c r="AD59" s="1391">
        <v>0</v>
      </c>
      <c r="AE59" s="1392">
        <v>0</v>
      </c>
      <c r="AF59" s="1393">
        <v>0</v>
      </c>
      <c r="AG59" s="1394">
        <v>0</v>
      </c>
    </row>
    <row r="60" spans="1:33" s="737" customFormat="1" ht="15" customHeight="1" thickBot="1">
      <c r="A60" s="1424"/>
      <c r="B60" s="1425" t="s">
        <v>258</v>
      </c>
      <c r="C60" s="707"/>
      <c r="D60" s="1426" t="s">
        <v>332</v>
      </c>
      <c r="E60" s="1427">
        <v>34.233128834355824</v>
      </c>
      <c r="F60" s="1428"/>
      <c r="G60" s="1428"/>
      <c r="H60" s="1429">
        <f t="shared" si="37"/>
        <v>34.233128834355824</v>
      </c>
      <c r="I60" s="734"/>
      <c r="J60" s="1430">
        <f t="shared" si="38"/>
        <v>0</v>
      </c>
      <c r="K60" s="1431">
        <f>'BETON Qte'!K60</f>
        <v>0</v>
      </c>
      <c r="L60" s="1428">
        <f t="shared" si="39"/>
        <v>0</v>
      </c>
      <c r="M60" s="1429">
        <f t="shared" si="40"/>
        <v>0</v>
      </c>
      <c r="N60" s="734"/>
      <c r="O60" s="1432">
        <f t="shared" si="41"/>
        <v>0</v>
      </c>
      <c r="P60" s="1433">
        <f t="shared" si="0"/>
        <v>0</v>
      </c>
      <c r="Q60" s="1434"/>
      <c r="R60" s="1435">
        <f t="shared" si="42"/>
        <v>0</v>
      </c>
      <c r="S60" s="734"/>
      <c r="T60" s="1436">
        <v>34.233128834355824</v>
      </c>
      <c r="U60" s="735"/>
      <c r="V60" s="1430">
        <f t="shared" si="35"/>
        <v>34.233128834355824</v>
      </c>
      <c r="W60" s="1429">
        <f t="shared" si="36"/>
        <v>0</v>
      </c>
      <c r="X60" s="736"/>
      <c r="AD60" s="1437">
        <v>0</v>
      </c>
      <c r="AE60" s="1438">
        <v>0</v>
      </c>
      <c r="AF60" s="1439">
        <v>0</v>
      </c>
      <c r="AG60" s="1440">
        <v>0</v>
      </c>
    </row>
    <row r="66" spans="1:33" ht="13.5" customHeight="1" thickBot="1">
      <c r="A66" s="706"/>
      <c r="B66" s="706"/>
      <c r="C66" s="707"/>
      <c r="E66" s="709"/>
      <c r="F66" s="709"/>
      <c r="G66" s="709"/>
      <c r="H66" s="709"/>
      <c r="I66" s="707"/>
      <c r="J66" s="710" t="s">
        <v>185</v>
      </c>
      <c r="K66" s="710" t="s">
        <v>185</v>
      </c>
      <c r="L66" s="706"/>
      <c r="M66" s="706"/>
      <c r="N66" s="707"/>
      <c r="O66" s="706"/>
      <c r="P66" s="710" t="s">
        <v>185</v>
      </c>
      <c r="Q66" s="706"/>
      <c r="R66" s="706"/>
      <c r="S66" s="707"/>
      <c r="T66" s="706"/>
      <c r="U66" s="711"/>
      <c r="V66" s="706"/>
      <c r="W66" s="706"/>
      <c r="X66" s="712"/>
      <c r="AD66" s="710" t="s">
        <v>185</v>
      </c>
      <c r="AE66" s="710" t="s">
        <v>185</v>
      </c>
      <c r="AF66" s="706"/>
      <c r="AG66" s="706"/>
    </row>
    <row r="67" spans="1:33" s="730" customFormat="1" ht="19.5" customHeight="1" thickBot="1">
      <c r="A67" s="1441"/>
      <c r="B67" s="1442" t="s">
        <v>203</v>
      </c>
      <c r="C67" s="726"/>
      <c r="D67" s="1443" t="s">
        <v>332</v>
      </c>
      <c r="E67" s="1444">
        <f>E68+E79+E87+E90+E93+E109</f>
        <v>1390.965633251534</v>
      </c>
      <c r="F67" s="1445">
        <f>F68+F79+F87+F90+F93+F109</f>
        <v>0</v>
      </c>
      <c r="G67" s="1445">
        <f>G68+G79+G87+G90+G93+G109</f>
        <v>0</v>
      </c>
      <c r="H67" s="1446">
        <f>H68+H79+H87+H90+H93+H109</f>
        <v>1390.965633251534</v>
      </c>
      <c r="I67" s="727"/>
      <c r="J67" s="1349">
        <f>J68+J79+J87+J90+J93+J109</f>
        <v>485.67728000000005</v>
      </c>
      <c r="K67" s="1350">
        <f>IFERROR(J67/H67,"")</f>
        <v>0.34916554973732628</v>
      </c>
      <c r="L67" s="1447">
        <f>L68+L79+L87+L90+L93+L109</f>
        <v>315.09699999999998</v>
      </c>
      <c r="M67" s="1352">
        <f>M68+M79+M87+M90+M93+M109</f>
        <v>170.58028000000002</v>
      </c>
      <c r="N67" s="727"/>
      <c r="O67" s="1448">
        <f>O68+O79+O87+O90+O93+O109</f>
        <v>0</v>
      </c>
      <c r="P67" s="1449">
        <f t="shared" ref="P67:P112" si="43">IFERROR(O67/H67,"")</f>
        <v>0</v>
      </c>
      <c r="Q67" s="1450">
        <f>Q68+Q79+Q87+Q90+Q93+Q109</f>
        <v>0</v>
      </c>
      <c r="R67" s="1451">
        <f>R68+R79+R87+R90+R93+R109</f>
        <v>0</v>
      </c>
      <c r="S67" s="727"/>
      <c r="T67" s="1452">
        <f>T68+T79+T87+T90+T93+T109</f>
        <v>1126.7229006809723</v>
      </c>
      <c r="U67" s="728"/>
      <c r="V67" s="1453">
        <f>V68+V79+V87+V90+V93+V109</f>
        <v>1441.8199006809725</v>
      </c>
      <c r="W67" s="1446">
        <f>W68+W79+W87+W90+W93+W109</f>
        <v>-50.854267429438323</v>
      </c>
      <c r="X67" s="729"/>
      <c r="AD67" s="1454">
        <v>485.67728000000005</v>
      </c>
      <c r="AE67" s="1455">
        <v>0.34916554973732628</v>
      </c>
      <c r="AF67" s="1456">
        <v>315.09699999999998</v>
      </c>
      <c r="AG67" s="1457">
        <v>170.58028000000002</v>
      </c>
    </row>
    <row r="68" spans="1:33" s="733" customFormat="1" ht="19.5" customHeight="1" thickBot="1">
      <c r="A68" s="1419" t="s">
        <v>581</v>
      </c>
      <c r="B68" s="1420" t="s">
        <v>582</v>
      </c>
      <c r="C68" s="731"/>
      <c r="D68" s="1421" t="s">
        <v>332</v>
      </c>
      <c r="E68" s="1422">
        <f>SUM(E69:E78)</f>
        <v>415.83199999999999</v>
      </c>
      <c r="F68" s="1364">
        <f>SUM(F69:F78)</f>
        <v>0</v>
      </c>
      <c r="G68" s="1364">
        <f>SUM(G69:G78)</f>
        <v>0</v>
      </c>
      <c r="H68" s="1409">
        <f>SUM(H69:H78)</f>
        <v>415.83199999999999</v>
      </c>
      <c r="I68" s="732"/>
      <c r="J68" s="1365">
        <f>SUM(J69:J78)</f>
        <v>415.39016000000004</v>
      </c>
      <c r="K68" s="1366">
        <f>IFERROR(J68/H68,"")</f>
        <v>0.99893745551087954</v>
      </c>
      <c r="L68" s="1367">
        <f>SUM(L69:L78)</f>
        <v>191.465</v>
      </c>
      <c r="M68" s="1368">
        <f>SUM(M69:M78)</f>
        <v>223.92516000000001</v>
      </c>
      <c r="N68" s="732"/>
      <c r="O68" s="1369">
        <f>SUM(O69:O78)</f>
        <v>0</v>
      </c>
      <c r="P68" s="1370">
        <f t="shared" si="43"/>
        <v>0</v>
      </c>
      <c r="Q68" s="1371">
        <f>SUM(Q69:Q78)</f>
        <v>0</v>
      </c>
      <c r="R68" s="1372">
        <f>SUM(R69:R78)</f>
        <v>0</v>
      </c>
      <c r="S68" s="732"/>
      <c r="T68" s="1373">
        <f>SUM(T69:T78)</f>
        <v>12.378807098269418</v>
      </c>
      <c r="U68" s="732"/>
      <c r="V68" s="1365">
        <f>SUM(V69:V78)</f>
        <v>203.84380709826939</v>
      </c>
      <c r="W68" s="1368">
        <f>SUM(W69:W78)</f>
        <v>211.9881929017306</v>
      </c>
      <c r="X68" s="729"/>
      <c r="AD68" s="1374">
        <v>415.39016000000004</v>
      </c>
      <c r="AE68" s="1375">
        <v>0.99893745551087954</v>
      </c>
      <c r="AF68" s="1376">
        <v>191.465</v>
      </c>
      <c r="AG68" s="1377">
        <v>223.92516000000001</v>
      </c>
    </row>
    <row r="69" spans="1:33" s="737" customFormat="1" ht="15" customHeight="1">
      <c r="A69" s="1378"/>
      <c r="B69" s="1379" t="s">
        <v>207</v>
      </c>
      <c r="C69" s="707"/>
      <c r="D69" s="1380" t="s">
        <v>332</v>
      </c>
      <c r="E69" s="1459">
        <v>0</v>
      </c>
      <c r="F69" s="1382"/>
      <c r="G69" s="1382"/>
      <c r="H69" s="1383">
        <f>SUM(E69:G69)</f>
        <v>0</v>
      </c>
      <c r="I69" s="734"/>
      <c r="J69" s="1384">
        <f>H69*K69/100</f>
        <v>0</v>
      </c>
      <c r="K69" s="1385">
        <f>'BETON Qte'!K69</f>
        <v>97</v>
      </c>
      <c r="L69" s="1382">
        <f>Q69+AF69</f>
        <v>0</v>
      </c>
      <c r="M69" s="1383">
        <f>J69-L69</f>
        <v>0</v>
      </c>
      <c r="N69" s="734"/>
      <c r="O69" s="1386">
        <f>J69-AD69</f>
        <v>0</v>
      </c>
      <c r="P69" s="1387" t="str">
        <f t="shared" si="43"/>
        <v/>
      </c>
      <c r="Q69" s="1388"/>
      <c r="R69" s="1389">
        <f>O69-Q69</f>
        <v>0</v>
      </c>
      <c r="S69" s="734"/>
      <c r="T69" s="1390">
        <v>0</v>
      </c>
      <c r="U69" s="735"/>
      <c r="V69" s="1384">
        <f>L69+T69</f>
        <v>0</v>
      </c>
      <c r="W69" s="1383">
        <f>H69-V69</f>
        <v>0</v>
      </c>
      <c r="X69" s="736"/>
      <c r="AD69" s="1391">
        <v>0</v>
      </c>
      <c r="AE69" s="1392">
        <v>97</v>
      </c>
      <c r="AF69" s="1393">
        <v>0</v>
      </c>
      <c r="AG69" s="1394">
        <v>0</v>
      </c>
    </row>
    <row r="70" spans="1:33" s="737" customFormat="1" ht="15" customHeight="1">
      <c r="A70" s="1378"/>
      <c r="B70" s="1379" t="s">
        <v>208</v>
      </c>
      <c r="C70" s="707"/>
      <c r="D70" s="1380" t="s">
        <v>332</v>
      </c>
      <c r="E70" s="1459">
        <v>0</v>
      </c>
      <c r="F70" s="1382"/>
      <c r="G70" s="1382"/>
      <c r="H70" s="1383">
        <f t="shared" ref="H70:H78" si="44">SUM(E70:G70)</f>
        <v>0</v>
      </c>
      <c r="I70" s="734"/>
      <c r="J70" s="1384">
        <f t="shared" ref="J70:J78" si="45">H70*K70/100</f>
        <v>0</v>
      </c>
      <c r="K70" s="1385">
        <f>'BETON Qte'!K70</f>
        <v>100</v>
      </c>
      <c r="L70" s="1382">
        <f t="shared" ref="L70:L78" si="46">Q70+AF70</f>
        <v>0</v>
      </c>
      <c r="M70" s="1383">
        <f t="shared" ref="M70:M78" si="47">J70-L70</f>
        <v>0</v>
      </c>
      <c r="N70" s="734"/>
      <c r="O70" s="1386">
        <f t="shared" ref="O70:O78" si="48">J70-AD70</f>
        <v>0</v>
      </c>
      <c r="P70" s="1387" t="str">
        <f t="shared" si="43"/>
        <v/>
      </c>
      <c r="Q70" s="1388"/>
      <c r="R70" s="1389">
        <f t="shared" ref="R70:R78" si="49">O70-Q70</f>
        <v>0</v>
      </c>
      <c r="S70" s="734"/>
      <c r="T70" s="1390">
        <v>0</v>
      </c>
      <c r="U70" s="735"/>
      <c r="V70" s="1384">
        <f t="shared" ref="V70:V78" si="50">L70+T70</f>
        <v>0</v>
      </c>
      <c r="W70" s="1383">
        <f t="shared" ref="W70:W78" si="51">H70-V70</f>
        <v>0</v>
      </c>
      <c r="X70" s="736"/>
      <c r="AD70" s="1391">
        <v>0</v>
      </c>
      <c r="AE70" s="1392">
        <v>100</v>
      </c>
      <c r="AF70" s="1393">
        <v>0</v>
      </c>
      <c r="AG70" s="1394">
        <v>0</v>
      </c>
    </row>
    <row r="71" spans="1:33" s="737" customFormat="1" ht="15" customHeight="1">
      <c r="A71" s="1378"/>
      <c r="B71" s="1379" t="s">
        <v>209</v>
      </c>
      <c r="C71" s="707"/>
      <c r="D71" s="1380" t="s">
        <v>332</v>
      </c>
      <c r="E71" s="1381"/>
      <c r="F71" s="1382"/>
      <c r="G71" s="1382"/>
      <c r="H71" s="1383">
        <f t="shared" si="44"/>
        <v>0</v>
      </c>
      <c r="I71" s="734"/>
      <c r="J71" s="1384">
        <f t="shared" si="45"/>
        <v>0</v>
      </c>
      <c r="K71" s="1385">
        <f>'BETON Qte'!K71</f>
        <v>0</v>
      </c>
      <c r="L71" s="1382">
        <f t="shared" si="46"/>
        <v>0</v>
      </c>
      <c r="M71" s="1383">
        <f t="shared" si="47"/>
        <v>0</v>
      </c>
      <c r="N71" s="734"/>
      <c r="O71" s="1386">
        <f t="shared" si="48"/>
        <v>0</v>
      </c>
      <c r="P71" s="1387" t="str">
        <f t="shared" si="43"/>
        <v/>
      </c>
      <c r="Q71" s="1388"/>
      <c r="R71" s="1389">
        <f t="shared" si="49"/>
        <v>0</v>
      </c>
      <c r="S71" s="734"/>
      <c r="T71" s="1390">
        <v>0</v>
      </c>
      <c r="U71" s="735"/>
      <c r="V71" s="1384">
        <f t="shared" si="50"/>
        <v>0</v>
      </c>
      <c r="W71" s="1383">
        <f t="shared" si="51"/>
        <v>0</v>
      </c>
      <c r="X71" s="736"/>
      <c r="AD71" s="1391">
        <v>0</v>
      </c>
      <c r="AE71" s="1392">
        <v>0</v>
      </c>
      <c r="AF71" s="1393">
        <v>0</v>
      </c>
      <c r="AG71" s="1394">
        <v>0</v>
      </c>
    </row>
    <row r="72" spans="1:33" s="737" customFormat="1" ht="15" customHeight="1">
      <c r="A72" s="1378"/>
      <c r="B72" s="1379" t="s">
        <v>210</v>
      </c>
      <c r="C72" s="707"/>
      <c r="D72" s="1380" t="s">
        <v>332</v>
      </c>
      <c r="E72" s="1459">
        <v>0</v>
      </c>
      <c r="F72" s="1382"/>
      <c r="G72" s="1382"/>
      <c r="H72" s="1383">
        <f t="shared" si="44"/>
        <v>0</v>
      </c>
      <c r="I72" s="734"/>
      <c r="J72" s="1384">
        <f t="shared" si="45"/>
        <v>0</v>
      </c>
      <c r="K72" s="1385">
        <f>'BETON Qte'!K72</f>
        <v>90</v>
      </c>
      <c r="L72" s="1382">
        <f t="shared" si="46"/>
        <v>0</v>
      </c>
      <c r="M72" s="1383">
        <f t="shared" si="47"/>
        <v>0</v>
      </c>
      <c r="N72" s="734"/>
      <c r="O72" s="1386">
        <f t="shared" si="48"/>
        <v>0</v>
      </c>
      <c r="P72" s="1387" t="str">
        <f t="shared" si="43"/>
        <v/>
      </c>
      <c r="Q72" s="1388"/>
      <c r="R72" s="1389">
        <f t="shared" si="49"/>
        <v>0</v>
      </c>
      <c r="S72" s="734"/>
      <c r="T72" s="1390">
        <v>0.16239999999999999</v>
      </c>
      <c r="U72" s="735"/>
      <c r="V72" s="1384">
        <f t="shared" si="50"/>
        <v>0.16239999999999999</v>
      </c>
      <c r="W72" s="1383">
        <f t="shared" si="51"/>
        <v>-0.16239999999999999</v>
      </c>
      <c r="X72" s="736"/>
      <c r="AD72" s="1391">
        <v>0</v>
      </c>
      <c r="AE72" s="1392">
        <v>90</v>
      </c>
      <c r="AF72" s="1393">
        <v>0</v>
      </c>
      <c r="AG72" s="1394">
        <v>0</v>
      </c>
    </row>
    <row r="73" spans="1:33" s="737" customFormat="1" ht="15" customHeight="1">
      <c r="A73" s="1378"/>
      <c r="B73" s="1379" t="s">
        <v>211</v>
      </c>
      <c r="C73" s="707"/>
      <c r="D73" s="1380" t="s">
        <v>332</v>
      </c>
      <c r="E73" s="1459">
        <v>0</v>
      </c>
      <c r="F73" s="1382"/>
      <c r="G73" s="1382"/>
      <c r="H73" s="1383">
        <f t="shared" si="44"/>
        <v>0</v>
      </c>
      <c r="I73" s="734"/>
      <c r="J73" s="1384">
        <f t="shared" si="45"/>
        <v>0</v>
      </c>
      <c r="K73" s="1385">
        <f>'BETON Qte'!K73</f>
        <v>97</v>
      </c>
      <c r="L73" s="1382">
        <f t="shared" si="46"/>
        <v>42.683999999999997</v>
      </c>
      <c r="M73" s="1383">
        <f t="shared" si="47"/>
        <v>-42.683999999999997</v>
      </c>
      <c r="N73" s="734"/>
      <c r="O73" s="1386">
        <f t="shared" si="48"/>
        <v>0</v>
      </c>
      <c r="P73" s="1387" t="str">
        <f t="shared" si="43"/>
        <v/>
      </c>
      <c r="Q73" s="1388"/>
      <c r="R73" s="1389">
        <f t="shared" si="49"/>
        <v>0</v>
      </c>
      <c r="S73" s="734"/>
      <c r="T73" s="1390">
        <v>1.16466</v>
      </c>
      <c r="U73" s="735"/>
      <c r="V73" s="1384">
        <f t="shared" si="50"/>
        <v>43.848659999999995</v>
      </c>
      <c r="W73" s="1383">
        <f t="shared" si="51"/>
        <v>-43.848659999999995</v>
      </c>
      <c r="X73" s="736"/>
      <c r="AD73" s="1391">
        <v>0</v>
      </c>
      <c r="AE73" s="1392">
        <v>97</v>
      </c>
      <c r="AF73" s="1393">
        <v>42.683999999999997</v>
      </c>
      <c r="AG73" s="1394">
        <v>-42.683999999999997</v>
      </c>
    </row>
    <row r="74" spans="1:33" s="737" customFormat="1" ht="15" customHeight="1">
      <c r="A74" s="1378"/>
      <c r="B74" s="1379" t="s">
        <v>212</v>
      </c>
      <c r="C74" s="707"/>
      <c r="D74" s="1380" t="s">
        <v>332</v>
      </c>
      <c r="E74" s="1459">
        <v>0</v>
      </c>
      <c r="F74" s="1382"/>
      <c r="G74" s="1382"/>
      <c r="H74" s="1383">
        <f t="shared" si="44"/>
        <v>0</v>
      </c>
      <c r="I74" s="734"/>
      <c r="J74" s="1384">
        <f t="shared" si="45"/>
        <v>0</v>
      </c>
      <c r="K74" s="1385">
        <f>'BETON Qte'!K74</f>
        <v>98</v>
      </c>
      <c r="L74" s="1382">
        <f t="shared" si="46"/>
        <v>17.253999999999998</v>
      </c>
      <c r="M74" s="1383">
        <f t="shared" si="47"/>
        <v>-17.253999999999998</v>
      </c>
      <c r="N74" s="734"/>
      <c r="O74" s="1386">
        <f t="shared" si="48"/>
        <v>0</v>
      </c>
      <c r="P74" s="1387" t="str">
        <f t="shared" si="43"/>
        <v/>
      </c>
      <c r="Q74" s="1388"/>
      <c r="R74" s="1389">
        <f t="shared" si="49"/>
        <v>0</v>
      </c>
      <c r="S74" s="734"/>
      <c r="T74" s="1390">
        <v>0.43460549999999798</v>
      </c>
      <c r="U74" s="735"/>
      <c r="V74" s="1384">
        <f t="shared" si="50"/>
        <v>17.688605499999994</v>
      </c>
      <c r="W74" s="1383">
        <f t="shared" si="51"/>
        <v>-17.688605499999994</v>
      </c>
      <c r="X74" s="736"/>
      <c r="AD74" s="1391">
        <v>0</v>
      </c>
      <c r="AE74" s="1392">
        <v>98</v>
      </c>
      <c r="AF74" s="1393">
        <v>17.253999999999998</v>
      </c>
      <c r="AG74" s="1394">
        <v>-17.253999999999998</v>
      </c>
    </row>
    <row r="75" spans="1:33" s="737" customFormat="1" ht="15" customHeight="1">
      <c r="A75" s="1378"/>
      <c r="B75" s="1379" t="s">
        <v>213</v>
      </c>
      <c r="C75" s="707"/>
      <c r="D75" s="1380" t="s">
        <v>332</v>
      </c>
      <c r="E75" s="1459">
        <v>0</v>
      </c>
      <c r="F75" s="1382"/>
      <c r="G75" s="1382"/>
      <c r="H75" s="1383">
        <f t="shared" si="44"/>
        <v>0</v>
      </c>
      <c r="I75" s="734"/>
      <c r="J75" s="1384">
        <f t="shared" si="45"/>
        <v>0</v>
      </c>
      <c r="K75" s="1385">
        <f>'BETON Qte'!K75</f>
        <v>80</v>
      </c>
      <c r="L75" s="1382">
        <f t="shared" si="46"/>
        <v>16.486000000000001</v>
      </c>
      <c r="M75" s="1383">
        <f t="shared" si="47"/>
        <v>-16.486000000000001</v>
      </c>
      <c r="N75" s="734"/>
      <c r="O75" s="1386">
        <f t="shared" si="48"/>
        <v>0</v>
      </c>
      <c r="P75" s="1387" t="str">
        <f t="shared" si="43"/>
        <v/>
      </c>
      <c r="Q75" s="1388"/>
      <c r="R75" s="1389">
        <f t="shared" si="49"/>
        <v>0</v>
      </c>
      <c r="S75" s="734"/>
      <c r="T75" s="1390">
        <v>4.3477012333435203</v>
      </c>
      <c r="U75" s="735"/>
      <c r="V75" s="1384">
        <f t="shared" si="50"/>
        <v>20.833701233343522</v>
      </c>
      <c r="W75" s="1383">
        <f t="shared" si="51"/>
        <v>-20.833701233343522</v>
      </c>
      <c r="X75" s="736"/>
      <c r="AD75" s="1391">
        <v>0</v>
      </c>
      <c r="AE75" s="1392">
        <v>80</v>
      </c>
      <c r="AF75" s="1393">
        <v>16.486000000000001</v>
      </c>
      <c r="AG75" s="1394">
        <v>-16.486000000000001</v>
      </c>
    </row>
    <row r="76" spans="1:33" s="737" customFormat="1" ht="15" customHeight="1">
      <c r="A76" s="1378"/>
      <c r="B76" s="1379" t="s">
        <v>214</v>
      </c>
      <c r="C76" s="707"/>
      <c r="D76" s="1380" t="s">
        <v>332</v>
      </c>
      <c r="E76" s="1459">
        <v>0</v>
      </c>
      <c r="F76" s="1382"/>
      <c r="G76" s="1382"/>
      <c r="H76" s="1383">
        <f t="shared" si="44"/>
        <v>0</v>
      </c>
      <c r="I76" s="734"/>
      <c r="J76" s="1384">
        <f t="shared" si="45"/>
        <v>0</v>
      </c>
      <c r="K76" s="1385">
        <f>'BETON Qte'!K76</f>
        <v>85</v>
      </c>
      <c r="L76" s="1382">
        <f t="shared" si="46"/>
        <v>31.373000000000001</v>
      </c>
      <c r="M76" s="1383">
        <f t="shared" si="47"/>
        <v>-31.373000000000001</v>
      </c>
      <c r="N76" s="734"/>
      <c r="O76" s="1386">
        <f t="shared" si="48"/>
        <v>0</v>
      </c>
      <c r="P76" s="1387" t="str">
        <f t="shared" si="43"/>
        <v/>
      </c>
      <c r="Q76" s="1388"/>
      <c r="R76" s="1389">
        <f t="shared" si="49"/>
        <v>0</v>
      </c>
      <c r="S76" s="734"/>
      <c r="T76" s="1390">
        <v>5.6413343999999999</v>
      </c>
      <c r="U76" s="735"/>
      <c r="V76" s="1384">
        <f t="shared" si="50"/>
        <v>37.014334400000003</v>
      </c>
      <c r="W76" s="1383">
        <f t="shared" si="51"/>
        <v>-37.014334400000003</v>
      </c>
      <c r="X76" s="736"/>
      <c r="AD76" s="1391">
        <v>0</v>
      </c>
      <c r="AE76" s="1392">
        <v>85</v>
      </c>
      <c r="AF76" s="1393">
        <v>31.373000000000001</v>
      </c>
      <c r="AG76" s="1394">
        <v>-31.373000000000001</v>
      </c>
    </row>
    <row r="77" spans="1:33" s="737" customFormat="1" ht="15" customHeight="1">
      <c r="A77" s="1378"/>
      <c r="B77" s="1379" t="s">
        <v>215</v>
      </c>
      <c r="C77" s="707"/>
      <c r="D77" s="1380" t="s">
        <v>332</v>
      </c>
      <c r="E77" s="1459">
        <v>22.091999999999999</v>
      </c>
      <c r="F77" s="1382"/>
      <c r="G77" s="1382"/>
      <c r="H77" s="1383">
        <f t="shared" si="44"/>
        <v>22.091999999999999</v>
      </c>
      <c r="I77" s="734"/>
      <c r="J77" s="1384">
        <f t="shared" si="45"/>
        <v>21.65016</v>
      </c>
      <c r="K77" s="1385">
        <f>'BETON Qte'!K77</f>
        <v>98</v>
      </c>
      <c r="L77" s="1382">
        <f t="shared" si="46"/>
        <v>14.64</v>
      </c>
      <c r="M77" s="1383">
        <f t="shared" si="47"/>
        <v>7.0101599999999991</v>
      </c>
      <c r="N77" s="734"/>
      <c r="O77" s="1386">
        <f t="shared" si="48"/>
        <v>0</v>
      </c>
      <c r="P77" s="1387">
        <f t="shared" si="43"/>
        <v>0</v>
      </c>
      <c r="Q77" s="1388"/>
      <c r="R77" s="1389">
        <f t="shared" si="49"/>
        <v>0</v>
      </c>
      <c r="S77" s="734"/>
      <c r="T77" s="1390">
        <v>0.62810596492589899</v>
      </c>
      <c r="U77" s="735"/>
      <c r="V77" s="1384">
        <f t="shared" si="50"/>
        <v>15.268105964925899</v>
      </c>
      <c r="W77" s="1383">
        <f t="shared" si="51"/>
        <v>6.8238940350740993</v>
      </c>
      <c r="X77" s="736"/>
      <c r="AD77" s="1391">
        <v>21.65016</v>
      </c>
      <c r="AE77" s="1392">
        <v>98</v>
      </c>
      <c r="AF77" s="1393">
        <v>14.64</v>
      </c>
      <c r="AG77" s="1394">
        <v>7.0101599999999991</v>
      </c>
    </row>
    <row r="78" spans="1:33" s="737" customFormat="1" ht="15" customHeight="1" thickBot="1">
      <c r="A78" s="1378"/>
      <c r="B78" s="1379" t="s">
        <v>217</v>
      </c>
      <c r="C78" s="707"/>
      <c r="D78" s="1380" t="s">
        <v>332</v>
      </c>
      <c r="E78" s="1459">
        <v>393.74</v>
      </c>
      <c r="F78" s="1382"/>
      <c r="G78" s="1382"/>
      <c r="H78" s="1383">
        <f t="shared" si="44"/>
        <v>393.74</v>
      </c>
      <c r="I78" s="734"/>
      <c r="J78" s="1396">
        <f t="shared" si="45"/>
        <v>393.74</v>
      </c>
      <c r="K78" s="1397">
        <f>'BETON Qte'!K78</f>
        <v>100</v>
      </c>
      <c r="L78" s="1398">
        <f t="shared" si="46"/>
        <v>69.028000000000006</v>
      </c>
      <c r="M78" s="1399">
        <f t="shared" si="47"/>
        <v>324.71199999999999</v>
      </c>
      <c r="N78" s="734"/>
      <c r="O78" s="1400">
        <f t="shared" si="48"/>
        <v>0</v>
      </c>
      <c r="P78" s="1401">
        <f t="shared" si="43"/>
        <v>0</v>
      </c>
      <c r="Q78" s="1402"/>
      <c r="R78" s="1403">
        <f t="shared" si="49"/>
        <v>0</v>
      </c>
      <c r="S78" s="734"/>
      <c r="T78" s="1514">
        <v>0</v>
      </c>
      <c r="U78" s="735"/>
      <c r="V78" s="1396">
        <f t="shared" si="50"/>
        <v>69.028000000000006</v>
      </c>
      <c r="W78" s="1399">
        <f t="shared" si="51"/>
        <v>324.71199999999999</v>
      </c>
      <c r="X78" s="736"/>
      <c r="AD78" s="1404">
        <v>393.74</v>
      </c>
      <c r="AE78" s="1405">
        <v>100</v>
      </c>
      <c r="AF78" s="1406">
        <v>69.028000000000006</v>
      </c>
      <c r="AG78" s="1407">
        <v>324.71199999999999</v>
      </c>
    </row>
    <row r="79" spans="1:33" s="733" customFormat="1" ht="19.5" customHeight="1" thickBot="1">
      <c r="A79" s="1419" t="s">
        <v>583</v>
      </c>
      <c r="B79" s="1420" t="s">
        <v>584</v>
      </c>
      <c r="C79" s="731"/>
      <c r="D79" s="1421" t="s">
        <v>332</v>
      </c>
      <c r="E79" s="1422">
        <f>SUM(E80:E86)</f>
        <v>914.21100000000001</v>
      </c>
      <c r="F79" s="1364">
        <f>SUM(F80:F86)</f>
        <v>0</v>
      </c>
      <c r="G79" s="1364">
        <f>SUM(G80:G86)</f>
        <v>0</v>
      </c>
      <c r="H79" s="1409">
        <f>SUM(H80:H86)</f>
        <v>914.21100000000001</v>
      </c>
      <c r="I79" s="732"/>
      <c r="J79" s="1408">
        <f>SUM(J80:J86)</f>
        <v>70.287120000000002</v>
      </c>
      <c r="K79" s="1340">
        <f>IFERROR(J79/H79,"")</f>
        <v>7.6882820267968777E-2</v>
      </c>
      <c r="L79" s="1364">
        <f>SUM(L80:L86)</f>
        <v>123.63200000000001</v>
      </c>
      <c r="M79" s="1409">
        <f>SUM(M80:M86)</f>
        <v>-53.344879999999996</v>
      </c>
      <c r="N79" s="732"/>
      <c r="O79" s="1515">
        <f>SUM(O80:O86)</f>
        <v>0</v>
      </c>
      <c r="P79" s="1516">
        <f t="shared" si="43"/>
        <v>0</v>
      </c>
      <c r="Q79" s="1371">
        <f>SUM(Q80:Q86)</f>
        <v>0</v>
      </c>
      <c r="R79" s="1341">
        <f>SUM(R80:R86)</f>
        <v>0</v>
      </c>
      <c r="S79" s="732"/>
      <c r="T79" s="1518">
        <f>SUM(T80:T86)</f>
        <v>1053.4214603311691</v>
      </c>
      <c r="U79" s="732"/>
      <c r="V79" s="1408">
        <f>SUM(V80:V86)</f>
        <v>1177.0534603311692</v>
      </c>
      <c r="W79" s="1409">
        <f>SUM(W80:W86)</f>
        <v>-262.84246033116892</v>
      </c>
      <c r="X79" s="729"/>
      <c r="AD79" s="1415">
        <v>70.287120000000002</v>
      </c>
      <c r="AE79" s="1416">
        <v>7.6882820267968777E-2</v>
      </c>
      <c r="AF79" s="1417">
        <v>123.63200000000001</v>
      </c>
      <c r="AG79" s="1418">
        <v>-53.344879999999996</v>
      </c>
    </row>
    <row r="80" spans="1:33" s="737" customFormat="1" ht="15" customHeight="1">
      <c r="A80" s="1378"/>
      <c r="B80" s="1379" t="s">
        <v>220</v>
      </c>
      <c r="C80" s="707"/>
      <c r="D80" s="1380" t="s">
        <v>332</v>
      </c>
      <c r="E80" s="1459">
        <v>0</v>
      </c>
      <c r="F80" s="1382"/>
      <c r="G80" s="1382"/>
      <c r="H80" s="1383">
        <f t="shared" ref="H80:H86" si="52">SUM(E80:G80)</f>
        <v>0</v>
      </c>
      <c r="I80" s="734"/>
      <c r="J80" s="1384">
        <f t="shared" ref="J80:J86" si="53">H80*K80/100</f>
        <v>0</v>
      </c>
      <c r="K80" s="1385">
        <f>'BETON Qte'!K80</f>
        <v>12</v>
      </c>
      <c r="L80" s="1382">
        <f t="shared" ref="L80:L86" si="54">Q80+AF80</f>
        <v>16.738</v>
      </c>
      <c r="M80" s="1383">
        <f t="shared" ref="M80:M86" si="55">J80-L80</f>
        <v>-16.738</v>
      </c>
      <c r="N80" s="734"/>
      <c r="O80" s="1386">
        <f t="shared" ref="O80:O86" si="56">J80-AD80</f>
        <v>0</v>
      </c>
      <c r="P80" s="1387" t="str">
        <f t="shared" si="43"/>
        <v/>
      </c>
      <c r="Q80" s="1388"/>
      <c r="R80" s="1389">
        <f t="shared" ref="R80:R86" si="57">O80-Q80</f>
        <v>0</v>
      </c>
      <c r="S80" s="734"/>
      <c r="T80" s="1390">
        <v>123.011905227168</v>
      </c>
      <c r="U80" s="735"/>
      <c r="V80" s="1384">
        <f t="shared" ref="V80:V86" si="58">L80+T80</f>
        <v>139.749905227168</v>
      </c>
      <c r="W80" s="1383">
        <f t="shared" ref="W80:W86" si="59">H80-V80</f>
        <v>-139.749905227168</v>
      </c>
      <c r="X80" s="736"/>
      <c r="AD80" s="1391">
        <v>0</v>
      </c>
      <c r="AE80" s="1392">
        <v>12</v>
      </c>
      <c r="AF80" s="1393">
        <v>16.738</v>
      </c>
      <c r="AG80" s="1394">
        <v>-16.738</v>
      </c>
    </row>
    <row r="81" spans="1:33" s="737" customFormat="1" ht="15" customHeight="1">
      <c r="A81" s="1378"/>
      <c r="B81" s="1379" t="s">
        <v>221</v>
      </c>
      <c r="C81" s="707"/>
      <c r="D81" s="1380" t="s">
        <v>332</v>
      </c>
      <c r="E81" s="1459">
        <v>0</v>
      </c>
      <c r="F81" s="1382"/>
      <c r="G81" s="1382"/>
      <c r="H81" s="1383">
        <f t="shared" si="52"/>
        <v>0</v>
      </c>
      <c r="I81" s="734"/>
      <c r="J81" s="1384">
        <f t="shared" si="53"/>
        <v>0</v>
      </c>
      <c r="K81" s="1385">
        <f>'BETON Qte'!K81</f>
        <v>18</v>
      </c>
      <c r="L81" s="1382">
        <f t="shared" si="54"/>
        <v>65.608999999999995</v>
      </c>
      <c r="M81" s="1383">
        <f t="shared" si="55"/>
        <v>-65.608999999999995</v>
      </c>
      <c r="N81" s="734"/>
      <c r="O81" s="1386">
        <f t="shared" si="56"/>
        <v>0</v>
      </c>
      <c r="P81" s="1387" t="str">
        <f t="shared" si="43"/>
        <v/>
      </c>
      <c r="Q81" s="1388"/>
      <c r="R81" s="1389">
        <f t="shared" si="57"/>
        <v>0</v>
      </c>
      <c r="S81" s="734"/>
      <c r="T81" s="1390">
        <v>344.787555104001</v>
      </c>
      <c r="U81" s="735"/>
      <c r="V81" s="1384">
        <f t="shared" si="58"/>
        <v>410.39655510400098</v>
      </c>
      <c r="W81" s="1383">
        <f t="shared" si="59"/>
        <v>-410.39655510400098</v>
      </c>
      <c r="X81" s="736"/>
      <c r="AD81" s="1391">
        <v>0</v>
      </c>
      <c r="AE81" s="1392">
        <v>18</v>
      </c>
      <c r="AF81" s="1393">
        <v>65.608999999999995</v>
      </c>
      <c r="AG81" s="1394">
        <v>-65.608999999999995</v>
      </c>
    </row>
    <row r="82" spans="1:33" s="737" customFormat="1" ht="15" customHeight="1">
      <c r="A82" s="1378"/>
      <c r="B82" s="1379" t="s">
        <v>222</v>
      </c>
      <c r="C82" s="707"/>
      <c r="D82" s="1380" t="s">
        <v>332</v>
      </c>
      <c r="E82" s="1459">
        <v>0</v>
      </c>
      <c r="F82" s="1382"/>
      <c r="G82" s="1382"/>
      <c r="H82" s="1383">
        <f t="shared" si="52"/>
        <v>0</v>
      </c>
      <c r="I82" s="734"/>
      <c r="J82" s="1384">
        <f t="shared" si="53"/>
        <v>0</v>
      </c>
      <c r="K82" s="1385">
        <f>'BETON Qte'!K82</f>
        <v>0</v>
      </c>
      <c r="L82" s="1382">
        <f t="shared" si="54"/>
        <v>0</v>
      </c>
      <c r="M82" s="1383">
        <f t="shared" si="55"/>
        <v>0</v>
      </c>
      <c r="N82" s="734"/>
      <c r="O82" s="1386">
        <f t="shared" si="56"/>
        <v>0</v>
      </c>
      <c r="P82" s="1387" t="str">
        <f t="shared" si="43"/>
        <v/>
      </c>
      <c r="Q82" s="1388"/>
      <c r="R82" s="1389">
        <f t="shared" si="57"/>
        <v>0</v>
      </c>
      <c r="S82" s="734"/>
      <c r="T82" s="1390">
        <v>0</v>
      </c>
      <c r="U82" s="735"/>
      <c r="V82" s="1384">
        <f t="shared" si="58"/>
        <v>0</v>
      </c>
      <c r="W82" s="1383">
        <f t="shared" si="59"/>
        <v>0</v>
      </c>
      <c r="X82" s="736"/>
      <c r="AD82" s="1391">
        <v>0</v>
      </c>
      <c r="AE82" s="1392">
        <v>0</v>
      </c>
      <c r="AF82" s="1393">
        <v>0</v>
      </c>
      <c r="AG82" s="1394">
        <v>0</v>
      </c>
    </row>
    <row r="83" spans="1:33" s="737" customFormat="1" ht="15" customHeight="1">
      <c r="A83" s="1378"/>
      <c r="B83" s="1379" t="s">
        <v>223</v>
      </c>
      <c r="C83" s="707"/>
      <c r="D83" s="1380" t="s">
        <v>332</v>
      </c>
      <c r="E83" s="1459">
        <v>0</v>
      </c>
      <c r="F83" s="1382"/>
      <c r="G83" s="1382"/>
      <c r="H83" s="1383">
        <f t="shared" si="52"/>
        <v>0</v>
      </c>
      <c r="I83" s="734"/>
      <c r="J83" s="1384">
        <f t="shared" si="53"/>
        <v>0</v>
      </c>
      <c r="K83" s="1385">
        <f>'BETON Qte'!K83</f>
        <v>0</v>
      </c>
      <c r="L83" s="1382">
        <f t="shared" si="54"/>
        <v>0</v>
      </c>
      <c r="M83" s="1383">
        <f t="shared" si="55"/>
        <v>0</v>
      </c>
      <c r="N83" s="734"/>
      <c r="O83" s="1386">
        <f t="shared" si="56"/>
        <v>0</v>
      </c>
      <c r="P83" s="1387" t="str">
        <f t="shared" si="43"/>
        <v/>
      </c>
      <c r="Q83" s="1388"/>
      <c r="R83" s="1389">
        <f t="shared" si="57"/>
        <v>0</v>
      </c>
      <c r="S83" s="734"/>
      <c r="T83" s="1390">
        <v>0</v>
      </c>
      <c r="U83" s="735"/>
      <c r="V83" s="1384">
        <f t="shared" si="58"/>
        <v>0</v>
      </c>
      <c r="W83" s="1383">
        <f t="shared" si="59"/>
        <v>0</v>
      </c>
      <c r="X83" s="736"/>
      <c r="AD83" s="1391">
        <v>0</v>
      </c>
      <c r="AE83" s="1392">
        <v>0</v>
      </c>
      <c r="AF83" s="1393">
        <v>0</v>
      </c>
      <c r="AG83" s="1394">
        <v>0</v>
      </c>
    </row>
    <row r="84" spans="1:33" s="737" customFormat="1" ht="15" customHeight="1">
      <c r="A84" s="1378"/>
      <c r="B84" s="1379" t="s">
        <v>224</v>
      </c>
      <c r="C84" s="707"/>
      <c r="D84" s="1380" t="s">
        <v>332</v>
      </c>
      <c r="E84" s="1459">
        <v>878.58900000000006</v>
      </c>
      <c r="F84" s="1382"/>
      <c r="G84" s="1382"/>
      <c r="H84" s="1383">
        <f t="shared" si="52"/>
        <v>878.58900000000006</v>
      </c>
      <c r="I84" s="734"/>
      <c r="J84" s="1384">
        <f t="shared" si="53"/>
        <v>70.287120000000002</v>
      </c>
      <c r="K84" s="1385">
        <f>'BETON Qte'!K84</f>
        <v>8</v>
      </c>
      <c r="L84" s="1382">
        <f t="shared" si="54"/>
        <v>41.285000000000004</v>
      </c>
      <c r="M84" s="1383">
        <f t="shared" si="55"/>
        <v>29.002119999999998</v>
      </c>
      <c r="N84" s="734"/>
      <c r="O84" s="1386">
        <f t="shared" si="56"/>
        <v>0</v>
      </c>
      <c r="P84" s="1387">
        <f t="shared" si="43"/>
        <v>0</v>
      </c>
      <c r="Q84" s="1388"/>
      <c r="R84" s="1389">
        <f t="shared" si="57"/>
        <v>0</v>
      </c>
      <c r="S84" s="734"/>
      <c r="T84" s="1390">
        <v>550</v>
      </c>
      <c r="U84" s="735"/>
      <c r="V84" s="1384">
        <f t="shared" si="58"/>
        <v>591.28499999999997</v>
      </c>
      <c r="W84" s="1383">
        <f t="shared" si="59"/>
        <v>287.30400000000009</v>
      </c>
      <c r="X84" s="736"/>
      <c r="AD84" s="1391">
        <v>70.287120000000002</v>
      </c>
      <c r="AE84" s="1392">
        <v>8</v>
      </c>
      <c r="AF84" s="1393">
        <v>41.285000000000004</v>
      </c>
      <c r="AG84" s="1394">
        <v>29.002119999999998</v>
      </c>
    </row>
    <row r="85" spans="1:33" s="737" customFormat="1" ht="15" customHeight="1">
      <c r="A85" s="1378"/>
      <c r="B85" s="1458" t="s">
        <v>585</v>
      </c>
      <c r="C85" s="707"/>
      <c r="D85" s="1380" t="s">
        <v>332</v>
      </c>
      <c r="E85" s="1459">
        <v>12.942</v>
      </c>
      <c r="F85" s="1382"/>
      <c r="G85" s="1382"/>
      <c r="H85" s="1383">
        <f t="shared" si="52"/>
        <v>12.942</v>
      </c>
      <c r="I85" s="734"/>
      <c r="J85" s="1384">
        <f t="shared" si="53"/>
        <v>0</v>
      </c>
      <c r="K85" s="1385">
        <f>'BETON Qte'!K85</f>
        <v>0</v>
      </c>
      <c r="L85" s="1382">
        <f t="shared" si="54"/>
        <v>0</v>
      </c>
      <c r="M85" s="1383">
        <f t="shared" si="55"/>
        <v>0</v>
      </c>
      <c r="N85" s="734"/>
      <c r="O85" s="1386">
        <f t="shared" si="56"/>
        <v>0</v>
      </c>
      <c r="P85" s="1387">
        <f t="shared" si="43"/>
        <v>0</v>
      </c>
      <c r="Q85" s="1388"/>
      <c r="R85" s="1389">
        <f t="shared" si="57"/>
        <v>0</v>
      </c>
      <c r="S85" s="734"/>
      <c r="T85" s="1390">
        <v>12.942</v>
      </c>
      <c r="U85" s="735"/>
      <c r="V85" s="1384">
        <f t="shared" si="58"/>
        <v>12.942</v>
      </c>
      <c r="W85" s="1383">
        <f t="shared" si="59"/>
        <v>0</v>
      </c>
      <c r="X85" s="736"/>
      <c r="AD85" s="1391">
        <v>0</v>
      </c>
      <c r="AE85" s="1392">
        <v>0</v>
      </c>
      <c r="AF85" s="1393">
        <v>0</v>
      </c>
      <c r="AG85" s="1394">
        <v>0</v>
      </c>
    </row>
    <row r="86" spans="1:33" s="737" customFormat="1" ht="15" customHeight="1" thickBot="1">
      <c r="A86" s="1378"/>
      <c r="B86" s="1458" t="s">
        <v>229</v>
      </c>
      <c r="C86" s="707"/>
      <c r="D86" s="1380" t="s">
        <v>332</v>
      </c>
      <c r="E86" s="1459">
        <v>22.68</v>
      </c>
      <c r="F86" s="1382"/>
      <c r="G86" s="1382"/>
      <c r="H86" s="1383">
        <f t="shared" si="52"/>
        <v>22.68</v>
      </c>
      <c r="I86" s="734"/>
      <c r="J86" s="1396">
        <f t="shared" si="53"/>
        <v>0</v>
      </c>
      <c r="K86" s="1397">
        <f>'BETON Qte'!K86</f>
        <v>0</v>
      </c>
      <c r="L86" s="1398">
        <f t="shared" si="54"/>
        <v>0</v>
      </c>
      <c r="M86" s="1399">
        <f t="shared" si="55"/>
        <v>0</v>
      </c>
      <c r="N86" s="734"/>
      <c r="O86" s="1400">
        <f t="shared" si="56"/>
        <v>0</v>
      </c>
      <c r="P86" s="1401">
        <f t="shared" si="43"/>
        <v>0</v>
      </c>
      <c r="Q86" s="1402"/>
      <c r="R86" s="1403">
        <f t="shared" si="57"/>
        <v>0</v>
      </c>
      <c r="S86" s="734"/>
      <c r="T86" s="1514">
        <v>22.68</v>
      </c>
      <c r="U86" s="735"/>
      <c r="V86" s="1396">
        <f t="shared" si="58"/>
        <v>22.68</v>
      </c>
      <c r="W86" s="1399">
        <f t="shared" si="59"/>
        <v>0</v>
      </c>
      <c r="X86" s="736"/>
      <c r="AD86" s="1404">
        <v>0</v>
      </c>
      <c r="AE86" s="1405">
        <v>0</v>
      </c>
      <c r="AF86" s="1406">
        <v>0</v>
      </c>
      <c r="AG86" s="1407">
        <v>0</v>
      </c>
    </row>
    <row r="87" spans="1:33" s="733" customFormat="1" ht="19.5" customHeight="1" thickBot="1">
      <c r="A87" s="1419" t="s">
        <v>586</v>
      </c>
      <c r="B87" s="1420" t="s">
        <v>587</v>
      </c>
      <c r="C87" s="731"/>
      <c r="D87" s="1421" t="s">
        <v>332</v>
      </c>
      <c r="E87" s="1422">
        <f>SUM(E88:E89)</f>
        <v>6.5229399999999993</v>
      </c>
      <c r="F87" s="1364">
        <f>SUM(F88:F89)</f>
        <v>0</v>
      </c>
      <c r="G87" s="1364">
        <f>SUM(G88:G89)</f>
        <v>0</v>
      </c>
      <c r="H87" s="1409">
        <f>SUM(H88:H89)</f>
        <v>6.5229399999999993</v>
      </c>
      <c r="I87" s="732"/>
      <c r="J87" s="1408">
        <f>SUM(J88:J89)</f>
        <v>0</v>
      </c>
      <c r="K87" s="1340">
        <f>IFERROR(J87/H87,"")</f>
        <v>0</v>
      </c>
      <c r="L87" s="1364">
        <f>SUM(L88:L89)</f>
        <v>0</v>
      </c>
      <c r="M87" s="1409">
        <f>SUM(M88:M89)</f>
        <v>0</v>
      </c>
      <c r="N87" s="732"/>
      <c r="O87" s="1515">
        <f>SUM(O88:O89)</f>
        <v>0</v>
      </c>
      <c r="P87" s="1516">
        <f t="shared" si="43"/>
        <v>0</v>
      </c>
      <c r="Q87" s="1371">
        <f>SUM(Q88:Q89)</f>
        <v>0</v>
      </c>
      <c r="R87" s="1341">
        <f>SUM(R88:R89)</f>
        <v>0</v>
      </c>
      <c r="S87" s="732"/>
      <c r="T87" s="1518">
        <f>SUM(T88:T89)</f>
        <v>6.5229399999999993</v>
      </c>
      <c r="U87" s="732"/>
      <c r="V87" s="1408">
        <f>SUM(V88:V89)</f>
        <v>6.5229399999999993</v>
      </c>
      <c r="W87" s="1409">
        <f>SUM(W88:W89)</f>
        <v>0</v>
      </c>
      <c r="X87" s="729"/>
      <c r="AD87" s="1415">
        <v>0</v>
      </c>
      <c r="AE87" s="1416">
        <v>0</v>
      </c>
      <c r="AF87" s="1519">
        <v>0</v>
      </c>
      <c r="AG87" s="1418">
        <v>0</v>
      </c>
    </row>
    <row r="88" spans="1:33" s="737" customFormat="1" ht="15" customHeight="1">
      <c r="A88" s="1378"/>
      <c r="B88" s="1379" t="s">
        <v>232</v>
      </c>
      <c r="C88" s="707"/>
      <c r="D88" s="1380" t="s">
        <v>332</v>
      </c>
      <c r="E88" s="1459">
        <v>5.4896199999999995</v>
      </c>
      <c r="F88" s="1382"/>
      <c r="G88" s="1382"/>
      <c r="H88" s="1383">
        <f t="shared" ref="H88:H89" si="60">SUM(E88:G88)</f>
        <v>5.4896199999999995</v>
      </c>
      <c r="I88" s="734"/>
      <c r="J88" s="1384">
        <f t="shared" ref="J88:J89" si="61">H88*K88/100</f>
        <v>0</v>
      </c>
      <c r="K88" s="1385">
        <f>'BETON Qte'!K88</f>
        <v>0</v>
      </c>
      <c r="L88" s="1382">
        <f t="shared" ref="L88:L89" si="62">Q88+AF88</f>
        <v>0</v>
      </c>
      <c r="M88" s="1383">
        <f t="shared" ref="M88:M89" si="63">J88-L88</f>
        <v>0</v>
      </c>
      <c r="N88" s="734"/>
      <c r="O88" s="1386">
        <f t="shared" ref="O88:O89" si="64">J88-AD88</f>
        <v>0</v>
      </c>
      <c r="P88" s="1387">
        <f t="shared" si="43"/>
        <v>0</v>
      </c>
      <c r="Q88" s="1388"/>
      <c r="R88" s="1389">
        <f t="shared" ref="R88:R89" si="65">O88-Q88</f>
        <v>0</v>
      </c>
      <c r="S88" s="734"/>
      <c r="T88" s="1390">
        <v>5.4896199999999995</v>
      </c>
      <c r="U88" s="735"/>
      <c r="V88" s="1384">
        <f t="shared" ref="V88:V89" si="66">L88+T88</f>
        <v>5.4896199999999995</v>
      </c>
      <c r="W88" s="1383">
        <f t="shared" ref="W88:W89" si="67">H88-V88</f>
        <v>0</v>
      </c>
      <c r="X88" s="736"/>
      <c r="AD88" s="1391">
        <v>0</v>
      </c>
      <c r="AE88" s="1392">
        <v>0</v>
      </c>
      <c r="AF88" s="1393">
        <v>0</v>
      </c>
      <c r="AG88" s="1394">
        <v>0</v>
      </c>
    </row>
    <row r="89" spans="1:33" s="737" customFormat="1" ht="15" customHeight="1" thickBot="1">
      <c r="A89" s="1378"/>
      <c r="B89" s="1379" t="s">
        <v>233</v>
      </c>
      <c r="C89" s="707"/>
      <c r="D89" s="1380" t="s">
        <v>332</v>
      </c>
      <c r="E89" s="1459">
        <v>1.03332</v>
      </c>
      <c r="F89" s="1382"/>
      <c r="G89" s="1382"/>
      <c r="H89" s="1383">
        <f t="shared" si="60"/>
        <v>1.03332</v>
      </c>
      <c r="I89" s="734"/>
      <c r="J89" s="1396">
        <f t="shared" si="61"/>
        <v>0</v>
      </c>
      <c r="K89" s="1397">
        <f>'BETON Qte'!K89</f>
        <v>0</v>
      </c>
      <c r="L89" s="1398">
        <f t="shared" si="62"/>
        <v>0</v>
      </c>
      <c r="M89" s="1399">
        <f t="shared" si="63"/>
        <v>0</v>
      </c>
      <c r="N89" s="734"/>
      <c r="O89" s="1400">
        <f t="shared" si="64"/>
        <v>0</v>
      </c>
      <c r="P89" s="1401">
        <f t="shared" si="43"/>
        <v>0</v>
      </c>
      <c r="Q89" s="1402"/>
      <c r="R89" s="1403">
        <f t="shared" si="65"/>
        <v>0</v>
      </c>
      <c r="S89" s="734"/>
      <c r="T89" s="1514">
        <v>1.03332</v>
      </c>
      <c r="U89" s="735"/>
      <c r="V89" s="1396">
        <f t="shared" si="66"/>
        <v>1.03332</v>
      </c>
      <c r="W89" s="1399">
        <f t="shared" si="67"/>
        <v>0</v>
      </c>
      <c r="X89" s="736"/>
      <c r="AD89" s="1404">
        <v>0</v>
      </c>
      <c r="AE89" s="1405">
        <v>0</v>
      </c>
      <c r="AF89" s="1406">
        <v>0</v>
      </c>
      <c r="AG89" s="1407">
        <v>0</v>
      </c>
    </row>
    <row r="90" spans="1:33" s="733" customFormat="1" ht="19.5" customHeight="1" thickBot="1">
      <c r="A90" s="1419" t="s">
        <v>588</v>
      </c>
      <c r="B90" s="1420" t="s">
        <v>589</v>
      </c>
      <c r="C90" s="731"/>
      <c r="D90" s="1421" t="s">
        <v>332</v>
      </c>
      <c r="E90" s="1422">
        <f>SUM(E91:E92)</f>
        <v>0</v>
      </c>
      <c r="F90" s="1364">
        <f>SUM(F91:F92)</f>
        <v>0</v>
      </c>
      <c r="G90" s="1364">
        <f>SUM(G91:G92)</f>
        <v>0</v>
      </c>
      <c r="H90" s="1409">
        <f>SUM(H91:H92)</f>
        <v>0</v>
      </c>
      <c r="I90" s="732"/>
      <c r="J90" s="1408">
        <f>SUM(J91:J92)</f>
        <v>0</v>
      </c>
      <c r="K90" s="1340" t="str">
        <f>IFERROR(J90/H90,"")</f>
        <v/>
      </c>
      <c r="L90" s="1364">
        <f>SUM(L91:L92)</f>
        <v>0</v>
      </c>
      <c r="M90" s="1409">
        <f>SUM(M91:M92)</f>
        <v>0</v>
      </c>
      <c r="N90" s="732"/>
      <c r="O90" s="1515">
        <f>SUM(O91:O92)</f>
        <v>0</v>
      </c>
      <c r="P90" s="1516" t="str">
        <f t="shared" si="43"/>
        <v/>
      </c>
      <c r="Q90" s="1371">
        <f>SUM(Q91:Q92)</f>
        <v>0</v>
      </c>
      <c r="R90" s="1341">
        <f>SUM(R91:R92)</f>
        <v>0</v>
      </c>
      <c r="S90" s="732"/>
      <c r="T90" s="1518">
        <f>SUM(T91:T92)</f>
        <v>0</v>
      </c>
      <c r="U90" s="732"/>
      <c r="V90" s="1408">
        <f>SUM(V91:V92)</f>
        <v>0</v>
      </c>
      <c r="W90" s="1409">
        <f>SUM(W91:W92)</f>
        <v>0</v>
      </c>
      <c r="X90" s="729"/>
      <c r="AD90" s="1415">
        <v>0</v>
      </c>
      <c r="AE90" s="1416" t="s">
        <v>67</v>
      </c>
      <c r="AF90" s="1417">
        <v>0</v>
      </c>
      <c r="AG90" s="1418">
        <v>0</v>
      </c>
    </row>
    <row r="91" spans="1:33" s="737" customFormat="1" ht="15" customHeight="1">
      <c r="A91" s="1378"/>
      <c r="B91" s="1379" t="s">
        <v>236</v>
      </c>
      <c r="C91" s="707"/>
      <c r="D91" s="1380" t="s">
        <v>332</v>
      </c>
      <c r="E91" s="1381">
        <v>0</v>
      </c>
      <c r="F91" s="1382"/>
      <c r="G91" s="1382"/>
      <c r="H91" s="1383">
        <f>SUM(E91:G91)</f>
        <v>0</v>
      </c>
      <c r="I91" s="734"/>
      <c r="J91" s="1384">
        <f>H91*K91/100</f>
        <v>0</v>
      </c>
      <c r="K91" s="1385">
        <f>'BETON Qte'!K91</f>
        <v>0</v>
      </c>
      <c r="L91" s="1382">
        <f>Q91+AF91</f>
        <v>0</v>
      </c>
      <c r="M91" s="1383">
        <f>J91-L91</f>
        <v>0</v>
      </c>
      <c r="N91" s="734"/>
      <c r="O91" s="1386">
        <f>J91-AD91</f>
        <v>0</v>
      </c>
      <c r="P91" s="1387" t="str">
        <f t="shared" si="43"/>
        <v/>
      </c>
      <c r="Q91" s="1388"/>
      <c r="R91" s="1389">
        <f>O91-Q91</f>
        <v>0</v>
      </c>
      <c r="S91" s="734"/>
      <c r="T91" s="1390">
        <v>0</v>
      </c>
      <c r="U91" s="735"/>
      <c r="V91" s="1384">
        <f t="shared" ref="V91:V92" si="68">L91+T91</f>
        <v>0</v>
      </c>
      <c r="W91" s="1383">
        <f t="shared" ref="W91:W92" si="69">H91-V91</f>
        <v>0</v>
      </c>
      <c r="X91" s="736"/>
      <c r="AD91" s="1391">
        <v>0</v>
      </c>
      <c r="AE91" s="1392">
        <v>0</v>
      </c>
      <c r="AF91" s="1393">
        <v>0</v>
      </c>
      <c r="AG91" s="1394">
        <v>0</v>
      </c>
    </row>
    <row r="92" spans="1:33" s="737" customFormat="1" ht="15" customHeight="1" thickBot="1">
      <c r="A92" s="1378"/>
      <c r="B92" s="1379" t="s">
        <v>237</v>
      </c>
      <c r="C92" s="707"/>
      <c r="D92" s="1380" t="s">
        <v>332</v>
      </c>
      <c r="E92" s="1381">
        <v>0</v>
      </c>
      <c r="F92" s="1382"/>
      <c r="G92" s="1382"/>
      <c r="H92" s="1383">
        <f>SUM(E92:G92)</f>
        <v>0</v>
      </c>
      <c r="I92" s="734"/>
      <c r="J92" s="1396">
        <f>H92*K92/100</f>
        <v>0</v>
      </c>
      <c r="K92" s="1397">
        <f>'BETON Qte'!K92</f>
        <v>0</v>
      </c>
      <c r="L92" s="1398">
        <f>Q92+AF92</f>
        <v>0</v>
      </c>
      <c r="M92" s="1399">
        <f>J92-L92</f>
        <v>0</v>
      </c>
      <c r="N92" s="734"/>
      <c r="O92" s="1400">
        <f>J92-AD92</f>
        <v>0</v>
      </c>
      <c r="P92" s="1401" t="str">
        <f t="shared" si="43"/>
        <v/>
      </c>
      <c r="Q92" s="1402"/>
      <c r="R92" s="1403">
        <f>O92-Q92</f>
        <v>0</v>
      </c>
      <c r="S92" s="734"/>
      <c r="T92" s="1514">
        <v>0</v>
      </c>
      <c r="U92" s="735"/>
      <c r="V92" s="1396">
        <f t="shared" si="68"/>
        <v>0</v>
      </c>
      <c r="W92" s="1399">
        <f t="shared" si="69"/>
        <v>0</v>
      </c>
      <c r="X92" s="736"/>
      <c r="AD92" s="1404">
        <v>0</v>
      </c>
      <c r="AE92" s="1405">
        <v>0</v>
      </c>
      <c r="AF92" s="1406">
        <v>0</v>
      </c>
      <c r="AG92" s="1407">
        <v>0</v>
      </c>
    </row>
    <row r="93" spans="1:33" s="733" customFormat="1" ht="19.5" customHeight="1" thickBot="1">
      <c r="A93" s="1419" t="s">
        <v>590</v>
      </c>
      <c r="B93" s="1420" t="s">
        <v>591</v>
      </c>
      <c r="C93" s="731"/>
      <c r="D93" s="1421" t="s">
        <v>332</v>
      </c>
      <c r="E93" s="1422">
        <f>SUM(E94:E108)</f>
        <v>13.049999999999999</v>
      </c>
      <c r="F93" s="1364">
        <f>SUM(F94:F108)</f>
        <v>0</v>
      </c>
      <c r="G93" s="1364">
        <f>SUM(G94:G108)</f>
        <v>0</v>
      </c>
      <c r="H93" s="1409">
        <f>SUM(H94:H108)</f>
        <v>13.049999999999999</v>
      </c>
      <c r="I93" s="732"/>
      <c r="J93" s="1408">
        <f>SUM(J94:J108)</f>
        <v>0</v>
      </c>
      <c r="K93" s="1340">
        <f>IFERROR(J93/H93,"")</f>
        <v>0</v>
      </c>
      <c r="L93" s="1364">
        <f>SUM(L94:L108)</f>
        <v>0</v>
      </c>
      <c r="M93" s="1409">
        <f>SUM(M94:M108)</f>
        <v>0</v>
      </c>
      <c r="N93" s="732"/>
      <c r="O93" s="1515">
        <f>SUM(O94:O108)</f>
        <v>0</v>
      </c>
      <c r="P93" s="1516">
        <f t="shared" si="43"/>
        <v>0</v>
      </c>
      <c r="Q93" s="1371">
        <f>SUM(Q94:Q108)</f>
        <v>0</v>
      </c>
      <c r="R93" s="1341">
        <f>SUM(R94:R108)</f>
        <v>0</v>
      </c>
      <c r="S93" s="732"/>
      <c r="T93" s="1518">
        <f>SUM(T94:T108)</f>
        <v>13.049999999999999</v>
      </c>
      <c r="U93" s="732"/>
      <c r="V93" s="1408">
        <f>SUM(V94:V108)</f>
        <v>13.049999999999999</v>
      </c>
      <c r="W93" s="1409">
        <f>SUM(W94:W108)</f>
        <v>0</v>
      </c>
      <c r="X93" s="729"/>
      <c r="AD93" s="1415">
        <v>0</v>
      </c>
      <c r="AE93" s="1416">
        <v>0</v>
      </c>
      <c r="AF93" s="1417">
        <v>0</v>
      </c>
      <c r="AG93" s="1418">
        <v>0</v>
      </c>
    </row>
    <row r="94" spans="1:33" s="737" customFormat="1" ht="15" customHeight="1">
      <c r="A94" s="1378"/>
      <c r="B94" s="1379" t="s">
        <v>240</v>
      </c>
      <c r="C94" s="707"/>
      <c r="D94" s="1380" t="s">
        <v>332</v>
      </c>
      <c r="E94" s="1459">
        <v>1.0229999999999999</v>
      </c>
      <c r="F94" s="1382"/>
      <c r="G94" s="1382"/>
      <c r="H94" s="1383">
        <f t="shared" ref="H94:H108" si="70">SUM(E94:G94)</f>
        <v>1.0229999999999999</v>
      </c>
      <c r="I94" s="734"/>
      <c r="J94" s="1384">
        <f t="shared" ref="J94:J108" si="71">H94*K94/100</f>
        <v>0</v>
      </c>
      <c r="K94" s="1385">
        <f>'BETON Qte'!K94</f>
        <v>0</v>
      </c>
      <c r="L94" s="1382">
        <f t="shared" ref="L94:L108" si="72">Q94+AF94</f>
        <v>0</v>
      </c>
      <c r="M94" s="1383">
        <f t="shared" ref="M94:M108" si="73">J94-L94</f>
        <v>0</v>
      </c>
      <c r="N94" s="734"/>
      <c r="O94" s="1386">
        <f t="shared" ref="O94:O108" si="74">J94-AD94</f>
        <v>0</v>
      </c>
      <c r="P94" s="1387">
        <f t="shared" si="43"/>
        <v>0</v>
      </c>
      <c r="Q94" s="1388"/>
      <c r="R94" s="1389">
        <f t="shared" ref="R94:R108" si="75">O94-Q94</f>
        <v>0</v>
      </c>
      <c r="S94" s="734"/>
      <c r="T94" s="1390">
        <v>1.0229999999999999</v>
      </c>
      <c r="U94" s="735"/>
      <c r="V94" s="1384">
        <f t="shared" ref="V94:V108" si="76">L94+T94</f>
        <v>1.0229999999999999</v>
      </c>
      <c r="W94" s="1383">
        <f t="shared" ref="W94:W108" si="77">H94-V94</f>
        <v>0</v>
      </c>
      <c r="X94" s="736"/>
      <c r="AD94" s="1391">
        <v>0</v>
      </c>
      <c r="AE94" s="1392">
        <v>0</v>
      </c>
      <c r="AF94" s="1393">
        <v>0</v>
      </c>
      <c r="AG94" s="1394">
        <v>0</v>
      </c>
    </row>
    <row r="95" spans="1:33" s="737" customFormat="1" ht="15" customHeight="1">
      <c r="A95" s="1378"/>
      <c r="B95" s="1379" t="s">
        <v>241</v>
      </c>
      <c r="C95" s="707"/>
      <c r="D95" s="1380" t="s">
        <v>332</v>
      </c>
      <c r="E95" s="1459">
        <v>0</v>
      </c>
      <c r="F95" s="1382"/>
      <c r="G95" s="1382"/>
      <c r="H95" s="1383">
        <f t="shared" si="70"/>
        <v>0</v>
      </c>
      <c r="I95" s="734"/>
      <c r="J95" s="1384">
        <f t="shared" si="71"/>
        <v>0</v>
      </c>
      <c r="K95" s="1385">
        <f>'BETON Qte'!K95</f>
        <v>0</v>
      </c>
      <c r="L95" s="1382">
        <f t="shared" si="72"/>
        <v>0</v>
      </c>
      <c r="M95" s="1383">
        <f t="shared" si="73"/>
        <v>0</v>
      </c>
      <c r="N95" s="734"/>
      <c r="O95" s="1386">
        <f t="shared" si="74"/>
        <v>0</v>
      </c>
      <c r="P95" s="1387" t="str">
        <f t="shared" si="43"/>
        <v/>
      </c>
      <c r="Q95" s="1388"/>
      <c r="R95" s="1389">
        <f t="shared" si="75"/>
        <v>0</v>
      </c>
      <c r="S95" s="734"/>
      <c r="T95" s="1390">
        <v>0</v>
      </c>
      <c r="U95" s="735"/>
      <c r="V95" s="1384">
        <f t="shared" si="76"/>
        <v>0</v>
      </c>
      <c r="W95" s="1383">
        <f t="shared" si="77"/>
        <v>0</v>
      </c>
      <c r="X95" s="736"/>
      <c r="AD95" s="1391">
        <v>0</v>
      </c>
      <c r="AE95" s="1392">
        <v>0</v>
      </c>
      <c r="AF95" s="1393">
        <v>0</v>
      </c>
      <c r="AG95" s="1394">
        <v>0</v>
      </c>
    </row>
    <row r="96" spans="1:33" s="737" customFormat="1" ht="15" customHeight="1">
      <c r="A96" s="1378"/>
      <c r="B96" s="1379" t="s">
        <v>242</v>
      </c>
      <c r="C96" s="707"/>
      <c r="D96" s="1380" t="s">
        <v>332</v>
      </c>
      <c r="E96" s="1459">
        <v>0</v>
      </c>
      <c r="F96" s="1382"/>
      <c r="G96" s="1382"/>
      <c r="H96" s="1383">
        <f t="shared" si="70"/>
        <v>0</v>
      </c>
      <c r="I96" s="734"/>
      <c r="J96" s="1384">
        <f t="shared" si="71"/>
        <v>0</v>
      </c>
      <c r="K96" s="1385">
        <f>'BETON Qte'!K96</f>
        <v>0</v>
      </c>
      <c r="L96" s="1382">
        <f t="shared" si="72"/>
        <v>0</v>
      </c>
      <c r="M96" s="1383">
        <f t="shared" si="73"/>
        <v>0</v>
      </c>
      <c r="N96" s="734"/>
      <c r="O96" s="1386">
        <f t="shared" si="74"/>
        <v>0</v>
      </c>
      <c r="P96" s="1387" t="str">
        <f t="shared" si="43"/>
        <v/>
      </c>
      <c r="Q96" s="1388"/>
      <c r="R96" s="1389">
        <f t="shared" si="75"/>
        <v>0</v>
      </c>
      <c r="S96" s="734"/>
      <c r="T96" s="1390">
        <v>0</v>
      </c>
      <c r="U96" s="735"/>
      <c r="V96" s="1384">
        <f t="shared" si="76"/>
        <v>0</v>
      </c>
      <c r="W96" s="1383">
        <f t="shared" si="77"/>
        <v>0</v>
      </c>
      <c r="X96" s="736"/>
      <c r="AD96" s="1391">
        <v>0</v>
      </c>
      <c r="AE96" s="1392">
        <v>0</v>
      </c>
      <c r="AF96" s="1393">
        <v>0</v>
      </c>
      <c r="AG96" s="1394">
        <v>0</v>
      </c>
    </row>
    <row r="97" spans="1:33" s="737" customFormat="1" ht="15" customHeight="1">
      <c r="A97" s="1378"/>
      <c r="B97" s="1379" t="s">
        <v>243</v>
      </c>
      <c r="C97" s="707"/>
      <c r="D97" s="1380" t="s">
        <v>332</v>
      </c>
      <c r="E97" s="1459">
        <v>0</v>
      </c>
      <c r="F97" s="1382"/>
      <c r="G97" s="1382"/>
      <c r="H97" s="1383">
        <f t="shared" si="70"/>
        <v>0</v>
      </c>
      <c r="I97" s="734"/>
      <c r="J97" s="1384">
        <f t="shared" si="71"/>
        <v>0</v>
      </c>
      <c r="K97" s="1385">
        <f>'BETON Qte'!K97</f>
        <v>0</v>
      </c>
      <c r="L97" s="1382">
        <f t="shared" si="72"/>
        <v>0</v>
      </c>
      <c r="M97" s="1383">
        <f t="shared" si="73"/>
        <v>0</v>
      </c>
      <c r="N97" s="734"/>
      <c r="O97" s="1386">
        <f t="shared" si="74"/>
        <v>0</v>
      </c>
      <c r="P97" s="1387" t="str">
        <f t="shared" si="43"/>
        <v/>
      </c>
      <c r="Q97" s="1388"/>
      <c r="R97" s="1389">
        <f t="shared" si="75"/>
        <v>0</v>
      </c>
      <c r="S97" s="734"/>
      <c r="T97" s="1390">
        <v>0</v>
      </c>
      <c r="U97" s="735"/>
      <c r="V97" s="1384">
        <f t="shared" si="76"/>
        <v>0</v>
      </c>
      <c r="W97" s="1383">
        <f t="shared" si="77"/>
        <v>0</v>
      </c>
      <c r="X97" s="736"/>
      <c r="AD97" s="1391">
        <v>0</v>
      </c>
      <c r="AE97" s="1392">
        <v>0</v>
      </c>
      <c r="AF97" s="1393">
        <v>0</v>
      </c>
      <c r="AG97" s="1394">
        <v>0</v>
      </c>
    </row>
    <row r="98" spans="1:33" s="737" customFormat="1" ht="15" customHeight="1">
      <c r="A98" s="1378"/>
      <c r="B98" s="1379" t="s">
        <v>244</v>
      </c>
      <c r="C98" s="707"/>
      <c r="D98" s="1380" t="s">
        <v>332</v>
      </c>
      <c r="E98" s="1459">
        <v>0</v>
      </c>
      <c r="F98" s="1382"/>
      <c r="G98" s="1382"/>
      <c r="H98" s="1383">
        <f t="shared" si="70"/>
        <v>0</v>
      </c>
      <c r="I98" s="734"/>
      <c r="J98" s="1384">
        <f t="shared" si="71"/>
        <v>0</v>
      </c>
      <c r="K98" s="1385">
        <f>'BETON Qte'!K98</f>
        <v>0</v>
      </c>
      <c r="L98" s="1382">
        <f t="shared" si="72"/>
        <v>0</v>
      </c>
      <c r="M98" s="1383">
        <f t="shared" si="73"/>
        <v>0</v>
      </c>
      <c r="N98" s="734"/>
      <c r="O98" s="1386">
        <f t="shared" si="74"/>
        <v>0</v>
      </c>
      <c r="P98" s="1387" t="str">
        <f t="shared" si="43"/>
        <v/>
      </c>
      <c r="Q98" s="1388"/>
      <c r="R98" s="1389">
        <f t="shared" si="75"/>
        <v>0</v>
      </c>
      <c r="S98" s="734"/>
      <c r="T98" s="1390">
        <v>0</v>
      </c>
      <c r="U98" s="735"/>
      <c r="V98" s="1384">
        <f t="shared" si="76"/>
        <v>0</v>
      </c>
      <c r="W98" s="1383">
        <f t="shared" si="77"/>
        <v>0</v>
      </c>
      <c r="X98" s="736"/>
      <c r="AD98" s="1391">
        <v>0</v>
      </c>
      <c r="AE98" s="1392">
        <v>0</v>
      </c>
      <c r="AF98" s="1393">
        <v>0</v>
      </c>
      <c r="AG98" s="1394">
        <v>0</v>
      </c>
    </row>
    <row r="99" spans="1:33" s="737" customFormat="1" ht="15" customHeight="1">
      <c r="A99" s="1378"/>
      <c r="B99" s="1379" t="s">
        <v>245</v>
      </c>
      <c r="C99" s="707"/>
      <c r="D99" s="1380" t="s">
        <v>332</v>
      </c>
      <c r="E99" s="1459">
        <v>0.16</v>
      </c>
      <c r="F99" s="1382"/>
      <c r="G99" s="1382"/>
      <c r="H99" s="1383">
        <f t="shared" si="70"/>
        <v>0.16</v>
      </c>
      <c r="I99" s="734"/>
      <c r="J99" s="1384">
        <f t="shared" si="71"/>
        <v>0</v>
      </c>
      <c r="K99" s="1385">
        <f>'BETON Qte'!K99</f>
        <v>0</v>
      </c>
      <c r="L99" s="1382">
        <f t="shared" si="72"/>
        <v>0</v>
      </c>
      <c r="M99" s="1383">
        <f t="shared" si="73"/>
        <v>0</v>
      </c>
      <c r="N99" s="734"/>
      <c r="O99" s="1386">
        <f t="shared" si="74"/>
        <v>0</v>
      </c>
      <c r="P99" s="1387">
        <f t="shared" si="43"/>
        <v>0</v>
      </c>
      <c r="Q99" s="1388"/>
      <c r="R99" s="1389">
        <f t="shared" si="75"/>
        <v>0</v>
      </c>
      <c r="S99" s="734"/>
      <c r="T99" s="1390">
        <v>0.16</v>
      </c>
      <c r="U99" s="735"/>
      <c r="V99" s="1384">
        <f t="shared" si="76"/>
        <v>0.16</v>
      </c>
      <c r="W99" s="1383">
        <f t="shared" si="77"/>
        <v>0</v>
      </c>
      <c r="X99" s="736"/>
      <c r="AD99" s="1391">
        <v>0</v>
      </c>
      <c r="AE99" s="1392">
        <v>0</v>
      </c>
      <c r="AF99" s="1393">
        <v>0</v>
      </c>
      <c r="AG99" s="1394">
        <v>0</v>
      </c>
    </row>
    <row r="100" spans="1:33" s="737" customFormat="1" ht="15" customHeight="1">
      <c r="A100" s="1378"/>
      <c r="B100" s="1379" t="s">
        <v>246</v>
      </c>
      <c r="C100" s="707"/>
      <c r="D100" s="1380" t="s">
        <v>332</v>
      </c>
      <c r="E100" s="1459">
        <v>3.92</v>
      </c>
      <c r="F100" s="1382"/>
      <c r="G100" s="1382"/>
      <c r="H100" s="1383">
        <f t="shared" si="70"/>
        <v>3.92</v>
      </c>
      <c r="I100" s="734"/>
      <c r="J100" s="1384">
        <f t="shared" si="71"/>
        <v>0</v>
      </c>
      <c r="K100" s="1385">
        <f>'BETON Qte'!K100</f>
        <v>0</v>
      </c>
      <c r="L100" s="1382">
        <f t="shared" si="72"/>
        <v>0</v>
      </c>
      <c r="M100" s="1383">
        <f t="shared" si="73"/>
        <v>0</v>
      </c>
      <c r="N100" s="734"/>
      <c r="O100" s="1386">
        <f t="shared" si="74"/>
        <v>0</v>
      </c>
      <c r="P100" s="1387">
        <f t="shared" si="43"/>
        <v>0</v>
      </c>
      <c r="Q100" s="1388"/>
      <c r="R100" s="1389">
        <f t="shared" si="75"/>
        <v>0</v>
      </c>
      <c r="S100" s="734"/>
      <c r="T100" s="1390">
        <v>3.92</v>
      </c>
      <c r="U100" s="735"/>
      <c r="V100" s="1384">
        <f t="shared" si="76"/>
        <v>3.92</v>
      </c>
      <c r="W100" s="1383">
        <f t="shared" si="77"/>
        <v>0</v>
      </c>
      <c r="X100" s="736"/>
      <c r="AD100" s="1391">
        <v>0</v>
      </c>
      <c r="AE100" s="1392">
        <v>0</v>
      </c>
      <c r="AF100" s="1393">
        <v>0</v>
      </c>
      <c r="AG100" s="1394">
        <v>0</v>
      </c>
    </row>
    <row r="101" spans="1:33" s="737" customFormat="1" ht="15" customHeight="1">
      <c r="A101" s="1378"/>
      <c r="B101" s="1379" t="s">
        <v>247</v>
      </c>
      <c r="C101" s="707"/>
      <c r="D101" s="1380" t="s">
        <v>332</v>
      </c>
      <c r="E101" s="1459">
        <v>0.78</v>
      </c>
      <c r="F101" s="1382"/>
      <c r="G101" s="1382"/>
      <c r="H101" s="1383">
        <f t="shared" si="70"/>
        <v>0.78</v>
      </c>
      <c r="I101" s="734"/>
      <c r="J101" s="1384">
        <f t="shared" si="71"/>
        <v>0</v>
      </c>
      <c r="K101" s="1385">
        <f>'BETON Qte'!K101</f>
        <v>0</v>
      </c>
      <c r="L101" s="1382">
        <f t="shared" si="72"/>
        <v>0</v>
      </c>
      <c r="M101" s="1383">
        <f t="shared" si="73"/>
        <v>0</v>
      </c>
      <c r="N101" s="734"/>
      <c r="O101" s="1386">
        <f t="shared" si="74"/>
        <v>0</v>
      </c>
      <c r="P101" s="1387">
        <f t="shared" si="43"/>
        <v>0</v>
      </c>
      <c r="Q101" s="1388"/>
      <c r="R101" s="1389">
        <f t="shared" si="75"/>
        <v>0</v>
      </c>
      <c r="S101" s="734"/>
      <c r="T101" s="1390">
        <v>0.78</v>
      </c>
      <c r="U101" s="735"/>
      <c r="V101" s="1384">
        <f t="shared" si="76"/>
        <v>0.78</v>
      </c>
      <c r="W101" s="1383">
        <f t="shared" si="77"/>
        <v>0</v>
      </c>
      <c r="X101" s="736"/>
      <c r="AD101" s="1391">
        <v>0</v>
      </c>
      <c r="AE101" s="1392">
        <v>0</v>
      </c>
      <c r="AF101" s="1393">
        <v>0</v>
      </c>
      <c r="AG101" s="1394">
        <v>0</v>
      </c>
    </row>
    <row r="102" spans="1:33" s="737" customFormat="1" ht="15" customHeight="1">
      <c r="A102" s="1378"/>
      <c r="B102" s="1379" t="s">
        <v>248</v>
      </c>
      <c r="C102" s="707"/>
      <c r="D102" s="1380" t="s">
        <v>332</v>
      </c>
      <c r="E102" s="1459">
        <v>0</v>
      </c>
      <c r="F102" s="1382"/>
      <c r="G102" s="1382"/>
      <c r="H102" s="1383">
        <f t="shared" si="70"/>
        <v>0</v>
      </c>
      <c r="I102" s="734"/>
      <c r="J102" s="1384">
        <f t="shared" si="71"/>
        <v>0</v>
      </c>
      <c r="K102" s="1385">
        <f>'BETON Qte'!K102</f>
        <v>0</v>
      </c>
      <c r="L102" s="1382">
        <f t="shared" si="72"/>
        <v>0</v>
      </c>
      <c r="M102" s="1383">
        <f t="shared" si="73"/>
        <v>0</v>
      </c>
      <c r="N102" s="734"/>
      <c r="O102" s="1386">
        <f t="shared" si="74"/>
        <v>0</v>
      </c>
      <c r="P102" s="1387" t="str">
        <f t="shared" si="43"/>
        <v/>
      </c>
      <c r="Q102" s="1388"/>
      <c r="R102" s="1389">
        <f t="shared" si="75"/>
        <v>0</v>
      </c>
      <c r="S102" s="734"/>
      <c r="T102" s="1390">
        <v>0</v>
      </c>
      <c r="U102" s="735"/>
      <c r="V102" s="1384">
        <f t="shared" si="76"/>
        <v>0</v>
      </c>
      <c r="W102" s="1383">
        <f t="shared" si="77"/>
        <v>0</v>
      </c>
      <c r="X102" s="736"/>
      <c r="AD102" s="1391">
        <v>0</v>
      </c>
      <c r="AE102" s="1392">
        <v>0</v>
      </c>
      <c r="AF102" s="1393">
        <v>0</v>
      </c>
      <c r="AG102" s="1394">
        <v>0</v>
      </c>
    </row>
    <row r="103" spans="1:33" s="737" customFormat="1" ht="15" customHeight="1">
      <c r="A103" s="1378"/>
      <c r="B103" s="1379" t="s">
        <v>249</v>
      </c>
      <c r="C103" s="707"/>
      <c r="D103" s="1380" t="s">
        <v>332</v>
      </c>
      <c r="E103" s="1459">
        <v>0</v>
      </c>
      <c r="F103" s="1382"/>
      <c r="G103" s="1382"/>
      <c r="H103" s="1383">
        <f t="shared" si="70"/>
        <v>0</v>
      </c>
      <c r="I103" s="734"/>
      <c r="J103" s="1384">
        <f t="shared" si="71"/>
        <v>0</v>
      </c>
      <c r="K103" s="1385">
        <f>'BETON Qte'!K103</f>
        <v>0</v>
      </c>
      <c r="L103" s="1382">
        <f t="shared" si="72"/>
        <v>0</v>
      </c>
      <c r="M103" s="1383">
        <f t="shared" si="73"/>
        <v>0</v>
      </c>
      <c r="N103" s="734"/>
      <c r="O103" s="1386">
        <f t="shared" si="74"/>
        <v>0</v>
      </c>
      <c r="P103" s="1387" t="str">
        <f t="shared" si="43"/>
        <v/>
      </c>
      <c r="Q103" s="1388"/>
      <c r="R103" s="1389">
        <f t="shared" si="75"/>
        <v>0</v>
      </c>
      <c r="S103" s="734"/>
      <c r="T103" s="1390">
        <v>0</v>
      </c>
      <c r="U103" s="735"/>
      <c r="V103" s="1384">
        <f t="shared" si="76"/>
        <v>0</v>
      </c>
      <c r="W103" s="1383">
        <f t="shared" si="77"/>
        <v>0</v>
      </c>
      <c r="X103" s="736"/>
      <c r="AD103" s="1391">
        <v>0</v>
      </c>
      <c r="AE103" s="1392">
        <v>0</v>
      </c>
      <c r="AF103" s="1393">
        <v>0</v>
      </c>
      <c r="AG103" s="1394">
        <v>0</v>
      </c>
    </row>
    <row r="104" spans="1:33" s="737" customFormat="1" ht="15" customHeight="1">
      <c r="A104" s="1378"/>
      <c r="B104" s="1379" t="s">
        <v>250</v>
      </c>
      <c r="C104" s="707"/>
      <c r="D104" s="1380" t="s">
        <v>332</v>
      </c>
      <c r="E104" s="1459">
        <v>4.1219999999999999</v>
      </c>
      <c r="F104" s="1382"/>
      <c r="G104" s="1382"/>
      <c r="H104" s="1383">
        <f t="shared" si="70"/>
        <v>4.1219999999999999</v>
      </c>
      <c r="I104" s="734"/>
      <c r="J104" s="1384">
        <f t="shared" si="71"/>
        <v>0</v>
      </c>
      <c r="K104" s="1385">
        <f>'BETON Qte'!K104</f>
        <v>0</v>
      </c>
      <c r="L104" s="1382">
        <f t="shared" si="72"/>
        <v>0</v>
      </c>
      <c r="M104" s="1383">
        <f t="shared" si="73"/>
        <v>0</v>
      </c>
      <c r="N104" s="734"/>
      <c r="O104" s="1386">
        <f t="shared" si="74"/>
        <v>0</v>
      </c>
      <c r="P104" s="1387">
        <f t="shared" si="43"/>
        <v>0</v>
      </c>
      <c r="Q104" s="1388"/>
      <c r="R104" s="1389">
        <f t="shared" si="75"/>
        <v>0</v>
      </c>
      <c r="S104" s="734"/>
      <c r="T104" s="1390">
        <v>4.1219999999999999</v>
      </c>
      <c r="U104" s="735"/>
      <c r="V104" s="1384">
        <f t="shared" si="76"/>
        <v>4.1219999999999999</v>
      </c>
      <c r="W104" s="1383">
        <f t="shared" si="77"/>
        <v>0</v>
      </c>
      <c r="X104" s="736"/>
      <c r="AD104" s="1391">
        <v>0</v>
      </c>
      <c r="AE104" s="1392">
        <v>0</v>
      </c>
      <c r="AF104" s="1393">
        <v>0</v>
      </c>
      <c r="AG104" s="1394">
        <v>0</v>
      </c>
    </row>
    <row r="105" spans="1:33" s="737" customFormat="1" ht="15" customHeight="1">
      <c r="A105" s="1378"/>
      <c r="B105" s="1379" t="s">
        <v>251</v>
      </c>
      <c r="C105" s="707"/>
      <c r="D105" s="1380" t="s">
        <v>332</v>
      </c>
      <c r="E105" s="1459">
        <v>0</v>
      </c>
      <c r="F105" s="1382"/>
      <c r="G105" s="1382"/>
      <c r="H105" s="1383">
        <f t="shared" si="70"/>
        <v>0</v>
      </c>
      <c r="I105" s="734"/>
      <c r="J105" s="1384">
        <f t="shared" si="71"/>
        <v>0</v>
      </c>
      <c r="K105" s="1385">
        <f>'BETON Qte'!K105</f>
        <v>0</v>
      </c>
      <c r="L105" s="1382">
        <f t="shared" si="72"/>
        <v>0</v>
      </c>
      <c r="M105" s="1383">
        <f t="shared" si="73"/>
        <v>0</v>
      </c>
      <c r="N105" s="734"/>
      <c r="O105" s="1386">
        <f t="shared" si="74"/>
        <v>0</v>
      </c>
      <c r="P105" s="1387" t="str">
        <f t="shared" si="43"/>
        <v/>
      </c>
      <c r="Q105" s="1388"/>
      <c r="R105" s="1389">
        <f t="shared" si="75"/>
        <v>0</v>
      </c>
      <c r="S105" s="734"/>
      <c r="T105" s="1390">
        <v>0</v>
      </c>
      <c r="U105" s="735"/>
      <c r="V105" s="1384">
        <f t="shared" si="76"/>
        <v>0</v>
      </c>
      <c r="W105" s="1383">
        <f t="shared" si="77"/>
        <v>0</v>
      </c>
      <c r="X105" s="736"/>
      <c r="AD105" s="1391">
        <v>0</v>
      </c>
      <c r="AE105" s="1392">
        <v>0</v>
      </c>
      <c r="AF105" s="1393">
        <v>0</v>
      </c>
      <c r="AG105" s="1394">
        <v>0</v>
      </c>
    </row>
    <row r="106" spans="1:33" s="737" customFormat="1" ht="15" customHeight="1">
      <c r="A106" s="1378"/>
      <c r="B106" s="1379" t="s">
        <v>252</v>
      </c>
      <c r="C106" s="707"/>
      <c r="D106" s="1380" t="s">
        <v>332</v>
      </c>
      <c r="E106" s="1459">
        <v>0</v>
      </c>
      <c r="F106" s="1382"/>
      <c r="G106" s="1382"/>
      <c r="H106" s="1383">
        <f t="shared" si="70"/>
        <v>0</v>
      </c>
      <c r="I106" s="734"/>
      <c r="J106" s="1384">
        <f t="shared" si="71"/>
        <v>0</v>
      </c>
      <c r="K106" s="1385">
        <f>'BETON Qte'!K106</f>
        <v>0</v>
      </c>
      <c r="L106" s="1382">
        <f t="shared" si="72"/>
        <v>0</v>
      </c>
      <c r="M106" s="1383">
        <f t="shared" si="73"/>
        <v>0</v>
      </c>
      <c r="N106" s="734"/>
      <c r="O106" s="1386">
        <f t="shared" si="74"/>
        <v>0</v>
      </c>
      <c r="P106" s="1387" t="str">
        <f t="shared" si="43"/>
        <v/>
      </c>
      <c r="Q106" s="1388"/>
      <c r="R106" s="1389">
        <f t="shared" si="75"/>
        <v>0</v>
      </c>
      <c r="S106" s="734"/>
      <c r="T106" s="1390">
        <v>0</v>
      </c>
      <c r="U106" s="735"/>
      <c r="V106" s="1384">
        <f t="shared" si="76"/>
        <v>0</v>
      </c>
      <c r="W106" s="1383">
        <f t="shared" si="77"/>
        <v>0</v>
      </c>
      <c r="X106" s="736"/>
      <c r="AD106" s="1391">
        <v>0</v>
      </c>
      <c r="AE106" s="1392">
        <v>0</v>
      </c>
      <c r="AF106" s="1393">
        <v>0</v>
      </c>
      <c r="AG106" s="1394">
        <v>0</v>
      </c>
    </row>
    <row r="107" spans="1:33" s="737" customFormat="1" ht="15" customHeight="1">
      <c r="A107" s="1378"/>
      <c r="B107" s="1379" t="s">
        <v>253</v>
      </c>
      <c r="C107" s="707"/>
      <c r="D107" s="1380" t="s">
        <v>332</v>
      </c>
      <c r="E107" s="1459">
        <v>3.0449999999999999</v>
      </c>
      <c r="F107" s="1382"/>
      <c r="G107" s="1382"/>
      <c r="H107" s="1383">
        <f t="shared" si="70"/>
        <v>3.0449999999999999</v>
      </c>
      <c r="I107" s="734"/>
      <c r="J107" s="1384">
        <f t="shared" si="71"/>
        <v>0</v>
      </c>
      <c r="K107" s="1385">
        <f>'BETON Qte'!K107</f>
        <v>0</v>
      </c>
      <c r="L107" s="1382">
        <f t="shared" si="72"/>
        <v>0</v>
      </c>
      <c r="M107" s="1383">
        <f t="shared" si="73"/>
        <v>0</v>
      </c>
      <c r="N107" s="734"/>
      <c r="O107" s="1386">
        <f t="shared" si="74"/>
        <v>0</v>
      </c>
      <c r="P107" s="1387">
        <f t="shared" si="43"/>
        <v>0</v>
      </c>
      <c r="Q107" s="1388"/>
      <c r="R107" s="1389">
        <f t="shared" si="75"/>
        <v>0</v>
      </c>
      <c r="S107" s="734"/>
      <c r="T107" s="1390">
        <v>3.0449999999999999</v>
      </c>
      <c r="U107" s="735"/>
      <c r="V107" s="1384">
        <f t="shared" si="76"/>
        <v>3.0449999999999999</v>
      </c>
      <c r="W107" s="1383">
        <f t="shared" si="77"/>
        <v>0</v>
      </c>
      <c r="X107" s="736"/>
      <c r="AD107" s="1391">
        <v>0</v>
      </c>
      <c r="AE107" s="1392">
        <v>0</v>
      </c>
      <c r="AF107" s="1393">
        <v>0</v>
      </c>
      <c r="AG107" s="1394">
        <v>0</v>
      </c>
    </row>
    <row r="108" spans="1:33" s="737" customFormat="1" ht="15" customHeight="1" thickBot="1">
      <c r="A108" s="1378"/>
      <c r="B108" s="1379" t="s">
        <v>254</v>
      </c>
      <c r="C108" s="707"/>
      <c r="D108" s="1380" t="s">
        <v>332</v>
      </c>
      <c r="E108" s="1459">
        <v>0</v>
      </c>
      <c r="F108" s="1382"/>
      <c r="G108" s="1382"/>
      <c r="H108" s="1383">
        <f t="shared" si="70"/>
        <v>0</v>
      </c>
      <c r="I108" s="734"/>
      <c r="J108" s="1396">
        <f t="shared" si="71"/>
        <v>0</v>
      </c>
      <c r="K108" s="1397">
        <f>'BETON Qte'!K108</f>
        <v>0</v>
      </c>
      <c r="L108" s="1398">
        <f t="shared" si="72"/>
        <v>0</v>
      </c>
      <c r="M108" s="1399">
        <f t="shared" si="73"/>
        <v>0</v>
      </c>
      <c r="N108" s="734"/>
      <c r="O108" s="1400">
        <f t="shared" si="74"/>
        <v>0</v>
      </c>
      <c r="P108" s="1401" t="str">
        <f t="shared" si="43"/>
        <v/>
      </c>
      <c r="Q108" s="1402"/>
      <c r="R108" s="1403">
        <f t="shared" si="75"/>
        <v>0</v>
      </c>
      <c r="S108" s="734"/>
      <c r="T108" s="1514">
        <v>0</v>
      </c>
      <c r="U108" s="735"/>
      <c r="V108" s="1396">
        <f t="shared" si="76"/>
        <v>0</v>
      </c>
      <c r="W108" s="1399">
        <f t="shared" si="77"/>
        <v>0</v>
      </c>
      <c r="X108" s="736"/>
      <c r="AD108" s="1404">
        <v>0</v>
      </c>
      <c r="AE108" s="1405">
        <v>0</v>
      </c>
      <c r="AF108" s="1406">
        <v>0</v>
      </c>
      <c r="AG108" s="1407">
        <v>0</v>
      </c>
    </row>
    <row r="109" spans="1:33" s="733" customFormat="1" ht="19.5" customHeight="1" thickBot="1">
      <c r="A109" s="1419" t="s">
        <v>592</v>
      </c>
      <c r="B109" s="1420" t="s">
        <v>593</v>
      </c>
      <c r="C109" s="731"/>
      <c r="D109" s="1421" t="s">
        <v>332</v>
      </c>
      <c r="E109" s="1422">
        <f>SUM(E110:E112)</f>
        <v>41.349693251533736</v>
      </c>
      <c r="F109" s="1364">
        <f>SUM(F110:F112)</f>
        <v>0</v>
      </c>
      <c r="G109" s="1364">
        <f>SUM(G110:G112)</f>
        <v>0</v>
      </c>
      <c r="H109" s="1409">
        <f>SUM(H110:H112)</f>
        <v>41.349693251533736</v>
      </c>
      <c r="I109" s="732"/>
      <c r="J109" s="1408">
        <f>SUM(J110:J112)</f>
        <v>0</v>
      </c>
      <c r="K109" s="1340">
        <f>IFERROR(J109/H109,"")</f>
        <v>0</v>
      </c>
      <c r="L109" s="1364">
        <f>SUM(L110:L112)</f>
        <v>0</v>
      </c>
      <c r="M109" s="1409">
        <f>SUM(M110:M112)</f>
        <v>0</v>
      </c>
      <c r="N109" s="732"/>
      <c r="O109" s="1515">
        <f>SUM(O110:O112)</f>
        <v>0</v>
      </c>
      <c r="P109" s="1516">
        <f t="shared" si="43"/>
        <v>0</v>
      </c>
      <c r="Q109" s="1371">
        <f>SUM(Q110:Q112)</f>
        <v>0</v>
      </c>
      <c r="R109" s="1341">
        <f>SUM(R110:R112)</f>
        <v>0</v>
      </c>
      <c r="S109" s="732"/>
      <c r="T109" s="1518">
        <f>SUM(T110:T112)</f>
        <v>41.349693251533736</v>
      </c>
      <c r="U109" s="732"/>
      <c r="V109" s="1408">
        <f>SUM(V110:V112)</f>
        <v>41.349693251533736</v>
      </c>
      <c r="W109" s="1409">
        <f>SUM(W110:W112)</f>
        <v>0</v>
      </c>
      <c r="X109" s="729"/>
      <c r="AD109" s="1415">
        <v>0</v>
      </c>
      <c r="AE109" s="1416">
        <v>0</v>
      </c>
      <c r="AF109" s="1519">
        <v>0</v>
      </c>
      <c r="AG109" s="1418">
        <v>0</v>
      </c>
    </row>
    <row r="110" spans="1:33" s="737" customFormat="1" ht="15" customHeight="1">
      <c r="A110" s="1378"/>
      <c r="B110" s="1379" t="s">
        <v>257</v>
      </c>
      <c r="C110" s="707"/>
      <c r="D110" s="1380" t="s">
        <v>332</v>
      </c>
      <c r="E110" s="1459">
        <v>0</v>
      </c>
      <c r="F110" s="1382"/>
      <c r="G110" s="1382"/>
      <c r="H110" s="1383">
        <f>SUM(E110:G110)</f>
        <v>0</v>
      </c>
      <c r="I110" s="734"/>
      <c r="J110" s="1384">
        <f>H110*K110/100</f>
        <v>0</v>
      </c>
      <c r="K110" s="1385">
        <f>'BETON Qte'!K110</f>
        <v>0</v>
      </c>
      <c r="L110" s="1382">
        <f>Q110+AF110</f>
        <v>0</v>
      </c>
      <c r="M110" s="1383">
        <f>J110-L110</f>
        <v>0</v>
      </c>
      <c r="N110" s="734"/>
      <c r="O110" s="1386">
        <f>J110-AD110</f>
        <v>0</v>
      </c>
      <c r="P110" s="1387" t="str">
        <f t="shared" si="43"/>
        <v/>
      </c>
      <c r="Q110" s="1388"/>
      <c r="R110" s="1389">
        <f>O110-Q110</f>
        <v>0</v>
      </c>
      <c r="S110" s="734"/>
      <c r="T110" s="1390">
        <v>0</v>
      </c>
      <c r="U110" s="735"/>
      <c r="V110" s="1384">
        <f t="shared" ref="V110:V112" si="78">L110+T110</f>
        <v>0</v>
      </c>
      <c r="W110" s="1383">
        <f t="shared" ref="W110:W112" si="79">H110-V110</f>
        <v>0</v>
      </c>
      <c r="X110" s="736"/>
      <c r="AD110" s="1391">
        <v>0</v>
      </c>
      <c r="AE110" s="1392">
        <v>0</v>
      </c>
      <c r="AF110" s="1393">
        <v>0</v>
      </c>
      <c r="AG110" s="1394">
        <v>0</v>
      </c>
    </row>
    <row r="111" spans="1:33" s="737" customFormat="1" ht="15" customHeight="1">
      <c r="A111" s="1378"/>
      <c r="B111" s="1379" t="s">
        <v>257</v>
      </c>
      <c r="C111" s="707"/>
      <c r="D111" s="1380" t="s">
        <v>332</v>
      </c>
      <c r="E111" s="1459">
        <v>0</v>
      </c>
      <c r="F111" s="1382"/>
      <c r="G111" s="1382"/>
      <c r="H111" s="1383">
        <f t="shared" ref="H111:H112" si="80">SUM(E111:G111)</f>
        <v>0</v>
      </c>
      <c r="I111" s="734"/>
      <c r="J111" s="1384">
        <f t="shared" ref="J111:J112" si="81">H111*K111/100</f>
        <v>0</v>
      </c>
      <c r="K111" s="1385">
        <f>'BETON Qte'!K111</f>
        <v>0</v>
      </c>
      <c r="L111" s="1382">
        <f t="shared" ref="L111:L112" si="82">Q111+AF111</f>
        <v>0</v>
      </c>
      <c r="M111" s="1383">
        <f t="shared" ref="M111:M112" si="83">J111-L111</f>
        <v>0</v>
      </c>
      <c r="N111" s="734"/>
      <c r="O111" s="1386">
        <f t="shared" ref="O111:O112" si="84">J111-AD111</f>
        <v>0</v>
      </c>
      <c r="P111" s="1387" t="str">
        <f t="shared" si="43"/>
        <v/>
      </c>
      <c r="Q111" s="1388"/>
      <c r="R111" s="1389">
        <f t="shared" ref="R111:R112" si="85">O111-Q111</f>
        <v>0</v>
      </c>
      <c r="S111" s="734"/>
      <c r="T111" s="1390">
        <v>0</v>
      </c>
      <c r="U111" s="735"/>
      <c r="V111" s="1384">
        <f t="shared" si="78"/>
        <v>0</v>
      </c>
      <c r="W111" s="1383">
        <f t="shared" si="79"/>
        <v>0</v>
      </c>
      <c r="X111" s="736"/>
      <c r="AD111" s="1391">
        <v>0</v>
      </c>
      <c r="AE111" s="1392">
        <v>0</v>
      </c>
      <c r="AF111" s="1393">
        <v>0</v>
      </c>
      <c r="AG111" s="1394">
        <v>0</v>
      </c>
    </row>
    <row r="112" spans="1:33" s="737" customFormat="1" ht="15" customHeight="1" thickBot="1">
      <c r="A112" s="1424"/>
      <c r="B112" s="1425" t="s">
        <v>258</v>
      </c>
      <c r="C112" s="707"/>
      <c r="D112" s="1426" t="s">
        <v>332</v>
      </c>
      <c r="E112" s="1460">
        <v>41.349693251533736</v>
      </c>
      <c r="F112" s="1428"/>
      <c r="G112" s="1428"/>
      <c r="H112" s="1429">
        <f t="shared" si="80"/>
        <v>41.349693251533736</v>
      </c>
      <c r="I112" s="734"/>
      <c r="J112" s="1430">
        <f t="shared" si="81"/>
        <v>0</v>
      </c>
      <c r="K112" s="1431">
        <f>'BETON Qte'!K112</f>
        <v>0</v>
      </c>
      <c r="L112" s="1428">
        <f t="shared" si="82"/>
        <v>0</v>
      </c>
      <c r="M112" s="1429">
        <f t="shared" si="83"/>
        <v>0</v>
      </c>
      <c r="N112" s="734"/>
      <c r="O112" s="1432">
        <f t="shared" si="84"/>
        <v>0</v>
      </c>
      <c r="P112" s="1433">
        <f t="shared" si="43"/>
        <v>0</v>
      </c>
      <c r="Q112" s="1434"/>
      <c r="R112" s="1435">
        <f t="shared" si="85"/>
        <v>0</v>
      </c>
      <c r="S112" s="734"/>
      <c r="T112" s="1436">
        <v>41.349693251533736</v>
      </c>
      <c r="U112" s="735"/>
      <c r="V112" s="1430">
        <f t="shared" si="78"/>
        <v>41.349693251533736</v>
      </c>
      <c r="W112" s="1429">
        <f t="shared" si="79"/>
        <v>0</v>
      </c>
      <c r="X112" s="736"/>
      <c r="AD112" s="1437">
        <v>0</v>
      </c>
      <c r="AE112" s="1438">
        <v>0</v>
      </c>
      <c r="AF112" s="1439">
        <v>0</v>
      </c>
      <c r="AG112" s="1440">
        <v>0</v>
      </c>
    </row>
    <row r="113" spans="1:33">
      <c r="E113" s="739"/>
      <c r="F113" s="739"/>
      <c r="G113" s="739"/>
      <c r="H113" s="739"/>
      <c r="I113" s="740"/>
      <c r="J113" s="739"/>
      <c r="K113" s="739"/>
      <c r="L113" s="739"/>
      <c r="M113" s="739"/>
      <c r="N113" s="740"/>
      <c r="O113" s="739"/>
      <c r="P113" s="739"/>
      <c r="Q113" s="739"/>
      <c r="R113" s="739"/>
      <c r="S113" s="740"/>
      <c r="T113" s="739"/>
      <c r="U113" s="741"/>
      <c r="V113" s="739"/>
      <c r="W113" s="739"/>
    </row>
    <row r="114" spans="1:33">
      <c r="E114" s="739"/>
      <c r="F114" s="739"/>
      <c r="G114" s="739"/>
      <c r="H114" s="739"/>
      <c r="I114" s="740"/>
      <c r="J114" s="739"/>
      <c r="K114" s="739"/>
      <c r="L114" s="739"/>
      <c r="M114" s="739"/>
      <c r="N114" s="740"/>
      <c r="O114" s="739"/>
      <c r="P114" s="1288"/>
      <c r="Q114" s="739"/>
      <c r="R114" s="739"/>
      <c r="S114" s="740"/>
      <c r="T114" s="739"/>
      <c r="U114" s="741"/>
      <c r="V114" s="739"/>
      <c r="W114" s="739"/>
    </row>
    <row r="115" spans="1:33">
      <c r="E115" s="739"/>
      <c r="F115" s="739"/>
      <c r="G115" s="739"/>
      <c r="H115" s="739"/>
      <c r="I115" s="740"/>
      <c r="J115" s="739"/>
      <c r="K115" s="739"/>
      <c r="L115" s="739"/>
      <c r="M115" s="739"/>
      <c r="N115" s="740"/>
      <c r="O115" s="739"/>
      <c r="P115" s="739"/>
      <c r="Q115" s="739"/>
      <c r="R115" s="739"/>
      <c r="S115" s="740"/>
      <c r="T115" s="739"/>
      <c r="U115" s="741"/>
      <c r="V115" s="739"/>
      <c r="W115" s="739"/>
    </row>
    <row r="116" spans="1:33">
      <c r="E116" s="739"/>
      <c r="F116" s="739"/>
      <c r="G116" s="739"/>
      <c r="H116" s="739"/>
      <c r="I116" s="740"/>
      <c r="J116" s="739"/>
      <c r="K116" s="739"/>
      <c r="L116" s="739"/>
      <c r="M116" s="739"/>
      <c r="N116" s="740"/>
      <c r="O116" s="739"/>
      <c r="P116" s="1288"/>
      <c r="Q116" s="739"/>
      <c r="R116" s="739"/>
      <c r="S116" s="740"/>
      <c r="T116" s="739"/>
      <c r="U116" s="741"/>
      <c r="V116" s="739"/>
      <c r="W116" s="739"/>
    </row>
    <row r="117" spans="1:33">
      <c r="E117" s="739"/>
      <c r="F117" s="739"/>
      <c r="G117" s="739"/>
      <c r="H117" s="739"/>
      <c r="I117" s="740"/>
      <c r="J117" s="739"/>
      <c r="K117" s="739"/>
      <c r="L117" s="739"/>
      <c r="M117" s="739"/>
      <c r="N117" s="740"/>
      <c r="O117" s="739"/>
      <c r="P117" s="739"/>
      <c r="Q117" s="739"/>
      <c r="R117" s="739"/>
      <c r="S117" s="740"/>
      <c r="T117" s="739"/>
      <c r="U117" s="741"/>
      <c r="V117" s="739"/>
      <c r="W117" s="739"/>
    </row>
    <row r="118" spans="1:33" ht="13.5" thickBot="1">
      <c r="E118" s="739"/>
      <c r="F118" s="739"/>
      <c r="G118" s="739"/>
      <c r="H118" s="739"/>
      <c r="I118" s="740"/>
      <c r="J118" s="739"/>
      <c r="K118" s="739"/>
      <c r="L118" s="739"/>
      <c r="M118" s="739"/>
      <c r="N118" s="740"/>
      <c r="O118" s="739"/>
      <c r="P118" s="739"/>
      <c r="Q118" s="739"/>
      <c r="R118" s="739"/>
      <c r="S118" s="740"/>
      <c r="T118" s="739"/>
      <c r="U118" s="741"/>
      <c r="V118" s="739"/>
      <c r="W118" s="739"/>
    </row>
    <row r="119" spans="1:33" s="730" customFormat="1" ht="19.5" customHeight="1" thickBot="1">
      <c r="A119" s="1461" t="s">
        <v>193</v>
      </c>
      <c r="B119" s="1442" t="s">
        <v>330</v>
      </c>
      <c r="C119" s="726"/>
      <c r="D119" s="1443" t="s">
        <v>332</v>
      </c>
      <c r="E119" s="1462">
        <f>SUM(E120:E122)</f>
        <v>0</v>
      </c>
      <c r="F119" s="1463">
        <f>SUM(F120:F122)</f>
        <v>0</v>
      </c>
      <c r="G119" s="1463">
        <f>SUM(G120:G122)</f>
        <v>0</v>
      </c>
      <c r="H119" s="1464">
        <f>SUM(H120:H122)</f>
        <v>0</v>
      </c>
      <c r="I119" s="727"/>
      <c r="J119" s="1462">
        <f>SUM(J120:J122)</f>
        <v>0</v>
      </c>
      <c r="K119" s="1529" t="str">
        <f>IFERROR(J119/H119,"")</f>
        <v/>
      </c>
      <c r="L119" s="1463">
        <f>SUM(L120:L122)</f>
        <v>2.0149999999999997</v>
      </c>
      <c r="M119" s="1464">
        <f>SUM(M120:M122)</f>
        <v>-2.0149999999999997</v>
      </c>
      <c r="N119" s="727"/>
      <c r="O119" s="1530">
        <f>SUM(O120:O122)</f>
        <v>0</v>
      </c>
      <c r="P119" s="1531" t="str">
        <f t="shared" ref="P119:P122" si="86">IFERROR(O119/H119,"")</f>
        <v/>
      </c>
      <c r="Q119" s="1450">
        <f>SUM(Q120:Q122)</f>
        <v>0</v>
      </c>
      <c r="R119" s="1532">
        <f>SUM(R120:R122)</f>
        <v>0</v>
      </c>
      <c r="S119" s="727"/>
      <c r="T119" s="1533">
        <f>SUM(T120:T122)</f>
        <v>0</v>
      </c>
      <c r="U119" s="728"/>
      <c r="V119" s="1530">
        <f>SUM(V120:V122)</f>
        <v>0</v>
      </c>
      <c r="W119" s="1464">
        <f>SUM(W120:W122)</f>
        <v>0</v>
      </c>
      <c r="X119" s="729"/>
      <c r="AD119" s="1454">
        <v>0</v>
      </c>
      <c r="AE119" s="1455" t="s">
        <v>67</v>
      </c>
      <c r="AF119" s="1456">
        <v>2.0149999999999997</v>
      </c>
      <c r="AG119" s="1457">
        <v>-2.0149999999999997</v>
      </c>
    </row>
    <row r="120" spans="1:33" s="737" customFormat="1" ht="15" customHeight="1">
      <c r="A120" s="1378" t="s">
        <v>318</v>
      </c>
      <c r="B120" s="1379" t="s">
        <v>88</v>
      </c>
      <c r="C120" s="707"/>
      <c r="D120" s="1380" t="s">
        <v>332</v>
      </c>
      <c r="E120" s="1384">
        <v>0</v>
      </c>
      <c r="F120" s="1382"/>
      <c r="G120" s="1382"/>
      <c r="H120" s="1383">
        <f t="shared" ref="H120" si="87">SUM(E120:G120)</f>
        <v>0</v>
      </c>
      <c r="I120" s="734"/>
      <c r="J120" s="1470">
        <f t="shared" ref="J120" si="88">H120*K120/100</f>
        <v>0</v>
      </c>
      <c r="K120" s="1471">
        <f>'BETON Qte'!K180</f>
        <v>0</v>
      </c>
      <c r="L120" s="1382">
        <f t="shared" ref="L120" si="89">Q120+AF120</f>
        <v>0</v>
      </c>
      <c r="M120" s="1472">
        <f t="shared" ref="M120" si="90">J120-L120</f>
        <v>0</v>
      </c>
      <c r="N120" s="738"/>
      <c r="O120" s="1386">
        <f t="shared" ref="O120" si="91">J120-AD120</f>
        <v>0</v>
      </c>
      <c r="P120" s="1534" t="str">
        <f t="shared" si="86"/>
        <v/>
      </c>
      <c r="Q120" s="1474"/>
      <c r="R120" s="1395">
        <f t="shared" ref="R120" si="92">O120-Q120</f>
        <v>0</v>
      </c>
      <c r="S120" s="734"/>
      <c r="T120" s="1475"/>
      <c r="U120" s="735"/>
      <c r="V120" s="1384"/>
      <c r="W120" s="1383"/>
      <c r="X120" s="736"/>
      <c r="AD120" s="1391">
        <v>0</v>
      </c>
      <c r="AE120" s="1476">
        <v>0</v>
      </c>
      <c r="AF120" s="1393">
        <v>0</v>
      </c>
      <c r="AG120" s="1394">
        <v>0</v>
      </c>
    </row>
    <row r="121" spans="1:33" s="737" customFormat="1" ht="15" customHeight="1">
      <c r="A121" s="1378" t="s">
        <v>319</v>
      </c>
      <c r="B121" s="1379" t="s">
        <v>320</v>
      </c>
      <c r="C121" s="707"/>
      <c r="D121" s="1380" t="s">
        <v>332</v>
      </c>
      <c r="E121" s="1384">
        <v>0</v>
      </c>
      <c r="F121" s="1382"/>
      <c r="G121" s="1382"/>
      <c r="H121" s="1383">
        <f>SUM(E121:G121)</f>
        <v>0</v>
      </c>
      <c r="I121" s="734"/>
      <c r="J121" s="1477">
        <f>H121*K121/100</f>
        <v>0</v>
      </c>
      <c r="K121" s="1471">
        <f>'BETON Qte'!K181</f>
        <v>0</v>
      </c>
      <c r="L121" s="1382">
        <f>Q121+AF121</f>
        <v>0</v>
      </c>
      <c r="M121" s="1472">
        <f>J121-L121</f>
        <v>0</v>
      </c>
      <c r="N121" s="738"/>
      <c r="O121" s="1386">
        <f>J121-AD121</f>
        <v>0</v>
      </c>
      <c r="P121" s="1534" t="str">
        <f t="shared" si="86"/>
        <v/>
      </c>
      <c r="Q121" s="1478"/>
      <c r="R121" s="1395">
        <f>O121-Q121</f>
        <v>0</v>
      </c>
      <c r="S121" s="734"/>
      <c r="T121" s="1475"/>
      <c r="U121" s="735"/>
      <c r="V121" s="1384"/>
      <c r="W121" s="1383"/>
      <c r="X121" s="736"/>
      <c r="AD121" s="1391">
        <v>0</v>
      </c>
      <c r="AE121" s="1476">
        <v>0</v>
      </c>
      <c r="AF121" s="1393">
        <v>0</v>
      </c>
      <c r="AG121" s="1394">
        <v>0</v>
      </c>
    </row>
    <row r="122" spans="1:33" s="737" customFormat="1" ht="15" customHeight="1" thickBot="1">
      <c r="A122" s="1424" t="s">
        <v>322</v>
      </c>
      <c r="B122" s="1425" t="s">
        <v>333</v>
      </c>
      <c r="C122" s="707"/>
      <c r="D122" s="1426" t="s">
        <v>332</v>
      </c>
      <c r="E122" s="1430">
        <v>0</v>
      </c>
      <c r="F122" s="1428"/>
      <c r="G122" s="1428"/>
      <c r="H122" s="1429">
        <f>SUM(E122:G122)</f>
        <v>0</v>
      </c>
      <c r="I122" s="734"/>
      <c r="J122" s="1524">
        <f>H122*K122/100</f>
        <v>0</v>
      </c>
      <c r="K122" s="1525">
        <f>'BETON Qte'!K182</f>
        <v>0</v>
      </c>
      <c r="L122" s="1428">
        <f>Q122+AF122</f>
        <v>2.0149999999999997</v>
      </c>
      <c r="M122" s="1526">
        <f>J122-L122</f>
        <v>-2.0149999999999997</v>
      </c>
      <c r="N122" s="738"/>
      <c r="O122" s="1432">
        <f>J122-AD122</f>
        <v>0</v>
      </c>
      <c r="P122" s="1535" t="str">
        <f t="shared" si="86"/>
        <v/>
      </c>
      <c r="Q122" s="1527"/>
      <c r="R122" s="1496">
        <f>O122-Q122</f>
        <v>0</v>
      </c>
      <c r="S122" s="734"/>
      <c r="T122" s="1497"/>
      <c r="U122" s="735"/>
      <c r="V122" s="1430"/>
      <c r="W122" s="1429"/>
      <c r="X122" s="736"/>
      <c r="AD122" s="1437">
        <v>0</v>
      </c>
      <c r="AE122" s="1528">
        <v>0</v>
      </c>
      <c r="AF122" s="1439">
        <v>2.0149999999999997</v>
      </c>
      <c r="AG122" s="1440">
        <v>-2.0149999999999997</v>
      </c>
    </row>
    <row r="123" spans="1:33">
      <c r="J123" s="690"/>
      <c r="K123" s="690"/>
    </row>
    <row r="124" spans="1:33">
      <c r="J124" s="690"/>
      <c r="K124" s="690"/>
    </row>
    <row r="125" spans="1:33">
      <c r="J125" s="690"/>
      <c r="K125" s="690"/>
    </row>
    <row r="126" spans="1:33">
      <c r="J126" s="690"/>
      <c r="K126" s="690"/>
    </row>
    <row r="127" spans="1:33">
      <c r="J127" s="690"/>
      <c r="K127" s="690"/>
    </row>
    <row r="128" spans="1:33">
      <c r="J128" s="690"/>
      <c r="K128" s="690"/>
    </row>
    <row r="129" spans="7:11">
      <c r="J129" s="690"/>
      <c r="K129" s="690"/>
    </row>
    <row r="130" spans="7:11">
      <c r="J130" s="690"/>
      <c r="K130" s="690"/>
    </row>
    <row r="131" spans="7:11">
      <c r="J131" s="690"/>
      <c r="K131" s="690"/>
    </row>
    <row r="132" spans="7:11">
      <c r="J132" s="690"/>
      <c r="K132" s="690"/>
    </row>
    <row r="133" spans="7:11">
      <c r="J133" s="690"/>
      <c r="K133" s="690"/>
    </row>
    <row r="134" spans="7:11">
      <c r="J134" s="690"/>
      <c r="K134" s="690"/>
    </row>
    <row r="135" spans="7:11">
      <c r="J135" s="690"/>
      <c r="K135" s="690"/>
    </row>
    <row r="136" spans="7:11">
      <c r="J136" s="690"/>
      <c r="K136" s="690"/>
    </row>
    <row r="137" spans="7:11">
      <c r="J137" s="690"/>
      <c r="K137" s="690"/>
    </row>
    <row r="138" spans="7:11">
      <c r="J138" s="690"/>
      <c r="K138" s="690"/>
    </row>
    <row r="139" spans="7:11">
      <c r="J139" s="690"/>
      <c r="K139" s="690"/>
    </row>
    <row r="140" spans="7:11">
      <c r="J140" s="690"/>
      <c r="K140" s="690"/>
    </row>
    <row r="141" spans="7:11">
      <c r="J141" s="690"/>
      <c r="K141" s="690"/>
    </row>
    <row r="142" spans="7:11">
      <c r="J142" s="690"/>
      <c r="K142" s="690"/>
    </row>
    <row r="143" spans="7:11">
      <c r="J143" s="690"/>
      <c r="K143" s="690"/>
    </row>
    <row r="144" spans="7:11">
      <c r="G144" s="751"/>
      <c r="J144" s="690"/>
      <c r="K144" s="690"/>
    </row>
    <row r="145" spans="7:11">
      <c r="G145" s="751"/>
      <c r="J145" s="690"/>
      <c r="K145" s="690"/>
    </row>
    <row r="146" spans="7:11">
      <c r="G146" s="751"/>
      <c r="J146" s="690"/>
      <c r="K146" s="690"/>
    </row>
    <row r="147" spans="7:11">
      <c r="J147" s="690"/>
      <c r="K147" s="690"/>
    </row>
    <row r="148" spans="7:11">
      <c r="J148" s="690"/>
      <c r="K148" s="690"/>
    </row>
    <row r="149" spans="7:11">
      <c r="J149" s="690"/>
      <c r="K149" s="690"/>
    </row>
  </sheetData>
  <mergeCells count="15">
    <mergeCell ref="H9:H10"/>
    <mergeCell ref="J9:K9"/>
    <mergeCell ref="O9:P9"/>
    <mergeCell ref="T9:T10"/>
    <mergeCell ref="AD9:AE9"/>
    <mergeCell ref="A3:W3"/>
    <mergeCell ref="J8:M8"/>
    <mergeCell ref="O8:R8"/>
    <mergeCell ref="V8:W8"/>
    <mergeCell ref="AD8:AG8"/>
    <mergeCell ref="A9:A10"/>
    <mergeCell ref="B9:B10"/>
    <mergeCell ref="E9:E10"/>
    <mergeCell ref="F9:F10"/>
    <mergeCell ref="G9:G10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/>
  <rowBreaks count="1" manualBreakCount="1">
    <brk id="63" max="16383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>
    <tabColor rgb="FF7030A0"/>
    <outlinePr summaryBelow="0" summaryRight="0"/>
    <pageSetUpPr fitToPage="1"/>
  </sheetPr>
  <dimension ref="A1:BB82"/>
  <sheetViews>
    <sheetView showGridLines="0" showZeros="0" tabSelected="1" zoomScale="70" zoomScaleNormal="70" zoomScaleSheetLayoutView="80" zoomScalePageLayoutView="70" workbookViewId="0">
      <pane xSplit="9" ySplit="5" topLeftCell="AG6" activePane="bottomRight" state="frozen"/>
      <selection pane="topRight" activeCell="K1" sqref="K1"/>
      <selection pane="bottomLeft" activeCell="A6" sqref="A6"/>
      <selection pane="bottomRight" activeCell="AV82" sqref="AV8:AZ82"/>
    </sheetView>
  </sheetViews>
  <sheetFormatPr baseColWidth="10" defaultColWidth="9.140625" defaultRowHeight="13.5"/>
  <cols>
    <col min="1" max="1" width="31.7109375" style="753" bestFit="1" customWidth="1"/>
    <col min="2" max="2" width="37.85546875" style="753" bestFit="1" customWidth="1"/>
    <col min="3" max="3" width="15.85546875" style="753" customWidth="1"/>
    <col min="4" max="5" width="15.7109375" style="753" customWidth="1"/>
    <col min="6" max="6" width="2.42578125" style="753" customWidth="1"/>
    <col min="7" max="7" width="15.7109375" style="753" customWidth="1"/>
    <col min="8" max="8" width="15.85546875" style="753" customWidth="1"/>
    <col min="9" max="9" width="15.7109375" style="753" customWidth="1"/>
    <col min="10" max="10" width="0.85546875" style="753" customWidth="1"/>
    <col min="11" max="46" width="4.42578125" style="753" customWidth="1"/>
    <col min="47" max="47" width="1" style="753" customWidth="1"/>
    <col min="48" max="48" width="8.28515625" style="753" bestFit="1" customWidth="1"/>
    <col min="49" max="49" width="15.42578125" style="753" customWidth="1"/>
    <col min="50" max="52" width="15.7109375" style="753" customWidth="1"/>
    <col min="53" max="53" width="9.42578125" style="753" bestFit="1" customWidth="1"/>
    <col min="54" max="54" width="10.140625" style="753" bestFit="1" customWidth="1"/>
    <col min="55" max="16384" width="9.140625" style="753"/>
  </cols>
  <sheetData>
    <row r="1" spans="1:54" ht="27" customHeight="1">
      <c r="A1" s="752"/>
      <c r="B1" s="1754"/>
      <c r="C1" s="1754"/>
      <c r="D1" s="1754"/>
      <c r="E1" s="1754"/>
      <c r="I1" s="1289"/>
      <c r="AV1" s="1289"/>
      <c r="AW1" s="1289"/>
    </row>
    <row r="2" spans="1:54" ht="15" customHeight="1">
      <c r="A2" s="1771" t="str">
        <f>SYNTHESE!E6</f>
        <v xml:space="preserve">LES FAUBOURGS D'ANFA </v>
      </c>
      <c r="B2" s="1771"/>
    </row>
    <row r="3" spans="1:54" ht="15" customHeight="1">
      <c r="A3" s="1771" t="str">
        <f>SYNTHESE!E7</f>
        <v>CASABLANCA</v>
      </c>
      <c r="B3" s="1771"/>
      <c r="C3" s="754"/>
      <c r="D3" s="754"/>
      <c r="E3" s="754"/>
      <c r="F3" s="754"/>
      <c r="G3" s="1755" t="s">
        <v>579</v>
      </c>
      <c r="H3" s="1755"/>
      <c r="I3" s="1755"/>
      <c r="J3" s="754"/>
      <c r="K3" s="754"/>
      <c r="L3" s="754"/>
      <c r="M3" s="754"/>
      <c r="N3" s="754"/>
      <c r="O3" s="754"/>
      <c r="P3" s="754"/>
      <c r="Q3" s="754"/>
      <c r="R3" s="754"/>
      <c r="S3" s="754"/>
      <c r="T3" s="754"/>
      <c r="U3" s="754"/>
      <c r="V3" s="754"/>
      <c r="W3" s="754"/>
      <c r="X3" s="754"/>
      <c r="Y3" s="754"/>
      <c r="Z3" s="754"/>
      <c r="AA3" s="754"/>
      <c r="AB3" s="754"/>
      <c r="AC3" s="754"/>
      <c r="AD3" s="754"/>
      <c r="AE3" s="754"/>
      <c r="AF3" s="754"/>
      <c r="AG3" s="754"/>
      <c r="AH3" s="754"/>
      <c r="AI3" s="754"/>
      <c r="AJ3" s="754"/>
      <c r="AK3" s="754"/>
      <c r="AL3" s="754"/>
      <c r="AM3" s="754"/>
      <c r="AN3" s="754"/>
      <c r="AO3" s="754"/>
      <c r="AP3" s="754"/>
      <c r="AQ3" s="754"/>
      <c r="AR3" s="754"/>
      <c r="AS3" s="754"/>
      <c r="AT3" s="754"/>
      <c r="AU3" s="754"/>
      <c r="AV3" s="754"/>
      <c r="AW3" s="754"/>
      <c r="AX3" s="754"/>
      <c r="AY3" s="754"/>
      <c r="AZ3" s="754"/>
      <c r="BB3" s="1343"/>
    </row>
    <row r="4" spans="1:54" ht="14.25" thickBot="1">
      <c r="C4" s="754"/>
      <c r="D4" s="754"/>
      <c r="E4" s="754"/>
      <c r="F4" s="754"/>
      <c r="G4" s="754"/>
      <c r="H4" s="754"/>
      <c r="I4" s="754"/>
      <c r="J4" s="754"/>
      <c r="K4" s="754"/>
      <c r="L4" s="754"/>
      <c r="M4" s="754"/>
      <c r="N4" s="754"/>
      <c r="O4" s="754"/>
      <c r="P4" s="754"/>
      <c r="Q4" s="754"/>
      <c r="R4" s="754"/>
      <c r="S4" s="754"/>
      <c r="T4" s="754"/>
      <c r="U4" s="754"/>
      <c r="V4" s="754"/>
      <c r="W4" s="754"/>
      <c r="X4" s="754"/>
      <c r="Y4" s="754"/>
      <c r="Z4" s="754"/>
      <c r="AA4" s="754"/>
      <c r="AB4" s="754"/>
      <c r="AC4" s="754"/>
      <c r="AD4" s="754"/>
      <c r="AE4" s="754"/>
      <c r="AF4" s="754"/>
      <c r="AG4" s="754"/>
      <c r="AH4" s="754"/>
      <c r="AI4" s="754"/>
      <c r="AJ4" s="754"/>
      <c r="AK4" s="754"/>
      <c r="AL4" s="754"/>
      <c r="AM4" s="754"/>
      <c r="AN4" s="754"/>
      <c r="AO4" s="754"/>
      <c r="AP4" s="754"/>
      <c r="AQ4" s="754"/>
      <c r="AR4" s="754"/>
      <c r="AS4" s="754"/>
      <c r="AT4" s="754"/>
      <c r="AU4" s="754"/>
      <c r="AV4" s="754"/>
      <c r="AW4" s="754"/>
      <c r="AX4" s="754"/>
      <c r="AY4" s="754"/>
      <c r="AZ4" s="754"/>
    </row>
    <row r="5" spans="1:54" ht="30" customHeight="1" thickBot="1">
      <c r="C5" s="763" t="s">
        <v>334</v>
      </c>
      <c r="D5" s="764" t="s">
        <v>335</v>
      </c>
      <c r="E5" s="1283" t="s">
        <v>336</v>
      </c>
      <c r="F5" s="755" t="s">
        <v>338</v>
      </c>
      <c r="G5" s="1756" t="s">
        <v>339</v>
      </c>
      <c r="H5" s="1757"/>
      <c r="I5" s="1758"/>
      <c r="J5" s="755" t="s">
        <v>338</v>
      </c>
      <c r="K5" s="755"/>
      <c r="L5" s="755"/>
      <c r="M5" s="755"/>
      <c r="N5" s="755"/>
      <c r="O5" s="755"/>
      <c r="P5" s="755"/>
      <c r="Q5" s="755"/>
      <c r="R5" s="755"/>
      <c r="S5" s="755"/>
      <c r="T5" s="755"/>
      <c r="U5" s="755"/>
      <c r="V5" s="755"/>
      <c r="W5" s="755"/>
      <c r="X5" s="755"/>
      <c r="Y5" s="755"/>
      <c r="Z5" s="755"/>
      <c r="AA5" s="755"/>
      <c r="AB5" s="755"/>
      <c r="AC5" s="755"/>
      <c r="AD5" s="755"/>
      <c r="AE5" s="755"/>
      <c r="AF5" s="755"/>
      <c r="AG5" s="755"/>
      <c r="AH5" s="755"/>
      <c r="AI5" s="755"/>
      <c r="AJ5" s="755"/>
      <c r="AK5" s="755"/>
      <c r="AL5" s="755"/>
      <c r="AM5" s="755"/>
      <c r="AN5" s="755"/>
      <c r="AO5" s="755"/>
      <c r="AP5" s="755"/>
      <c r="AQ5" s="755"/>
      <c r="AR5" s="755"/>
      <c r="AS5" s="755"/>
      <c r="AT5" s="755"/>
      <c r="AU5" s="755"/>
      <c r="AV5" s="1759" t="s">
        <v>190</v>
      </c>
      <c r="AW5" s="1760"/>
      <c r="AX5" s="1761"/>
      <c r="AY5" s="1742" t="s">
        <v>340</v>
      </c>
      <c r="AZ5" s="1743"/>
    </row>
    <row r="6" spans="1:54" ht="15" customHeight="1" thickBot="1">
      <c r="A6" s="1744" t="s">
        <v>193</v>
      </c>
      <c r="B6" s="1746" t="s">
        <v>194</v>
      </c>
      <c r="C6" s="1748" t="s">
        <v>329</v>
      </c>
      <c r="D6" s="1749"/>
      <c r="E6" s="1750"/>
      <c r="G6" s="765" t="s">
        <v>341</v>
      </c>
      <c r="H6" s="756" t="s">
        <v>198</v>
      </c>
      <c r="I6" s="757" t="s">
        <v>342</v>
      </c>
      <c r="K6" s="1572" t="s">
        <v>343</v>
      </c>
      <c r="L6" s="1573">
        <v>10</v>
      </c>
      <c r="M6" s="1573">
        <v>11</v>
      </c>
      <c r="N6" s="1574">
        <v>12</v>
      </c>
      <c r="O6" s="1575" t="s">
        <v>344</v>
      </c>
      <c r="P6" s="1576" t="s">
        <v>345</v>
      </c>
      <c r="Q6" s="1576" t="s">
        <v>346</v>
      </c>
      <c r="R6" s="1576" t="s">
        <v>347</v>
      </c>
      <c r="S6" s="1576" t="s">
        <v>348</v>
      </c>
      <c r="T6" s="1576" t="s">
        <v>349</v>
      </c>
      <c r="U6" s="1576" t="s">
        <v>350</v>
      </c>
      <c r="V6" s="1576" t="s">
        <v>351</v>
      </c>
      <c r="W6" s="1576" t="s">
        <v>343</v>
      </c>
      <c r="X6" s="1576" t="s">
        <v>352</v>
      </c>
      <c r="Y6" s="1576" t="s">
        <v>353</v>
      </c>
      <c r="Z6" s="1577" t="s">
        <v>354</v>
      </c>
      <c r="AA6" s="1575" t="s">
        <v>344</v>
      </c>
      <c r="AB6" s="1576" t="s">
        <v>345</v>
      </c>
      <c r="AC6" s="1576" t="s">
        <v>346</v>
      </c>
      <c r="AD6" s="1576" t="s">
        <v>347</v>
      </c>
      <c r="AE6" s="1576" t="s">
        <v>348</v>
      </c>
      <c r="AF6" s="1576" t="s">
        <v>349</v>
      </c>
      <c r="AG6" s="1576" t="s">
        <v>350</v>
      </c>
      <c r="AH6" s="1576" t="s">
        <v>351</v>
      </c>
      <c r="AI6" s="1576" t="s">
        <v>343</v>
      </c>
      <c r="AJ6" s="1576" t="s">
        <v>352</v>
      </c>
      <c r="AK6" s="1576" t="s">
        <v>353</v>
      </c>
      <c r="AL6" s="1577" t="s">
        <v>354</v>
      </c>
      <c r="AM6" s="1575" t="s">
        <v>344</v>
      </c>
      <c r="AN6" s="1576" t="s">
        <v>345</v>
      </c>
      <c r="AO6" s="1576" t="s">
        <v>346</v>
      </c>
      <c r="AP6" s="1576" t="s">
        <v>347</v>
      </c>
      <c r="AQ6" s="1576" t="s">
        <v>348</v>
      </c>
      <c r="AR6" s="1576" t="s">
        <v>349</v>
      </c>
      <c r="AS6" s="1576" t="s">
        <v>350</v>
      </c>
      <c r="AT6" s="1578" t="s">
        <v>351</v>
      </c>
      <c r="AU6" s="758"/>
      <c r="AV6" s="1762" t="s">
        <v>200</v>
      </c>
      <c r="AW6" s="1764" t="s">
        <v>184</v>
      </c>
      <c r="AX6" s="1766" t="s">
        <v>172</v>
      </c>
      <c r="AY6" s="759" t="s">
        <v>198</v>
      </c>
      <c r="AZ6" s="760" t="s">
        <v>199</v>
      </c>
    </row>
    <row r="7" spans="1:54" ht="15" customHeight="1" thickBot="1">
      <c r="A7" s="1745"/>
      <c r="B7" s="1747"/>
      <c r="C7" s="1751"/>
      <c r="D7" s="1752"/>
      <c r="E7" s="1753"/>
      <c r="G7" s="1295" t="s">
        <v>342</v>
      </c>
      <c r="H7" s="1296" t="s">
        <v>580</v>
      </c>
      <c r="I7" s="1297" t="s">
        <v>355</v>
      </c>
      <c r="K7" s="1768">
        <v>2016</v>
      </c>
      <c r="L7" s="1752"/>
      <c r="M7" s="1752"/>
      <c r="N7" s="1769"/>
      <c r="O7" s="1770">
        <v>2017</v>
      </c>
      <c r="P7" s="1752"/>
      <c r="Q7" s="1752"/>
      <c r="R7" s="1752"/>
      <c r="S7" s="1752"/>
      <c r="T7" s="1752"/>
      <c r="U7" s="1752"/>
      <c r="V7" s="1752"/>
      <c r="W7" s="1752"/>
      <c r="X7" s="1752"/>
      <c r="Y7" s="1752"/>
      <c r="Z7" s="1769"/>
      <c r="AA7" s="1770">
        <v>2018</v>
      </c>
      <c r="AB7" s="1752"/>
      <c r="AC7" s="1752"/>
      <c r="AD7" s="1752"/>
      <c r="AE7" s="1752"/>
      <c r="AF7" s="1752"/>
      <c r="AG7" s="1752"/>
      <c r="AH7" s="1752"/>
      <c r="AI7" s="1579"/>
      <c r="AJ7" s="1579"/>
      <c r="AK7" s="1579"/>
      <c r="AL7" s="1579"/>
      <c r="AM7" s="1770">
        <v>2019</v>
      </c>
      <c r="AN7" s="1752"/>
      <c r="AO7" s="1752"/>
      <c r="AP7" s="1752"/>
      <c r="AQ7" s="1752"/>
      <c r="AR7" s="1752"/>
      <c r="AS7" s="1752"/>
      <c r="AT7" s="1772"/>
      <c r="AV7" s="1763"/>
      <c r="AW7" s="1765"/>
      <c r="AX7" s="1767"/>
      <c r="AY7" s="1300"/>
      <c r="AZ7" s="1301"/>
    </row>
    <row r="8" spans="1:54" s="761" customFormat="1" ht="24.95" customHeight="1">
      <c r="A8" s="1537" t="s">
        <v>594</v>
      </c>
      <c r="B8" s="1540" t="s">
        <v>86</v>
      </c>
      <c r="C8" s="1541">
        <v>15368191.59</v>
      </c>
      <c r="D8" s="1542">
        <v>-5208230.38</v>
      </c>
      <c r="E8" s="1539">
        <v>5208230.38</v>
      </c>
      <c r="F8" s="1298"/>
      <c r="G8" s="1541">
        <v>591197.18999999994</v>
      </c>
      <c r="H8" s="1538">
        <v>613571.07999999996</v>
      </c>
      <c r="I8" s="1539">
        <v>-22373.89</v>
      </c>
      <c r="K8" s="1291"/>
      <c r="L8" s="1292"/>
      <c r="M8" s="1568"/>
      <c r="N8" s="1566"/>
      <c r="O8" s="1564"/>
      <c r="P8" s="1292"/>
      <c r="Q8" s="1292"/>
      <c r="R8" s="1292"/>
      <c r="S8" s="1292"/>
      <c r="T8" s="1292"/>
      <c r="U8" s="1292"/>
      <c r="V8" s="1292"/>
      <c r="W8" s="1292"/>
      <c r="X8" s="1292"/>
      <c r="Y8" s="1568"/>
      <c r="Z8" s="1566"/>
      <c r="AA8" s="1564"/>
      <c r="AB8" s="1544"/>
      <c r="AC8" s="1544"/>
      <c r="AD8" s="1544"/>
      <c r="AE8" s="1544"/>
      <c r="AF8" s="1544"/>
      <c r="AG8" s="1292"/>
      <c r="AH8" s="1292"/>
      <c r="AI8" s="1292"/>
      <c r="AJ8" s="1292"/>
      <c r="AK8" s="1568"/>
      <c r="AL8" s="1566"/>
      <c r="AM8" s="1564"/>
      <c r="AN8" s="1544"/>
      <c r="AO8" s="1544"/>
      <c r="AP8" s="1544"/>
      <c r="AQ8" s="1544"/>
      <c r="AR8" s="1544"/>
      <c r="AS8" s="1292"/>
      <c r="AT8" s="1570"/>
      <c r="AU8" s="1547"/>
      <c r="AV8" s="1541"/>
      <c r="AW8" s="1546"/>
      <c r="AX8" s="1539"/>
      <c r="AY8" s="1542"/>
      <c r="AZ8" s="1539"/>
    </row>
    <row r="9" spans="1:54" ht="24.95" customHeight="1">
      <c r="A9" s="1306" t="s">
        <v>595</v>
      </c>
      <c r="B9" s="1318" t="s">
        <v>596</v>
      </c>
      <c r="C9" s="1322">
        <v>0</v>
      </c>
      <c r="D9" s="1302">
        <v>-3584887.98</v>
      </c>
      <c r="E9" s="1308">
        <v>3584887.98</v>
      </c>
      <c r="F9" s="1290"/>
      <c r="G9" s="1322">
        <v>0</v>
      </c>
      <c r="H9" s="1307">
        <v>0</v>
      </c>
      <c r="I9" s="1308">
        <v>0</v>
      </c>
      <c r="K9" s="1293"/>
      <c r="L9" s="1294"/>
      <c r="M9" s="1569">
        <v>1</v>
      </c>
      <c r="N9" s="1567"/>
      <c r="O9" s="1565"/>
      <c r="P9" s="1294"/>
      <c r="Q9" s="1294"/>
      <c r="R9" s="1294"/>
      <c r="S9" s="1294"/>
      <c r="T9" s="1294"/>
      <c r="U9" s="1294"/>
      <c r="V9" s="1294"/>
      <c r="W9" s="1294"/>
      <c r="X9" s="1294"/>
      <c r="Y9" s="1569"/>
      <c r="Z9" s="1567"/>
      <c r="AA9" s="1565"/>
      <c r="AB9" s="1545"/>
      <c r="AC9" s="1545"/>
      <c r="AD9" s="1545"/>
      <c r="AE9" s="1545"/>
      <c r="AF9" s="1545"/>
      <c r="AG9" s="1294"/>
      <c r="AH9" s="1294"/>
      <c r="AI9" s="1294"/>
      <c r="AJ9" s="1294"/>
      <c r="AK9" s="1569"/>
      <c r="AL9" s="1567"/>
      <c r="AM9" s="1565"/>
      <c r="AN9" s="1545"/>
      <c r="AO9" s="1545"/>
      <c r="AP9" s="1545"/>
      <c r="AQ9" s="1545"/>
      <c r="AR9" s="1545"/>
      <c r="AS9" s="1294"/>
      <c r="AT9" s="1571"/>
      <c r="AU9" s="1548"/>
      <c r="AV9" s="1322"/>
      <c r="AW9" s="1307"/>
      <c r="AX9" s="1308"/>
      <c r="AY9" s="1302"/>
      <c r="AZ9" s="1308"/>
    </row>
    <row r="10" spans="1:54" ht="24.95" customHeight="1">
      <c r="A10" s="1306" t="s">
        <v>597</v>
      </c>
      <c r="B10" s="1318" t="s">
        <v>598</v>
      </c>
      <c r="C10" s="1322">
        <v>1792617.6</v>
      </c>
      <c r="D10" s="1302">
        <v>0</v>
      </c>
      <c r="E10" s="1308">
        <v>0</v>
      </c>
      <c r="F10" s="1290"/>
      <c r="G10" s="1322">
        <v>0</v>
      </c>
      <c r="H10" s="1307">
        <v>0</v>
      </c>
      <c r="I10" s="1308">
        <v>0</v>
      </c>
      <c r="K10" s="1293"/>
      <c r="L10" s="1294"/>
      <c r="M10" s="1569">
        <v>1</v>
      </c>
      <c r="N10" s="1567"/>
      <c r="O10" s="1565"/>
      <c r="P10" s="1294"/>
      <c r="Q10" s="1294"/>
      <c r="R10" s="1294"/>
      <c r="S10" s="1294"/>
      <c r="T10" s="1294"/>
      <c r="U10" s="1294"/>
      <c r="V10" s="1294"/>
      <c r="W10" s="1294"/>
      <c r="X10" s="1294"/>
      <c r="Y10" s="1569"/>
      <c r="Z10" s="1567"/>
      <c r="AA10" s="1565"/>
      <c r="AB10" s="1545"/>
      <c r="AC10" s="1545"/>
      <c r="AD10" s="1545"/>
      <c r="AE10" s="1545"/>
      <c r="AF10" s="1545"/>
      <c r="AG10" s="1294"/>
      <c r="AH10" s="1294"/>
      <c r="AI10" s="1294"/>
      <c r="AJ10" s="1294"/>
      <c r="AK10" s="1569"/>
      <c r="AL10" s="1567"/>
      <c r="AM10" s="1565"/>
      <c r="AN10" s="1545"/>
      <c r="AO10" s="1545"/>
      <c r="AP10" s="1545"/>
      <c r="AQ10" s="1545"/>
      <c r="AR10" s="1545"/>
      <c r="AS10" s="1294"/>
      <c r="AT10" s="1571"/>
      <c r="AU10" s="1548"/>
      <c r="AV10" s="1322"/>
      <c r="AW10" s="1307"/>
      <c r="AX10" s="1308"/>
      <c r="AY10" s="1302"/>
      <c r="AZ10" s="1308"/>
    </row>
    <row r="11" spans="1:54" ht="24.95" customHeight="1">
      <c r="A11" s="1306" t="s">
        <v>599</v>
      </c>
      <c r="B11" s="1318" t="s">
        <v>600</v>
      </c>
      <c r="C11" s="1322">
        <v>12037.6</v>
      </c>
      <c r="D11" s="1302">
        <v>0</v>
      </c>
      <c r="E11" s="1308">
        <v>0</v>
      </c>
      <c r="F11" s="1290"/>
      <c r="G11" s="1322">
        <v>0</v>
      </c>
      <c r="H11" s="1307">
        <v>0</v>
      </c>
      <c r="I11" s="1308">
        <v>0</v>
      </c>
      <c r="K11" s="1293"/>
      <c r="L11" s="1294"/>
      <c r="M11" s="1569">
        <v>1</v>
      </c>
      <c r="N11" s="1567"/>
      <c r="O11" s="1565"/>
      <c r="P11" s="1294"/>
      <c r="Q11" s="1294"/>
      <c r="R11" s="1294"/>
      <c r="S11" s="1294"/>
      <c r="T11" s="1294"/>
      <c r="U11" s="1294"/>
      <c r="V11" s="1294"/>
      <c r="W11" s="1294"/>
      <c r="X11" s="1294"/>
      <c r="Y11" s="1569"/>
      <c r="Z11" s="1567"/>
      <c r="AA11" s="1565"/>
      <c r="AB11" s="1545"/>
      <c r="AC11" s="1545"/>
      <c r="AD11" s="1545"/>
      <c r="AE11" s="1545"/>
      <c r="AF11" s="1545"/>
      <c r="AG11" s="1294"/>
      <c r="AH11" s="1294"/>
      <c r="AI11" s="1294"/>
      <c r="AJ11" s="1294"/>
      <c r="AK11" s="1569"/>
      <c r="AL11" s="1567"/>
      <c r="AM11" s="1565"/>
      <c r="AN11" s="1545"/>
      <c r="AO11" s="1545"/>
      <c r="AP11" s="1545"/>
      <c r="AQ11" s="1545"/>
      <c r="AR11" s="1545"/>
      <c r="AS11" s="1294"/>
      <c r="AT11" s="1571"/>
      <c r="AU11" s="1548"/>
      <c r="AV11" s="1322"/>
      <c r="AW11" s="1307"/>
      <c r="AX11" s="1308"/>
      <c r="AY11" s="1302"/>
      <c r="AZ11" s="1308"/>
    </row>
    <row r="12" spans="1:54" ht="24.95" customHeight="1">
      <c r="A12" s="1306" t="s">
        <v>601</v>
      </c>
      <c r="B12" s="1318" t="s">
        <v>356</v>
      </c>
      <c r="C12" s="1322">
        <v>1044611.75</v>
      </c>
      <c r="D12" s="1302">
        <v>0</v>
      </c>
      <c r="E12" s="1308">
        <v>0</v>
      </c>
      <c r="F12" s="1290"/>
      <c r="G12" s="1322">
        <v>0</v>
      </c>
      <c r="H12" s="1307">
        <v>0</v>
      </c>
      <c r="I12" s="1308">
        <v>0</v>
      </c>
      <c r="K12" s="1293"/>
      <c r="L12" s="1294"/>
      <c r="M12" s="1569"/>
      <c r="N12" s="1567"/>
      <c r="O12" s="1565"/>
      <c r="P12" s="1294"/>
      <c r="Q12" s="1294"/>
      <c r="R12" s="1294"/>
      <c r="S12" s="1294"/>
      <c r="T12" s="1294"/>
      <c r="U12" s="1294"/>
      <c r="V12" s="1294"/>
      <c r="W12" s="1294"/>
      <c r="X12" s="1294"/>
      <c r="Y12" s="1569"/>
      <c r="Z12" s="1567"/>
      <c r="AA12" s="1565"/>
      <c r="AB12" s="1545"/>
      <c r="AC12" s="1545"/>
      <c r="AD12" s="1545"/>
      <c r="AE12" s="1545"/>
      <c r="AF12" s="1545"/>
      <c r="AG12" s="1294"/>
      <c r="AH12" s="1294"/>
      <c r="AI12" s="1294"/>
      <c r="AJ12" s="1294"/>
      <c r="AK12" s="1569"/>
      <c r="AL12" s="1567"/>
      <c r="AM12" s="1565"/>
      <c r="AN12" s="1545"/>
      <c r="AO12" s="1545"/>
      <c r="AP12" s="1545"/>
      <c r="AQ12" s="1545"/>
      <c r="AR12" s="1545"/>
      <c r="AS12" s="1294"/>
      <c r="AT12" s="1571"/>
      <c r="AU12" s="1548"/>
      <c r="AV12" s="1322"/>
      <c r="AW12" s="1307"/>
      <c r="AX12" s="1308"/>
      <c r="AY12" s="1302"/>
      <c r="AZ12" s="1308"/>
    </row>
    <row r="13" spans="1:54" ht="24.95" customHeight="1">
      <c r="A13" s="1306" t="s">
        <v>602</v>
      </c>
      <c r="B13" s="1318" t="s">
        <v>603</v>
      </c>
      <c r="C13" s="1322">
        <v>473040.71</v>
      </c>
      <c r="D13" s="1302">
        <v>0</v>
      </c>
      <c r="E13" s="1308">
        <v>0</v>
      </c>
      <c r="F13" s="1290"/>
      <c r="G13" s="1322">
        <v>0</v>
      </c>
      <c r="H13" s="1307">
        <v>0</v>
      </c>
      <c r="I13" s="1308">
        <v>0</v>
      </c>
      <c r="K13" s="1293"/>
      <c r="L13" s="1294"/>
      <c r="M13" s="1569">
        <v>1</v>
      </c>
      <c r="N13" s="1567"/>
      <c r="O13" s="1565"/>
      <c r="P13" s="1294"/>
      <c r="Q13" s="1294"/>
      <c r="R13" s="1294"/>
      <c r="S13" s="1294"/>
      <c r="T13" s="1294"/>
      <c r="U13" s="1294"/>
      <c r="V13" s="1294"/>
      <c r="W13" s="1294"/>
      <c r="X13" s="1294"/>
      <c r="Y13" s="1569"/>
      <c r="Z13" s="1567"/>
      <c r="AA13" s="1565"/>
      <c r="AB13" s="1545"/>
      <c r="AC13" s="1545"/>
      <c r="AD13" s="1545"/>
      <c r="AE13" s="1545"/>
      <c r="AF13" s="1545"/>
      <c r="AG13" s="1294"/>
      <c r="AH13" s="1294"/>
      <c r="AI13" s="1294"/>
      <c r="AJ13" s="1294"/>
      <c r="AK13" s="1569"/>
      <c r="AL13" s="1567"/>
      <c r="AM13" s="1565"/>
      <c r="AN13" s="1545"/>
      <c r="AO13" s="1545"/>
      <c r="AP13" s="1545"/>
      <c r="AQ13" s="1545"/>
      <c r="AR13" s="1545"/>
      <c r="AS13" s="1294"/>
      <c r="AT13" s="1571"/>
      <c r="AU13" s="1548"/>
      <c r="AV13" s="1322"/>
      <c r="AW13" s="1307"/>
      <c r="AX13" s="1308"/>
      <c r="AY13" s="1302"/>
      <c r="AZ13" s="1308"/>
    </row>
    <row r="14" spans="1:54" ht="24.95" customHeight="1">
      <c r="A14" s="1306" t="s">
        <v>604</v>
      </c>
      <c r="B14" s="1318" t="s">
        <v>605</v>
      </c>
      <c r="C14" s="1322">
        <v>29675.52</v>
      </c>
      <c r="D14" s="1302">
        <v>0</v>
      </c>
      <c r="E14" s="1308">
        <v>0</v>
      </c>
      <c r="F14" s="1290"/>
      <c r="G14" s="1322">
        <v>28500.37</v>
      </c>
      <c r="H14" s="1307">
        <v>36000</v>
      </c>
      <c r="I14" s="1308">
        <v>-7499.63</v>
      </c>
      <c r="K14" s="1293"/>
      <c r="L14" s="1294"/>
      <c r="M14" s="1569">
        <v>1</v>
      </c>
      <c r="N14" s="1567"/>
      <c r="O14" s="1565"/>
      <c r="P14" s="1294"/>
      <c r="Q14" s="1294"/>
      <c r="R14" s="1294"/>
      <c r="S14" s="1294"/>
      <c r="T14" s="1294"/>
      <c r="U14" s="1294"/>
      <c r="V14" s="1294"/>
      <c r="W14" s="1294"/>
      <c r="X14" s="1294"/>
      <c r="Y14" s="1569"/>
      <c r="Z14" s="1567"/>
      <c r="AA14" s="1565"/>
      <c r="AB14" s="1545"/>
      <c r="AC14" s="1545"/>
      <c r="AD14" s="1545"/>
      <c r="AE14" s="1545"/>
      <c r="AF14" s="1545"/>
      <c r="AG14" s="1294"/>
      <c r="AH14" s="1294"/>
      <c r="AI14" s="1294"/>
      <c r="AJ14" s="1294"/>
      <c r="AK14" s="1569"/>
      <c r="AL14" s="1567"/>
      <c r="AM14" s="1565"/>
      <c r="AN14" s="1545"/>
      <c r="AO14" s="1545"/>
      <c r="AP14" s="1545"/>
      <c r="AQ14" s="1545"/>
      <c r="AR14" s="1545"/>
      <c r="AS14" s="1294"/>
      <c r="AT14" s="1571"/>
      <c r="AU14" s="1548"/>
      <c r="AV14" s="1322"/>
      <c r="AW14" s="1307"/>
      <c r="AX14" s="1308"/>
      <c r="AY14" s="1302"/>
      <c r="AZ14" s="1308"/>
    </row>
    <row r="15" spans="1:54" ht="24.95" customHeight="1">
      <c r="A15" s="1306" t="s">
        <v>606</v>
      </c>
      <c r="B15" s="1318" t="s">
        <v>607</v>
      </c>
      <c r="C15" s="1322">
        <v>1848</v>
      </c>
      <c r="D15" s="1302">
        <v>0</v>
      </c>
      <c r="E15" s="1308">
        <v>0</v>
      </c>
      <c r="F15" s="1290"/>
      <c r="G15" s="1322">
        <v>1847.82</v>
      </c>
      <c r="H15" s="1307">
        <v>25000</v>
      </c>
      <c r="I15" s="1308">
        <v>-23152.18</v>
      </c>
      <c r="K15" s="1293"/>
      <c r="L15" s="1294"/>
      <c r="M15" s="1569"/>
      <c r="N15" s="1567"/>
      <c r="O15" s="1565"/>
      <c r="P15" s="1294"/>
      <c r="Q15" s="1294"/>
      <c r="R15" s="1294"/>
      <c r="S15" s="1294"/>
      <c r="T15" s="1294"/>
      <c r="U15" s="1294"/>
      <c r="V15" s="1294"/>
      <c r="W15" s="1294"/>
      <c r="X15" s="1294"/>
      <c r="Y15" s="1569"/>
      <c r="Z15" s="1567"/>
      <c r="AA15" s="1565"/>
      <c r="AB15" s="1545"/>
      <c r="AC15" s="1545"/>
      <c r="AD15" s="1545"/>
      <c r="AE15" s="1545"/>
      <c r="AF15" s="1545"/>
      <c r="AG15" s="1294"/>
      <c r="AH15" s="1294"/>
      <c r="AI15" s="1294"/>
      <c r="AJ15" s="1294"/>
      <c r="AK15" s="1569"/>
      <c r="AL15" s="1567"/>
      <c r="AM15" s="1565"/>
      <c r="AN15" s="1545"/>
      <c r="AO15" s="1545"/>
      <c r="AP15" s="1545"/>
      <c r="AQ15" s="1545"/>
      <c r="AR15" s="1545"/>
      <c r="AS15" s="1294"/>
      <c r="AT15" s="1571"/>
      <c r="AU15" s="1548"/>
      <c r="AV15" s="1322"/>
      <c r="AW15" s="1307"/>
      <c r="AX15" s="1308"/>
      <c r="AY15" s="1302"/>
      <c r="AZ15" s="1308"/>
    </row>
    <row r="16" spans="1:54" ht="24.95" customHeight="1">
      <c r="A16" s="1306" t="s">
        <v>608</v>
      </c>
      <c r="B16" s="1318" t="s">
        <v>609</v>
      </c>
      <c r="C16" s="1322">
        <v>304036.21999999997</v>
      </c>
      <c r="D16" s="1302">
        <v>0</v>
      </c>
      <c r="E16" s="1308">
        <v>0</v>
      </c>
      <c r="F16" s="1290"/>
      <c r="G16" s="1322">
        <v>0</v>
      </c>
      <c r="H16" s="1307">
        <v>0</v>
      </c>
      <c r="I16" s="1308">
        <v>0</v>
      </c>
      <c r="K16" s="1293"/>
      <c r="L16" s="1294"/>
      <c r="M16" s="1569"/>
      <c r="N16" s="1567"/>
      <c r="O16" s="1565"/>
      <c r="P16" s="1294"/>
      <c r="Q16" s="1294"/>
      <c r="R16" s="1294"/>
      <c r="S16" s="1294"/>
      <c r="T16" s="1294"/>
      <c r="U16" s="1294"/>
      <c r="V16" s="1294"/>
      <c r="W16" s="1294"/>
      <c r="X16" s="1294"/>
      <c r="Y16" s="1569"/>
      <c r="Z16" s="1567"/>
      <c r="AA16" s="1565"/>
      <c r="AB16" s="1545"/>
      <c r="AC16" s="1545"/>
      <c r="AD16" s="1545"/>
      <c r="AE16" s="1545"/>
      <c r="AF16" s="1545"/>
      <c r="AG16" s="1294"/>
      <c r="AH16" s="1294"/>
      <c r="AI16" s="1294"/>
      <c r="AJ16" s="1294"/>
      <c r="AK16" s="1569"/>
      <c r="AL16" s="1567"/>
      <c r="AM16" s="1565"/>
      <c r="AN16" s="1545"/>
      <c r="AO16" s="1545"/>
      <c r="AP16" s="1545"/>
      <c r="AQ16" s="1545"/>
      <c r="AR16" s="1545"/>
      <c r="AS16" s="1294"/>
      <c r="AT16" s="1571"/>
      <c r="AU16" s="1548"/>
      <c r="AV16" s="1322"/>
      <c r="AW16" s="1307"/>
      <c r="AX16" s="1308"/>
      <c r="AY16" s="1302"/>
      <c r="AZ16" s="1308"/>
    </row>
    <row r="17" spans="1:52" ht="24.95" customHeight="1">
      <c r="A17" s="1306" t="s">
        <v>610</v>
      </c>
      <c r="B17" s="1318" t="s">
        <v>611</v>
      </c>
      <c r="C17" s="1322">
        <v>1987049.05</v>
      </c>
      <c r="D17" s="1302">
        <v>0</v>
      </c>
      <c r="E17" s="1308">
        <v>0</v>
      </c>
      <c r="F17" s="1290"/>
      <c r="G17" s="1322">
        <v>0</v>
      </c>
      <c r="H17" s="1307">
        <v>0</v>
      </c>
      <c r="I17" s="1308">
        <v>0</v>
      </c>
      <c r="K17" s="1293"/>
      <c r="L17" s="1294"/>
      <c r="M17" s="1569">
        <v>1</v>
      </c>
      <c r="N17" s="1567"/>
      <c r="O17" s="1565"/>
      <c r="P17" s="1294"/>
      <c r="Q17" s="1294"/>
      <c r="R17" s="1294"/>
      <c r="S17" s="1294"/>
      <c r="T17" s="1294"/>
      <c r="U17" s="1294"/>
      <c r="V17" s="1294"/>
      <c r="W17" s="1294"/>
      <c r="X17" s="1294"/>
      <c r="Y17" s="1569"/>
      <c r="Z17" s="1567"/>
      <c r="AA17" s="1565"/>
      <c r="AB17" s="1545"/>
      <c r="AC17" s="1545"/>
      <c r="AD17" s="1545"/>
      <c r="AE17" s="1545"/>
      <c r="AF17" s="1545"/>
      <c r="AG17" s="1294"/>
      <c r="AH17" s="1294"/>
      <c r="AI17" s="1294"/>
      <c r="AJ17" s="1294"/>
      <c r="AK17" s="1569"/>
      <c r="AL17" s="1567"/>
      <c r="AM17" s="1565"/>
      <c r="AN17" s="1545"/>
      <c r="AO17" s="1545"/>
      <c r="AP17" s="1545"/>
      <c r="AQ17" s="1545"/>
      <c r="AR17" s="1545"/>
      <c r="AS17" s="1294"/>
      <c r="AT17" s="1571"/>
      <c r="AU17" s="1548"/>
      <c r="AV17" s="1322"/>
      <c r="AW17" s="1307"/>
      <c r="AX17" s="1308"/>
      <c r="AY17" s="1302"/>
      <c r="AZ17" s="1308"/>
    </row>
    <row r="18" spans="1:52" ht="24.95" customHeight="1">
      <c r="A18" s="1306" t="s">
        <v>612</v>
      </c>
      <c r="B18" s="1318" t="s">
        <v>613</v>
      </c>
      <c r="C18" s="1322">
        <v>201154.88</v>
      </c>
      <c r="D18" s="1302">
        <v>0</v>
      </c>
      <c r="E18" s="1308">
        <v>0</v>
      </c>
      <c r="F18" s="1290"/>
      <c r="G18" s="1322">
        <v>0</v>
      </c>
      <c r="H18" s="1307">
        <v>0</v>
      </c>
      <c r="I18" s="1308">
        <v>0</v>
      </c>
      <c r="K18" s="1293"/>
      <c r="L18" s="1294"/>
      <c r="M18" s="1569">
        <v>1</v>
      </c>
      <c r="N18" s="1567"/>
      <c r="O18" s="1565"/>
      <c r="P18" s="1294"/>
      <c r="Q18" s="1294"/>
      <c r="R18" s="1294"/>
      <c r="S18" s="1294"/>
      <c r="T18" s="1294"/>
      <c r="U18" s="1294"/>
      <c r="V18" s="1294"/>
      <c r="W18" s="1294"/>
      <c r="X18" s="1294"/>
      <c r="Y18" s="1569"/>
      <c r="Z18" s="1567"/>
      <c r="AA18" s="1565"/>
      <c r="AB18" s="1545"/>
      <c r="AC18" s="1545"/>
      <c r="AD18" s="1545"/>
      <c r="AE18" s="1545"/>
      <c r="AF18" s="1545"/>
      <c r="AG18" s="1294"/>
      <c r="AH18" s="1294"/>
      <c r="AI18" s="1294"/>
      <c r="AJ18" s="1294"/>
      <c r="AK18" s="1569"/>
      <c r="AL18" s="1567"/>
      <c r="AM18" s="1565"/>
      <c r="AN18" s="1545"/>
      <c r="AO18" s="1545"/>
      <c r="AP18" s="1545"/>
      <c r="AQ18" s="1545"/>
      <c r="AR18" s="1545"/>
      <c r="AS18" s="1294"/>
      <c r="AT18" s="1571"/>
      <c r="AU18" s="1548"/>
      <c r="AV18" s="1322"/>
      <c r="AW18" s="1307"/>
      <c r="AX18" s="1308"/>
      <c r="AY18" s="1302"/>
      <c r="AZ18" s="1308"/>
    </row>
    <row r="19" spans="1:52" ht="24.95" customHeight="1">
      <c r="A19" s="1306" t="s">
        <v>614</v>
      </c>
      <c r="B19" s="1318" t="s">
        <v>615</v>
      </c>
      <c r="C19" s="1322">
        <v>2008300</v>
      </c>
      <c r="D19" s="1302">
        <v>0</v>
      </c>
      <c r="E19" s="1308">
        <v>0</v>
      </c>
      <c r="F19" s="1290"/>
      <c r="G19" s="1322">
        <v>0</v>
      </c>
      <c r="H19" s="1307">
        <v>0</v>
      </c>
      <c r="I19" s="1308">
        <v>0</v>
      </c>
      <c r="K19" s="1293"/>
      <c r="L19" s="1294"/>
      <c r="M19" s="1569">
        <v>1</v>
      </c>
      <c r="N19" s="1567"/>
      <c r="O19" s="1565"/>
      <c r="P19" s="1294"/>
      <c r="Q19" s="1294"/>
      <c r="R19" s="1294"/>
      <c r="S19" s="1294"/>
      <c r="T19" s="1294"/>
      <c r="U19" s="1294"/>
      <c r="V19" s="1294"/>
      <c r="W19" s="1294"/>
      <c r="X19" s="1294"/>
      <c r="Y19" s="1569"/>
      <c r="Z19" s="1567"/>
      <c r="AA19" s="1565"/>
      <c r="AB19" s="1545"/>
      <c r="AC19" s="1545"/>
      <c r="AD19" s="1545"/>
      <c r="AE19" s="1545"/>
      <c r="AF19" s="1545"/>
      <c r="AG19" s="1294"/>
      <c r="AH19" s="1294"/>
      <c r="AI19" s="1294"/>
      <c r="AJ19" s="1294"/>
      <c r="AK19" s="1569"/>
      <c r="AL19" s="1567"/>
      <c r="AM19" s="1565"/>
      <c r="AN19" s="1545"/>
      <c r="AO19" s="1545"/>
      <c r="AP19" s="1545"/>
      <c r="AQ19" s="1545"/>
      <c r="AR19" s="1545"/>
      <c r="AS19" s="1294"/>
      <c r="AT19" s="1571"/>
      <c r="AU19" s="1548"/>
      <c r="AV19" s="1322"/>
      <c r="AW19" s="1307"/>
      <c r="AX19" s="1308"/>
      <c r="AY19" s="1302"/>
      <c r="AZ19" s="1308"/>
    </row>
    <row r="20" spans="1:52" ht="24.95" customHeight="1">
      <c r="A20" s="1306" t="s">
        <v>616</v>
      </c>
      <c r="B20" s="1318" t="s">
        <v>617</v>
      </c>
      <c r="C20" s="1322">
        <v>120213.45</v>
      </c>
      <c r="D20" s="1302">
        <v>0</v>
      </c>
      <c r="E20" s="1308">
        <v>0</v>
      </c>
      <c r="F20" s="1290"/>
      <c r="G20" s="1322">
        <v>0</v>
      </c>
      <c r="H20" s="1307">
        <v>0</v>
      </c>
      <c r="I20" s="1308">
        <v>0</v>
      </c>
      <c r="K20" s="1293"/>
      <c r="L20" s="1294"/>
      <c r="M20" s="1569">
        <v>1</v>
      </c>
      <c r="N20" s="1567"/>
      <c r="O20" s="1565"/>
      <c r="P20" s="1294"/>
      <c r="Q20" s="1294"/>
      <c r="R20" s="1294"/>
      <c r="S20" s="1294"/>
      <c r="T20" s="1294"/>
      <c r="U20" s="1294"/>
      <c r="V20" s="1294"/>
      <c r="W20" s="1294"/>
      <c r="X20" s="1294"/>
      <c r="Y20" s="1569"/>
      <c r="Z20" s="1567"/>
      <c r="AA20" s="1565"/>
      <c r="AB20" s="1545"/>
      <c r="AC20" s="1545"/>
      <c r="AD20" s="1545"/>
      <c r="AE20" s="1545"/>
      <c r="AF20" s="1545"/>
      <c r="AG20" s="1294"/>
      <c r="AH20" s="1294"/>
      <c r="AI20" s="1294"/>
      <c r="AJ20" s="1294"/>
      <c r="AK20" s="1569"/>
      <c r="AL20" s="1567"/>
      <c r="AM20" s="1565"/>
      <c r="AN20" s="1545"/>
      <c r="AO20" s="1545"/>
      <c r="AP20" s="1545"/>
      <c r="AQ20" s="1545"/>
      <c r="AR20" s="1545"/>
      <c r="AS20" s="1294"/>
      <c r="AT20" s="1571"/>
      <c r="AU20" s="1548"/>
      <c r="AV20" s="1322"/>
      <c r="AW20" s="1307"/>
      <c r="AX20" s="1308"/>
      <c r="AY20" s="1302"/>
      <c r="AZ20" s="1308"/>
    </row>
    <row r="21" spans="1:52" ht="24.95" customHeight="1">
      <c r="A21" s="1306" t="s">
        <v>618</v>
      </c>
      <c r="B21" s="1318" t="s">
        <v>619</v>
      </c>
      <c r="C21" s="1322">
        <v>0</v>
      </c>
      <c r="D21" s="1302">
        <v>-795680.4</v>
      </c>
      <c r="E21" s="1308">
        <v>795680.4</v>
      </c>
      <c r="F21" s="1290"/>
      <c r="G21" s="1322">
        <v>0</v>
      </c>
      <c r="H21" s="1307">
        <v>0</v>
      </c>
      <c r="I21" s="1308">
        <v>0</v>
      </c>
      <c r="K21" s="1293"/>
      <c r="L21" s="1294"/>
      <c r="M21" s="1569">
        <v>1</v>
      </c>
      <c r="N21" s="1567"/>
      <c r="O21" s="1565"/>
      <c r="P21" s="1294"/>
      <c r="Q21" s="1294"/>
      <c r="R21" s="1294"/>
      <c r="S21" s="1294"/>
      <c r="T21" s="1294"/>
      <c r="U21" s="1294"/>
      <c r="V21" s="1294"/>
      <c r="W21" s="1294"/>
      <c r="X21" s="1294"/>
      <c r="Y21" s="1569"/>
      <c r="Z21" s="1567"/>
      <c r="AA21" s="1565"/>
      <c r="AB21" s="1545"/>
      <c r="AC21" s="1545"/>
      <c r="AD21" s="1545"/>
      <c r="AE21" s="1545"/>
      <c r="AF21" s="1545"/>
      <c r="AG21" s="1294"/>
      <c r="AH21" s="1294"/>
      <c r="AI21" s="1294"/>
      <c r="AJ21" s="1294"/>
      <c r="AK21" s="1569"/>
      <c r="AL21" s="1567"/>
      <c r="AM21" s="1565"/>
      <c r="AN21" s="1545"/>
      <c r="AO21" s="1545"/>
      <c r="AP21" s="1545"/>
      <c r="AQ21" s="1545"/>
      <c r="AR21" s="1545"/>
      <c r="AS21" s="1294"/>
      <c r="AT21" s="1571"/>
      <c r="AU21" s="1548"/>
      <c r="AV21" s="1322"/>
      <c r="AW21" s="1307"/>
      <c r="AX21" s="1308"/>
      <c r="AY21" s="1302"/>
      <c r="AZ21" s="1308"/>
    </row>
    <row r="22" spans="1:52" ht="24.95" customHeight="1">
      <c r="A22" s="1306" t="s">
        <v>620</v>
      </c>
      <c r="B22" s="1318" t="s">
        <v>621</v>
      </c>
      <c r="C22" s="1322">
        <v>0</v>
      </c>
      <c r="D22" s="1302">
        <v>-827662</v>
      </c>
      <c r="E22" s="1308">
        <v>827662</v>
      </c>
      <c r="F22" s="1290"/>
      <c r="G22" s="1322">
        <v>0</v>
      </c>
      <c r="H22" s="1307">
        <v>0</v>
      </c>
      <c r="I22" s="1308">
        <v>0</v>
      </c>
      <c r="K22" s="1293"/>
      <c r="L22" s="1294"/>
      <c r="M22" s="1569">
        <v>1</v>
      </c>
      <c r="N22" s="1567"/>
      <c r="O22" s="1565"/>
      <c r="P22" s="1294"/>
      <c r="Q22" s="1294"/>
      <c r="R22" s="1294"/>
      <c r="S22" s="1294"/>
      <c r="T22" s="1294"/>
      <c r="U22" s="1294"/>
      <c r="V22" s="1294"/>
      <c r="W22" s="1294"/>
      <c r="X22" s="1294"/>
      <c r="Y22" s="1569"/>
      <c r="Z22" s="1567"/>
      <c r="AA22" s="1565"/>
      <c r="AB22" s="1545"/>
      <c r="AC22" s="1545"/>
      <c r="AD22" s="1545"/>
      <c r="AE22" s="1545"/>
      <c r="AF22" s="1545"/>
      <c r="AG22" s="1294"/>
      <c r="AH22" s="1294"/>
      <c r="AI22" s="1294"/>
      <c r="AJ22" s="1294"/>
      <c r="AK22" s="1569"/>
      <c r="AL22" s="1567"/>
      <c r="AM22" s="1565"/>
      <c r="AN22" s="1545"/>
      <c r="AO22" s="1545"/>
      <c r="AP22" s="1545"/>
      <c r="AQ22" s="1545"/>
      <c r="AR22" s="1545"/>
      <c r="AS22" s="1294"/>
      <c r="AT22" s="1571"/>
      <c r="AU22" s="1548"/>
      <c r="AV22" s="1322"/>
      <c r="AW22" s="1307"/>
      <c r="AX22" s="1308"/>
      <c r="AY22" s="1302"/>
      <c r="AZ22" s="1308"/>
    </row>
    <row r="23" spans="1:52" ht="24.95" customHeight="1">
      <c r="A23" s="1306" t="s">
        <v>622</v>
      </c>
      <c r="B23" s="1318" t="s">
        <v>623</v>
      </c>
      <c r="C23" s="1322">
        <v>3706983.6</v>
      </c>
      <c r="D23" s="1302">
        <v>0</v>
      </c>
      <c r="E23" s="1308">
        <v>0</v>
      </c>
      <c r="F23" s="1290"/>
      <c r="G23" s="1322">
        <v>0</v>
      </c>
      <c r="H23" s="1307">
        <v>0</v>
      </c>
      <c r="I23" s="1308">
        <v>0</v>
      </c>
      <c r="K23" s="1293"/>
      <c r="L23" s="1294"/>
      <c r="M23" s="1569">
        <v>1</v>
      </c>
      <c r="N23" s="1567"/>
      <c r="O23" s="1565"/>
      <c r="P23" s="1294"/>
      <c r="Q23" s="1294"/>
      <c r="R23" s="1294"/>
      <c r="S23" s="1294"/>
      <c r="T23" s="1294"/>
      <c r="U23" s="1294"/>
      <c r="V23" s="1294"/>
      <c r="W23" s="1294"/>
      <c r="X23" s="1294"/>
      <c r="Y23" s="1569"/>
      <c r="Z23" s="1567"/>
      <c r="AA23" s="1565"/>
      <c r="AB23" s="1545"/>
      <c r="AC23" s="1545"/>
      <c r="AD23" s="1545"/>
      <c r="AE23" s="1545"/>
      <c r="AF23" s="1545"/>
      <c r="AG23" s="1294"/>
      <c r="AH23" s="1294"/>
      <c r="AI23" s="1294"/>
      <c r="AJ23" s="1294"/>
      <c r="AK23" s="1569"/>
      <c r="AL23" s="1567"/>
      <c r="AM23" s="1565"/>
      <c r="AN23" s="1545"/>
      <c r="AO23" s="1545"/>
      <c r="AP23" s="1545"/>
      <c r="AQ23" s="1545"/>
      <c r="AR23" s="1545"/>
      <c r="AS23" s="1294"/>
      <c r="AT23" s="1571"/>
      <c r="AU23" s="1548"/>
      <c r="AV23" s="1322"/>
      <c r="AW23" s="1307"/>
      <c r="AX23" s="1308"/>
      <c r="AY23" s="1302"/>
      <c r="AZ23" s="1308"/>
    </row>
    <row r="24" spans="1:52" ht="24.95" customHeight="1">
      <c r="A24" s="1306" t="s">
        <v>624</v>
      </c>
      <c r="B24" s="1318" t="s">
        <v>625</v>
      </c>
      <c r="C24" s="1322">
        <v>639912</v>
      </c>
      <c r="D24" s="1302">
        <v>0</v>
      </c>
      <c r="E24" s="1308">
        <v>0</v>
      </c>
      <c r="F24" s="1290"/>
      <c r="G24" s="1322">
        <v>0</v>
      </c>
      <c r="H24" s="1307">
        <v>0</v>
      </c>
      <c r="I24" s="1308">
        <v>0</v>
      </c>
      <c r="K24" s="1293"/>
      <c r="L24" s="1294"/>
      <c r="M24" s="1569">
        <v>1</v>
      </c>
      <c r="N24" s="1567"/>
      <c r="O24" s="1565"/>
      <c r="P24" s="1294"/>
      <c r="Q24" s="1294"/>
      <c r="R24" s="1294"/>
      <c r="S24" s="1294"/>
      <c r="T24" s="1294"/>
      <c r="U24" s="1294"/>
      <c r="V24" s="1294"/>
      <c r="W24" s="1294"/>
      <c r="X24" s="1294"/>
      <c r="Y24" s="1569"/>
      <c r="Z24" s="1567"/>
      <c r="AA24" s="1565"/>
      <c r="AB24" s="1545"/>
      <c r="AC24" s="1545"/>
      <c r="AD24" s="1545"/>
      <c r="AE24" s="1545"/>
      <c r="AF24" s="1545"/>
      <c r="AG24" s="1294"/>
      <c r="AH24" s="1294"/>
      <c r="AI24" s="1294"/>
      <c r="AJ24" s="1294"/>
      <c r="AK24" s="1569"/>
      <c r="AL24" s="1567"/>
      <c r="AM24" s="1565"/>
      <c r="AN24" s="1545"/>
      <c r="AO24" s="1545"/>
      <c r="AP24" s="1545"/>
      <c r="AQ24" s="1545"/>
      <c r="AR24" s="1545"/>
      <c r="AS24" s="1294"/>
      <c r="AT24" s="1571"/>
      <c r="AU24" s="1548"/>
      <c r="AV24" s="1322"/>
      <c r="AW24" s="1307"/>
      <c r="AX24" s="1308"/>
      <c r="AY24" s="1302"/>
      <c r="AZ24" s="1308"/>
    </row>
    <row r="25" spans="1:52" ht="24.95" customHeight="1">
      <c r="A25" s="1306" t="s">
        <v>626</v>
      </c>
      <c r="B25" s="1318" t="s">
        <v>627</v>
      </c>
      <c r="C25" s="1322">
        <v>60600</v>
      </c>
      <c r="D25" s="1302">
        <v>0</v>
      </c>
      <c r="E25" s="1308">
        <v>0</v>
      </c>
      <c r="F25" s="1290"/>
      <c r="G25" s="1322">
        <v>0</v>
      </c>
      <c r="H25" s="1307">
        <v>0</v>
      </c>
      <c r="I25" s="1308">
        <v>0</v>
      </c>
      <c r="K25" s="1293"/>
      <c r="L25" s="1294"/>
      <c r="M25" s="1569">
        <v>1</v>
      </c>
      <c r="N25" s="1567"/>
      <c r="O25" s="1565"/>
      <c r="P25" s="1294"/>
      <c r="Q25" s="1294"/>
      <c r="R25" s="1294"/>
      <c r="S25" s="1294"/>
      <c r="T25" s="1294"/>
      <c r="U25" s="1294"/>
      <c r="V25" s="1294"/>
      <c r="W25" s="1294"/>
      <c r="X25" s="1294"/>
      <c r="Y25" s="1569"/>
      <c r="Z25" s="1567"/>
      <c r="AA25" s="1565"/>
      <c r="AB25" s="1545"/>
      <c r="AC25" s="1545"/>
      <c r="AD25" s="1545"/>
      <c r="AE25" s="1545"/>
      <c r="AF25" s="1545"/>
      <c r="AG25" s="1294"/>
      <c r="AH25" s="1294"/>
      <c r="AI25" s="1294"/>
      <c r="AJ25" s="1294"/>
      <c r="AK25" s="1569"/>
      <c r="AL25" s="1567"/>
      <c r="AM25" s="1565"/>
      <c r="AN25" s="1545"/>
      <c r="AO25" s="1545"/>
      <c r="AP25" s="1545"/>
      <c r="AQ25" s="1545"/>
      <c r="AR25" s="1545"/>
      <c r="AS25" s="1294"/>
      <c r="AT25" s="1571"/>
      <c r="AU25" s="1548"/>
      <c r="AV25" s="1322"/>
      <c r="AW25" s="1307"/>
      <c r="AX25" s="1308"/>
      <c r="AY25" s="1302"/>
      <c r="AZ25" s="1308"/>
    </row>
    <row r="26" spans="1:52" ht="24.95" customHeight="1">
      <c r="A26" s="1306" t="s">
        <v>628</v>
      </c>
      <c r="B26" s="1318" t="s">
        <v>629</v>
      </c>
      <c r="C26" s="1322">
        <v>71870</v>
      </c>
      <c r="D26" s="1302">
        <v>0</v>
      </c>
      <c r="E26" s="1308">
        <v>0</v>
      </c>
      <c r="F26" s="1290"/>
      <c r="G26" s="1322">
        <v>776.2</v>
      </c>
      <c r="H26" s="1307">
        <v>760</v>
      </c>
      <c r="I26" s="1308">
        <v>16.2</v>
      </c>
      <c r="K26" s="1293"/>
      <c r="L26" s="1294"/>
      <c r="M26" s="1569">
        <v>1</v>
      </c>
      <c r="N26" s="1567"/>
      <c r="O26" s="1565"/>
      <c r="P26" s="1294"/>
      <c r="Q26" s="1294"/>
      <c r="R26" s="1294"/>
      <c r="S26" s="1294"/>
      <c r="T26" s="1294"/>
      <c r="U26" s="1294"/>
      <c r="V26" s="1294"/>
      <c r="W26" s="1294"/>
      <c r="X26" s="1294"/>
      <c r="Y26" s="1569"/>
      <c r="Z26" s="1567"/>
      <c r="AA26" s="1565"/>
      <c r="AB26" s="1545"/>
      <c r="AC26" s="1545"/>
      <c r="AD26" s="1545"/>
      <c r="AE26" s="1545"/>
      <c r="AF26" s="1545"/>
      <c r="AG26" s="1294"/>
      <c r="AH26" s="1294"/>
      <c r="AI26" s="1294"/>
      <c r="AJ26" s="1294"/>
      <c r="AK26" s="1569"/>
      <c r="AL26" s="1567"/>
      <c r="AM26" s="1565"/>
      <c r="AN26" s="1545"/>
      <c r="AO26" s="1545"/>
      <c r="AP26" s="1545"/>
      <c r="AQ26" s="1545"/>
      <c r="AR26" s="1545"/>
      <c r="AS26" s="1294"/>
      <c r="AT26" s="1571"/>
      <c r="AU26" s="1548"/>
      <c r="AV26" s="1322"/>
      <c r="AW26" s="1307"/>
      <c r="AX26" s="1308"/>
      <c r="AY26" s="1302"/>
      <c r="AZ26" s="1308"/>
    </row>
    <row r="27" spans="1:52" ht="24.95" customHeight="1">
      <c r="A27" s="1306" t="s">
        <v>630</v>
      </c>
      <c r="B27" s="1318" t="s">
        <v>631</v>
      </c>
      <c r="C27" s="1322">
        <v>466450</v>
      </c>
      <c r="D27" s="1302">
        <v>0</v>
      </c>
      <c r="E27" s="1308">
        <v>0</v>
      </c>
      <c r="F27" s="1290"/>
      <c r="G27" s="1322">
        <v>0</v>
      </c>
      <c r="H27" s="1307">
        <v>0</v>
      </c>
      <c r="I27" s="1308">
        <v>0</v>
      </c>
      <c r="K27" s="1293"/>
      <c r="L27" s="1294"/>
      <c r="M27" s="1569">
        <v>1</v>
      </c>
      <c r="N27" s="1567"/>
      <c r="O27" s="1565"/>
      <c r="P27" s="1294"/>
      <c r="Q27" s="1294"/>
      <c r="R27" s="1294"/>
      <c r="S27" s="1294"/>
      <c r="T27" s="1294"/>
      <c r="U27" s="1294"/>
      <c r="V27" s="1294"/>
      <c r="W27" s="1294"/>
      <c r="X27" s="1294"/>
      <c r="Y27" s="1569"/>
      <c r="Z27" s="1567"/>
      <c r="AA27" s="1565"/>
      <c r="AB27" s="1545"/>
      <c r="AC27" s="1545"/>
      <c r="AD27" s="1545"/>
      <c r="AE27" s="1545"/>
      <c r="AF27" s="1545"/>
      <c r="AG27" s="1294"/>
      <c r="AH27" s="1294"/>
      <c r="AI27" s="1294"/>
      <c r="AJ27" s="1294"/>
      <c r="AK27" s="1569"/>
      <c r="AL27" s="1567"/>
      <c r="AM27" s="1565"/>
      <c r="AN27" s="1545"/>
      <c r="AO27" s="1545"/>
      <c r="AP27" s="1545"/>
      <c r="AQ27" s="1545"/>
      <c r="AR27" s="1545"/>
      <c r="AS27" s="1294"/>
      <c r="AT27" s="1571"/>
      <c r="AU27" s="1548"/>
      <c r="AV27" s="1322"/>
      <c r="AW27" s="1307"/>
      <c r="AX27" s="1308"/>
      <c r="AY27" s="1302"/>
      <c r="AZ27" s="1308"/>
    </row>
    <row r="28" spans="1:52" ht="24.95" customHeight="1">
      <c r="A28" s="1306" t="s">
        <v>632</v>
      </c>
      <c r="B28" s="1318" t="s">
        <v>633</v>
      </c>
      <c r="C28" s="1322">
        <v>216720</v>
      </c>
      <c r="D28" s="1302">
        <v>0</v>
      </c>
      <c r="E28" s="1308">
        <v>0</v>
      </c>
      <c r="F28" s="1290"/>
      <c r="G28" s="1322">
        <v>0</v>
      </c>
      <c r="H28" s="1307">
        <v>0</v>
      </c>
      <c r="I28" s="1308">
        <v>0</v>
      </c>
      <c r="K28" s="1293"/>
      <c r="L28" s="1294"/>
      <c r="M28" s="1569">
        <v>1</v>
      </c>
      <c r="N28" s="1567"/>
      <c r="O28" s="1565"/>
      <c r="P28" s="1294"/>
      <c r="Q28" s="1294"/>
      <c r="R28" s="1294"/>
      <c r="S28" s="1294"/>
      <c r="T28" s="1294"/>
      <c r="U28" s="1294"/>
      <c r="V28" s="1294"/>
      <c r="W28" s="1294"/>
      <c r="X28" s="1294"/>
      <c r="Y28" s="1569"/>
      <c r="Z28" s="1567"/>
      <c r="AA28" s="1565"/>
      <c r="AB28" s="1545"/>
      <c r="AC28" s="1545"/>
      <c r="AD28" s="1545"/>
      <c r="AE28" s="1545"/>
      <c r="AF28" s="1545"/>
      <c r="AG28" s="1294"/>
      <c r="AH28" s="1294"/>
      <c r="AI28" s="1294"/>
      <c r="AJ28" s="1294"/>
      <c r="AK28" s="1569"/>
      <c r="AL28" s="1567"/>
      <c r="AM28" s="1565"/>
      <c r="AN28" s="1545"/>
      <c r="AO28" s="1545"/>
      <c r="AP28" s="1545"/>
      <c r="AQ28" s="1545"/>
      <c r="AR28" s="1545"/>
      <c r="AS28" s="1294"/>
      <c r="AT28" s="1571"/>
      <c r="AU28" s="1548"/>
      <c r="AV28" s="1322"/>
      <c r="AW28" s="1307"/>
      <c r="AX28" s="1308"/>
      <c r="AY28" s="1302"/>
      <c r="AZ28" s="1308"/>
    </row>
    <row r="29" spans="1:52" ht="24.95" customHeight="1">
      <c r="A29" s="1306" t="s">
        <v>634</v>
      </c>
      <c r="B29" s="1318" t="s">
        <v>635</v>
      </c>
      <c r="C29" s="1322">
        <v>2106.7199999999998</v>
      </c>
      <c r="D29" s="1302">
        <v>0</v>
      </c>
      <c r="E29" s="1308">
        <v>0</v>
      </c>
      <c r="F29" s="1290"/>
      <c r="G29" s="1322">
        <v>0</v>
      </c>
      <c r="H29" s="1307">
        <v>0</v>
      </c>
      <c r="I29" s="1308">
        <v>0</v>
      </c>
      <c r="K29" s="1293"/>
      <c r="L29" s="1294"/>
      <c r="M29" s="1569">
        <v>1</v>
      </c>
      <c r="N29" s="1567"/>
      <c r="O29" s="1565"/>
      <c r="P29" s="1294"/>
      <c r="Q29" s="1294"/>
      <c r="R29" s="1294"/>
      <c r="S29" s="1294"/>
      <c r="T29" s="1294"/>
      <c r="U29" s="1294"/>
      <c r="V29" s="1294"/>
      <c r="W29" s="1294"/>
      <c r="X29" s="1294"/>
      <c r="Y29" s="1569"/>
      <c r="Z29" s="1567"/>
      <c r="AA29" s="1565"/>
      <c r="AB29" s="1545"/>
      <c r="AC29" s="1545"/>
      <c r="AD29" s="1545"/>
      <c r="AE29" s="1545"/>
      <c r="AF29" s="1545"/>
      <c r="AG29" s="1294"/>
      <c r="AH29" s="1294"/>
      <c r="AI29" s="1294"/>
      <c r="AJ29" s="1294"/>
      <c r="AK29" s="1569"/>
      <c r="AL29" s="1567"/>
      <c r="AM29" s="1565"/>
      <c r="AN29" s="1545"/>
      <c r="AO29" s="1545"/>
      <c r="AP29" s="1545"/>
      <c r="AQ29" s="1545"/>
      <c r="AR29" s="1545"/>
      <c r="AS29" s="1294"/>
      <c r="AT29" s="1571"/>
      <c r="AU29" s="1548"/>
      <c r="AV29" s="1322"/>
      <c r="AW29" s="1307"/>
      <c r="AX29" s="1308"/>
      <c r="AY29" s="1302"/>
      <c r="AZ29" s="1308"/>
    </row>
    <row r="30" spans="1:52" ht="24.95" customHeight="1">
      <c r="A30" s="1306" t="s">
        <v>636</v>
      </c>
      <c r="B30" s="1318" t="s">
        <v>254</v>
      </c>
      <c r="C30" s="1322">
        <v>4000</v>
      </c>
      <c r="D30" s="1302">
        <v>0</v>
      </c>
      <c r="E30" s="1308">
        <v>0</v>
      </c>
      <c r="F30" s="1290"/>
      <c r="G30" s="1322">
        <v>0</v>
      </c>
      <c r="H30" s="1307">
        <v>0</v>
      </c>
      <c r="I30" s="1308">
        <v>0</v>
      </c>
      <c r="K30" s="1293"/>
      <c r="L30" s="1294"/>
      <c r="M30" s="1569">
        <v>1</v>
      </c>
      <c r="N30" s="1567"/>
      <c r="O30" s="1565"/>
      <c r="P30" s="1294"/>
      <c r="Q30" s="1294"/>
      <c r="R30" s="1294"/>
      <c r="S30" s="1294"/>
      <c r="T30" s="1294"/>
      <c r="U30" s="1294"/>
      <c r="V30" s="1294"/>
      <c r="W30" s="1294"/>
      <c r="X30" s="1294"/>
      <c r="Y30" s="1569"/>
      <c r="Z30" s="1567"/>
      <c r="AA30" s="1565"/>
      <c r="AB30" s="1545"/>
      <c r="AC30" s="1545"/>
      <c r="AD30" s="1545"/>
      <c r="AE30" s="1545"/>
      <c r="AF30" s="1545"/>
      <c r="AG30" s="1294"/>
      <c r="AH30" s="1294"/>
      <c r="AI30" s="1294"/>
      <c r="AJ30" s="1294"/>
      <c r="AK30" s="1569"/>
      <c r="AL30" s="1567"/>
      <c r="AM30" s="1565"/>
      <c r="AN30" s="1545"/>
      <c r="AO30" s="1545"/>
      <c r="AP30" s="1545"/>
      <c r="AQ30" s="1545"/>
      <c r="AR30" s="1545"/>
      <c r="AS30" s="1294"/>
      <c r="AT30" s="1571"/>
      <c r="AU30" s="1548"/>
      <c r="AV30" s="1322"/>
      <c r="AW30" s="1307"/>
      <c r="AX30" s="1308"/>
      <c r="AY30" s="1302"/>
      <c r="AZ30" s="1308"/>
    </row>
    <row r="31" spans="1:52" ht="24.95" customHeight="1">
      <c r="A31" s="1306" t="s">
        <v>637</v>
      </c>
      <c r="B31" s="1318" t="s">
        <v>638</v>
      </c>
      <c r="C31" s="1322">
        <v>50000</v>
      </c>
      <c r="D31" s="1302">
        <v>0</v>
      </c>
      <c r="E31" s="1308">
        <v>0</v>
      </c>
      <c r="F31" s="1290"/>
      <c r="G31" s="1322">
        <v>0</v>
      </c>
      <c r="H31" s="1307">
        <v>0</v>
      </c>
      <c r="I31" s="1308">
        <v>0</v>
      </c>
      <c r="K31" s="1293"/>
      <c r="L31" s="1294"/>
      <c r="M31" s="1569">
        <v>1</v>
      </c>
      <c r="N31" s="1567"/>
      <c r="O31" s="1565"/>
      <c r="P31" s="1294"/>
      <c r="Q31" s="1294"/>
      <c r="R31" s="1294"/>
      <c r="S31" s="1294"/>
      <c r="T31" s="1294"/>
      <c r="U31" s="1294"/>
      <c r="V31" s="1294"/>
      <c r="W31" s="1294"/>
      <c r="X31" s="1294"/>
      <c r="Y31" s="1569"/>
      <c r="Z31" s="1567"/>
      <c r="AA31" s="1565"/>
      <c r="AB31" s="1545"/>
      <c r="AC31" s="1545"/>
      <c r="AD31" s="1545"/>
      <c r="AE31" s="1545"/>
      <c r="AF31" s="1545"/>
      <c r="AG31" s="1294"/>
      <c r="AH31" s="1294"/>
      <c r="AI31" s="1294"/>
      <c r="AJ31" s="1294"/>
      <c r="AK31" s="1569"/>
      <c r="AL31" s="1567"/>
      <c r="AM31" s="1565"/>
      <c r="AN31" s="1545"/>
      <c r="AO31" s="1545"/>
      <c r="AP31" s="1545"/>
      <c r="AQ31" s="1545"/>
      <c r="AR31" s="1545"/>
      <c r="AS31" s="1294"/>
      <c r="AT31" s="1571"/>
      <c r="AU31" s="1548"/>
      <c r="AV31" s="1322"/>
      <c r="AW31" s="1307"/>
      <c r="AX31" s="1308"/>
      <c r="AY31" s="1302"/>
      <c r="AZ31" s="1308"/>
    </row>
    <row r="32" spans="1:52" ht="24.95" customHeight="1">
      <c r="A32" s="1306" t="s">
        <v>639</v>
      </c>
      <c r="B32" s="1318" t="s">
        <v>640</v>
      </c>
      <c r="C32" s="1322">
        <v>154948.35</v>
      </c>
      <c r="D32" s="1302">
        <v>0</v>
      </c>
      <c r="E32" s="1308">
        <v>0</v>
      </c>
      <c r="F32" s="1290"/>
      <c r="G32" s="1322">
        <v>0</v>
      </c>
      <c r="H32" s="1307">
        <v>0</v>
      </c>
      <c r="I32" s="1308">
        <v>0</v>
      </c>
      <c r="K32" s="1293"/>
      <c r="L32" s="1294"/>
      <c r="M32" s="1569">
        <v>1</v>
      </c>
      <c r="N32" s="1567"/>
      <c r="O32" s="1565"/>
      <c r="P32" s="1294"/>
      <c r="Q32" s="1294"/>
      <c r="R32" s="1294"/>
      <c r="S32" s="1294"/>
      <c r="T32" s="1294"/>
      <c r="U32" s="1294"/>
      <c r="V32" s="1294"/>
      <c r="W32" s="1294"/>
      <c r="X32" s="1294"/>
      <c r="Y32" s="1569"/>
      <c r="Z32" s="1567"/>
      <c r="AA32" s="1565"/>
      <c r="AB32" s="1545"/>
      <c r="AC32" s="1545"/>
      <c r="AD32" s="1545"/>
      <c r="AE32" s="1545"/>
      <c r="AF32" s="1545"/>
      <c r="AG32" s="1294"/>
      <c r="AH32" s="1294"/>
      <c r="AI32" s="1294"/>
      <c r="AJ32" s="1294"/>
      <c r="AK32" s="1569"/>
      <c r="AL32" s="1567"/>
      <c r="AM32" s="1565"/>
      <c r="AN32" s="1545"/>
      <c r="AO32" s="1545"/>
      <c r="AP32" s="1545"/>
      <c r="AQ32" s="1545"/>
      <c r="AR32" s="1545"/>
      <c r="AS32" s="1294"/>
      <c r="AT32" s="1571"/>
      <c r="AU32" s="1548"/>
      <c r="AV32" s="1322"/>
      <c r="AW32" s="1307"/>
      <c r="AX32" s="1308"/>
      <c r="AY32" s="1302"/>
      <c r="AZ32" s="1308"/>
    </row>
    <row r="33" spans="1:54" ht="24.95" customHeight="1">
      <c r="A33" s="1306" t="s">
        <v>641</v>
      </c>
      <c r="B33" s="1318" t="s">
        <v>642</v>
      </c>
      <c r="C33" s="1322">
        <v>779567.14</v>
      </c>
      <c r="D33" s="1302">
        <v>0</v>
      </c>
      <c r="E33" s="1308">
        <v>0</v>
      </c>
      <c r="F33" s="1299"/>
      <c r="G33" s="1322">
        <v>156926.87</v>
      </c>
      <c r="H33" s="1307">
        <v>145206.60999999999</v>
      </c>
      <c r="I33" s="1308">
        <v>11720.26</v>
      </c>
      <c r="K33" s="1293"/>
      <c r="L33" s="1294"/>
      <c r="M33" s="1569"/>
      <c r="N33" s="1567"/>
      <c r="O33" s="1565"/>
      <c r="P33" s="1294"/>
      <c r="Q33" s="1294"/>
      <c r="R33" s="1294"/>
      <c r="S33" s="1294"/>
      <c r="T33" s="1294"/>
      <c r="U33" s="1294"/>
      <c r="V33" s="1294"/>
      <c r="W33" s="1294"/>
      <c r="X33" s="1294"/>
      <c r="Y33" s="1569"/>
      <c r="Z33" s="1567"/>
      <c r="AA33" s="1565"/>
      <c r="AB33" s="1545"/>
      <c r="AC33" s="1545"/>
      <c r="AD33" s="1545"/>
      <c r="AE33" s="1545"/>
      <c r="AF33" s="1545"/>
      <c r="AG33" s="1294"/>
      <c r="AH33" s="1294"/>
      <c r="AI33" s="1294"/>
      <c r="AJ33" s="1294"/>
      <c r="AK33" s="1569"/>
      <c r="AL33" s="1567"/>
      <c r="AM33" s="1565"/>
      <c r="AN33" s="1545"/>
      <c r="AO33" s="1545"/>
      <c r="AP33" s="1545"/>
      <c r="AQ33" s="1545"/>
      <c r="AR33" s="1545"/>
      <c r="AS33" s="1294"/>
      <c r="AT33" s="1571"/>
      <c r="AU33" s="1548"/>
      <c r="AV33" s="1322"/>
      <c r="AW33" s="1307"/>
      <c r="AX33" s="1308"/>
      <c r="AY33" s="1302"/>
      <c r="AZ33" s="1308"/>
    </row>
    <row r="34" spans="1:54" ht="24.95" customHeight="1">
      <c r="A34" s="1306" t="s">
        <v>643</v>
      </c>
      <c r="B34" s="1318" t="s">
        <v>325</v>
      </c>
      <c r="C34" s="1322">
        <v>1240449</v>
      </c>
      <c r="D34" s="1302">
        <v>0</v>
      </c>
      <c r="E34" s="1308">
        <v>0</v>
      </c>
      <c r="F34" s="1290"/>
      <c r="G34" s="1322">
        <v>403145.93</v>
      </c>
      <c r="H34" s="1307">
        <v>406604.47</v>
      </c>
      <c r="I34" s="1308">
        <v>-3458.54</v>
      </c>
      <c r="K34" s="1293"/>
      <c r="L34" s="1294"/>
      <c r="M34" s="1569"/>
      <c r="N34" s="1567"/>
      <c r="O34" s="1565"/>
      <c r="P34" s="1294"/>
      <c r="Q34" s="1294"/>
      <c r="R34" s="1294"/>
      <c r="S34" s="1294"/>
      <c r="T34" s="1294"/>
      <c r="U34" s="1294"/>
      <c r="V34" s="1294"/>
      <c r="W34" s="1294"/>
      <c r="X34" s="1294"/>
      <c r="Y34" s="1569"/>
      <c r="Z34" s="1567"/>
      <c r="AA34" s="1565"/>
      <c r="AB34" s="1545"/>
      <c r="AC34" s="1545"/>
      <c r="AD34" s="1545"/>
      <c r="AE34" s="1545"/>
      <c r="AF34" s="1545"/>
      <c r="AG34" s="1294"/>
      <c r="AH34" s="1294"/>
      <c r="AI34" s="1294"/>
      <c r="AJ34" s="1294"/>
      <c r="AK34" s="1569"/>
      <c r="AL34" s="1567"/>
      <c r="AM34" s="1565"/>
      <c r="AN34" s="1545"/>
      <c r="AO34" s="1545"/>
      <c r="AP34" s="1545"/>
      <c r="AQ34" s="1545"/>
      <c r="AR34" s="1545"/>
      <c r="AS34" s="1294"/>
      <c r="AT34" s="1571"/>
      <c r="AU34" s="1548"/>
      <c r="AV34" s="1322"/>
      <c r="AW34" s="1307"/>
      <c r="AX34" s="1308"/>
      <c r="AY34" s="1302"/>
      <c r="AZ34" s="1308"/>
      <c r="BB34" s="1289"/>
    </row>
    <row r="35" spans="1:54" ht="24.95" customHeight="1">
      <c r="A35" s="1309" t="s">
        <v>644</v>
      </c>
      <c r="B35" s="1319" t="s">
        <v>645</v>
      </c>
      <c r="C35" s="1323">
        <v>129009357.68000001</v>
      </c>
      <c r="D35" s="1303">
        <v>5982303.6799999997</v>
      </c>
      <c r="E35" s="1311">
        <v>-5982303.6799999997</v>
      </c>
      <c r="F35" s="1290"/>
      <c r="G35" s="1323">
        <v>138950</v>
      </c>
      <c r="H35" s="1310">
        <v>4849409.79</v>
      </c>
      <c r="I35" s="1311">
        <v>-4710459.79</v>
      </c>
      <c r="K35" s="1293"/>
      <c r="L35" s="1294"/>
      <c r="M35" s="1569"/>
      <c r="N35" s="1567"/>
      <c r="O35" s="1565"/>
      <c r="P35" s="1294"/>
      <c r="Q35" s="1294"/>
      <c r="R35" s="1294"/>
      <c r="S35" s="1294"/>
      <c r="T35" s="1294"/>
      <c r="U35" s="1294"/>
      <c r="V35" s="1294"/>
      <c r="W35" s="1294"/>
      <c r="X35" s="1294"/>
      <c r="Y35" s="1569"/>
      <c r="Z35" s="1567"/>
      <c r="AA35" s="1565"/>
      <c r="AB35" s="1545"/>
      <c r="AC35" s="1545"/>
      <c r="AD35" s="1545"/>
      <c r="AE35" s="1545"/>
      <c r="AF35" s="1545"/>
      <c r="AG35" s="1294"/>
      <c r="AH35" s="1294"/>
      <c r="AI35" s="1294"/>
      <c r="AJ35" s="1294"/>
      <c r="AK35" s="1569"/>
      <c r="AL35" s="1567"/>
      <c r="AM35" s="1565"/>
      <c r="AN35" s="1545"/>
      <c r="AO35" s="1545"/>
      <c r="AP35" s="1545"/>
      <c r="AQ35" s="1545"/>
      <c r="AR35" s="1545"/>
      <c r="AS35" s="1294"/>
      <c r="AT35" s="1571"/>
      <c r="AU35" s="1548"/>
      <c r="AV35" s="1326"/>
      <c r="AW35" s="1327"/>
      <c r="AX35" s="1549"/>
      <c r="AY35" s="1557"/>
      <c r="AZ35" s="1549"/>
      <c r="BA35" s="762"/>
    </row>
    <row r="36" spans="1:54" ht="24.95" customHeight="1">
      <c r="A36" s="1312" t="s">
        <v>646</v>
      </c>
      <c r="B36" s="1320" t="s">
        <v>357</v>
      </c>
      <c r="C36" s="1324">
        <v>9247357.6799999997</v>
      </c>
      <c r="D36" s="1304">
        <v>5982303.6799999997</v>
      </c>
      <c r="E36" s="1314">
        <v>-5982303.6799999997</v>
      </c>
      <c r="F36" s="1290"/>
      <c r="G36" s="1324">
        <v>138950</v>
      </c>
      <c r="H36" s="1313">
        <v>4849409.79</v>
      </c>
      <c r="I36" s="1314">
        <v>-4710459.79</v>
      </c>
      <c r="K36" s="1293"/>
      <c r="L36" s="1294"/>
      <c r="M36" s="1569"/>
      <c r="N36" s="1567"/>
      <c r="O36" s="1565"/>
      <c r="P36" s="1294"/>
      <c r="Q36" s="1294"/>
      <c r="R36" s="1294"/>
      <c r="S36" s="1294"/>
      <c r="T36" s="1294"/>
      <c r="U36" s="1294"/>
      <c r="V36" s="1294"/>
      <c r="W36" s="1294"/>
      <c r="X36" s="1294"/>
      <c r="Y36" s="1569"/>
      <c r="Z36" s="1567"/>
      <c r="AA36" s="1565"/>
      <c r="AB36" s="1545"/>
      <c r="AC36" s="1545"/>
      <c r="AD36" s="1545"/>
      <c r="AE36" s="1545"/>
      <c r="AF36" s="1545"/>
      <c r="AG36" s="1294"/>
      <c r="AH36" s="1294"/>
      <c r="AI36" s="1294"/>
      <c r="AJ36" s="1294"/>
      <c r="AK36" s="1569"/>
      <c r="AL36" s="1567"/>
      <c r="AM36" s="1565"/>
      <c r="AN36" s="1545"/>
      <c r="AO36" s="1545"/>
      <c r="AP36" s="1545"/>
      <c r="AQ36" s="1545"/>
      <c r="AR36" s="1545"/>
      <c r="AS36" s="1294"/>
      <c r="AT36" s="1571"/>
      <c r="AU36" s="1548"/>
      <c r="AV36" s="1328"/>
      <c r="AW36" s="1329"/>
      <c r="AX36" s="1550"/>
      <c r="AY36" s="1558"/>
      <c r="AZ36" s="1550"/>
      <c r="BA36" s="762"/>
    </row>
    <row r="37" spans="1:54" ht="24.95" customHeight="1">
      <c r="A37" s="1306" t="s">
        <v>647</v>
      </c>
      <c r="B37" s="1318" t="s">
        <v>358</v>
      </c>
      <c r="C37" s="1322">
        <v>3265057.68</v>
      </c>
      <c r="D37" s="1302">
        <v>0</v>
      </c>
      <c r="E37" s="1308">
        <v>0</v>
      </c>
      <c r="F37" s="1290"/>
      <c r="G37" s="1322">
        <v>138950</v>
      </c>
      <c r="H37" s="1307">
        <v>1858259.79</v>
      </c>
      <c r="I37" s="1308">
        <v>-1719309.79</v>
      </c>
      <c r="K37" s="1293"/>
      <c r="L37" s="1294"/>
      <c r="M37" s="1569"/>
      <c r="N37" s="1567"/>
      <c r="O37" s="1565"/>
      <c r="P37" s="1294"/>
      <c r="Q37" s="1294"/>
      <c r="R37" s="1294"/>
      <c r="S37" s="1294"/>
      <c r="T37" s="1294"/>
      <c r="U37" s="1294"/>
      <c r="V37" s="1294"/>
      <c r="W37" s="1294"/>
      <c r="X37" s="1294"/>
      <c r="Y37" s="1569"/>
      <c r="Z37" s="1567"/>
      <c r="AA37" s="1565"/>
      <c r="AB37" s="1545"/>
      <c r="AC37" s="1545"/>
      <c r="AD37" s="1545"/>
      <c r="AE37" s="1545"/>
      <c r="AF37" s="1545"/>
      <c r="AG37" s="1294"/>
      <c r="AH37" s="1294"/>
      <c r="AI37" s="1294"/>
      <c r="AJ37" s="1294"/>
      <c r="AK37" s="1569"/>
      <c r="AL37" s="1567"/>
      <c r="AM37" s="1565"/>
      <c r="AN37" s="1545"/>
      <c r="AO37" s="1545"/>
      <c r="AP37" s="1545"/>
      <c r="AQ37" s="1545"/>
      <c r="AR37" s="1545"/>
      <c r="AS37" s="1294"/>
      <c r="AT37" s="1571"/>
      <c r="AU37" s="1548"/>
      <c r="AV37" s="1330"/>
      <c r="AW37" s="1331"/>
      <c r="AX37" s="1551"/>
      <c r="AY37" s="1559"/>
      <c r="AZ37" s="1551"/>
      <c r="BA37" s="762"/>
    </row>
    <row r="38" spans="1:54" ht="24.95" customHeight="1">
      <c r="A38" s="1315" t="s">
        <v>648</v>
      </c>
      <c r="B38" s="1321" t="s">
        <v>359</v>
      </c>
      <c r="C38" s="1325">
        <v>2596568</v>
      </c>
      <c r="D38" s="1305">
        <v>0</v>
      </c>
      <c r="E38" s="1317">
        <v>0</v>
      </c>
      <c r="F38" s="1290"/>
      <c r="G38" s="1325">
        <v>0</v>
      </c>
      <c r="H38" s="1316">
        <v>1719376.46</v>
      </c>
      <c r="I38" s="1317">
        <v>-1719376.46</v>
      </c>
      <c r="K38" s="1293"/>
      <c r="L38" s="1294"/>
      <c r="M38" s="1569"/>
      <c r="N38" s="1567"/>
      <c r="O38" s="1565"/>
      <c r="P38" s="1294"/>
      <c r="Q38" s="1294"/>
      <c r="R38" s="1294"/>
      <c r="S38" s="1294"/>
      <c r="T38" s="1294"/>
      <c r="U38" s="1294"/>
      <c r="V38" s="1294"/>
      <c r="W38" s="1294"/>
      <c r="X38" s="1294"/>
      <c r="Y38" s="1569"/>
      <c r="Z38" s="1567"/>
      <c r="AA38" s="1565"/>
      <c r="AB38" s="1545"/>
      <c r="AC38" s="1545"/>
      <c r="AD38" s="1545"/>
      <c r="AE38" s="1545"/>
      <c r="AF38" s="1545"/>
      <c r="AG38" s="1294"/>
      <c r="AH38" s="1294"/>
      <c r="AI38" s="1294"/>
      <c r="AJ38" s="1294"/>
      <c r="AK38" s="1569"/>
      <c r="AL38" s="1567"/>
      <c r="AM38" s="1565"/>
      <c r="AN38" s="1545"/>
      <c r="AO38" s="1545"/>
      <c r="AP38" s="1545"/>
      <c r="AQ38" s="1545"/>
      <c r="AR38" s="1545"/>
      <c r="AS38" s="1294"/>
      <c r="AT38" s="1571"/>
      <c r="AU38" s="1548"/>
      <c r="AV38" s="1332"/>
      <c r="AW38" s="1333"/>
      <c r="AX38" s="1552"/>
      <c r="AY38" s="1560"/>
      <c r="AZ38" s="1552"/>
      <c r="BA38" s="762"/>
    </row>
    <row r="39" spans="1:54" ht="24.95" customHeight="1">
      <c r="A39" s="1315" t="s">
        <v>649</v>
      </c>
      <c r="B39" s="1321" t="s">
        <v>203</v>
      </c>
      <c r="C39" s="1325">
        <v>140000</v>
      </c>
      <c r="D39" s="1305">
        <v>140000</v>
      </c>
      <c r="E39" s="1317">
        <v>-140000</v>
      </c>
      <c r="F39" s="1290"/>
      <c r="G39" s="1325">
        <v>138950</v>
      </c>
      <c r="H39" s="1316">
        <v>138883.32999999999</v>
      </c>
      <c r="I39" s="1317">
        <v>66.67</v>
      </c>
      <c r="K39" s="1293"/>
      <c r="L39" s="1294"/>
      <c r="M39" s="1569"/>
      <c r="N39" s="1567"/>
      <c r="O39" s="1565"/>
      <c r="P39" s="1294"/>
      <c r="Q39" s="1294"/>
      <c r="R39" s="1294"/>
      <c r="S39" s="1294"/>
      <c r="T39" s="1294"/>
      <c r="U39" s="1294"/>
      <c r="V39" s="1294"/>
      <c r="W39" s="1294"/>
      <c r="X39" s="1294"/>
      <c r="Y39" s="1569"/>
      <c r="Z39" s="1567"/>
      <c r="AA39" s="1565"/>
      <c r="AB39" s="1545"/>
      <c r="AC39" s="1545"/>
      <c r="AD39" s="1545"/>
      <c r="AE39" s="1545"/>
      <c r="AF39" s="1545"/>
      <c r="AG39" s="1294"/>
      <c r="AH39" s="1294"/>
      <c r="AI39" s="1294"/>
      <c r="AJ39" s="1294"/>
      <c r="AK39" s="1569"/>
      <c r="AL39" s="1567"/>
      <c r="AM39" s="1565"/>
      <c r="AN39" s="1545"/>
      <c r="AO39" s="1545"/>
      <c r="AP39" s="1545"/>
      <c r="AQ39" s="1545"/>
      <c r="AR39" s="1545"/>
      <c r="AS39" s="1294"/>
      <c r="AT39" s="1571"/>
      <c r="AU39" s="1548"/>
      <c r="AV39" s="1332"/>
      <c r="AW39" s="1333"/>
      <c r="AX39" s="1552"/>
      <c r="AY39" s="1560"/>
      <c r="AZ39" s="1552"/>
      <c r="BA39" s="762"/>
    </row>
    <row r="40" spans="1:54" ht="24.95" customHeight="1">
      <c r="A40" s="1315" t="s">
        <v>650</v>
      </c>
      <c r="B40" s="1321" t="s">
        <v>360</v>
      </c>
      <c r="C40" s="1325">
        <v>528489.68000000005</v>
      </c>
      <c r="D40" s="1305">
        <v>-140000</v>
      </c>
      <c r="E40" s="1317">
        <v>140000</v>
      </c>
      <c r="F40" s="1290"/>
      <c r="G40" s="1325">
        <v>0</v>
      </c>
      <c r="H40" s="1316">
        <v>0</v>
      </c>
      <c r="I40" s="1317">
        <v>0</v>
      </c>
      <c r="K40" s="1293"/>
      <c r="L40" s="1294"/>
      <c r="M40" s="1569"/>
      <c r="N40" s="1567"/>
      <c r="O40" s="1565"/>
      <c r="P40" s="1294"/>
      <c r="Q40" s="1294"/>
      <c r="R40" s="1294">
        <v>1</v>
      </c>
      <c r="S40" s="1294"/>
      <c r="T40" s="1294"/>
      <c r="U40" s="1294"/>
      <c r="V40" s="1294"/>
      <c r="W40" s="1294"/>
      <c r="X40" s="1294"/>
      <c r="Y40" s="1569"/>
      <c r="Z40" s="1567"/>
      <c r="AA40" s="1565"/>
      <c r="AB40" s="1545"/>
      <c r="AC40" s="1545"/>
      <c r="AD40" s="1545">
        <v>1</v>
      </c>
      <c r="AE40" s="1545"/>
      <c r="AF40" s="1545"/>
      <c r="AG40" s="1294"/>
      <c r="AH40" s="1294"/>
      <c r="AI40" s="1294"/>
      <c r="AJ40" s="1294"/>
      <c r="AK40" s="1569"/>
      <c r="AL40" s="1567"/>
      <c r="AM40" s="1565"/>
      <c r="AN40" s="1545"/>
      <c r="AO40" s="1545"/>
      <c r="AP40" s="1545">
        <v>1</v>
      </c>
      <c r="AQ40" s="1545"/>
      <c r="AR40" s="1545"/>
      <c r="AS40" s="1294"/>
      <c r="AT40" s="1571"/>
      <c r="AU40" s="1548"/>
      <c r="AV40" s="1332"/>
      <c r="AW40" s="1333"/>
      <c r="AX40" s="1552"/>
      <c r="AY40" s="1560"/>
      <c r="AZ40" s="1552"/>
      <c r="BA40" s="762"/>
    </row>
    <row r="41" spans="1:54" ht="24.95" customHeight="1">
      <c r="A41" s="1306" t="s">
        <v>651</v>
      </c>
      <c r="B41" s="1318" t="s">
        <v>382</v>
      </c>
      <c r="C41" s="1322">
        <v>5982300</v>
      </c>
      <c r="D41" s="1302">
        <v>5982303.6799999997</v>
      </c>
      <c r="E41" s="1308">
        <v>-5982303.6799999997</v>
      </c>
      <c r="F41" s="1290"/>
      <c r="G41" s="1322">
        <v>0</v>
      </c>
      <c r="H41" s="1307">
        <v>2991150</v>
      </c>
      <c r="I41" s="1308">
        <v>-2991150</v>
      </c>
      <c r="K41" s="1293"/>
      <c r="L41" s="1294"/>
      <c r="M41" s="1569"/>
      <c r="N41" s="1567"/>
      <c r="O41" s="1565"/>
      <c r="P41" s="1294"/>
      <c r="Q41" s="1294"/>
      <c r="R41" s="1294">
        <v>1</v>
      </c>
      <c r="S41" s="1294"/>
      <c r="T41" s="1294"/>
      <c r="U41" s="1294"/>
      <c r="V41" s="1294"/>
      <c r="W41" s="1294"/>
      <c r="X41" s="1294"/>
      <c r="Y41" s="1569"/>
      <c r="Z41" s="1567"/>
      <c r="AA41" s="1565"/>
      <c r="AB41" s="1545"/>
      <c r="AC41" s="1545"/>
      <c r="AD41" s="1545">
        <v>1</v>
      </c>
      <c r="AE41" s="1545"/>
      <c r="AF41" s="1545"/>
      <c r="AG41" s="1294"/>
      <c r="AH41" s="1294"/>
      <c r="AI41" s="1294"/>
      <c r="AJ41" s="1294"/>
      <c r="AK41" s="1569"/>
      <c r="AL41" s="1567"/>
      <c r="AM41" s="1565"/>
      <c r="AN41" s="1545"/>
      <c r="AO41" s="1545"/>
      <c r="AP41" s="1545">
        <v>1</v>
      </c>
      <c r="AQ41" s="1545"/>
      <c r="AR41" s="1545"/>
      <c r="AS41" s="1294"/>
      <c r="AT41" s="1571"/>
      <c r="AU41" s="1548"/>
      <c r="AV41" s="1330"/>
      <c r="AW41" s="1331"/>
      <c r="AX41" s="1551"/>
      <c r="AY41" s="1559"/>
      <c r="AZ41" s="1551"/>
      <c r="BA41" s="762"/>
    </row>
    <row r="42" spans="1:54" ht="24.95" customHeight="1">
      <c r="A42" s="1312" t="s">
        <v>652</v>
      </c>
      <c r="B42" s="1320" t="s">
        <v>361</v>
      </c>
      <c r="C42" s="1324">
        <v>84248000</v>
      </c>
      <c r="D42" s="1304">
        <v>0</v>
      </c>
      <c r="E42" s="1314">
        <v>0</v>
      </c>
      <c r="F42" s="1290"/>
      <c r="G42" s="1324">
        <v>0</v>
      </c>
      <c r="H42" s="1313">
        <v>0</v>
      </c>
      <c r="I42" s="1314">
        <v>0</v>
      </c>
      <c r="K42" s="1293"/>
      <c r="L42" s="1294"/>
      <c r="M42" s="1569"/>
      <c r="N42" s="1567"/>
      <c r="O42" s="1565"/>
      <c r="P42" s="1294"/>
      <c r="Q42" s="1294"/>
      <c r="R42" s="1294">
        <v>1</v>
      </c>
      <c r="S42" s="1294"/>
      <c r="T42" s="1294"/>
      <c r="U42" s="1294"/>
      <c r="V42" s="1294"/>
      <c r="W42" s="1294"/>
      <c r="X42" s="1294"/>
      <c r="Y42" s="1569"/>
      <c r="Z42" s="1567"/>
      <c r="AA42" s="1565"/>
      <c r="AB42" s="1545"/>
      <c r="AC42" s="1545"/>
      <c r="AD42" s="1545">
        <v>1</v>
      </c>
      <c r="AE42" s="1545"/>
      <c r="AF42" s="1545"/>
      <c r="AG42" s="1294"/>
      <c r="AH42" s="1294"/>
      <c r="AI42" s="1294"/>
      <c r="AJ42" s="1294"/>
      <c r="AK42" s="1569"/>
      <c r="AL42" s="1567"/>
      <c r="AM42" s="1565"/>
      <c r="AN42" s="1545"/>
      <c r="AO42" s="1545"/>
      <c r="AP42" s="1545">
        <v>1</v>
      </c>
      <c r="AQ42" s="1545"/>
      <c r="AR42" s="1545"/>
      <c r="AS42" s="1294"/>
      <c r="AT42" s="1571"/>
      <c r="AU42" s="1548"/>
      <c r="AV42" s="1328"/>
      <c r="AW42" s="1329"/>
      <c r="AX42" s="1550"/>
      <c r="AY42" s="1558"/>
      <c r="AZ42" s="1550"/>
      <c r="BA42" s="762"/>
    </row>
    <row r="43" spans="1:54" ht="24.95" customHeight="1">
      <c r="A43" s="1306" t="s">
        <v>653</v>
      </c>
      <c r="B43" s="1318" t="s">
        <v>362</v>
      </c>
      <c r="C43" s="1322">
        <v>7853000</v>
      </c>
      <c r="D43" s="1302">
        <v>0</v>
      </c>
      <c r="E43" s="1308">
        <v>0</v>
      </c>
      <c r="F43" s="1290"/>
      <c r="G43" s="1322">
        <v>0</v>
      </c>
      <c r="H43" s="1307">
        <v>0</v>
      </c>
      <c r="I43" s="1308">
        <v>0</v>
      </c>
      <c r="K43" s="1293"/>
      <c r="L43" s="1294"/>
      <c r="M43" s="1569"/>
      <c r="N43" s="1567"/>
      <c r="O43" s="1565"/>
      <c r="P43" s="1294"/>
      <c r="Q43" s="1294"/>
      <c r="R43" s="1294"/>
      <c r="S43" s="1294"/>
      <c r="T43" s="1294"/>
      <c r="U43" s="1294"/>
      <c r="V43" s="1294"/>
      <c r="W43" s="1294"/>
      <c r="X43" s="1294"/>
      <c r="Y43" s="1569"/>
      <c r="Z43" s="1567"/>
      <c r="AA43" s="1565"/>
      <c r="AB43" s="1545"/>
      <c r="AC43" s="1545"/>
      <c r="AD43" s="1545"/>
      <c r="AE43" s="1545"/>
      <c r="AF43" s="1545"/>
      <c r="AG43" s="1294"/>
      <c r="AH43" s="1294"/>
      <c r="AI43" s="1294"/>
      <c r="AJ43" s="1294"/>
      <c r="AK43" s="1569"/>
      <c r="AL43" s="1567"/>
      <c r="AM43" s="1565"/>
      <c r="AN43" s="1545"/>
      <c r="AO43" s="1545"/>
      <c r="AP43" s="1545"/>
      <c r="AQ43" s="1545"/>
      <c r="AR43" s="1545"/>
      <c r="AS43" s="1294"/>
      <c r="AT43" s="1571"/>
      <c r="AU43" s="1548"/>
      <c r="AV43" s="1330"/>
      <c r="AW43" s="1331"/>
      <c r="AX43" s="1551"/>
      <c r="AY43" s="1559"/>
      <c r="AZ43" s="1551"/>
      <c r="BA43" s="762"/>
    </row>
    <row r="44" spans="1:54" ht="24.95" customHeight="1">
      <c r="A44" s="1315" t="s">
        <v>654</v>
      </c>
      <c r="B44" s="1321" t="s">
        <v>367</v>
      </c>
      <c r="C44" s="1325">
        <v>3853000</v>
      </c>
      <c r="D44" s="1305">
        <v>0</v>
      </c>
      <c r="E44" s="1317">
        <v>0</v>
      </c>
      <c r="F44" s="1290"/>
      <c r="G44" s="1325">
        <v>0</v>
      </c>
      <c r="H44" s="1316">
        <v>0</v>
      </c>
      <c r="I44" s="1317">
        <v>0</v>
      </c>
      <c r="K44" s="1293"/>
      <c r="L44" s="1294"/>
      <c r="M44" s="1569"/>
      <c r="N44" s="1567"/>
      <c r="O44" s="1565"/>
      <c r="P44" s="1294"/>
      <c r="Q44" s="1294"/>
      <c r="R44" s="1294"/>
      <c r="S44" s="1294"/>
      <c r="T44" s="1294"/>
      <c r="U44" s="1294"/>
      <c r="V44" s="1294"/>
      <c r="W44" s="1294"/>
      <c r="X44" s="1294"/>
      <c r="Y44" s="1569"/>
      <c r="Z44" s="1567"/>
      <c r="AA44" s="1565"/>
      <c r="AB44" s="1545"/>
      <c r="AC44" s="1545"/>
      <c r="AD44" s="1545"/>
      <c r="AE44" s="1545"/>
      <c r="AF44" s="1545"/>
      <c r="AG44" s="1294"/>
      <c r="AH44" s="1294"/>
      <c r="AI44" s="1294"/>
      <c r="AJ44" s="1294"/>
      <c r="AK44" s="1569"/>
      <c r="AL44" s="1567"/>
      <c r="AM44" s="1565"/>
      <c r="AN44" s="1545"/>
      <c r="AO44" s="1545"/>
      <c r="AP44" s="1545">
        <v>1</v>
      </c>
      <c r="AQ44" s="1545"/>
      <c r="AR44" s="1545"/>
      <c r="AS44" s="1294"/>
      <c r="AT44" s="1571"/>
      <c r="AU44" s="1548"/>
      <c r="AV44" s="1332"/>
      <c r="AW44" s="1333"/>
      <c r="AX44" s="1552"/>
      <c r="AY44" s="1560"/>
      <c r="AZ44" s="1552"/>
      <c r="BA44" s="762"/>
    </row>
    <row r="45" spans="1:54" ht="24.95" customHeight="1">
      <c r="A45" s="1543" t="s">
        <v>701</v>
      </c>
      <c r="B45" s="1321" t="s">
        <v>702</v>
      </c>
      <c r="C45" s="1325">
        <v>1451457</v>
      </c>
      <c r="D45" s="1305">
        <v>0</v>
      </c>
      <c r="E45" s="1317"/>
      <c r="F45" s="1290"/>
      <c r="G45" s="1325"/>
      <c r="H45" s="1316"/>
      <c r="I45" s="1317">
        <v>0</v>
      </c>
      <c r="K45" s="1293"/>
      <c r="L45" s="1294"/>
      <c r="M45" s="1569"/>
      <c r="N45" s="1567"/>
      <c r="O45" s="1565"/>
      <c r="P45" s="1294"/>
      <c r="Q45" s="1294"/>
      <c r="R45" s="1294"/>
      <c r="S45" s="1294"/>
      <c r="T45" s="1294"/>
      <c r="U45" s="1294"/>
      <c r="V45" s="1294"/>
      <c r="W45" s="1294"/>
      <c r="X45" s="1294"/>
      <c r="Y45" s="1569"/>
      <c r="Z45" s="1567"/>
      <c r="AA45" s="1565"/>
      <c r="AB45" s="1545"/>
      <c r="AC45" s="1545"/>
      <c r="AD45" s="1545"/>
      <c r="AE45" s="1545"/>
      <c r="AF45" s="1545"/>
      <c r="AG45" s="1294"/>
      <c r="AH45" s="1294"/>
      <c r="AI45" s="1294"/>
      <c r="AJ45" s="1294"/>
      <c r="AK45" s="1569"/>
      <c r="AL45" s="1567"/>
      <c r="AM45" s="1565"/>
      <c r="AN45" s="1545"/>
      <c r="AO45" s="1545"/>
      <c r="AP45" s="1545">
        <v>1</v>
      </c>
      <c r="AQ45" s="1545"/>
      <c r="AR45" s="1545"/>
      <c r="AS45" s="1294"/>
      <c r="AT45" s="1571"/>
      <c r="AU45" s="1548"/>
      <c r="AV45" s="1332"/>
      <c r="AW45" s="1333"/>
      <c r="AX45" s="1552"/>
      <c r="AY45" s="1560"/>
      <c r="AZ45" s="1552"/>
      <c r="BA45" s="762"/>
    </row>
    <row r="46" spans="1:54" ht="24.95" customHeight="1">
      <c r="A46" s="1543" t="s">
        <v>703</v>
      </c>
      <c r="B46" s="1321" t="s">
        <v>704</v>
      </c>
      <c r="C46" s="1325">
        <v>2401543</v>
      </c>
      <c r="D46" s="1305">
        <v>0</v>
      </c>
      <c r="E46" s="1317">
        <v>0</v>
      </c>
      <c r="F46" s="1290"/>
      <c r="G46" s="1325">
        <v>0</v>
      </c>
      <c r="H46" s="1316">
        <v>0</v>
      </c>
      <c r="I46" s="1317">
        <v>0</v>
      </c>
      <c r="K46" s="1293"/>
      <c r="L46" s="1294"/>
      <c r="M46" s="1569"/>
      <c r="N46" s="1567"/>
      <c r="O46" s="1565"/>
      <c r="P46" s="1294"/>
      <c r="Q46" s="1294"/>
      <c r="R46" s="1294"/>
      <c r="S46" s="1294"/>
      <c r="T46" s="1294"/>
      <c r="U46" s="1294"/>
      <c r="V46" s="1294"/>
      <c r="W46" s="1294"/>
      <c r="X46" s="1294"/>
      <c r="Y46" s="1569"/>
      <c r="Z46" s="1567"/>
      <c r="AA46" s="1565"/>
      <c r="AB46" s="1545"/>
      <c r="AC46" s="1545"/>
      <c r="AD46" s="1545"/>
      <c r="AE46" s="1545"/>
      <c r="AF46" s="1545"/>
      <c r="AG46" s="1294"/>
      <c r="AH46" s="1294"/>
      <c r="AI46" s="1294"/>
      <c r="AJ46" s="1294"/>
      <c r="AK46" s="1569"/>
      <c r="AL46" s="1567"/>
      <c r="AM46" s="1565"/>
      <c r="AN46" s="1545"/>
      <c r="AO46" s="1545"/>
      <c r="AP46" s="1545">
        <v>1</v>
      </c>
      <c r="AQ46" s="1545"/>
      <c r="AR46" s="1545"/>
      <c r="AS46" s="1294"/>
      <c r="AT46" s="1571"/>
      <c r="AU46" s="1548"/>
      <c r="AV46" s="1332"/>
      <c r="AW46" s="1333"/>
      <c r="AX46" s="1552"/>
      <c r="AY46" s="1560"/>
      <c r="AZ46" s="1552"/>
      <c r="BA46" s="762"/>
    </row>
    <row r="47" spans="1:54" ht="24.95" customHeight="1">
      <c r="A47" s="1315" t="s">
        <v>705</v>
      </c>
      <c r="B47" s="1321" t="s">
        <v>367</v>
      </c>
      <c r="C47" s="1325">
        <v>4000000</v>
      </c>
      <c r="D47" s="1305">
        <v>0</v>
      </c>
      <c r="E47" s="1317">
        <v>0</v>
      </c>
      <c r="F47" s="1290"/>
      <c r="G47" s="1325">
        <v>0</v>
      </c>
      <c r="H47" s="1316">
        <v>0</v>
      </c>
      <c r="I47" s="1317">
        <v>0</v>
      </c>
      <c r="K47" s="1293"/>
      <c r="L47" s="1294"/>
      <c r="M47" s="1569"/>
      <c r="N47" s="1567"/>
      <c r="O47" s="1565"/>
      <c r="P47" s="1294"/>
      <c r="Q47" s="1294"/>
      <c r="R47" s="1294"/>
      <c r="S47" s="1294"/>
      <c r="T47" s="1294"/>
      <c r="U47" s="1294"/>
      <c r="V47" s="1294"/>
      <c r="W47" s="1294"/>
      <c r="X47" s="1294"/>
      <c r="Y47" s="1569"/>
      <c r="Z47" s="1567"/>
      <c r="AA47" s="1565"/>
      <c r="AB47" s="1545"/>
      <c r="AC47" s="1545"/>
      <c r="AD47" s="1545"/>
      <c r="AE47" s="1545"/>
      <c r="AF47" s="1545"/>
      <c r="AG47" s="1294"/>
      <c r="AH47" s="1294"/>
      <c r="AI47" s="1294"/>
      <c r="AJ47" s="1294"/>
      <c r="AK47" s="1569"/>
      <c r="AL47" s="1567"/>
      <c r="AM47" s="1565"/>
      <c r="AN47" s="1545"/>
      <c r="AO47" s="1545"/>
      <c r="AP47" s="1545">
        <v>1</v>
      </c>
      <c r="AQ47" s="1545"/>
      <c r="AR47" s="1545"/>
      <c r="AS47" s="1294"/>
      <c r="AT47" s="1571"/>
      <c r="AU47" s="1548"/>
      <c r="AV47" s="1332"/>
      <c r="AW47" s="1333"/>
      <c r="AX47" s="1552"/>
      <c r="AY47" s="1560"/>
      <c r="AZ47" s="1552"/>
      <c r="BA47" s="762"/>
    </row>
    <row r="48" spans="1:54" ht="24.95" customHeight="1">
      <c r="A48" s="1543" t="s">
        <v>706</v>
      </c>
      <c r="B48" s="1321" t="s">
        <v>707</v>
      </c>
      <c r="C48" s="1325">
        <v>3000000</v>
      </c>
      <c r="D48" s="1305">
        <v>0</v>
      </c>
      <c r="E48" s="1317"/>
      <c r="F48" s="1290"/>
      <c r="G48" s="1325"/>
      <c r="H48" s="1316"/>
      <c r="I48" s="1317">
        <v>0</v>
      </c>
      <c r="K48" s="1293"/>
      <c r="L48" s="1294"/>
      <c r="M48" s="1569"/>
      <c r="N48" s="1567">
        <v>1</v>
      </c>
      <c r="O48" s="1565"/>
      <c r="P48" s="1294"/>
      <c r="Q48" s="1294"/>
      <c r="R48" s="1294"/>
      <c r="S48" s="1294"/>
      <c r="T48" s="1294"/>
      <c r="U48" s="1294"/>
      <c r="V48" s="1294"/>
      <c r="W48" s="1294"/>
      <c r="X48" s="1294"/>
      <c r="Y48" s="1569"/>
      <c r="Z48" s="1567"/>
      <c r="AA48" s="1565"/>
      <c r="AB48" s="1545"/>
      <c r="AC48" s="1545"/>
      <c r="AD48" s="1545"/>
      <c r="AE48" s="1545"/>
      <c r="AF48" s="1545"/>
      <c r="AG48" s="1294"/>
      <c r="AH48" s="1294"/>
      <c r="AI48" s="1294"/>
      <c r="AJ48" s="1294"/>
      <c r="AK48" s="1569"/>
      <c r="AL48" s="1567"/>
      <c r="AM48" s="1565"/>
      <c r="AN48" s="1545"/>
      <c r="AO48" s="1545"/>
      <c r="AP48" s="1545"/>
      <c r="AQ48" s="1545"/>
      <c r="AR48" s="1545"/>
      <c r="AS48" s="1294"/>
      <c r="AT48" s="1571"/>
      <c r="AU48" s="1548"/>
      <c r="AV48" s="1332"/>
      <c r="AW48" s="1333"/>
      <c r="AX48" s="1552"/>
      <c r="AY48" s="1560"/>
      <c r="AZ48" s="1552"/>
      <c r="BA48" s="762"/>
    </row>
    <row r="49" spans="1:53" ht="24.95" customHeight="1">
      <c r="A49" s="1543" t="s">
        <v>708</v>
      </c>
      <c r="B49" s="1321" t="s">
        <v>709</v>
      </c>
      <c r="C49" s="1325">
        <v>1000000</v>
      </c>
      <c r="D49" s="1305">
        <v>0</v>
      </c>
      <c r="E49" s="1317">
        <v>0</v>
      </c>
      <c r="F49" s="1290"/>
      <c r="G49" s="1325">
        <v>0</v>
      </c>
      <c r="H49" s="1316">
        <v>0</v>
      </c>
      <c r="I49" s="1317">
        <v>0</v>
      </c>
      <c r="K49" s="1293"/>
      <c r="L49" s="1294"/>
      <c r="M49" s="1569"/>
      <c r="N49" s="1567">
        <v>1</v>
      </c>
      <c r="O49" s="1565"/>
      <c r="P49" s="1294"/>
      <c r="Q49" s="1294"/>
      <c r="R49" s="1294"/>
      <c r="S49" s="1294"/>
      <c r="T49" s="1294"/>
      <c r="U49" s="1294"/>
      <c r="V49" s="1294"/>
      <c r="W49" s="1294"/>
      <c r="X49" s="1294"/>
      <c r="Y49" s="1569"/>
      <c r="Z49" s="1567"/>
      <c r="AA49" s="1565"/>
      <c r="AB49" s="1545"/>
      <c r="AC49" s="1545"/>
      <c r="AD49" s="1545"/>
      <c r="AE49" s="1545"/>
      <c r="AF49" s="1545"/>
      <c r="AG49" s="1294"/>
      <c r="AH49" s="1294"/>
      <c r="AI49" s="1294"/>
      <c r="AJ49" s="1294"/>
      <c r="AK49" s="1569"/>
      <c r="AL49" s="1567"/>
      <c r="AM49" s="1565"/>
      <c r="AN49" s="1545"/>
      <c r="AO49" s="1545"/>
      <c r="AP49" s="1545"/>
      <c r="AQ49" s="1545"/>
      <c r="AR49" s="1545"/>
      <c r="AS49" s="1294"/>
      <c r="AT49" s="1571"/>
      <c r="AU49" s="1548"/>
      <c r="AV49" s="1336"/>
      <c r="AW49" s="1337"/>
      <c r="AX49" s="1554"/>
      <c r="AY49" s="1562"/>
      <c r="AZ49" s="1554"/>
      <c r="BA49" s="762"/>
    </row>
    <row r="50" spans="1:53" ht="24.95" customHeight="1">
      <c r="A50" s="1306" t="s">
        <v>655</v>
      </c>
      <c r="B50" s="1318" t="s">
        <v>656</v>
      </c>
      <c r="C50" s="1322">
        <v>12000000</v>
      </c>
      <c r="D50" s="1302">
        <v>0</v>
      </c>
      <c r="E50" s="1308">
        <v>0</v>
      </c>
      <c r="F50" s="1290"/>
      <c r="G50" s="1322">
        <v>0</v>
      </c>
      <c r="H50" s="1307">
        <v>0</v>
      </c>
      <c r="I50" s="1308">
        <v>0</v>
      </c>
      <c r="K50" s="1293"/>
      <c r="L50" s="1294"/>
      <c r="M50" s="1569"/>
      <c r="N50" s="1567"/>
      <c r="O50" s="1565"/>
      <c r="P50" s="1294"/>
      <c r="Q50" s="1294"/>
      <c r="R50" s="1294"/>
      <c r="S50" s="1294"/>
      <c r="T50" s="1294"/>
      <c r="U50" s="1294"/>
      <c r="V50" s="1294"/>
      <c r="W50" s="1294"/>
      <c r="X50" s="1294"/>
      <c r="Y50" s="1569"/>
      <c r="Z50" s="1567"/>
      <c r="AA50" s="1565"/>
      <c r="AB50" s="1545"/>
      <c r="AC50" s="1545"/>
      <c r="AD50" s="1545"/>
      <c r="AE50" s="1545"/>
      <c r="AF50" s="1545"/>
      <c r="AG50" s="1294"/>
      <c r="AH50" s="1294"/>
      <c r="AI50" s="1294"/>
      <c r="AJ50" s="1294"/>
      <c r="AK50" s="1569"/>
      <c r="AL50" s="1567"/>
      <c r="AM50" s="1565"/>
      <c r="AN50" s="1545"/>
      <c r="AO50" s="1545"/>
      <c r="AP50" s="1545"/>
      <c r="AQ50" s="1545"/>
      <c r="AR50" s="1545"/>
      <c r="AS50" s="1294"/>
      <c r="AT50" s="1571"/>
      <c r="AU50" s="1548"/>
      <c r="AV50" s="1322"/>
      <c r="AW50" s="1335"/>
      <c r="AX50" s="1308"/>
      <c r="AY50" s="1302"/>
      <c r="AZ50" s="1308"/>
      <c r="BA50" s="762"/>
    </row>
    <row r="51" spans="1:53" ht="24.95" customHeight="1">
      <c r="A51" s="1315" t="s">
        <v>657</v>
      </c>
      <c r="B51" s="1321" t="s">
        <v>367</v>
      </c>
      <c r="C51" s="1325">
        <v>12000000</v>
      </c>
      <c r="D51" s="1305">
        <v>0</v>
      </c>
      <c r="E51" s="1317">
        <v>0</v>
      </c>
      <c r="F51" s="1290"/>
      <c r="G51" s="1325">
        <v>0</v>
      </c>
      <c r="H51" s="1316">
        <v>0</v>
      </c>
      <c r="I51" s="1317">
        <v>0</v>
      </c>
      <c r="K51" s="1293"/>
      <c r="L51" s="1294"/>
      <c r="M51" s="1569"/>
      <c r="N51" s="1567"/>
      <c r="O51" s="1565"/>
      <c r="P51" s="1294"/>
      <c r="Q51" s="1294"/>
      <c r="R51" s="1294"/>
      <c r="S51" s="1294"/>
      <c r="T51" s="1294"/>
      <c r="U51" s="1294"/>
      <c r="V51" s="1294"/>
      <c r="W51" s="1294"/>
      <c r="X51" s="1294"/>
      <c r="Y51" s="1569"/>
      <c r="Z51" s="1567"/>
      <c r="AA51" s="1565"/>
      <c r="AB51" s="1545"/>
      <c r="AC51" s="1545"/>
      <c r="AD51" s="1545"/>
      <c r="AE51" s="1545"/>
      <c r="AF51" s="1545"/>
      <c r="AG51" s="1294"/>
      <c r="AH51" s="1294"/>
      <c r="AI51" s="1294"/>
      <c r="AJ51" s="1294"/>
      <c r="AK51" s="1569"/>
      <c r="AL51" s="1567"/>
      <c r="AM51" s="1565"/>
      <c r="AN51" s="1545"/>
      <c r="AO51" s="1545"/>
      <c r="AP51" s="1545"/>
      <c r="AQ51" s="1545"/>
      <c r="AR51" s="1545"/>
      <c r="AS51" s="1294"/>
      <c r="AT51" s="1571"/>
      <c r="AU51" s="1548"/>
      <c r="AV51" s="1336"/>
      <c r="AW51" s="1337"/>
      <c r="AX51" s="1554"/>
      <c r="AY51" s="1562"/>
      <c r="AZ51" s="1554"/>
      <c r="BA51" s="762"/>
    </row>
    <row r="52" spans="1:53" ht="24.95" customHeight="1">
      <c r="A52" s="1306" t="s">
        <v>658</v>
      </c>
      <c r="B52" s="1318" t="s">
        <v>659</v>
      </c>
      <c r="C52" s="1322">
        <v>16991000</v>
      </c>
      <c r="D52" s="1302">
        <v>0</v>
      </c>
      <c r="E52" s="1308">
        <v>0</v>
      </c>
      <c r="F52" s="1290"/>
      <c r="G52" s="1322">
        <v>0</v>
      </c>
      <c r="H52" s="1307">
        <v>0</v>
      </c>
      <c r="I52" s="1308">
        <v>0</v>
      </c>
      <c r="K52" s="1293"/>
      <c r="L52" s="1294"/>
      <c r="M52" s="1569"/>
      <c r="N52" s="1567"/>
      <c r="O52" s="1565"/>
      <c r="P52" s="1294"/>
      <c r="Q52" s="1294"/>
      <c r="R52" s="1294"/>
      <c r="S52" s="1294"/>
      <c r="T52" s="1294"/>
      <c r="U52" s="1294"/>
      <c r="V52" s="1294"/>
      <c r="W52" s="1294"/>
      <c r="X52" s="1294"/>
      <c r="Y52" s="1569"/>
      <c r="Z52" s="1567"/>
      <c r="AA52" s="1565"/>
      <c r="AB52" s="1545"/>
      <c r="AC52" s="1545"/>
      <c r="AD52" s="1545"/>
      <c r="AE52" s="1545"/>
      <c r="AF52" s="1545"/>
      <c r="AG52" s="1294"/>
      <c r="AH52" s="1294"/>
      <c r="AI52" s="1294"/>
      <c r="AJ52" s="1294"/>
      <c r="AK52" s="1569"/>
      <c r="AL52" s="1567"/>
      <c r="AM52" s="1565"/>
      <c r="AN52" s="1545"/>
      <c r="AO52" s="1545"/>
      <c r="AP52" s="1545"/>
      <c r="AQ52" s="1545"/>
      <c r="AR52" s="1545"/>
      <c r="AS52" s="1294"/>
      <c r="AT52" s="1571"/>
      <c r="AU52" s="1548"/>
      <c r="AV52" s="1334"/>
      <c r="AW52" s="1335"/>
      <c r="AX52" s="1553"/>
      <c r="AY52" s="1561"/>
      <c r="AZ52" s="1553"/>
      <c r="BA52" s="762"/>
    </row>
    <row r="53" spans="1:53" ht="24.95" customHeight="1">
      <c r="A53" s="1315" t="s">
        <v>660</v>
      </c>
      <c r="B53" s="1321" t="s">
        <v>367</v>
      </c>
      <c r="C53" s="1325">
        <v>16991000</v>
      </c>
      <c r="D53" s="1305">
        <v>0</v>
      </c>
      <c r="E53" s="1317">
        <v>0</v>
      </c>
      <c r="F53" s="1290"/>
      <c r="G53" s="1325">
        <v>0</v>
      </c>
      <c r="H53" s="1316">
        <v>0</v>
      </c>
      <c r="I53" s="1317">
        <v>0</v>
      </c>
      <c r="K53" s="1293"/>
      <c r="L53" s="1294"/>
      <c r="M53" s="1569"/>
      <c r="N53" s="1567"/>
      <c r="O53" s="1565"/>
      <c r="P53" s="1294"/>
      <c r="Q53" s="1294"/>
      <c r="R53" s="1294">
        <v>1</v>
      </c>
      <c r="S53" s="1294"/>
      <c r="T53" s="1294"/>
      <c r="U53" s="1294"/>
      <c r="V53" s="1294"/>
      <c r="W53" s="1294"/>
      <c r="X53" s="1294"/>
      <c r="Y53" s="1569"/>
      <c r="Z53" s="1567"/>
      <c r="AA53" s="1565"/>
      <c r="AB53" s="1545"/>
      <c r="AC53" s="1545"/>
      <c r="AD53" s="1545">
        <v>1</v>
      </c>
      <c r="AE53" s="1545"/>
      <c r="AF53" s="1545"/>
      <c r="AG53" s="1294"/>
      <c r="AH53" s="1294"/>
      <c r="AI53" s="1294"/>
      <c r="AJ53" s="1294"/>
      <c r="AK53" s="1569"/>
      <c r="AL53" s="1567"/>
      <c r="AM53" s="1565"/>
      <c r="AN53" s="1545"/>
      <c r="AO53" s="1545"/>
      <c r="AP53" s="1545">
        <v>1</v>
      </c>
      <c r="AQ53" s="1545"/>
      <c r="AR53" s="1545"/>
      <c r="AS53" s="1294"/>
      <c r="AT53" s="1571"/>
      <c r="AU53" s="1548"/>
      <c r="AV53" s="1336"/>
      <c r="AW53" s="1337"/>
      <c r="AX53" s="1554"/>
      <c r="AY53" s="1562"/>
      <c r="AZ53" s="1554"/>
      <c r="BA53" s="762"/>
    </row>
    <row r="54" spans="1:53" ht="24.95" customHeight="1">
      <c r="A54" s="1306" t="s">
        <v>661</v>
      </c>
      <c r="B54" s="1318" t="s">
        <v>662</v>
      </c>
      <c r="C54" s="1322">
        <v>32798000</v>
      </c>
      <c r="D54" s="1302">
        <v>0</v>
      </c>
      <c r="E54" s="1308">
        <v>0</v>
      </c>
      <c r="F54" s="1290"/>
      <c r="G54" s="1322">
        <v>0</v>
      </c>
      <c r="H54" s="1307">
        <v>0</v>
      </c>
      <c r="I54" s="1308">
        <v>0</v>
      </c>
      <c r="K54" s="1293"/>
      <c r="L54" s="1294"/>
      <c r="M54" s="1569"/>
      <c r="N54" s="1567"/>
      <c r="O54" s="1565"/>
      <c r="P54" s="1294"/>
      <c r="Q54" s="1294"/>
      <c r="R54" s="1294"/>
      <c r="S54" s="1294"/>
      <c r="T54" s="1294"/>
      <c r="U54" s="1294"/>
      <c r="V54" s="1294"/>
      <c r="W54" s="1294"/>
      <c r="X54" s="1294"/>
      <c r="Y54" s="1569"/>
      <c r="Z54" s="1567"/>
      <c r="AA54" s="1565"/>
      <c r="AB54" s="1545"/>
      <c r="AC54" s="1545"/>
      <c r="AD54" s="1545"/>
      <c r="AE54" s="1545"/>
      <c r="AF54" s="1545"/>
      <c r="AG54" s="1294"/>
      <c r="AH54" s="1294"/>
      <c r="AI54" s="1294"/>
      <c r="AJ54" s="1294"/>
      <c r="AK54" s="1569"/>
      <c r="AL54" s="1567"/>
      <c r="AM54" s="1565"/>
      <c r="AN54" s="1545"/>
      <c r="AO54" s="1545"/>
      <c r="AP54" s="1545"/>
      <c r="AQ54" s="1545"/>
      <c r="AR54" s="1545"/>
      <c r="AS54" s="1294"/>
      <c r="AT54" s="1571"/>
      <c r="AU54" s="1548"/>
      <c r="AV54" s="1334"/>
      <c r="AW54" s="1335"/>
      <c r="AX54" s="1553"/>
      <c r="AY54" s="1561"/>
      <c r="AZ54" s="1553"/>
      <c r="BA54" s="762"/>
    </row>
    <row r="55" spans="1:53" ht="24.95" customHeight="1">
      <c r="A55" s="1315" t="s">
        <v>663</v>
      </c>
      <c r="B55" s="1321" t="s">
        <v>367</v>
      </c>
      <c r="C55" s="1325">
        <v>32798000</v>
      </c>
      <c r="D55" s="1305">
        <v>0</v>
      </c>
      <c r="E55" s="1317">
        <v>0</v>
      </c>
      <c r="F55" s="1290"/>
      <c r="G55" s="1325">
        <v>0</v>
      </c>
      <c r="H55" s="1316">
        <v>0</v>
      </c>
      <c r="I55" s="1317">
        <v>0</v>
      </c>
      <c r="K55" s="1293"/>
      <c r="L55" s="1294"/>
      <c r="M55" s="1569"/>
      <c r="N55" s="1567"/>
      <c r="O55" s="1565"/>
      <c r="P55" s="1294"/>
      <c r="Q55" s="1294"/>
      <c r="R55" s="1294">
        <v>1</v>
      </c>
      <c r="S55" s="1294"/>
      <c r="T55" s="1294"/>
      <c r="U55" s="1294"/>
      <c r="V55" s="1294"/>
      <c r="W55" s="1294"/>
      <c r="X55" s="1294"/>
      <c r="Y55" s="1569"/>
      <c r="Z55" s="1567"/>
      <c r="AA55" s="1565"/>
      <c r="AB55" s="1545"/>
      <c r="AC55" s="1545"/>
      <c r="AD55" s="1545">
        <v>1</v>
      </c>
      <c r="AE55" s="1545"/>
      <c r="AF55" s="1545"/>
      <c r="AG55" s="1294"/>
      <c r="AH55" s="1294"/>
      <c r="AI55" s="1294"/>
      <c r="AJ55" s="1294"/>
      <c r="AK55" s="1569"/>
      <c r="AL55" s="1567"/>
      <c r="AM55" s="1565"/>
      <c r="AN55" s="1545"/>
      <c r="AO55" s="1545"/>
      <c r="AP55" s="1545">
        <v>1</v>
      </c>
      <c r="AQ55" s="1545"/>
      <c r="AR55" s="1545"/>
      <c r="AS55" s="1294"/>
      <c r="AT55" s="1571"/>
      <c r="AU55" s="1548"/>
      <c r="AV55" s="1336"/>
      <c r="AW55" s="1337"/>
      <c r="AX55" s="1554"/>
      <c r="AY55" s="1562"/>
      <c r="AZ55" s="1554"/>
      <c r="BA55" s="762"/>
    </row>
    <row r="56" spans="1:53" ht="24.95" customHeight="1">
      <c r="A56" s="1306" t="s">
        <v>664</v>
      </c>
      <c r="B56" s="1318" t="s">
        <v>665</v>
      </c>
      <c r="C56" s="1322">
        <v>4365000</v>
      </c>
      <c r="D56" s="1302">
        <v>0</v>
      </c>
      <c r="E56" s="1308">
        <v>0</v>
      </c>
      <c r="F56" s="1290"/>
      <c r="G56" s="1322">
        <v>0</v>
      </c>
      <c r="H56" s="1307">
        <v>0</v>
      </c>
      <c r="I56" s="1308">
        <v>0</v>
      </c>
      <c r="K56" s="1293"/>
      <c r="L56" s="1294"/>
      <c r="M56" s="1569"/>
      <c r="N56" s="1567"/>
      <c r="O56" s="1565"/>
      <c r="P56" s="1294"/>
      <c r="Q56" s="1294"/>
      <c r="R56" s="1294"/>
      <c r="S56" s="1294"/>
      <c r="T56" s="1294"/>
      <c r="U56" s="1294"/>
      <c r="V56" s="1294"/>
      <c r="W56" s="1294"/>
      <c r="X56" s="1294"/>
      <c r="Y56" s="1569"/>
      <c r="Z56" s="1567"/>
      <c r="AA56" s="1565"/>
      <c r="AB56" s="1545"/>
      <c r="AC56" s="1545"/>
      <c r="AD56" s="1545"/>
      <c r="AE56" s="1545"/>
      <c r="AF56" s="1545"/>
      <c r="AG56" s="1294"/>
      <c r="AH56" s="1294"/>
      <c r="AI56" s="1294"/>
      <c r="AJ56" s="1294"/>
      <c r="AK56" s="1569"/>
      <c r="AL56" s="1567"/>
      <c r="AM56" s="1565"/>
      <c r="AN56" s="1545"/>
      <c r="AO56" s="1545"/>
      <c r="AP56" s="1545"/>
      <c r="AQ56" s="1545"/>
      <c r="AR56" s="1545"/>
      <c r="AS56" s="1294"/>
      <c r="AT56" s="1571"/>
      <c r="AU56" s="1548"/>
      <c r="AV56" s="1334"/>
      <c r="AW56" s="1335"/>
      <c r="AX56" s="1553"/>
      <c r="AY56" s="1561"/>
      <c r="AZ56" s="1553"/>
      <c r="BA56" s="762"/>
    </row>
    <row r="57" spans="1:53" ht="24.95" customHeight="1">
      <c r="A57" s="1315" t="s">
        <v>666</v>
      </c>
      <c r="B57" s="1321" t="s">
        <v>367</v>
      </c>
      <c r="C57" s="1325">
        <v>4365000</v>
      </c>
      <c r="D57" s="1305">
        <v>0</v>
      </c>
      <c r="E57" s="1317">
        <v>0</v>
      </c>
      <c r="F57" s="1290"/>
      <c r="G57" s="1325">
        <v>0</v>
      </c>
      <c r="H57" s="1316">
        <v>0</v>
      </c>
      <c r="I57" s="1317">
        <v>0</v>
      </c>
      <c r="K57" s="1293"/>
      <c r="L57" s="1294"/>
      <c r="M57" s="1569"/>
      <c r="N57" s="1567"/>
      <c r="O57" s="1565"/>
      <c r="P57" s="1294"/>
      <c r="Q57" s="1294"/>
      <c r="R57" s="1294">
        <v>1</v>
      </c>
      <c r="S57" s="1294"/>
      <c r="T57" s="1294"/>
      <c r="U57" s="1294"/>
      <c r="V57" s="1294"/>
      <c r="W57" s="1294"/>
      <c r="X57" s="1294"/>
      <c r="Y57" s="1569"/>
      <c r="Z57" s="1567"/>
      <c r="AA57" s="1565"/>
      <c r="AB57" s="1545"/>
      <c r="AC57" s="1545"/>
      <c r="AD57" s="1545">
        <v>1</v>
      </c>
      <c r="AE57" s="1545"/>
      <c r="AF57" s="1545"/>
      <c r="AG57" s="1294"/>
      <c r="AH57" s="1294"/>
      <c r="AI57" s="1294"/>
      <c r="AJ57" s="1294"/>
      <c r="AK57" s="1569"/>
      <c r="AL57" s="1567"/>
      <c r="AM57" s="1565"/>
      <c r="AN57" s="1545"/>
      <c r="AO57" s="1545"/>
      <c r="AP57" s="1545">
        <v>1</v>
      </c>
      <c r="AQ57" s="1545"/>
      <c r="AR57" s="1545"/>
      <c r="AS57" s="1294"/>
      <c r="AT57" s="1571"/>
      <c r="AU57" s="1548"/>
      <c r="AV57" s="1336"/>
      <c r="AW57" s="1337"/>
      <c r="AX57" s="1554"/>
      <c r="AY57" s="1562"/>
      <c r="AZ57" s="1554"/>
      <c r="BA57" s="762"/>
    </row>
    <row r="58" spans="1:53" ht="24.95" customHeight="1">
      <c r="A58" s="1306" t="s">
        <v>667</v>
      </c>
      <c r="B58" s="1318" t="s">
        <v>445</v>
      </c>
      <c r="C58" s="1322">
        <v>6910000</v>
      </c>
      <c r="D58" s="1302">
        <v>0</v>
      </c>
      <c r="E58" s="1308">
        <v>0</v>
      </c>
      <c r="F58" s="1290"/>
      <c r="G58" s="1322">
        <v>0</v>
      </c>
      <c r="H58" s="1307">
        <v>0</v>
      </c>
      <c r="I58" s="1308">
        <v>0</v>
      </c>
      <c r="K58" s="1293"/>
      <c r="L58" s="1294"/>
      <c r="M58" s="1569"/>
      <c r="N58" s="1567"/>
      <c r="O58" s="1565"/>
      <c r="P58" s="1294"/>
      <c r="Q58" s="1294"/>
      <c r="R58" s="1294"/>
      <c r="S58" s="1294"/>
      <c r="T58" s="1294"/>
      <c r="U58" s="1294"/>
      <c r="V58" s="1294"/>
      <c r="W58" s="1294"/>
      <c r="X58" s="1294"/>
      <c r="Y58" s="1569"/>
      <c r="Z58" s="1567"/>
      <c r="AA58" s="1565"/>
      <c r="AB58" s="1545"/>
      <c r="AC58" s="1545"/>
      <c r="AD58" s="1545"/>
      <c r="AE58" s="1545"/>
      <c r="AF58" s="1545"/>
      <c r="AG58" s="1294"/>
      <c r="AH58" s="1294"/>
      <c r="AI58" s="1294"/>
      <c r="AJ58" s="1294"/>
      <c r="AK58" s="1569"/>
      <c r="AL58" s="1567"/>
      <c r="AM58" s="1565"/>
      <c r="AN58" s="1545"/>
      <c r="AO58" s="1545"/>
      <c r="AP58" s="1545"/>
      <c r="AQ58" s="1545"/>
      <c r="AR58" s="1545"/>
      <c r="AS58" s="1294"/>
      <c r="AT58" s="1571"/>
      <c r="AU58" s="1548"/>
      <c r="AV58" s="1334"/>
      <c r="AW58" s="1335"/>
      <c r="AX58" s="1553"/>
      <c r="AY58" s="1561"/>
      <c r="AZ58" s="1553"/>
      <c r="BA58" s="762"/>
    </row>
    <row r="59" spans="1:53" ht="24.95" customHeight="1">
      <c r="A59" s="1315" t="s">
        <v>668</v>
      </c>
      <c r="B59" s="1321" t="s">
        <v>367</v>
      </c>
      <c r="C59" s="1325">
        <v>6910000</v>
      </c>
      <c r="D59" s="1305">
        <v>0</v>
      </c>
      <c r="E59" s="1317">
        <v>0</v>
      </c>
      <c r="F59" s="1290"/>
      <c r="G59" s="1325">
        <v>0</v>
      </c>
      <c r="H59" s="1316">
        <v>0</v>
      </c>
      <c r="I59" s="1317">
        <v>0</v>
      </c>
      <c r="K59" s="1293"/>
      <c r="L59" s="1294"/>
      <c r="M59" s="1569"/>
      <c r="N59" s="1567"/>
      <c r="O59" s="1565"/>
      <c r="P59" s="1294"/>
      <c r="Q59" s="1294"/>
      <c r="R59" s="1294">
        <v>1</v>
      </c>
      <c r="S59" s="1294"/>
      <c r="T59" s="1294"/>
      <c r="U59" s="1294"/>
      <c r="V59" s="1294"/>
      <c r="W59" s="1294"/>
      <c r="X59" s="1294"/>
      <c r="Y59" s="1569"/>
      <c r="Z59" s="1567"/>
      <c r="AA59" s="1565"/>
      <c r="AB59" s="1545"/>
      <c r="AC59" s="1545"/>
      <c r="AD59" s="1545">
        <v>1</v>
      </c>
      <c r="AE59" s="1545"/>
      <c r="AF59" s="1545"/>
      <c r="AG59" s="1294"/>
      <c r="AH59" s="1294"/>
      <c r="AI59" s="1294"/>
      <c r="AJ59" s="1294"/>
      <c r="AK59" s="1569"/>
      <c r="AL59" s="1567"/>
      <c r="AM59" s="1565"/>
      <c r="AN59" s="1545"/>
      <c r="AO59" s="1545"/>
      <c r="AP59" s="1545">
        <v>1</v>
      </c>
      <c r="AQ59" s="1545"/>
      <c r="AR59" s="1545"/>
      <c r="AS59" s="1294"/>
      <c r="AT59" s="1571"/>
      <c r="AU59" s="1548"/>
      <c r="AV59" s="1336"/>
      <c r="AW59" s="1337"/>
      <c r="AX59" s="1554"/>
      <c r="AY59" s="1562"/>
      <c r="AZ59" s="1554"/>
      <c r="BA59" s="762"/>
    </row>
    <row r="60" spans="1:53" ht="24.95" customHeight="1">
      <c r="A60" s="1306" t="s">
        <v>669</v>
      </c>
      <c r="B60" s="1318" t="s">
        <v>450</v>
      </c>
      <c r="C60" s="1322">
        <v>7331000</v>
      </c>
      <c r="D60" s="1302">
        <v>0</v>
      </c>
      <c r="E60" s="1308">
        <v>0</v>
      </c>
      <c r="F60" s="1290"/>
      <c r="G60" s="1322">
        <v>0</v>
      </c>
      <c r="H60" s="1307">
        <v>0</v>
      </c>
      <c r="I60" s="1308">
        <v>0</v>
      </c>
      <c r="K60" s="1293"/>
      <c r="L60" s="1294"/>
      <c r="M60" s="1569"/>
      <c r="N60" s="1567"/>
      <c r="O60" s="1565"/>
      <c r="P60" s="1294"/>
      <c r="Q60" s="1294"/>
      <c r="R60" s="1294"/>
      <c r="S60" s="1294"/>
      <c r="T60" s="1294"/>
      <c r="U60" s="1294"/>
      <c r="V60" s="1294"/>
      <c r="W60" s="1294"/>
      <c r="X60" s="1294"/>
      <c r="Y60" s="1569"/>
      <c r="Z60" s="1567"/>
      <c r="AA60" s="1565"/>
      <c r="AB60" s="1545"/>
      <c r="AC60" s="1545"/>
      <c r="AD60" s="1545"/>
      <c r="AE60" s="1545"/>
      <c r="AF60" s="1545"/>
      <c r="AG60" s="1294"/>
      <c r="AH60" s="1294"/>
      <c r="AI60" s="1294"/>
      <c r="AJ60" s="1294"/>
      <c r="AK60" s="1569"/>
      <c r="AL60" s="1567"/>
      <c r="AM60" s="1565"/>
      <c r="AN60" s="1545"/>
      <c r="AO60" s="1545"/>
      <c r="AP60" s="1545"/>
      <c r="AQ60" s="1545"/>
      <c r="AR60" s="1545"/>
      <c r="AS60" s="1294"/>
      <c r="AT60" s="1571"/>
      <c r="AU60" s="1548"/>
      <c r="AV60" s="1334"/>
      <c r="AW60" s="1335"/>
      <c r="AX60" s="1553"/>
      <c r="AY60" s="1561"/>
      <c r="AZ60" s="1553"/>
      <c r="BA60" s="762"/>
    </row>
    <row r="61" spans="1:53" ht="24.95" customHeight="1">
      <c r="A61" s="1315" t="s">
        <v>670</v>
      </c>
      <c r="B61" s="1321" t="s">
        <v>367</v>
      </c>
      <c r="C61" s="1325">
        <v>7331000</v>
      </c>
      <c r="D61" s="1305">
        <v>0</v>
      </c>
      <c r="E61" s="1317">
        <v>0</v>
      </c>
      <c r="F61" s="1290"/>
      <c r="G61" s="1325">
        <v>0</v>
      </c>
      <c r="H61" s="1316">
        <v>0</v>
      </c>
      <c r="I61" s="1317">
        <v>0</v>
      </c>
      <c r="K61" s="1293"/>
      <c r="L61" s="1294"/>
      <c r="M61" s="1569"/>
      <c r="N61" s="1567"/>
      <c r="O61" s="1565"/>
      <c r="P61" s="1294"/>
      <c r="Q61" s="1294"/>
      <c r="R61" s="1294">
        <v>1</v>
      </c>
      <c r="S61" s="1294"/>
      <c r="T61" s="1294"/>
      <c r="U61" s="1294"/>
      <c r="V61" s="1294"/>
      <c r="W61" s="1294"/>
      <c r="X61" s="1294"/>
      <c r="Y61" s="1569"/>
      <c r="Z61" s="1567"/>
      <c r="AA61" s="1565"/>
      <c r="AB61" s="1545"/>
      <c r="AC61" s="1545"/>
      <c r="AD61" s="1545">
        <v>1</v>
      </c>
      <c r="AE61" s="1545"/>
      <c r="AF61" s="1545"/>
      <c r="AG61" s="1294"/>
      <c r="AH61" s="1294"/>
      <c r="AI61" s="1294"/>
      <c r="AJ61" s="1294"/>
      <c r="AK61" s="1569"/>
      <c r="AL61" s="1567"/>
      <c r="AM61" s="1565"/>
      <c r="AN61" s="1545"/>
      <c r="AO61" s="1545"/>
      <c r="AP61" s="1545">
        <v>1</v>
      </c>
      <c r="AQ61" s="1545"/>
      <c r="AR61" s="1545"/>
      <c r="AS61" s="1294"/>
      <c r="AT61" s="1571"/>
      <c r="AU61" s="1548"/>
      <c r="AV61" s="1336"/>
      <c r="AW61" s="1337"/>
      <c r="AX61" s="1554"/>
      <c r="AY61" s="1562"/>
      <c r="AZ61" s="1554"/>
      <c r="BA61" s="762"/>
    </row>
    <row r="62" spans="1:53" ht="24.95" customHeight="1">
      <c r="A62" s="1312" t="s">
        <v>671</v>
      </c>
      <c r="B62" s="1320" t="s">
        <v>365</v>
      </c>
      <c r="C62" s="1324">
        <v>35514000</v>
      </c>
      <c r="D62" s="1304">
        <v>0</v>
      </c>
      <c r="E62" s="1314">
        <v>0</v>
      </c>
      <c r="F62" s="1290"/>
      <c r="G62" s="1324">
        <v>0</v>
      </c>
      <c r="H62" s="1313">
        <v>0</v>
      </c>
      <c r="I62" s="1314">
        <v>0</v>
      </c>
      <c r="K62" s="1293"/>
      <c r="L62" s="1294"/>
      <c r="M62" s="1569"/>
      <c r="N62" s="1567"/>
      <c r="O62" s="1565"/>
      <c r="P62" s="1294"/>
      <c r="Q62" s="1294"/>
      <c r="R62" s="1294"/>
      <c r="S62" s="1294"/>
      <c r="T62" s="1294"/>
      <c r="U62" s="1294"/>
      <c r="V62" s="1294"/>
      <c r="W62" s="1294"/>
      <c r="X62" s="1294"/>
      <c r="Y62" s="1569"/>
      <c r="Z62" s="1567"/>
      <c r="AA62" s="1565"/>
      <c r="AB62" s="1545"/>
      <c r="AC62" s="1545"/>
      <c r="AD62" s="1545"/>
      <c r="AE62" s="1545"/>
      <c r="AF62" s="1545"/>
      <c r="AG62" s="1294"/>
      <c r="AH62" s="1294"/>
      <c r="AI62" s="1294"/>
      <c r="AJ62" s="1294"/>
      <c r="AK62" s="1569"/>
      <c r="AL62" s="1567"/>
      <c r="AM62" s="1565"/>
      <c r="AN62" s="1545"/>
      <c r="AO62" s="1545"/>
      <c r="AP62" s="1545"/>
      <c r="AQ62" s="1545"/>
      <c r="AR62" s="1545"/>
      <c r="AS62" s="1294"/>
      <c r="AT62" s="1571"/>
      <c r="AU62" s="1548"/>
      <c r="AV62" s="1338"/>
      <c r="AW62" s="1339"/>
      <c r="AX62" s="1555"/>
      <c r="AY62" s="1563"/>
      <c r="AZ62" s="1555"/>
      <c r="BA62" s="762"/>
    </row>
    <row r="63" spans="1:53" ht="24.95" customHeight="1">
      <c r="A63" s="1306" t="s">
        <v>672</v>
      </c>
      <c r="B63" s="1318" t="s">
        <v>364</v>
      </c>
      <c r="C63" s="1322">
        <v>336000</v>
      </c>
      <c r="D63" s="1302">
        <v>0</v>
      </c>
      <c r="E63" s="1308">
        <v>0</v>
      </c>
      <c r="F63" s="1290"/>
      <c r="G63" s="1322">
        <v>0</v>
      </c>
      <c r="H63" s="1307">
        <v>0</v>
      </c>
      <c r="I63" s="1308">
        <v>0</v>
      </c>
      <c r="K63" s="1293"/>
      <c r="L63" s="1294"/>
      <c r="M63" s="1569"/>
      <c r="N63" s="1567"/>
      <c r="O63" s="1565"/>
      <c r="P63" s="1294"/>
      <c r="Q63" s="1294"/>
      <c r="R63" s="1294">
        <v>1</v>
      </c>
      <c r="S63" s="1294"/>
      <c r="T63" s="1294"/>
      <c r="U63" s="1294"/>
      <c r="V63" s="1294"/>
      <c r="W63" s="1294"/>
      <c r="X63" s="1294"/>
      <c r="Y63" s="1569"/>
      <c r="Z63" s="1567"/>
      <c r="AA63" s="1565"/>
      <c r="AB63" s="1545"/>
      <c r="AC63" s="1545"/>
      <c r="AD63" s="1545">
        <v>1</v>
      </c>
      <c r="AE63" s="1545"/>
      <c r="AF63" s="1545"/>
      <c r="AG63" s="1294"/>
      <c r="AH63" s="1294"/>
      <c r="AI63" s="1294"/>
      <c r="AJ63" s="1294"/>
      <c r="AK63" s="1569"/>
      <c r="AL63" s="1567"/>
      <c r="AM63" s="1565"/>
      <c r="AN63" s="1545"/>
      <c r="AO63" s="1545"/>
      <c r="AP63" s="1545">
        <v>1</v>
      </c>
      <c r="AQ63" s="1545"/>
      <c r="AR63" s="1545"/>
      <c r="AS63" s="1294"/>
      <c r="AT63" s="1571"/>
      <c r="AU63" s="1548"/>
      <c r="AV63" s="1334"/>
      <c r="AW63" s="1335"/>
      <c r="AX63" s="1553"/>
      <c r="AY63" s="1561"/>
      <c r="AZ63" s="1553"/>
      <c r="BA63" s="762"/>
    </row>
    <row r="64" spans="1:53" ht="24.95" customHeight="1">
      <c r="A64" s="1315" t="s">
        <v>673</v>
      </c>
      <c r="B64" s="1321" t="s">
        <v>367</v>
      </c>
      <c r="C64" s="1325">
        <v>336000</v>
      </c>
      <c r="D64" s="1305">
        <v>0</v>
      </c>
      <c r="E64" s="1317">
        <v>0</v>
      </c>
      <c r="F64" s="1290"/>
      <c r="G64" s="1325">
        <v>0</v>
      </c>
      <c r="H64" s="1316">
        <v>0</v>
      </c>
      <c r="I64" s="1317">
        <v>0</v>
      </c>
      <c r="K64" s="1293"/>
      <c r="L64" s="1294"/>
      <c r="M64" s="1569"/>
      <c r="N64" s="1567"/>
      <c r="O64" s="1565"/>
      <c r="P64" s="1294"/>
      <c r="Q64" s="1294"/>
      <c r="R64" s="1294"/>
      <c r="S64" s="1294"/>
      <c r="T64" s="1294"/>
      <c r="U64" s="1294"/>
      <c r="V64" s="1294"/>
      <c r="W64" s="1294"/>
      <c r="X64" s="1294"/>
      <c r="Y64" s="1569"/>
      <c r="Z64" s="1567"/>
      <c r="AA64" s="1565"/>
      <c r="AB64" s="1545"/>
      <c r="AC64" s="1545"/>
      <c r="AD64" s="1545"/>
      <c r="AE64" s="1545"/>
      <c r="AF64" s="1545"/>
      <c r="AG64" s="1294"/>
      <c r="AH64" s="1294"/>
      <c r="AI64" s="1294"/>
      <c r="AJ64" s="1294"/>
      <c r="AK64" s="1569"/>
      <c r="AL64" s="1567"/>
      <c r="AM64" s="1565"/>
      <c r="AN64" s="1545"/>
      <c r="AO64" s="1545"/>
      <c r="AP64" s="1545"/>
      <c r="AQ64" s="1545"/>
      <c r="AR64" s="1545"/>
      <c r="AS64" s="1294"/>
      <c r="AT64" s="1571"/>
      <c r="AU64" s="1548"/>
      <c r="AV64" s="1336"/>
      <c r="AW64" s="1337"/>
      <c r="AX64" s="1554"/>
      <c r="AY64" s="1562"/>
      <c r="AZ64" s="1554"/>
      <c r="BA64" s="762"/>
    </row>
    <row r="65" spans="1:53" ht="24.95" customHeight="1">
      <c r="A65" s="1306" t="s">
        <v>674</v>
      </c>
      <c r="B65" s="1318" t="s">
        <v>675</v>
      </c>
      <c r="C65" s="1322">
        <v>9346000</v>
      </c>
      <c r="D65" s="1302">
        <v>0</v>
      </c>
      <c r="E65" s="1308">
        <v>0</v>
      </c>
      <c r="F65" s="1290"/>
      <c r="G65" s="1322">
        <v>0</v>
      </c>
      <c r="H65" s="1307">
        <v>0</v>
      </c>
      <c r="I65" s="1308">
        <v>0</v>
      </c>
      <c r="K65" s="1293"/>
      <c r="L65" s="1294"/>
      <c r="M65" s="1569"/>
      <c r="N65" s="1567"/>
      <c r="O65" s="1565"/>
      <c r="P65" s="1294"/>
      <c r="Q65" s="1294"/>
      <c r="R65" s="1294">
        <v>1</v>
      </c>
      <c r="S65" s="1294"/>
      <c r="T65" s="1294"/>
      <c r="U65" s="1294"/>
      <c r="V65" s="1294"/>
      <c r="W65" s="1294"/>
      <c r="X65" s="1294"/>
      <c r="Y65" s="1569"/>
      <c r="Z65" s="1567"/>
      <c r="AA65" s="1565"/>
      <c r="AB65" s="1545"/>
      <c r="AC65" s="1545"/>
      <c r="AD65" s="1545">
        <v>1</v>
      </c>
      <c r="AE65" s="1545"/>
      <c r="AF65" s="1545"/>
      <c r="AG65" s="1294"/>
      <c r="AH65" s="1294"/>
      <c r="AI65" s="1294"/>
      <c r="AJ65" s="1294"/>
      <c r="AK65" s="1569"/>
      <c r="AL65" s="1567"/>
      <c r="AM65" s="1565"/>
      <c r="AN65" s="1545"/>
      <c r="AO65" s="1545"/>
      <c r="AP65" s="1545">
        <v>1</v>
      </c>
      <c r="AQ65" s="1545"/>
      <c r="AR65" s="1545"/>
      <c r="AS65" s="1294"/>
      <c r="AT65" s="1571"/>
      <c r="AU65" s="1548"/>
      <c r="AV65" s="1334"/>
      <c r="AW65" s="1335"/>
      <c r="AX65" s="1553"/>
      <c r="AY65" s="1561"/>
      <c r="AZ65" s="1553"/>
      <c r="BA65" s="762"/>
    </row>
    <row r="66" spans="1:53" ht="24.95" customHeight="1">
      <c r="A66" s="1315" t="s">
        <v>676</v>
      </c>
      <c r="B66" s="1321" t="s">
        <v>677</v>
      </c>
      <c r="C66" s="1325">
        <v>9346000</v>
      </c>
      <c r="D66" s="1305">
        <v>0</v>
      </c>
      <c r="E66" s="1317">
        <v>0</v>
      </c>
      <c r="F66" s="1290"/>
      <c r="G66" s="1325">
        <v>0</v>
      </c>
      <c r="H66" s="1316">
        <v>0</v>
      </c>
      <c r="I66" s="1317">
        <v>0</v>
      </c>
      <c r="K66" s="1293"/>
      <c r="L66" s="1294"/>
      <c r="M66" s="1569"/>
      <c r="N66" s="1567"/>
      <c r="O66" s="1565"/>
      <c r="P66" s="1294"/>
      <c r="Q66" s="1294"/>
      <c r="R66" s="1294">
        <v>1</v>
      </c>
      <c r="S66" s="1294"/>
      <c r="T66" s="1294"/>
      <c r="U66" s="1294"/>
      <c r="V66" s="1294"/>
      <c r="W66" s="1294"/>
      <c r="X66" s="1294"/>
      <c r="Y66" s="1569"/>
      <c r="Z66" s="1567"/>
      <c r="AA66" s="1565"/>
      <c r="AB66" s="1545"/>
      <c r="AC66" s="1545"/>
      <c r="AD66" s="1545">
        <v>1</v>
      </c>
      <c r="AE66" s="1545"/>
      <c r="AF66" s="1545"/>
      <c r="AG66" s="1294"/>
      <c r="AH66" s="1294"/>
      <c r="AI66" s="1294"/>
      <c r="AJ66" s="1294"/>
      <c r="AK66" s="1569"/>
      <c r="AL66" s="1567"/>
      <c r="AM66" s="1565"/>
      <c r="AN66" s="1545"/>
      <c r="AO66" s="1545"/>
      <c r="AP66" s="1545">
        <v>1</v>
      </c>
      <c r="AQ66" s="1545"/>
      <c r="AR66" s="1545"/>
      <c r="AS66" s="1294"/>
      <c r="AT66" s="1571"/>
      <c r="AU66" s="1548"/>
      <c r="AV66" s="1336"/>
      <c r="AW66" s="1337"/>
      <c r="AX66" s="1554"/>
      <c r="AY66" s="1562"/>
      <c r="AZ66" s="1554"/>
      <c r="BA66" s="762"/>
    </row>
    <row r="67" spans="1:53" ht="24.95" customHeight="1">
      <c r="A67" s="1306" t="s">
        <v>678</v>
      </c>
      <c r="B67" s="1318" t="s">
        <v>679</v>
      </c>
      <c r="C67" s="1322">
        <v>13967000</v>
      </c>
      <c r="D67" s="1302">
        <v>0</v>
      </c>
      <c r="E67" s="1308">
        <v>0</v>
      </c>
      <c r="F67" s="1290"/>
      <c r="G67" s="1322">
        <v>0</v>
      </c>
      <c r="H67" s="1307">
        <v>0</v>
      </c>
      <c r="I67" s="1308">
        <v>0</v>
      </c>
      <c r="K67" s="1293"/>
      <c r="L67" s="1294"/>
      <c r="M67" s="1569"/>
      <c r="N67" s="1567"/>
      <c r="O67" s="1565"/>
      <c r="P67" s="1294"/>
      <c r="Q67" s="1294"/>
      <c r="R67" s="1294">
        <v>1</v>
      </c>
      <c r="S67" s="1294"/>
      <c r="T67" s="1294"/>
      <c r="U67" s="1294"/>
      <c r="V67" s="1294"/>
      <c r="W67" s="1294"/>
      <c r="X67" s="1294"/>
      <c r="Y67" s="1569"/>
      <c r="Z67" s="1567"/>
      <c r="AA67" s="1565"/>
      <c r="AB67" s="1545"/>
      <c r="AC67" s="1545"/>
      <c r="AD67" s="1545">
        <v>1</v>
      </c>
      <c r="AE67" s="1545"/>
      <c r="AF67" s="1545"/>
      <c r="AG67" s="1294"/>
      <c r="AH67" s="1294"/>
      <c r="AI67" s="1294"/>
      <c r="AJ67" s="1294"/>
      <c r="AK67" s="1569"/>
      <c r="AL67" s="1567"/>
      <c r="AM67" s="1565"/>
      <c r="AN67" s="1545"/>
      <c r="AO67" s="1545"/>
      <c r="AP67" s="1545">
        <v>1</v>
      </c>
      <c r="AQ67" s="1545"/>
      <c r="AR67" s="1545"/>
      <c r="AS67" s="1294"/>
      <c r="AT67" s="1571"/>
      <c r="AU67" s="1548"/>
      <c r="AV67" s="1334"/>
      <c r="AW67" s="1335"/>
      <c r="AX67" s="1553"/>
      <c r="AY67" s="1561"/>
      <c r="AZ67" s="1553"/>
      <c r="BA67" s="762"/>
    </row>
    <row r="68" spans="1:53" ht="24.95" customHeight="1">
      <c r="A68" s="1315" t="s">
        <v>680</v>
      </c>
      <c r="B68" s="1321" t="s">
        <v>677</v>
      </c>
      <c r="C68" s="1325">
        <v>6300000</v>
      </c>
      <c r="D68" s="1305">
        <v>-7667000</v>
      </c>
      <c r="E68" s="1317">
        <v>7667000</v>
      </c>
      <c r="F68" s="1290"/>
      <c r="G68" s="1325">
        <v>0</v>
      </c>
      <c r="H68" s="1316">
        <v>0</v>
      </c>
      <c r="I68" s="1317">
        <v>0</v>
      </c>
      <c r="K68" s="1293"/>
      <c r="L68" s="1294"/>
      <c r="M68" s="1569"/>
      <c r="N68" s="1567"/>
      <c r="O68" s="1565"/>
      <c r="P68" s="1294"/>
      <c r="Q68" s="1294"/>
      <c r="R68" s="1294"/>
      <c r="S68" s="1294"/>
      <c r="T68" s="1294"/>
      <c r="U68" s="1294"/>
      <c r="V68" s="1294"/>
      <c r="W68" s="1294"/>
      <c r="X68" s="1294"/>
      <c r="Y68" s="1569"/>
      <c r="Z68" s="1567"/>
      <c r="AA68" s="1565"/>
      <c r="AB68" s="1545"/>
      <c r="AC68" s="1545"/>
      <c r="AD68" s="1545"/>
      <c r="AE68" s="1545"/>
      <c r="AF68" s="1545"/>
      <c r="AG68" s="1294"/>
      <c r="AH68" s="1294"/>
      <c r="AI68" s="1294"/>
      <c r="AJ68" s="1294"/>
      <c r="AK68" s="1569"/>
      <c r="AL68" s="1567"/>
      <c r="AM68" s="1565"/>
      <c r="AN68" s="1545"/>
      <c r="AO68" s="1545"/>
      <c r="AP68" s="1545"/>
      <c r="AQ68" s="1545"/>
      <c r="AR68" s="1545"/>
      <c r="AS68" s="1294"/>
      <c r="AT68" s="1571"/>
      <c r="AU68" s="1548"/>
      <c r="AV68" s="1336"/>
      <c r="AW68" s="1337"/>
      <c r="AX68" s="1554"/>
      <c r="AY68" s="1562"/>
      <c r="AZ68" s="1554"/>
      <c r="BA68" s="762"/>
    </row>
    <row r="69" spans="1:53" ht="24.95" customHeight="1">
      <c r="A69" s="1315" t="s">
        <v>681</v>
      </c>
      <c r="B69" s="1321" t="s">
        <v>360</v>
      </c>
      <c r="C69" s="1325">
        <v>7667000</v>
      </c>
      <c r="D69" s="1305">
        <v>7667000</v>
      </c>
      <c r="E69" s="1317">
        <v>-7667000</v>
      </c>
      <c r="F69" s="1290"/>
      <c r="G69" s="1325">
        <v>0</v>
      </c>
      <c r="H69" s="1316">
        <v>0</v>
      </c>
      <c r="I69" s="1317">
        <v>0</v>
      </c>
      <c r="K69" s="1293"/>
      <c r="L69" s="1294"/>
      <c r="M69" s="1569"/>
      <c r="N69" s="1567"/>
      <c r="O69" s="1565"/>
      <c r="P69" s="1294"/>
      <c r="Q69" s="1294"/>
      <c r="R69" s="1294">
        <v>1</v>
      </c>
      <c r="S69" s="1294"/>
      <c r="T69" s="1294"/>
      <c r="U69" s="1294"/>
      <c r="V69" s="1294"/>
      <c r="W69" s="1294"/>
      <c r="X69" s="1294"/>
      <c r="Y69" s="1569"/>
      <c r="Z69" s="1567"/>
      <c r="AA69" s="1565"/>
      <c r="AB69" s="1545"/>
      <c r="AC69" s="1545"/>
      <c r="AD69" s="1545">
        <v>1</v>
      </c>
      <c r="AE69" s="1545"/>
      <c r="AF69" s="1545"/>
      <c r="AG69" s="1294"/>
      <c r="AH69" s="1294"/>
      <c r="AI69" s="1294"/>
      <c r="AJ69" s="1294"/>
      <c r="AK69" s="1569"/>
      <c r="AL69" s="1567"/>
      <c r="AM69" s="1565"/>
      <c r="AN69" s="1545"/>
      <c r="AO69" s="1545"/>
      <c r="AP69" s="1545">
        <v>1</v>
      </c>
      <c r="AQ69" s="1545"/>
      <c r="AR69" s="1545"/>
      <c r="AS69" s="1294"/>
      <c r="AT69" s="1571"/>
      <c r="AU69" s="1548"/>
      <c r="AV69" s="1336"/>
      <c r="AW69" s="1337"/>
      <c r="AX69" s="1554"/>
      <c r="AY69" s="1562"/>
      <c r="AZ69" s="1554"/>
      <c r="BA69" s="762"/>
    </row>
    <row r="70" spans="1:53" ht="24.95" customHeight="1">
      <c r="A70" s="1306" t="s">
        <v>682</v>
      </c>
      <c r="B70" s="1318" t="s">
        <v>683</v>
      </c>
      <c r="C70" s="1322">
        <v>9147000</v>
      </c>
      <c r="D70" s="1302">
        <v>0</v>
      </c>
      <c r="E70" s="1308">
        <v>0</v>
      </c>
      <c r="F70" s="1290"/>
      <c r="G70" s="1322">
        <v>0</v>
      </c>
      <c r="H70" s="1307">
        <v>0</v>
      </c>
      <c r="I70" s="1308">
        <v>0</v>
      </c>
      <c r="K70" s="1293"/>
      <c r="L70" s="1294"/>
      <c r="M70" s="1569"/>
      <c r="N70" s="1567"/>
      <c r="O70" s="1565"/>
      <c r="P70" s="1294"/>
      <c r="Q70" s="1294"/>
      <c r="R70" s="1294"/>
      <c r="S70" s="1294"/>
      <c r="T70" s="1294"/>
      <c r="U70" s="1294"/>
      <c r="V70" s="1294"/>
      <c r="W70" s="1294"/>
      <c r="X70" s="1294"/>
      <c r="Y70" s="1569"/>
      <c r="Z70" s="1567"/>
      <c r="AA70" s="1565"/>
      <c r="AB70" s="1545"/>
      <c r="AC70" s="1545"/>
      <c r="AD70" s="1545"/>
      <c r="AE70" s="1545"/>
      <c r="AF70" s="1545"/>
      <c r="AG70" s="1294"/>
      <c r="AH70" s="1294"/>
      <c r="AI70" s="1294"/>
      <c r="AJ70" s="1294"/>
      <c r="AK70" s="1569"/>
      <c r="AL70" s="1567"/>
      <c r="AM70" s="1565"/>
      <c r="AN70" s="1545"/>
      <c r="AO70" s="1545"/>
      <c r="AP70" s="1545"/>
      <c r="AQ70" s="1545"/>
      <c r="AR70" s="1545"/>
      <c r="AS70" s="1294"/>
      <c r="AT70" s="1571"/>
      <c r="AU70" s="1548"/>
      <c r="AV70" s="1334"/>
      <c r="AW70" s="1335"/>
      <c r="AX70" s="1553"/>
      <c r="AY70" s="1561"/>
      <c r="AZ70" s="1553"/>
      <c r="BA70" s="762"/>
    </row>
    <row r="71" spans="1:53" ht="24.95" customHeight="1">
      <c r="A71" s="1315" t="s">
        <v>684</v>
      </c>
      <c r="B71" s="1321" t="s">
        <v>685</v>
      </c>
      <c r="C71" s="1325">
        <v>8200000</v>
      </c>
      <c r="D71" s="1305">
        <v>-947000</v>
      </c>
      <c r="E71" s="1317">
        <v>0</v>
      </c>
      <c r="F71" s="1290"/>
      <c r="G71" s="1325">
        <v>0</v>
      </c>
      <c r="H71" s="1316">
        <v>0</v>
      </c>
      <c r="I71" s="1317">
        <v>0</v>
      </c>
      <c r="K71" s="1293"/>
      <c r="L71" s="1294"/>
      <c r="M71" s="1569"/>
      <c r="N71" s="1567"/>
      <c r="O71" s="1565"/>
      <c r="P71" s="1294"/>
      <c r="Q71" s="1294"/>
      <c r="R71" s="1294">
        <v>1</v>
      </c>
      <c r="S71" s="1294"/>
      <c r="T71" s="1294"/>
      <c r="U71" s="1294"/>
      <c r="V71" s="1294"/>
      <c r="W71" s="1294"/>
      <c r="X71" s="1294"/>
      <c r="Y71" s="1569"/>
      <c r="Z71" s="1567"/>
      <c r="AA71" s="1565"/>
      <c r="AB71" s="1545"/>
      <c r="AC71" s="1545"/>
      <c r="AD71" s="1545">
        <v>1</v>
      </c>
      <c r="AE71" s="1545"/>
      <c r="AF71" s="1545"/>
      <c r="AG71" s="1294"/>
      <c r="AH71" s="1294"/>
      <c r="AI71" s="1294"/>
      <c r="AJ71" s="1294"/>
      <c r="AK71" s="1569"/>
      <c r="AL71" s="1567"/>
      <c r="AM71" s="1565"/>
      <c r="AN71" s="1545"/>
      <c r="AO71" s="1545"/>
      <c r="AP71" s="1545">
        <v>1</v>
      </c>
      <c r="AQ71" s="1545"/>
      <c r="AR71" s="1545"/>
      <c r="AS71" s="1294"/>
      <c r="AT71" s="1571"/>
      <c r="AU71" s="1548"/>
      <c r="AV71" s="1336"/>
      <c r="AW71" s="1337"/>
      <c r="AX71" s="1554"/>
      <c r="AY71" s="1562"/>
      <c r="AZ71" s="1554"/>
      <c r="BA71" s="762"/>
    </row>
    <row r="72" spans="1:53" ht="24.95" customHeight="1">
      <c r="A72" s="1315" t="s">
        <v>686</v>
      </c>
      <c r="B72" s="1321" t="s">
        <v>360</v>
      </c>
      <c r="C72" s="1325">
        <v>947000</v>
      </c>
      <c r="D72" s="1305">
        <v>947000</v>
      </c>
      <c r="E72" s="1317">
        <v>0</v>
      </c>
      <c r="F72" s="1290"/>
      <c r="G72" s="1325">
        <v>0</v>
      </c>
      <c r="H72" s="1316">
        <v>0</v>
      </c>
      <c r="I72" s="1317">
        <v>0</v>
      </c>
      <c r="K72" s="1293"/>
      <c r="L72" s="1294"/>
      <c r="M72" s="1569"/>
      <c r="N72" s="1567"/>
      <c r="O72" s="1565"/>
      <c r="P72" s="1294"/>
      <c r="Q72" s="1294"/>
      <c r="R72" s="1294">
        <v>1</v>
      </c>
      <c r="S72" s="1294"/>
      <c r="T72" s="1294"/>
      <c r="U72" s="1294"/>
      <c r="V72" s="1294"/>
      <c r="W72" s="1294"/>
      <c r="X72" s="1294"/>
      <c r="Y72" s="1569"/>
      <c r="Z72" s="1567"/>
      <c r="AA72" s="1565"/>
      <c r="AB72" s="1545"/>
      <c r="AC72" s="1545"/>
      <c r="AD72" s="1545">
        <v>1</v>
      </c>
      <c r="AE72" s="1545"/>
      <c r="AF72" s="1545"/>
      <c r="AG72" s="1294"/>
      <c r="AH72" s="1294"/>
      <c r="AI72" s="1294"/>
      <c r="AJ72" s="1294"/>
      <c r="AK72" s="1569"/>
      <c r="AL72" s="1567"/>
      <c r="AM72" s="1565"/>
      <c r="AN72" s="1545"/>
      <c r="AO72" s="1545"/>
      <c r="AP72" s="1545">
        <v>1</v>
      </c>
      <c r="AQ72" s="1545"/>
      <c r="AR72" s="1545"/>
      <c r="AS72" s="1294"/>
      <c r="AT72" s="1571"/>
      <c r="AU72" s="1548"/>
      <c r="AV72" s="1336"/>
      <c r="AW72" s="1337"/>
      <c r="AX72" s="1554"/>
      <c r="AY72" s="1562"/>
      <c r="AZ72" s="1554"/>
      <c r="BA72" s="762"/>
    </row>
    <row r="73" spans="1:53" ht="24.95" customHeight="1">
      <c r="A73" s="1306" t="s">
        <v>687</v>
      </c>
      <c r="B73" s="1318" t="s">
        <v>366</v>
      </c>
      <c r="C73" s="1322">
        <v>2718000</v>
      </c>
      <c r="D73" s="1302">
        <v>0</v>
      </c>
      <c r="E73" s="1308">
        <v>0</v>
      </c>
      <c r="F73" s="1290"/>
      <c r="G73" s="1322">
        <v>0</v>
      </c>
      <c r="H73" s="1307">
        <v>0</v>
      </c>
      <c r="I73" s="1308">
        <v>0</v>
      </c>
      <c r="K73" s="1293"/>
      <c r="L73" s="1294"/>
      <c r="M73" s="1569"/>
      <c r="N73" s="1567"/>
      <c r="O73" s="1565"/>
      <c r="P73" s="1294"/>
      <c r="Q73" s="1294"/>
      <c r="R73" s="1294">
        <v>1</v>
      </c>
      <c r="S73" s="1294"/>
      <c r="T73" s="1294"/>
      <c r="U73" s="1294"/>
      <c r="V73" s="1294"/>
      <c r="W73" s="1294"/>
      <c r="X73" s="1294"/>
      <c r="Y73" s="1569"/>
      <c r="Z73" s="1567"/>
      <c r="AA73" s="1565"/>
      <c r="AB73" s="1545"/>
      <c r="AC73" s="1545"/>
      <c r="AD73" s="1545">
        <v>1</v>
      </c>
      <c r="AE73" s="1545"/>
      <c r="AF73" s="1545"/>
      <c r="AG73" s="1294"/>
      <c r="AH73" s="1294"/>
      <c r="AI73" s="1294"/>
      <c r="AJ73" s="1294"/>
      <c r="AK73" s="1569"/>
      <c r="AL73" s="1567"/>
      <c r="AM73" s="1565"/>
      <c r="AN73" s="1545"/>
      <c r="AO73" s="1545"/>
      <c r="AP73" s="1545">
        <v>1</v>
      </c>
      <c r="AQ73" s="1545"/>
      <c r="AR73" s="1545"/>
      <c r="AS73" s="1294"/>
      <c r="AT73" s="1571"/>
      <c r="AU73" s="1548"/>
      <c r="AV73" s="1334"/>
      <c r="AW73" s="1335"/>
      <c r="AX73" s="1553"/>
      <c r="AY73" s="1561"/>
      <c r="AZ73" s="1553"/>
      <c r="BA73" s="762"/>
    </row>
    <row r="74" spans="1:53" ht="24.95" customHeight="1">
      <c r="A74" s="1543" t="s">
        <v>688</v>
      </c>
      <c r="B74" s="1321" t="s">
        <v>367</v>
      </c>
      <c r="C74" s="1325">
        <v>2718000</v>
      </c>
      <c r="D74" s="1305">
        <v>0</v>
      </c>
      <c r="E74" s="1317">
        <v>0</v>
      </c>
      <c r="F74" s="1290"/>
      <c r="G74" s="1325">
        <v>0</v>
      </c>
      <c r="H74" s="1316">
        <v>0</v>
      </c>
      <c r="I74" s="1317">
        <v>0</v>
      </c>
      <c r="K74" s="1293"/>
      <c r="L74" s="1294"/>
      <c r="M74" s="1569"/>
      <c r="N74" s="1567"/>
      <c r="O74" s="1565"/>
      <c r="P74" s="1294"/>
      <c r="Q74" s="1294"/>
      <c r="R74" s="1294"/>
      <c r="S74" s="1294"/>
      <c r="T74" s="1294"/>
      <c r="U74" s="1294"/>
      <c r="V74" s="1294"/>
      <c r="W74" s="1294"/>
      <c r="X74" s="1294"/>
      <c r="Y74" s="1569"/>
      <c r="Z74" s="1567"/>
      <c r="AA74" s="1565"/>
      <c r="AB74" s="1545"/>
      <c r="AC74" s="1545"/>
      <c r="AD74" s="1545"/>
      <c r="AE74" s="1545"/>
      <c r="AF74" s="1545"/>
      <c r="AG74" s="1294"/>
      <c r="AH74" s="1294"/>
      <c r="AI74" s="1294"/>
      <c r="AJ74" s="1294"/>
      <c r="AK74" s="1569"/>
      <c r="AL74" s="1567"/>
      <c r="AM74" s="1565"/>
      <c r="AN74" s="1545"/>
      <c r="AO74" s="1545"/>
      <c r="AP74" s="1545"/>
      <c r="AQ74" s="1545"/>
      <c r="AR74" s="1545"/>
      <c r="AS74" s="1294"/>
      <c r="AT74" s="1571"/>
      <c r="AU74" s="1548"/>
      <c r="AV74" s="1336"/>
      <c r="AW74" s="1337"/>
      <c r="AX74" s="1554"/>
      <c r="AY74" s="1562"/>
      <c r="AZ74" s="1554"/>
      <c r="BA74" s="762"/>
    </row>
    <row r="75" spans="1:53" ht="24.95" customHeight="1">
      <c r="A75" s="1309" t="s">
        <v>689</v>
      </c>
      <c r="B75" s="1319" t="s">
        <v>330</v>
      </c>
      <c r="C75" s="1323">
        <v>50698623.030000001</v>
      </c>
      <c r="D75" s="1303">
        <v>0</v>
      </c>
      <c r="E75" s="1311">
        <v>0</v>
      </c>
      <c r="F75" s="1290"/>
      <c r="G75" s="1323">
        <v>7823941.4299999997</v>
      </c>
      <c r="H75" s="1310">
        <v>8332240.4500000002</v>
      </c>
      <c r="I75" s="1311">
        <v>-508299.02</v>
      </c>
      <c r="K75" s="1293"/>
      <c r="L75" s="1294"/>
      <c r="M75" s="1569"/>
      <c r="N75" s="1567"/>
      <c r="O75" s="1565"/>
      <c r="P75" s="1294"/>
      <c r="Q75" s="1294"/>
      <c r="R75" s="1294">
        <v>1</v>
      </c>
      <c r="S75" s="1294"/>
      <c r="T75" s="1294"/>
      <c r="U75" s="1294"/>
      <c r="V75" s="1294"/>
      <c r="W75" s="1294"/>
      <c r="X75" s="1294"/>
      <c r="Y75" s="1569"/>
      <c r="Z75" s="1567"/>
      <c r="AA75" s="1565"/>
      <c r="AB75" s="1545"/>
      <c r="AC75" s="1545"/>
      <c r="AD75" s="1545">
        <v>1</v>
      </c>
      <c r="AE75" s="1545"/>
      <c r="AF75" s="1545"/>
      <c r="AG75" s="1294"/>
      <c r="AH75" s="1294"/>
      <c r="AI75" s="1294"/>
      <c r="AJ75" s="1294"/>
      <c r="AK75" s="1569"/>
      <c r="AL75" s="1567"/>
      <c r="AM75" s="1565"/>
      <c r="AN75" s="1545"/>
      <c r="AO75" s="1545"/>
      <c r="AP75" s="1545">
        <v>1</v>
      </c>
      <c r="AQ75" s="1545"/>
      <c r="AR75" s="1545"/>
      <c r="AS75" s="1294"/>
      <c r="AT75" s="1571"/>
      <c r="AU75" s="1548"/>
      <c r="AV75" s="1326"/>
      <c r="AW75" s="1327"/>
      <c r="AX75" s="1549"/>
      <c r="AY75" s="1557"/>
      <c r="AZ75" s="1549"/>
      <c r="BA75" s="762"/>
    </row>
    <row r="76" spans="1:53" ht="24.95" customHeight="1">
      <c r="A76" s="1312" t="s">
        <v>690</v>
      </c>
      <c r="B76" s="1320" t="s">
        <v>368</v>
      </c>
      <c r="C76" s="1324">
        <v>2377968</v>
      </c>
      <c r="D76" s="1304">
        <v>0</v>
      </c>
      <c r="E76" s="1314">
        <v>0</v>
      </c>
      <c r="F76" s="1290"/>
      <c r="G76" s="1324">
        <v>769014.52</v>
      </c>
      <c r="H76" s="1313">
        <v>768922.85</v>
      </c>
      <c r="I76" s="1314">
        <v>91.67</v>
      </c>
      <c r="K76" s="1293"/>
      <c r="L76" s="1294"/>
      <c r="M76" s="1569"/>
      <c r="N76" s="1567"/>
      <c r="O76" s="1565"/>
      <c r="P76" s="1294"/>
      <c r="Q76" s="1294"/>
      <c r="R76" s="1294"/>
      <c r="S76" s="1294"/>
      <c r="T76" s="1294"/>
      <c r="U76" s="1294"/>
      <c r="V76" s="1294"/>
      <c r="W76" s="1294"/>
      <c r="X76" s="1294"/>
      <c r="Y76" s="1569"/>
      <c r="Z76" s="1567"/>
      <c r="AA76" s="1565"/>
      <c r="AB76" s="1545"/>
      <c r="AC76" s="1545"/>
      <c r="AD76" s="1545"/>
      <c r="AE76" s="1545"/>
      <c r="AF76" s="1545"/>
      <c r="AG76" s="1294"/>
      <c r="AH76" s="1294"/>
      <c r="AI76" s="1294"/>
      <c r="AJ76" s="1294"/>
      <c r="AK76" s="1569"/>
      <c r="AL76" s="1567"/>
      <c r="AM76" s="1565"/>
      <c r="AN76" s="1545"/>
      <c r="AO76" s="1545"/>
      <c r="AP76" s="1545"/>
      <c r="AQ76" s="1545"/>
      <c r="AR76" s="1545"/>
      <c r="AS76" s="1294"/>
      <c r="AT76" s="1571"/>
      <c r="AU76" s="1548"/>
      <c r="AV76" s="1338"/>
      <c r="AW76" s="1339"/>
      <c r="AX76" s="1555"/>
      <c r="AY76" s="1563"/>
      <c r="AZ76" s="1555"/>
      <c r="BA76" s="762"/>
    </row>
    <row r="77" spans="1:53" ht="24.95" customHeight="1">
      <c r="A77" s="1306" t="s">
        <v>691</v>
      </c>
      <c r="B77" s="1318" t="s">
        <v>692</v>
      </c>
      <c r="C77" s="1322">
        <v>1669313</v>
      </c>
      <c r="D77" s="1302">
        <v>0</v>
      </c>
      <c r="E77" s="1308">
        <v>0</v>
      </c>
      <c r="F77" s="1290"/>
      <c r="G77" s="1322">
        <v>260412.83</v>
      </c>
      <c r="H77" s="1307">
        <v>259619.18</v>
      </c>
      <c r="I77" s="1308">
        <v>793.65</v>
      </c>
      <c r="K77" s="1293"/>
      <c r="L77" s="1294"/>
      <c r="M77" s="1569"/>
      <c r="N77" s="1567"/>
      <c r="O77" s="1565"/>
      <c r="P77" s="1294"/>
      <c r="Q77" s="1294"/>
      <c r="R77" s="1294">
        <v>1</v>
      </c>
      <c r="S77" s="1294"/>
      <c r="T77" s="1294"/>
      <c r="U77" s="1294"/>
      <c r="V77" s="1294"/>
      <c r="W77" s="1294"/>
      <c r="X77" s="1294"/>
      <c r="Y77" s="1569"/>
      <c r="Z77" s="1567"/>
      <c r="AA77" s="1565"/>
      <c r="AB77" s="1545"/>
      <c r="AC77" s="1545"/>
      <c r="AD77" s="1545">
        <v>1</v>
      </c>
      <c r="AE77" s="1545"/>
      <c r="AF77" s="1545"/>
      <c r="AG77" s="1294"/>
      <c r="AH77" s="1294"/>
      <c r="AI77" s="1294"/>
      <c r="AJ77" s="1294"/>
      <c r="AK77" s="1569"/>
      <c r="AL77" s="1567"/>
      <c r="AM77" s="1565"/>
      <c r="AN77" s="1545"/>
      <c r="AO77" s="1545"/>
      <c r="AP77" s="1545">
        <v>1</v>
      </c>
      <c r="AQ77" s="1545"/>
      <c r="AR77" s="1545"/>
      <c r="AS77" s="1294"/>
      <c r="AT77" s="1571"/>
      <c r="AU77" s="1548"/>
      <c r="AV77" s="1334"/>
      <c r="AW77" s="1335"/>
      <c r="AX77" s="1553"/>
      <c r="AY77" s="1561"/>
      <c r="AZ77" s="1553"/>
      <c r="BA77" s="762"/>
    </row>
    <row r="78" spans="1:53" ht="24.95" customHeight="1">
      <c r="A78" s="1306" t="s">
        <v>693</v>
      </c>
      <c r="B78" s="1318" t="s">
        <v>368</v>
      </c>
      <c r="C78" s="1322">
        <v>708655</v>
      </c>
      <c r="D78" s="1302">
        <v>0</v>
      </c>
      <c r="E78" s="1308">
        <v>0</v>
      </c>
      <c r="F78" s="1290"/>
      <c r="G78" s="1322">
        <v>508601.69</v>
      </c>
      <c r="H78" s="1307">
        <v>509303.67</v>
      </c>
      <c r="I78" s="1308">
        <v>-701.98</v>
      </c>
      <c r="K78" s="1293"/>
      <c r="L78" s="1294"/>
      <c r="M78" s="1569"/>
      <c r="N78" s="1567"/>
      <c r="O78" s="1565"/>
      <c r="P78" s="1294"/>
      <c r="Q78" s="1294"/>
      <c r="R78" s="1294"/>
      <c r="S78" s="1294"/>
      <c r="T78" s="1294"/>
      <c r="U78" s="1294"/>
      <c r="V78" s="1294"/>
      <c r="W78" s="1294"/>
      <c r="X78" s="1294"/>
      <c r="Y78" s="1569"/>
      <c r="Z78" s="1567"/>
      <c r="AA78" s="1565"/>
      <c r="AB78" s="1545"/>
      <c r="AC78" s="1545"/>
      <c r="AD78" s="1545"/>
      <c r="AE78" s="1545"/>
      <c r="AF78" s="1545"/>
      <c r="AG78" s="1294"/>
      <c r="AH78" s="1294"/>
      <c r="AI78" s="1294"/>
      <c r="AJ78" s="1294"/>
      <c r="AK78" s="1569"/>
      <c r="AL78" s="1567"/>
      <c r="AM78" s="1565"/>
      <c r="AN78" s="1545"/>
      <c r="AO78" s="1545"/>
      <c r="AP78" s="1545"/>
      <c r="AQ78" s="1545"/>
      <c r="AR78" s="1545"/>
      <c r="AS78" s="1294"/>
      <c r="AT78" s="1571"/>
      <c r="AU78" s="1548"/>
      <c r="AV78" s="1322"/>
      <c r="AW78" s="1307"/>
      <c r="AX78" s="1308"/>
      <c r="AY78" s="1302"/>
      <c r="AZ78" s="1308"/>
      <c r="BA78" s="762"/>
    </row>
    <row r="79" spans="1:53" ht="24.95" customHeight="1">
      <c r="A79" s="1312" t="s">
        <v>694</v>
      </c>
      <c r="B79" s="1320" t="s">
        <v>89</v>
      </c>
      <c r="C79" s="1324">
        <v>4451136.2699999996</v>
      </c>
      <c r="D79" s="1304">
        <v>0</v>
      </c>
      <c r="E79" s="1314">
        <v>0</v>
      </c>
      <c r="F79" s="1290"/>
      <c r="G79" s="1324">
        <v>1699627.9</v>
      </c>
      <c r="H79" s="1313">
        <v>1681325.07</v>
      </c>
      <c r="I79" s="1314">
        <v>18302.830000000002</v>
      </c>
      <c r="K79" s="1293"/>
      <c r="L79" s="1294"/>
      <c r="M79" s="1569"/>
      <c r="N79" s="1567"/>
      <c r="O79" s="1565"/>
      <c r="P79" s="1294"/>
      <c r="Q79" s="1294"/>
      <c r="R79" s="1294"/>
      <c r="S79" s="1294"/>
      <c r="T79" s="1294"/>
      <c r="U79" s="1294"/>
      <c r="V79" s="1294"/>
      <c r="W79" s="1294"/>
      <c r="X79" s="1294"/>
      <c r="Y79" s="1569"/>
      <c r="Z79" s="1567"/>
      <c r="AA79" s="1565"/>
      <c r="AB79" s="1545"/>
      <c r="AC79" s="1545"/>
      <c r="AD79" s="1545"/>
      <c r="AE79" s="1545"/>
      <c r="AF79" s="1545"/>
      <c r="AG79" s="1294"/>
      <c r="AH79" s="1294"/>
      <c r="AI79" s="1294"/>
      <c r="AJ79" s="1294"/>
      <c r="AK79" s="1569"/>
      <c r="AL79" s="1567"/>
      <c r="AM79" s="1565"/>
      <c r="AN79" s="1545"/>
      <c r="AO79" s="1545"/>
      <c r="AP79" s="1545"/>
      <c r="AQ79" s="1545"/>
      <c r="AR79" s="1545"/>
      <c r="AS79" s="1294"/>
      <c r="AT79" s="1571"/>
      <c r="AU79" s="1548"/>
      <c r="AV79" s="1338"/>
      <c r="AW79" s="1339"/>
      <c r="AX79" s="1550"/>
      <c r="AY79" s="1563"/>
      <c r="AZ79" s="1555"/>
      <c r="BA79" s="762"/>
    </row>
    <row r="80" spans="1:53" ht="24.95" customHeight="1">
      <c r="A80" s="1306" t="s">
        <v>695</v>
      </c>
      <c r="B80" s="1318" t="s">
        <v>696</v>
      </c>
      <c r="C80" s="1322">
        <v>1072500</v>
      </c>
      <c r="D80" s="1302">
        <v>0</v>
      </c>
      <c r="E80" s="1308">
        <v>0</v>
      </c>
      <c r="F80" s="1290"/>
      <c r="G80" s="1322">
        <v>301694.25</v>
      </c>
      <c r="H80" s="1307">
        <v>300320</v>
      </c>
      <c r="I80" s="1308">
        <v>1374.25</v>
      </c>
      <c r="K80" s="1293"/>
      <c r="L80" s="1294"/>
      <c r="M80" s="1569"/>
      <c r="N80" s="1567"/>
      <c r="O80" s="1565"/>
      <c r="P80" s="1294"/>
      <c r="Q80" s="1294"/>
      <c r="R80" s="1294">
        <v>1</v>
      </c>
      <c r="S80" s="1294"/>
      <c r="T80" s="1294"/>
      <c r="U80" s="1294"/>
      <c r="V80" s="1294"/>
      <c r="W80" s="1294"/>
      <c r="X80" s="1294"/>
      <c r="Y80" s="1569"/>
      <c r="Z80" s="1567"/>
      <c r="AA80" s="1565"/>
      <c r="AB80" s="1545"/>
      <c r="AC80" s="1545"/>
      <c r="AD80" s="1545">
        <v>1</v>
      </c>
      <c r="AE80" s="1545"/>
      <c r="AF80" s="1545"/>
      <c r="AG80" s="1294"/>
      <c r="AH80" s="1294"/>
      <c r="AI80" s="1294"/>
      <c r="AJ80" s="1294"/>
      <c r="AK80" s="1569"/>
      <c r="AL80" s="1567"/>
      <c r="AM80" s="1565"/>
      <c r="AN80" s="1545"/>
      <c r="AO80" s="1545"/>
      <c r="AP80" s="1545">
        <v>1</v>
      </c>
      <c r="AQ80" s="1545"/>
      <c r="AR80" s="1545"/>
      <c r="AS80" s="1294"/>
      <c r="AT80" s="1571"/>
      <c r="AU80" s="1548"/>
      <c r="AV80" s="1334"/>
      <c r="AW80" s="1335"/>
      <c r="AX80" s="1551"/>
      <c r="AY80" s="1561"/>
      <c r="AZ80" s="1556"/>
      <c r="BA80" s="762"/>
    </row>
    <row r="81" spans="1:53" ht="24.95" customHeight="1">
      <c r="A81" s="1306" t="s">
        <v>697</v>
      </c>
      <c r="B81" s="1318" t="s">
        <v>698</v>
      </c>
      <c r="C81" s="1322">
        <v>1072500</v>
      </c>
      <c r="D81" s="1302">
        <v>0</v>
      </c>
      <c r="E81" s="1308">
        <v>0</v>
      </c>
      <c r="F81" s="1290"/>
      <c r="G81" s="1322">
        <v>271664.25</v>
      </c>
      <c r="H81" s="1307">
        <v>267320</v>
      </c>
      <c r="I81" s="1308">
        <v>4344.25</v>
      </c>
      <c r="K81" s="1293"/>
      <c r="L81" s="1294"/>
      <c r="M81" s="1569"/>
      <c r="N81" s="1567"/>
      <c r="O81" s="1565"/>
      <c r="P81" s="1294"/>
      <c r="Q81" s="1294"/>
      <c r="R81" s="1294">
        <v>1</v>
      </c>
      <c r="S81" s="1294"/>
      <c r="T81" s="1294"/>
      <c r="U81" s="1294"/>
      <c r="V81" s="1294"/>
      <c r="W81" s="1294"/>
      <c r="X81" s="1294"/>
      <c r="Y81" s="1569"/>
      <c r="Z81" s="1567"/>
      <c r="AA81" s="1565"/>
      <c r="AB81" s="1545"/>
      <c r="AC81" s="1545"/>
      <c r="AD81" s="1545">
        <v>1</v>
      </c>
      <c r="AE81" s="1545"/>
      <c r="AF81" s="1545"/>
      <c r="AG81" s="1294"/>
      <c r="AH81" s="1294"/>
      <c r="AI81" s="1294"/>
      <c r="AJ81" s="1294"/>
      <c r="AK81" s="1569"/>
      <c r="AL81" s="1567"/>
      <c r="AM81" s="1565"/>
      <c r="AN81" s="1545"/>
      <c r="AO81" s="1545"/>
      <c r="AP81" s="1545">
        <v>1</v>
      </c>
      <c r="AQ81" s="1545"/>
      <c r="AR81" s="1545"/>
      <c r="AS81" s="1294"/>
      <c r="AT81" s="1571"/>
      <c r="AU81" s="1548"/>
      <c r="AV81" s="1334"/>
      <c r="AW81" s="1335"/>
      <c r="AX81" s="1551"/>
      <c r="AY81" s="1561"/>
      <c r="AZ81" s="1556"/>
      <c r="BA81" s="762"/>
    </row>
    <row r="82" spans="1:53" ht="24.95" customHeight="1" thickBot="1">
      <c r="A82" s="1887" t="s">
        <v>699</v>
      </c>
      <c r="B82" s="1888" t="s">
        <v>700</v>
      </c>
      <c r="C82" s="1889">
        <v>200000</v>
      </c>
      <c r="D82" s="1890">
        <v>0</v>
      </c>
      <c r="E82" s="1891">
        <v>0</v>
      </c>
      <c r="F82" s="1290"/>
      <c r="G82" s="1889">
        <v>160000</v>
      </c>
      <c r="H82" s="1892">
        <v>160000</v>
      </c>
      <c r="I82" s="1891">
        <v>0</v>
      </c>
      <c r="K82" s="1880"/>
      <c r="L82" s="1881"/>
      <c r="M82" s="1882"/>
      <c r="N82" s="1883"/>
      <c r="O82" s="1884"/>
      <c r="P82" s="1881"/>
      <c r="Q82" s="1881"/>
      <c r="R82" s="1881"/>
      <c r="S82" s="1881"/>
      <c r="T82" s="1881"/>
      <c r="U82" s="1881"/>
      <c r="V82" s="1881"/>
      <c r="W82" s="1881"/>
      <c r="X82" s="1881"/>
      <c r="Y82" s="1882"/>
      <c r="Z82" s="1883"/>
      <c r="AA82" s="1884"/>
      <c r="AB82" s="1885"/>
      <c r="AC82" s="1885"/>
      <c r="AD82" s="1885"/>
      <c r="AE82" s="1885"/>
      <c r="AF82" s="1885"/>
      <c r="AG82" s="1881"/>
      <c r="AH82" s="1881"/>
      <c r="AI82" s="1881"/>
      <c r="AJ82" s="1881"/>
      <c r="AK82" s="1882"/>
      <c r="AL82" s="1883"/>
      <c r="AM82" s="1884"/>
      <c r="AN82" s="1885"/>
      <c r="AO82" s="1885"/>
      <c r="AP82" s="1885"/>
      <c r="AQ82" s="1885"/>
      <c r="AR82" s="1885"/>
      <c r="AS82" s="1881"/>
      <c r="AT82" s="1886"/>
      <c r="AU82" s="1548"/>
      <c r="AV82" s="1893"/>
      <c r="AW82" s="1894"/>
      <c r="AX82" s="1895"/>
      <c r="AY82" s="1896"/>
      <c r="AZ82" s="1897"/>
      <c r="BA82" s="762"/>
    </row>
  </sheetData>
  <mergeCells count="17">
    <mergeCell ref="AM7:AT7"/>
    <mergeCell ref="AY5:AZ5"/>
    <mergeCell ref="A6:A7"/>
    <mergeCell ref="B6:B7"/>
    <mergeCell ref="C6:E7"/>
    <mergeCell ref="B1:E1"/>
    <mergeCell ref="G3:I3"/>
    <mergeCell ref="G5:I5"/>
    <mergeCell ref="AV5:AX5"/>
    <mergeCell ref="AV6:AV7"/>
    <mergeCell ref="AW6:AW7"/>
    <mergeCell ref="AX6:AX7"/>
    <mergeCell ref="K7:N7"/>
    <mergeCell ref="O7:Z7"/>
    <mergeCell ref="A2:B2"/>
    <mergeCell ref="A3:B3"/>
    <mergeCell ref="AA7:AH7"/>
  </mergeCells>
  <printOptions horizontalCentered="1"/>
  <pageMargins left="0.59055118110236227" right="0.39370078740157483" top="0.39370078740157483" bottom="0.39370078740157483" header="0.31496062992125984" footer="0.31496062992125984"/>
  <pageSetup paperSize="8" scale="50" fitToHeight="0" orientation="landscape" r:id="rId1"/>
  <headerFooter>
    <oddHeader>&amp;RLe &amp;D à &amp;T</oddHeader>
  </headerFooter>
  <rowBreaks count="3" manualBreakCount="3">
    <brk id="32" max="32" man="1"/>
    <brk id="49" max="32" man="1"/>
    <brk id="77" max="32" man="1"/>
  </rowBreaks>
  <colBreaks count="1" manualBreakCount="1">
    <brk id="47" max="1048575" man="1"/>
  </colBreaks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A1:P25"/>
  <sheetViews>
    <sheetView showGridLines="0" workbookViewId="0">
      <selection activeCell="B1" sqref="B1"/>
    </sheetView>
  </sheetViews>
  <sheetFormatPr baseColWidth="10" defaultRowHeight="15"/>
  <cols>
    <col min="1" max="1" width="3.7109375" customWidth="1"/>
    <col min="2" max="2" width="4.7109375" customWidth="1"/>
    <col min="3" max="3" width="7.42578125" customWidth="1"/>
    <col min="4" max="4" width="10.7109375" customWidth="1"/>
    <col min="5" max="5" width="12.7109375" customWidth="1"/>
    <col min="6" max="7" width="8.7109375" customWidth="1"/>
    <col min="8" max="9" width="13.7109375" customWidth="1"/>
    <col min="10" max="10" width="10.7109375" customWidth="1"/>
    <col min="11" max="11" width="6.7109375" customWidth="1"/>
  </cols>
  <sheetData>
    <row r="1" spans="1:14" ht="15" customHeight="1">
      <c r="A1" s="843" t="s">
        <v>15</v>
      </c>
      <c r="B1" s="767"/>
      <c r="C1" s="767"/>
      <c r="D1" s="767"/>
      <c r="E1" s="768"/>
      <c r="F1" s="768"/>
      <c r="G1" s="768"/>
      <c r="H1" s="768"/>
      <c r="I1" s="769"/>
      <c r="J1" s="769"/>
      <c r="K1" s="770"/>
    </row>
    <row r="2" spans="1:14" ht="15" customHeight="1">
      <c r="A2" s="766"/>
      <c r="B2" s="767"/>
      <c r="C2" s="767"/>
      <c r="D2" s="767"/>
      <c r="E2" s="768"/>
      <c r="F2" s="768"/>
      <c r="G2" s="768"/>
      <c r="H2" s="768"/>
      <c r="I2" s="769"/>
      <c r="J2" s="769"/>
      <c r="K2" s="770"/>
    </row>
    <row r="3" spans="1:14" s="771" customFormat="1" ht="21">
      <c r="A3" s="766" t="s">
        <v>372</v>
      </c>
      <c r="B3" s="767"/>
      <c r="C3" s="767"/>
      <c r="D3" s="767"/>
      <c r="E3" s="768"/>
      <c r="F3" s="768"/>
      <c r="G3" s="768"/>
      <c r="H3" s="768"/>
      <c r="I3" s="769" t="str">
        <f>SYNTHESE!D4</f>
        <v>POINT 50%</v>
      </c>
      <c r="J3" s="769"/>
      <c r="K3" s="770"/>
      <c r="M3" s="772"/>
    </row>
    <row r="4" spans="1:14" s="771" customFormat="1" ht="13.5">
      <c r="A4" s="773"/>
      <c r="B4" s="774"/>
      <c r="C4" s="774"/>
      <c r="D4" s="775"/>
      <c r="E4" s="776"/>
      <c r="F4" s="776"/>
      <c r="G4" s="776"/>
      <c r="H4" s="776"/>
      <c r="I4" s="776"/>
      <c r="J4" s="774"/>
      <c r="K4" s="777"/>
      <c r="M4" s="772"/>
    </row>
    <row r="5" spans="1:14" s="771" customFormat="1">
      <c r="A5" s="778" t="s">
        <v>160</v>
      </c>
      <c r="B5" s="779"/>
      <c r="C5" s="779"/>
      <c r="D5" s="780">
        <v>400213</v>
      </c>
      <c r="E5" s="781"/>
      <c r="F5" s="781"/>
      <c r="G5" s="781"/>
      <c r="H5" s="781"/>
      <c r="I5" s="782" t="s">
        <v>373</v>
      </c>
      <c r="J5" s="783">
        <f>SYNTHESE!D7</f>
        <v>42800</v>
      </c>
      <c r="K5" s="784"/>
      <c r="M5" s="772"/>
    </row>
    <row r="6" spans="1:14" s="771" customFormat="1">
      <c r="A6" s="785" t="s">
        <v>162</v>
      </c>
      <c r="B6" s="786"/>
      <c r="C6" s="786"/>
      <c r="D6" s="787" t="str">
        <f>SYNTHESE!E6</f>
        <v xml:space="preserve">LES FAUBOURGS D'ANFA </v>
      </c>
      <c r="E6" s="788"/>
      <c r="F6" s="788"/>
      <c r="G6" s="788"/>
      <c r="H6" s="788"/>
      <c r="I6" s="789" t="s">
        <v>163</v>
      </c>
      <c r="J6" s="790">
        <v>0</v>
      </c>
      <c r="K6" s="791"/>
      <c r="M6" s="772"/>
    </row>
    <row r="7" spans="1:14" s="771" customFormat="1">
      <c r="A7" s="792" t="s">
        <v>165</v>
      </c>
      <c r="B7" s="793"/>
      <c r="C7" s="793"/>
      <c r="D7" s="794" t="str">
        <f>SYNTHESE!N4</f>
        <v>1 € = 10,85dh</v>
      </c>
      <c r="E7" s="776"/>
      <c r="F7" s="776"/>
      <c r="G7" s="776"/>
      <c r="H7" s="776"/>
      <c r="I7" s="776"/>
      <c r="J7" s="774"/>
      <c r="K7" s="777"/>
      <c r="M7" s="772"/>
    </row>
    <row r="8" spans="1:14" s="771" customFormat="1">
      <c r="A8" s="795"/>
      <c r="B8" s="796"/>
      <c r="C8" s="796"/>
      <c r="D8" s="797"/>
      <c r="E8" s="798"/>
      <c r="F8" s="799"/>
      <c r="G8" s="799"/>
      <c r="H8" s="800"/>
      <c r="I8" s="801"/>
      <c r="J8" s="802"/>
      <c r="K8" s="803"/>
      <c r="M8" s="772"/>
    </row>
    <row r="9" spans="1:14" s="771" customFormat="1">
      <c r="A9" s="1773"/>
      <c r="B9" s="1774"/>
      <c r="C9" s="1774"/>
      <c r="D9" s="1774"/>
      <c r="E9" s="804" t="s">
        <v>54</v>
      </c>
      <c r="F9" s="805" t="s">
        <v>168</v>
      </c>
      <c r="G9" s="805" t="s">
        <v>71</v>
      </c>
      <c r="H9" s="1775" t="s">
        <v>374</v>
      </c>
      <c r="I9" s="806" t="s">
        <v>375</v>
      </c>
      <c r="J9" s="807" t="s">
        <v>166</v>
      </c>
      <c r="K9" s="808"/>
      <c r="M9" s="772"/>
    </row>
    <row r="10" spans="1:14" s="771" customFormat="1">
      <c r="A10" s="809"/>
      <c r="B10" s="796"/>
      <c r="C10" s="796"/>
      <c r="D10" s="797"/>
      <c r="E10" s="810"/>
      <c r="F10" s="811"/>
      <c r="G10" s="811"/>
      <c r="H10" s="1776"/>
      <c r="I10" s="812"/>
      <c r="J10" s="813"/>
      <c r="K10" s="814"/>
      <c r="M10" s="772"/>
    </row>
    <row r="11" spans="1:14" s="771" customFormat="1">
      <c r="A11" s="1777" t="s">
        <v>169</v>
      </c>
      <c r="B11" s="1778"/>
      <c r="C11" s="1778"/>
      <c r="D11" s="1778"/>
      <c r="E11" s="815" t="s">
        <v>172</v>
      </c>
      <c r="F11" s="816" t="s">
        <v>172</v>
      </c>
      <c r="G11" s="816" t="s">
        <v>172</v>
      </c>
      <c r="H11" s="817" t="s">
        <v>172</v>
      </c>
      <c r="I11" s="818" t="s">
        <v>172</v>
      </c>
      <c r="J11" s="819" t="s">
        <v>175</v>
      </c>
      <c r="K11" s="820" t="s">
        <v>43</v>
      </c>
      <c r="M11" s="772"/>
    </row>
    <row r="12" spans="1:14" s="771" customFormat="1" ht="20.100000000000001" customHeight="1">
      <c r="A12" s="1779"/>
      <c r="B12" s="1780"/>
      <c r="C12" s="1780"/>
      <c r="D12" s="1780"/>
      <c r="E12" s="821"/>
      <c r="F12" s="822"/>
      <c r="G12" s="822"/>
      <c r="H12" s="823"/>
      <c r="I12" s="824"/>
      <c r="J12" s="825"/>
      <c r="K12" s="826"/>
      <c r="M12" s="772"/>
    </row>
    <row r="13" spans="1:14" s="832" customFormat="1" ht="30" customHeight="1">
      <c r="A13" s="827" t="e">
        <f>DETAILS!#REF!</f>
        <v>#REF!</v>
      </c>
      <c r="B13" s="828"/>
      <c r="C13" s="829"/>
      <c r="D13" s="830"/>
      <c r="E13" s="821" t="e">
        <f>DETAILS!#REF!</f>
        <v>#REF!</v>
      </c>
      <c r="F13" s="822" t="e">
        <f>DETAILS!#REF!</f>
        <v>#REF!</v>
      </c>
      <c r="G13" s="822" t="e">
        <f>DETAILS!#REF!</f>
        <v>#REF!</v>
      </c>
      <c r="H13" s="823" t="e">
        <f>SUM(E13:G13)</f>
        <v>#REF!</v>
      </c>
      <c r="I13" s="831" t="e">
        <f>DETAILS!#REF!</f>
        <v>#REF!</v>
      </c>
      <c r="J13" s="825" t="e">
        <f>H13-I13</f>
        <v>#REF!</v>
      </c>
      <c r="K13" s="826" t="e">
        <f>J13/H13</f>
        <v>#REF!</v>
      </c>
      <c r="M13" s="833"/>
      <c r="N13" s="833"/>
    </row>
    <row r="14" spans="1:14" s="832" customFormat="1" ht="30" customHeight="1">
      <c r="A14" s="827" t="e">
        <f>DETAILS!#REF!</f>
        <v>#REF!</v>
      </c>
      <c r="B14" s="828"/>
      <c r="C14" s="829"/>
      <c r="D14" s="830"/>
      <c r="E14" s="821" t="e">
        <f>DETAILS!#REF!</f>
        <v>#REF!</v>
      </c>
      <c r="F14" s="822" t="e">
        <f>DETAILS!#REF!</f>
        <v>#REF!</v>
      </c>
      <c r="G14" s="822" t="e">
        <f>DETAILS!#REF!</f>
        <v>#REF!</v>
      </c>
      <c r="H14" s="823" t="e">
        <f t="shared" ref="H14:H24" si="0">SUM(E14:G14)</f>
        <v>#REF!</v>
      </c>
      <c r="I14" s="831" t="e">
        <f>DETAILS!#REF!</f>
        <v>#REF!</v>
      </c>
      <c r="J14" s="825" t="e">
        <f t="shared" ref="J14:J24" si="1">H14-I14</f>
        <v>#REF!</v>
      </c>
      <c r="K14" s="826" t="e">
        <f>J14/H14</f>
        <v>#REF!</v>
      </c>
      <c r="M14" s="833"/>
      <c r="N14" s="833"/>
    </row>
    <row r="15" spans="1:14" s="832" customFormat="1" ht="30" customHeight="1">
      <c r="A15" s="827" t="e">
        <f>DETAILS!#REF!</f>
        <v>#REF!</v>
      </c>
      <c r="B15" s="828"/>
      <c r="C15" s="829"/>
      <c r="D15" s="830"/>
      <c r="E15" s="821" t="e">
        <f>DETAILS!#REF!</f>
        <v>#REF!</v>
      </c>
      <c r="F15" s="822" t="e">
        <f>DETAILS!#REF!</f>
        <v>#REF!</v>
      </c>
      <c r="G15" s="822" t="e">
        <f>DETAILS!#REF!</f>
        <v>#REF!</v>
      </c>
      <c r="H15" s="823" t="e">
        <f t="shared" si="0"/>
        <v>#REF!</v>
      </c>
      <c r="I15" s="831" t="e">
        <f>DETAILS!#REF!</f>
        <v>#REF!</v>
      </c>
      <c r="J15" s="825" t="e">
        <f t="shared" si="1"/>
        <v>#REF!</v>
      </c>
      <c r="K15" s="826" t="e">
        <f t="shared" ref="K15:K25" si="2">J15/H15</f>
        <v>#REF!</v>
      </c>
      <c r="M15" s="833"/>
      <c r="N15" s="833"/>
    </row>
    <row r="16" spans="1:14" s="832" customFormat="1" ht="30" customHeight="1">
      <c r="A16" s="827" t="e">
        <f>DETAILS!#REF!</f>
        <v>#REF!</v>
      </c>
      <c r="B16" s="828"/>
      <c r="C16" s="829"/>
      <c r="D16" s="830"/>
      <c r="E16" s="821" t="e">
        <f>DETAILS!#REF!</f>
        <v>#REF!</v>
      </c>
      <c r="F16" s="822" t="e">
        <f>DETAILS!#REF!</f>
        <v>#REF!</v>
      </c>
      <c r="G16" s="822" t="e">
        <f>DETAILS!#REF!</f>
        <v>#REF!</v>
      </c>
      <c r="H16" s="823" t="e">
        <f t="shared" si="0"/>
        <v>#REF!</v>
      </c>
      <c r="I16" s="831" t="e">
        <f>DETAILS!#REF!</f>
        <v>#REF!</v>
      </c>
      <c r="J16" s="825" t="e">
        <f t="shared" si="1"/>
        <v>#REF!</v>
      </c>
      <c r="K16" s="826" t="e">
        <f t="shared" si="2"/>
        <v>#REF!</v>
      </c>
      <c r="M16" s="833"/>
      <c r="N16" s="833"/>
    </row>
    <row r="17" spans="1:16" s="832" customFormat="1" ht="30" customHeight="1">
      <c r="A17" s="827" t="e">
        <f>DETAILS!#REF!</f>
        <v>#REF!</v>
      </c>
      <c r="B17" s="828"/>
      <c r="C17" s="829"/>
      <c r="D17" s="830"/>
      <c r="E17" s="821" t="e">
        <f>DETAILS!#REF!</f>
        <v>#REF!</v>
      </c>
      <c r="F17" s="822" t="e">
        <f>DETAILS!#REF!</f>
        <v>#REF!</v>
      </c>
      <c r="G17" s="822" t="e">
        <f>DETAILS!#REF!</f>
        <v>#REF!</v>
      </c>
      <c r="H17" s="823" t="e">
        <f t="shared" si="0"/>
        <v>#REF!</v>
      </c>
      <c r="I17" s="831" t="e">
        <f>DETAILS!#REF!</f>
        <v>#REF!</v>
      </c>
      <c r="J17" s="825" t="e">
        <f t="shared" si="1"/>
        <v>#REF!</v>
      </c>
      <c r="K17" s="826" t="e">
        <f t="shared" si="2"/>
        <v>#REF!</v>
      </c>
      <c r="M17" s="833"/>
      <c r="N17" s="833"/>
    </row>
    <row r="18" spans="1:16" s="832" customFormat="1" ht="30" customHeight="1">
      <c r="A18" s="827" t="e">
        <f>DETAILS!#REF!</f>
        <v>#REF!</v>
      </c>
      <c r="B18" s="828"/>
      <c r="C18" s="829"/>
      <c r="D18" s="830"/>
      <c r="E18" s="821" t="e">
        <f>DETAILS!#REF!</f>
        <v>#REF!</v>
      </c>
      <c r="F18" s="822" t="e">
        <f>DETAILS!#REF!</f>
        <v>#REF!</v>
      </c>
      <c r="G18" s="822" t="e">
        <f>DETAILS!#REF!</f>
        <v>#REF!</v>
      </c>
      <c r="H18" s="823" t="e">
        <f t="shared" si="0"/>
        <v>#REF!</v>
      </c>
      <c r="I18" s="831" t="e">
        <f>DETAILS!#REF!</f>
        <v>#REF!</v>
      </c>
      <c r="J18" s="825" t="e">
        <f t="shared" si="1"/>
        <v>#REF!</v>
      </c>
      <c r="K18" s="826" t="e">
        <f t="shared" si="2"/>
        <v>#REF!</v>
      </c>
      <c r="M18" s="833"/>
      <c r="N18" s="833"/>
    </row>
    <row r="19" spans="1:16" s="832" customFormat="1" ht="30" customHeight="1">
      <c r="A19" s="827" t="e">
        <f>DETAILS!#REF!</f>
        <v>#REF!</v>
      </c>
      <c r="B19" s="828"/>
      <c r="C19" s="829"/>
      <c r="D19" s="830"/>
      <c r="E19" s="821" t="e">
        <f>DETAILS!#REF!</f>
        <v>#REF!</v>
      </c>
      <c r="F19" s="822" t="e">
        <f>DETAILS!#REF!</f>
        <v>#REF!</v>
      </c>
      <c r="G19" s="822" t="e">
        <f>DETAILS!#REF!</f>
        <v>#REF!</v>
      </c>
      <c r="H19" s="823" t="e">
        <f t="shared" si="0"/>
        <v>#REF!</v>
      </c>
      <c r="I19" s="831" t="e">
        <f>DETAILS!#REF!</f>
        <v>#REF!</v>
      </c>
      <c r="J19" s="825" t="e">
        <f t="shared" si="1"/>
        <v>#REF!</v>
      </c>
      <c r="K19" s="826" t="e">
        <f t="shared" si="2"/>
        <v>#REF!</v>
      </c>
      <c r="M19" s="833"/>
      <c r="N19" s="833"/>
      <c r="O19" s="834"/>
    </row>
    <row r="20" spans="1:16" s="832" customFormat="1" ht="30" customHeight="1">
      <c r="A20" s="827" t="e">
        <f>DETAILS!#REF!</f>
        <v>#REF!</v>
      </c>
      <c r="B20" s="828"/>
      <c r="C20" s="829"/>
      <c r="D20" s="830"/>
      <c r="E20" s="821" t="e">
        <f>DETAILS!#REF!</f>
        <v>#REF!</v>
      </c>
      <c r="F20" s="822" t="e">
        <f>DETAILS!#REF!</f>
        <v>#REF!</v>
      </c>
      <c r="G20" s="822" t="e">
        <f>DETAILS!#REF!</f>
        <v>#REF!</v>
      </c>
      <c r="H20" s="823" t="e">
        <f t="shared" si="0"/>
        <v>#REF!</v>
      </c>
      <c r="I20" s="831" t="e">
        <f>DETAILS!#REF!</f>
        <v>#REF!</v>
      </c>
      <c r="J20" s="825" t="e">
        <f t="shared" si="1"/>
        <v>#REF!</v>
      </c>
      <c r="K20" s="826" t="e">
        <f t="shared" si="2"/>
        <v>#REF!</v>
      </c>
      <c r="M20" s="833"/>
      <c r="N20" s="833"/>
      <c r="O20" s="835"/>
      <c r="P20" s="835"/>
    </row>
    <row r="21" spans="1:16" s="832" customFormat="1" ht="30" customHeight="1">
      <c r="A21" s="827" t="e">
        <f>DETAILS!#REF!</f>
        <v>#REF!</v>
      </c>
      <c r="B21" s="828"/>
      <c r="C21" s="829"/>
      <c r="D21" s="830"/>
      <c r="E21" s="821" t="e">
        <f>DETAILS!#REF!</f>
        <v>#REF!</v>
      </c>
      <c r="F21" s="822" t="e">
        <f>DETAILS!#REF!</f>
        <v>#REF!</v>
      </c>
      <c r="G21" s="822" t="e">
        <f>DETAILS!#REF!</f>
        <v>#REF!</v>
      </c>
      <c r="H21" s="823" t="e">
        <f t="shared" si="0"/>
        <v>#REF!</v>
      </c>
      <c r="I21" s="831" t="e">
        <f>DETAILS!#REF!</f>
        <v>#REF!</v>
      </c>
      <c r="J21" s="825" t="e">
        <f t="shared" si="1"/>
        <v>#REF!</v>
      </c>
      <c r="K21" s="826" t="e">
        <f t="shared" si="2"/>
        <v>#REF!</v>
      </c>
      <c r="M21" s="833"/>
      <c r="N21" s="833"/>
      <c r="O21" s="835"/>
      <c r="P21" s="835"/>
    </row>
    <row r="22" spans="1:16" s="832" customFormat="1" ht="30" customHeight="1">
      <c r="A22" s="1255" t="e">
        <f>DETAILS!#REF!</f>
        <v>#REF!</v>
      </c>
      <c r="B22" s="828"/>
      <c r="C22" s="829"/>
      <c r="D22" s="830"/>
      <c r="E22" s="821" t="e">
        <f>DETAILS!#REF!</f>
        <v>#REF!</v>
      </c>
      <c r="F22" s="822" t="e">
        <f>DETAILS!#REF!</f>
        <v>#REF!</v>
      </c>
      <c r="G22" s="822" t="e">
        <f>DETAILS!#REF!</f>
        <v>#REF!</v>
      </c>
      <c r="H22" s="823" t="e">
        <f t="shared" si="0"/>
        <v>#REF!</v>
      </c>
      <c r="I22" s="831" t="e">
        <f>DETAILS!#REF!</f>
        <v>#REF!</v>
      </c>
      <c r="J22" s="825" t="e">
        <f t="shared" si="1"/>
        <v>#REF!</v>
      </c>
      <c r="K22" s="826" t="e">
        <f t="shared" si="2"/>
        <v>#REF!</v>
      </c>
      <c r="M22" s="833"/>
      <c r="N22" s="833"/>
      <c r="O22" s="835"/>
      <c r="P22" s="835"/>
    </row>
    <row r="23" spans="1:16" s="832" customFormat="1" ht="30" customHeight="1">
      <c r="A23" s="827" t="e">
        <f>DETAILS!#REF!</f>
        <v>#REF!</v>
      </c>
      <c r="B23" s="828"/>
      <c r="C23" s="829"/>
      <c r="D23" s="830"/>
      <c r="E23" s="821" t="e">
        <f>DETAILS!#REF!</f>
        <v>#REF!</v>
      </c>
      <c r="F23" s="822" t="e">
        <f>DETAILS!#REF!</f>
        <v>#REF!</v>
      </c>
      <c r="G23" s="822" t="e">
        <f>DETAILS!#REF!</f>
        <v>#REF!</v>
      </c>
      <c r="H23" s="823" t="e">
        <f t="shared" si="0"/>
        <v>#REF!</v>
      </c>
      <c r="I23" s="831" t="e">
        <f>DETAILS!#REF!</f>
        <v>#REF!</v>
      </c>
      <c r="J23" s="825" t="e">
        <f t="shared" si="1"/>
        <v>#REF!</v>
      </c>
      <c r="K23" s="826" t="e">
        <f t="shared" si="2"/>
        <v>#REF!</v>
      </c>
      <c r="M23" s="833"/>
      <c r="N23" s="833"/>
      <c r="O23" s="835"/>
      <c r="P23" s="835"/>
    </row>
    <row r="24" spans="1:16" s="832" customFormat="1" ht="30" customHeight="1" thickBot="1">
      <c r="A24" s="827" t="e">
        <f>DETAILS!#REF!</f>
        <v>#REF!</v>
      </c>
      <c r="B24" s="828"/>
      <c r="C24" s="829"/>
      <c r="D24" s="830"/>
      <c r="E24" s="821" t="e">
        <f>DETAILS!#REF!</f>
        <v>#REF!</v>
      </c>
      <c r="F24" s="822" t="e">
        <f>DETAILS!#REF!</f>
        <v>#REF!</v>
      </c>
      <c r="G24" s="822" t="e">
        <f>DETAILS!#REF!</f>
        <v>#REF!</v>
      </c>
      <c r="H24" s="823" t="e">
        <f t="shared" si="0"/>
        <v>#REF!</v>
      </c>
      <c r="I24" s="836" t="e">
        <f>DETAILS!#REF!</f>
        <v>#REF!</v>
      </c>
      <c r="J24" s="825" t="e">
        <f t="shared" si="1"/>
        <v>#REF!</v>
      </c>
      <c r="K24" s="826" t="e">
        <f t="shared" si="2"/>
        <v>#REF!</v>
      </c>
      <c r="M24" s="833"/>
      <c r="N24" s="835"/>
      <c r="O24" s="835"/>
      <c r="P24" s="835"/>
    </row>
    <row r="25" spans="1:16" s="771" customFormat="1" ht="30" customHeight="1" thickBot="1">
      <c r="A25" s="837" t="s">
        <v>377</v>
      </c>
      <c r="B25" s="838"/>
      <c r="C25" s="838"/>
      <c r="D25" s="838"/>
      <c r="E25" s="839" t="e">
        <f t="shared" ref="E25:J25" si="3">SUM(E12:E24)</f>
        <v>#REF!</v>
      </c>
      <c r="F25" s="840" t="e">
        <f t="shared" si="3"/>
        <v>#REF!</v>
      </c>
      <c r="G25" s="840" t="e">
        <f t="shared" si="3"/>
        <v>#REF!</v>
      </c>
      <c r="H25" s="841" t="e">
        <f t="shared" si="3"/>
        <v>#REF!</v>
      </c>
      <c r="I25" s="842" t="e">
        <f t="shared" si="3"/>
        <v>#REF!</v>
      </c>
      <c r="J25" s="1284" t="e">
        <f t="shared" si="3"/>
        <v>#REF!</v>
      </c>
      <c r="K25" s="1285" t="e">
        <f t="shared" si="2"/>
        <v>#REF!</v>
      </c>
      <c r="M25" s="833"/>
      <c r="N25" s="835"/>
      <c r="O25" s="835"/>
      <c r="P25" s="835"/>
    </row>
  </sheetData>
  <mergeCells count="4">
    <mergeCell ref="A9:D9"/>
    <mergeCell ref="H9:H10"/>
    <mergeCell ref="A11:D11"/>
    <mergeCell ref="A12:D12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1:W58"/>
  <sheetViews>
    <sheetView showGridLines="0" zoomScale="70" zoomScaleNormal="70" zoomScalePageLayoutView="70" workbookViewId="0">
      <selection activeCell="C18" sqref="C18"/>
    </sheetView>
  </sheetViews>
  <sheetFormatPr baseColWidth="10" defaultRowHeight="15"/>
  <cols>
    <col min="1" max="1" width="22.85546875" customWidth="1"/>
    <col min="2" max="2" width="14.7109375" customWidth="1"/>
    <col min="3" max="3" width="16.7109375" customWidth="1"/>
    <col min="4" max="20" width="14.28515625" customWidth="1"/>
    <col min="21" max="21" width="14.7109375" customWidth="1"/>
  </cols>
  <sheetData>
    <row r="1" spans="1:22" s="848" customFormat="1">
      <c r="A1" s="844" t="s">
        <v>15</v>
      </c>
      <c r="B1" s="845"/>
      <c r="C1" s="846"/>
      <c r="D1" s="845"/>
      <c r="E1" s="845"/>
      <c r="F1" s="845"/>
      <c r="G1" s="845"/>
      <c r="H1" s="845"/>
      <c r="I1" s="845"/>
      <c r="J1" s="845"/>
      <c r="K1" s="845"/>
      <c r="L1" s="845"/>
      <c r="M1" s="845"/>
      <c r="N1" s="845"/>
      <c r="O1" s="845"/>
      <c r="P1" s="845"/>
      <c r="Q1" s="846"/>
      <c r="R1" s="846"/>
      <c r="S1" s="846"/>
      <c r="T1" s="846"/>
      <c r="U1" s="847"/>
    </row>
    <row r="2" spans="1:22" s="848" customFormat="1" ht="11.25" customHeight="1">
      <c r="A2" s="849"/>
      <c r="B2" s="850"/>
      <c r="C2" s="851"/>
      <c r="D2" s="850"/>
      <c r="E2" s="850"/>
      <c r="F2" s="850"/>
      <c r="G2" s="850"/>
      <c r="H2" s="850"/>
      <c r="I2" s="850"/>
      <c r="J2" s="850"/>
      <c r="K2" s="850"/>
      <c r="L2" s="850"/>
      <c r="M2" s="850"/>
      <c r="N2" s="850"/>
      <c r="O2" s="850"/>
      <c r="P2" s="850"/>
      <c r="Q2" s="851"/>
      <c r="R2" s="851"/>
      <c r="S2" s="851"/>
      <c r="T2" s="851"/>
      <c r="U2" s="852"/>
    </row>
    <row r="3" spans="1:22" s="848" customFormat="1" ht="21">
      <c r="A3" s="1781" t="s">
        <v>378</v>
      </c>
      <c r="B3" s="1782"/>
      <c r="C3" s="1782"/>
      <c r="D3" s="1782"/>
      <c r="E3" s="1782"/>
      <c r="F3" s="1782"/>
      <c r="G3" s="1782"/>
      <c r="H3" s="1782"/>
      <c r="I3" s="1782"/>
      <c r="J3" s="1782"/>
      <c r="K3" s="1782"/>
      <c r="L3" s="1782"/>
      <c r="M3" s="1782"/>
      <c r="N3" s="1782"/>
      <c r="O3" s="1782"/>
      <c r="P3" s="1782"/>
      <c r="Q3" s="1782"/>
      <c r="R3" s="1782"/>
      <c r="S3" s="1782"/>
      <c r="T3" s="1782"/>
      <c r="U3" s="1783"/>
    </row>
    <row r="4" spans="1:22" s="848" customFormat="1" ht="13.5">
      <c r="A4" s="853"/>
      <c r="B4" s="854"/>
      <c r="C4" s="855"/>
      <c r="D4" s="854"/>
      <c r="E4" s="854"/>
      <c r="F4" s="854"/>
      <c r="G4" s="854"/>
      <c r="H4" s="854"/>
      <c r="I4" s="854"/>
      <c r="J4" s="854"/>
      <c r="K4" s="854"/>
      <c r="L4" s="854"/>
      <c r="M4" s="854"/>
      <c r="N4" s="854"/>
      <c r="O4" s="854"/>
      <c r="P4" s="854"/>
      <c r="Q4" s="855"/>
      <c r="R4" s="855"/>
      <c r="S4" s="855"/>
      <c r="T4" s="855"/>
      <c r="U4" s="856"/>
    </row>
    <row r="5" spans="1:22" s="848" customFormat="1">
      <c r="A5" s="857" t="s">
        <v>379</v>
      </c>
      <c r="B5" s="1273">
        <v>400213</v>
      </c>
      <c r="C5" s="859"/>
      <c r="D5" s="858"/>
      <c r="E5" s="858"/>
      <c r="F5" s="858"/>
      <c r="G5" s="858"/>
      <c r="H5" s="858"/>
      <c r="I5" s="858"/>
      <c r="J5" s="858"/>
      <c r="K5" s="858"/>
      <c r="L5" s="858"/>
      <c r="M5" s="858"/>
      <c r="N5" s="858"/>
      <c r="O5" s="858"/>
      <c r="P5" s="858"/>
      <c r="Q5" s="860"/>
      <c r="R5" s="860"/>
      <c r="S5" s="860"/>
      <c r="T5" s="860"/>
      <c r="U5" s="861">
        <f>SYNTHESE!D7</f>
        <v>42800</v>
      </c>
    </row>
    <row r="6" spans="1:22" s="848" customFormat="1">
      <c r="A6" s="862" t="s">
        <v>162</v>
      </c>
      <c r="B6" s="863" t="str">
        <f>SYNTHESE!E6</f>
        <v xml:space="preserve">LES FAUBOURGS D'ANFA </v>
      </c>
      <c r="C6" s="864"/>
      <c r="D6" s="863"/>
      <c r="E6" s="863"/>
      <c r="F6" s="863"/>
      <c r="G6" s="863"/>
      <c r="H6" s="863"/>
      <c r="I6" s="863"/>
      <c r="J6" s="863"/>
      <c r="K6" s="863"/>
      <c r="L6" s="863"/>
      <c r="M6" s="863"/>
      <c r="N6" s="863"/>
      <c r="O6" s="863"/>
      <c r="P6" s="863"/>
      <c r="Q6" s="865"/>
      <c r="R6" s="865"/>
      <c r="S6" s="865"/>
      <c r="T6" s="865"/>
      <c r="U6" s="866" t="s">
        <v>164</v>
      </c>
    </row>
    <row r="7" spans="1:22" s="848" customFormat="1">
      <c r="A7" s="867" t="s">
        <v>165</v>
      </c>
      <c r="B7" s="868" t="str">
        <f>SYNTHESE!N4</f>
        <v>1 € = 10,85dh</v>
      </c>
      <c r="C7" s="864"/>
      <c r="D7" s="863"/>
      <c r="E7" s="863"/>
      <c r="F7" s="863"/>
      <c r="G7" s="863"/>
      <c r="H7" s="863"/>
      <c r="I7" s="863"/>
      <c r="J7" s="863"/>
      <c r="K7" s="863"/>
      <c r="L7" s="868"/>
      <c r="M7" s="868"/>
      <c r="N7" s="868"/>
      <c r="O7" s="868"/>
      <c r="P7" s="863"/>
      <c r="Q7" s="854"/>
      <c r="R7" s="854"/>
      <c r="S7" s="854"/>
      <c r="T7" s="854"/>
      <c r="U7" s="869"/>
    </row>
    <row r="8" spans="1:22" s="875" customFormat="1" ht="12" customHeight="1">
      <c r="A8" s="870"/>
      <c r="B8" s="871"/>
      <c r="C8" s="872"/>
      <c r="D8" s="873">
        <v>1</v>
      </c>
      <c r="E8" s="873">
        <v>1</v>
      </c>
      <c r="F8" s="873">
        <v>1</v>
      </c>
      <c r="G8" s="873">
        <v>2</v>
      </c>
      <c r="H8" s="873">
        <v>3</v>
      </c>
      <c r="I8" s="873">
        <v>4</v>
      </c>
      <c r="J8" s="873">
        <v>5</v>
      </c>
      <c r="K8" s="873">
        <v>6</v>
      </c>
      <c r="L8" s="873">
        <v>7</v>
      </c>
      <c r="M8" s="873">
        <f t="shared" ref="M8" si="0">+L8+1</f>
        <v>8</v>
      </c>
      <c r="N8" s="873">
        <f>+M8+1</f>
        <v>9</v>
      </c>
      <c r="O8" s="873">
        <f>+N8+1</f>
        <v>10</v>
      </c>
      <c r="P8" s="873">
        <v>11</v>
      </c>
      <c r="Q8" s="873">
        <v>12</v>
      </c>
      <c r="R8" s="873">
        <v>13</v>
      </c>
      <c r="S8" s="873">
        <v>14</v>
      </c>
      <c r="T8" s="873">
        <v>15</v>
      </c>
      <c r="U8" s="874"/>
    </row>
    <row r="9" spans="1:22" s="848" customFormat="1" ht="45" customHeight="1">
      <c r="A9" s="930"/>
      <c r="B9" s="876"/>
      <c r="C9" s="931" t="s">
        <v>342</v>
      </c>
      <c r="D9" s="932" t="s">
        <v>176</v>
      </c>
      <c r="E9" s="932" t="s">
        <v>356</v>
      </c>
      <c r="F9" s="932" t="s">
        <v>380</v>
      </c>
      <c r="G9" s="932" t="s">
        <v>381</v>
      </c>
      <c r="H9" s="932" t="s">
        <v>84</v>
      </c>
      <c r="I9" s="932" t="s">
        <v>382</v>
      </c>
      <c r="J9" s="932" t="s">
        <v>383</v>
      </c>
      <c r="K9" s="932" t="s">
        <v>384</v>
      </c>
      <c r="L9" s="932" t="s">
        <v>385</v>
      </c>
      <c r="M9" s="932" t="s">
        <v>386</v>
      </c>
      <c r="N9" s="932" t="s">
        <v>387</v>
      </c>
      <c r="O9" s="932" t="s">
        <v>388</v>
      </c>
      <c r="P9" s="933" t="s">
        <v>389</v>
      </c>
      <c r="Q9" s="933" t="s">
        <v>390</v>
      </c>
      <c r="R9" s="933" t="s">
        <v>391</v>
      </c>
      <c r="S9" s="933" t="s">
        <v>392</v>
      </c>
      <c r="T9" s="933" t="s">
        <v>392</v>
      </c>
      <c r="U9" s="934" t="s">
        <v>337</v>
      </c>
    </row>
    <row r="10" spans="1:22" s="848" customFormat="1" ht="15.95" customHeight="1">
      <c r="A10" s="877" t="s">
        <v>393</v>
      </c>
      <c r="B10" s="878"/>
      <c r="C10" s="879">
        <v>8044581.9373404291</v>
      </c>
      <c r="D10" s="880">
        <f>(1650*21.5)+(5070*21.5)+(1195*21.5)+(8735*21.5)+(10000*21.5)</f>
        <v>572975</v>
      </c>
      <c r="E10" s="880"/>
      <c r="F10" s="880"/>
      <c r="G10" s="880"/>
      <c r="H10" s="880"/>
      <c r="I10" s="880"/>
      <c r="J10" s="880"/>
      <c r="K10" s="880"/>
      <c r="L10" s="880"/>
      <c r="M10" s="880"/>
      <c r="N10" s="881"/>
      <c r="O10" s="880"/>
      <c r="P10" s="880"/>
      <c r="Q10" s="882"/>
      <c r="R10" s="882"/>
      <c r="S10" s="882"/>
      <c r="T10" s="882"/>
      <c r="U10" s="883">
        <f>SUM(C10:T10)</f>
        <v>8617556.9373404291</v>
      </c>
      <c r="V10" s="884"/>
    </row>
    <row r="11" spans="1:22" s="848" customFormat="1" ht="15.95" customHeight="1">
      <c r="A11" s="877" t="s">
        <v>394</v>
      </c>
      <c r="B11" s="878"/>
      <c r="C11" s="879">
        <v>14817096.949999999</v>
      </c>
      <c r="D11" s="880"/>
      <c r="E11" s="880"/>
      <c r="F11" s="880"/>
      <c r="G11" s="880">
        <f>+(((45+25)*759.45))*-1</f>
        <v>-53161.5</v>
      </c>
      <c r="H11" s="880">
        <f>+(-83+83)*750.75+(315.16*750.75)</f>
        <v>236606.37000000002</v>
      </c>
      <c r="I11" s="880"/>
      <c r="J11" s="880"/>
      <c r="K11" s="880"/>
      <c r="L11" s="880"/>
      <c r="M11" s="880"/>
      <c r="N11" s="881"/>
      <c r="O11" s="880"/>
      <c r="P11" s="880"/>
      <c r="Q11" s="882"/>
      <c r="R11" s="882"/>
      <c r="S11" s="882"/>
      <c r="T11" s="882"/>
      <c r="U11" s="883">
        <f>SUM(C11:T11)</f>
        <v>15000541.819999998</v>
      </c>
      <c r="V11" s="884"/>
    </row>
    <row r="12" spans="1:22" s="848" customFormat="1" ht="15.95" customHeight="1">
      <c r="A12" s="877" t="s">
        <v>395</v>
      </c>
      <c r="B12" s="878"/>
      <c r="C12" s="879">
        <v>12426795.5</v>
      </c>
      <c r="D12" s="880"/>
      <c r="E12" s="880"/>
      <c r="F12" s="880"/>
      <c r="G12" s="880">
        <f>+((3.55+5.093)*7500)*-1</f>
        <v>-64822.500000000007</v>
      </c>
      <c r="H12" s="880"/>
      <c r="I12" s="880"/>
      <c r="J12" s="880"/>
      <c r="K12" s="880"/>
      <c r="L12" s="880"/>
      <c r="M12" s="880"/>
      <c r="N12" s="881"/>
      <c r="O12" s="880"/>
      <c r="P12" s="880"/>
      <c r="Q12" s="882"/>
      <c r="R12" s="882"/>
      <c r="S12" s="882"/>
      <c r="T12" s="882"/>
      <c r="U12" s="883">
        <f>SUM(C12:T12)</f>
        <v>12361973</v>
      </c>
      <c r="V12" s="884"/>
    </row>
    <row r="13" spans="1:22" s="848" customFormat="1" ht="15.95" customHeight="1">
      <c r="A13" s="877" t="s">
        <v>396</v>
      </c>
      <c r="B13" s="878"/>
      <c r="C13" s="879">
        <v>23128036</v>
      </c>
      <c r="D13" s="880">
        <f>-1650*21.5</f>
        <v>-35475</v>
      </c>
      <c r="E13" s="880">
        <f>200000-200000</f>
        <v>0</v>
      </c>
      <c r="F13" s="880">
        <f>100000-100000</f>
        <v>0</v>
      </c>
      <c r="G13" s="880">
        <v>117984</v>
      </c>
      <c r="H13" s="880">
        <f>-343168+343168</f>
        <v>0</v>
      </c>
      <c r="I13" s="880">
        <v>-6500000</v>
      </c>
      <c r="J13" s="880"/>
      <c r="K13" s="880"/>
      <c r="L13" s="880"/>
      <c r="M13" s="880"/>
      <c r="N13" s="880"/>
      <c r="O13" s="880"/>
      <c r="P13" s="885"/>
      <c r="Q13" s="882">
        <f>-196510-93440-249600</f>
        <v>-539550</v>
      </c>
      <c r="R13" s="882">
        <f>-2181575-255087</f>
        <v>-2436662</v>
      </c>
      <c r="S13" s="882"/>
      <c r="T13" s="882"/>
      <c r="U13" s="883">
        <f>SUM(C13:T13)</f>
        <v>13734333</v>
      </c>
      <c r="V13" s="884"/>
    </row>
    <row r="14" spans="1:22" s="848" customFormat="1" ht="18" customHeight="1">
      <c r="A14" s="886" t="s">
        <v>398</v>
      </c>
      <c r="B14" s="887"/>
      <c r="C14" s="888">
        <f t="shared" ref="C14:U14" si="1">SUM(C10:C13)</f>
        <v>58416510.387340426</v>
      </c>
      <c r="D14" s="889">
        <f t="shared" si="1"/>
        <v>537500</v>
      </c>
      <c r="E14" s="889">
        <f t="shared" si="1"/>
        <v>0</v>
      </c>
      <c r="F14" s="889">
        <f t="shared" si="1"/>
        <v>0</v>
      </c>
      <c r="G14" s="889">
        <f t="shared" si="1"/>
        <v>0</v>
      </c>
      <c r="H14" s="889">
        <f t="shared" si="1"/>
        <v>236606.37000000002</v>
      </c>
      <c r="I14" s="889">
        <f t="shared" si="1"/>
        <v>-6500000</v>
      </c>
      <c r="J14" s="889">
        <f t="shared" si="1"/>
        <v>0</v>
      </c>
      <c r="K14" s="889">
        <f t="shared" si="1"/>
        <v>0</v>
      </c>
      <c r="L14" s="889">
        <f t="shared" si="1"/>
        <v>0</v>
      </c>
      <c r="M14" s="889">
        <f t="shared" si="1"/>
        <v>0</v>
      </c>
      <c r="N14" s="889">
        <f t="shared" si="1"/>
        <v>0</v>
      </c>
      <c r="O14" s="889">
        <f t="shared" si="1"/>
        <v>0</v>
      </c>
      <c r="P14" s="889">
        <f t="shared" si="1"/>
        <v>0</v>
      </c>
      <c r="Q14" s="890">
        <f t="shared" si="1"/>
        <v>-539550</v>
      </c>
      <c r="R14" s="890">
        <f t="shared" si="1"/>
        <v>-2436662</v>
      </c>
      <c r="S14" s="890">
        <f t="shared" si="1"/>
        <v>0</v>
      </c>
      <c r="T14" s="890">
        <f t="shared" si="1"/>
        <v>0</v>
      </c>
      <c r="U14" s="891">
        <f t="shared" si="1"/>
        <v>49714404.757340431</v>
      </c>
      <c r="V14" s="892"/>
    </row>
    <row r="15" spans="1:22" s="848" customFormat="1" ht="15.95" customHeight="1">
      <c r="A15" s="893" t="s">
        <v>399</v>
      </c>
      <c r="B15" s="878"/>
      <c r="C15" s="894">
        <f>SUM(C16:C21)</f>
        <v>11059100</v>
      </c>
      <c r="D15" s="895">
        <f t="shared" ref="D15:T15" si="2">SUM(D16:D19)</f>
        <v>0</v>
      </c>
      <c r="E15" s="895">
        <f t="shared" si="2"/>
        <v>0</v>
      </c>
      <c r="F15" s="895">
        <f t="shared" si="2"/>
        <v>0</v>
      </c>
      <c r="G15" s="895">
        <f t="shared" si="2"/>
        <v>0</v>
      </c>
      <c r="H15" s="895">
        <f t="shared" si="2"/>
        <v>0</v>
      </c>
      <c r="I15" s="895">
        <f t="shared" si="2"/>
        <v>0</v>
      </c>
      <c r="J15" s="895">
        <f t="shared" si="2"/>
        <v>0</v>
      </c>
      <c r="K15" s="895">
        <f t="shared" si="2"/>
        <v>0</v>
      </c>
      <c r="L15" s="895">
        <f t="shared" si="2"/>
        <v>0</v>
      </c>
      <c r="M15" s="895">
        <f t="shared" si="2"/>
        <v>0</v>
      </c>
      <c r="N15" s="896">
        <f t="shared" si="2"/>
        <v>0</v>
      </c>
      <c r="O15" s="895">
        <f t="shared" si="2"/>
        <v>0</v>
      </c>
      <c r="P15" s="895">
        <f t="shared" si="2"/>
        <v>0</v>
      </c>
      <c r="Q15" s="897">
        <f t="shared" si="2"/>
        <v>0</v>
      </c>
      <c r="R15" s="897">
        <f t="shared" si="2"/>
        <v>0</v>
      </c>
      <c r="S15" s="897">
        <f t="shared" si="2"/>
        <v>0</v>
      </c>
      <c r="T15" s="897">
        <f t="shared" si="2"/>
        <v>0</v>
      </c>
      <c r="U15" s="898">
        <f>SUM(U16:U21)</f>
        <v>19995762</v>
      </c>
      <c r="V15" s="892"/>
    </row>
    <row r="16" spans="1:22" s="848" customFormat="1" ht="15.95" customHeight="1">
      <c r="A16" s="877" t="s">
        <v>437</v>
      </c>
      <c r="B16" s="878"/>
      <c r="C16" s="879">
        <v>3670100</v>
      </c>
      <c r="D16" s="880"/>
      <c r="E16" s="880"/>
      <c r="F16" s="880"/>
      <c r="G16" s="880"/>
      <c r="H16" s="880"/>
      <c r="I16" s="880"/>
      <c r="J16" s="880"/>
      <c r="K16" s="880"/>
      <c r="L16" s="880"/>
      <c r="M16" s="880"/>
      <c r="N16" s="881"/>
      <c r="O16" s="880"/>
      <c r="P16" s="880"/>
      <c r="Q16" s="882"/>
      <c r="R16" s="882"/>
      <c r="S16" s="882"/>
      <c r="T16" s="882"/>
      <c r="U16" s="883">
        <f t="shared" ref="U16:U20" si="3">SUM(C16:T16)</f>
        <v>3670100</v>
      </c>
      <c r="V16" s="884"/>
    </row>
    <row r="17" spans="1:22" s="848" customFormat="1" ht="15.95" customHeight="1">
      <c r="A17" s="877" t="s">
        <v>371</v>
      </c>
      <c r="B17" s="878"/>
      <c r="C17" s="879">
        <v>526000</v>
      </c>
      <c r="D17" s="880"/>
      <c r="E17" s="880"/>
      <c r="F17" s="880"/>
      <c r="G17" s="880"/>
      <c r="H17" s="880"/>
      <c r="I17" s="880"/>
      <c r="J17" s="880"/>
      <c r="K17" s="880"/>
      <c r="L17" s="880"/>
      <c r="M17" s="880"/>
      <c r="N17" s="881"/>
      <c r="O17" s="880"/>
      <c r="P17" s="880"/>
      <c r="Q17" s="882"/>
      <c r="R17" s="882"/>
      <c r="S17" s="882"/>
      <c r="T17" s="882"/>
      <c r="U17" s="883">
        <f t="shared" si="3"/>
        <v>526000</v>
      </c>
      <c r="V17" s="884"/>
    </row>
    <row r="18" spans="1:22" s="848" customFormat="1" ht="15.95" customHeight="1">
      <c r="A18" s="877" t="s">
        <v>438</v>
      </c>
      <c r="B18" s="878"/>
      <c r="C18" s="879">
        <v>5049000</v>
      </c>
      <c r="D18" s="880"/>
      <c r="E18" s="880"/>
      <c r="F18" s="880"/>
      <c r="G18" s="880"/>
      <c r="H18" s="880"/>
      <c r="I18" s="880"/>
      <c r="J18" s="880"/>
      <c r="K18" s="880"/>
      <c r="L18" s="880"/>
      <c r="M18" s="880"/>
      <c r="N18" s="881"/>
      <c r="O18" s="880"/>
      <c r="P18" s="880"/>
      <c r="Q18" s="882"/>
      <c r="R18" s="882"/>
      <c r="S18" s="882"/>
      <c r="T18" s="882"/>
      <c r="U18" s="883">
        <f t="shared" si="3"/>
        <v>5049000</v>
      </c>
      <c r="V18" s="884"/>
    </row>
    <row r="19" spans="1:22" s="848" customFormat="1" ht="15.95" customHeight="1">
      <c r="A19" s="877" t="s">
        <v>439</v>
      </c>
      <c r="B19" s="878"/>
      <c r="C19" s="879">
        <v>1814000</v>
      </c>
      <c r="D19" s="880"/>
      <c r="E19" s="880"/>
      <c r="F19" s="880"/>
      <c r="G19" s="880"/>
      <c r="H19" s="880"/>
      <c r="I19" s="880"/>
      <c r="J19" s="880"/>
      <c r="K19" s="880"/>
      <c r="L19" s="880"/>
      <c r="M19" s="880"/>
      <c r="N19" s="881"/>
      <c r="O19" s="880"/>
      <c r="P19" s="880"/>
      <c r="Q19" s="882"/>
      <c r="R19" s="882"/>
      <c r="S19" s="882"/>
      <c r="T19" s="882"/>
      <c r="U19" s="883">
        <f t="shared" si="3"/>
        <v>1814000</v>
      </c>
      <c r="V19" s="884"/>
    </row>
    <row r="20" spans="1:22" s="848" customFormat="1" ht="15.95" customHeight="1">
      <c r="A20" s="877" t="s">
        <v>440</v>
      </c>
      <c r="B20" s="878"/>
      <c r="C20" s="879">
        <v>0</v>
      </c>
      <c r="D20" s="880"/>
      <c r="E20" s="880"/>
      <c r="F20" s="880"/>
      <c r="G20" s="880"/>
      <c r="H20" s="880"/>
      <c r="I20" s="880">
        <v>6500000</v>
      </c>
      <c r="J20" s="880"/>
      <c r="K20" s="880"/>
      <c r="L20" s="880"/>
      <c r="M20" s="880"/>
      <c r="N20" s="881"/>
      <c r="O20" s="880"/>
      <c r="P20" s="880"/>
      <c r="Q20" s="882"/>
      <c r="R20" s="882"/>
      <c r="S20" s="882"/>
      <c r="T20" s="882"/>
      <c r="U20" s="883">
        <f t="shared" si="3"/>
        <v>6500000</v>
      </c>
      <c r="V20" s="884"/>
    </row>
    <row r="21" spans="1:22" s="848" customFormat="1" ht="15.95" customHeight="1">
      <c r="A21" s="877" t="s">
        <v>441</v>
      </c>
      <c r="B21" s="878"/>
      <c r="C21" s="879">
        <v>0</v>
      </c>
      <c r="D21" s="880"/>
      <c r="E21" s="880"/>
      <c r="F21" s="880"/>
      <c r="G21" s="880"/>
      <c r="H21" s="880"/>
      <c r="I21" s="880"/>
      <c r="J21" s="880"/>
      <c r="K21" s="880"/>
      <c r="L21" s="880"/>
      <c r="M21" s="880"/>
      <c r="N21" s="881"/>
      <c r="O21" s="880"/>
      <c r="P21" s="880"/>
      <c r="Q21" s="882"/>
      <c r="R21" s="882">
        <f>2181575+255087</f>
        <v>2436662</v>
      </c>
      <c r="S21" s="882"/>
      <c r="T21" s="882"/>
      <c r="U21" s="883">
        <f>SUM(C21:T21)</f>
        <v>2436662</v>
      </c>
      <c r="V21" s="884"/>
    </row>
    <row r="22" spans="1:22" s="848" customFormat="1" ht="15.95" customHeight="1">
      <c r="A22" s="893" t="s">
        <v>400</v>
      </c>
      <c r="B22" s="899"/>
      <c r="C22" s="894">
        <f>SUM(C23:C30)</f>
        <v>77341091</v>
      </c>
      <c r="D22" s="895"/>
      <c r="E22" s="895"/>
      <c r="F22" s="895"/>
      <c r="G22" s="895"/>
      <c r="H22" s="895"/>
      <c r="I22" s="895"/>
      <c r="J22" s="895"/>
      <c r="K22" s="895"/>
      <c r="L22" s="895"/>
      <c r="M22" s="895"/>
      <c r="N22" s="896"/>
      <c r="O22" s="895"/>
      <c r="P22" s="895"/>
      <c r="Q22" s="897"/>
      <c r="R22" s="897"/>
      <c r="S22" s="897"/>
      <c r="T22" s="897"/>
      <c r="U22" s="898">
        <f>SUM(U23:U30)</f>
        <v>77343141</v>
      </c>
      <c r="V22" s="884"/>
    </row>
    <row r="23" spans="1:22" s="848" customFormat="1" ht="15.95" customHeight="1">
      <c r="A23" s="877" t="s">
        <v>362</v>
      </c>
      <c r="B23" s="878"/>
      <c r="C23" s="879">
        <v>3251800</v>
      </c>
      <c r="D23" s="880"/>
      <c r="E23" s="880"/>
      <c r="F23" s="880"/>
      <c r="G23" s="880"/>
      <c r="H23" s="880"/>
      <c r="I23" s="880"/>
      <c r="J23" s="880"/>
      <c r="K23" s="880"/>
      <c r="L23" s="880"/>
      <c r="M23" s="880"/>
      <c r="N23" s="881"/>
      <c r="O23" s="880"/>
      <c r="P23" s="880"/>
      <c r="Q23" s="882">
        <f>196510+93440+249600</f>
        <v>539550</v>
      </c>
      <c r="R23" s="882"/>
      <c r="S23" s="882"/>
      <c r="T23" s="882"/>
      <c r="U23" s="883">
        <f t="shared" ref="U23:U28" si="4">SUM(C23:T23)</f>
        <v>3791350</v>
      </c>
      <c r="V23" s="884"/>
    </row>
    <row r="24" spans="1:22" s="848" customFormat="1" ht="15.95" customHeight="1">
      <c r="A24" s="877" t="s">
        <v>442</v>
      </c>
      <c r="B24" s="878"/>
      <c r="C24" s="879">
        <v>21855396</v>
      </c>
      <c r="D24" s="880"/>
      <c r="E24" s="880"/>
      <c r="F24" s="880"/>
      <c r="G24" s="880"/>
      <c r="H24" s="880"/>
      <c r="I24" s="880"/>
      <c r="J24" s="880"/>
      <c r="K24" s="880"/>
      <c r="L24" s="880"/>
      <c r="M24" s="880"/>
      <c r="N24" s="881"/>
      <c r="O24" s="880"/>
      <c r="P24" s="880"/>
      <c r="Q24" s="882"/>
      <c r="R24" s="882"/>
      <c r="S24" s="880">
        <f>-(5070*21.5)-(1195*21.5)-(8735*21.5)</f>
        <v>-322500</v>
      </c>
      <c r="T24" s="880"/>
      <c r="U24" s="883">
        <f t="shared" si="4"/>
        <v>21532896</v>
      </c>
      <c r="V24" s="884"/>
    </row>
    <row r="25" spans="1:22" s="848" customFormat="1" ht="15.95" customHeight="1">
      <c r="A25" s="877" t="s">
        <v>443</v>
      </c>
      <c r="B25" s="878"/>
      <c r="C25" s="879">
        <v>14268133</v>
      </c>
      <c r="D25" s="880"/>
      <c r="E25" s="880"/>
      <c r="F25" s="880"/>
      <c r="G25" s="880"/>
      <c r="H25" s="880"/>
      <c r="I25" s="880"/>
      <c r="J25" s="880"/>
      <c r="K25" s="880"/>
      <c r="L25" s="880"/>
      <c r="M25" s="880"/>
      <c r="N25" s="881"/>
      <c r="O25" s="880"/>
      <c r="P25" s="880"/>
      <c r="Q25" s="882"/>
      <c r="R25" s="882"/>
      <c r="S25" s="882"/>
      <c r="T25" s="882"/>
      <c r="U25" s="883">
        <f t="shared" si="4"/>
        <v>14268133</v>
      </c>
      <c r="V25" s="884"/>
    </row>
    <row r="26" spans="1:22" s="848" customFormat="1" ht="15.95" customHeight="1">
      <c r="A26" s="877" t="s">
        <v>444</v>
      </c>
      <c r="B26" s="878"/>
      <c r="C26" s="879">
        <v>24255104</v>
      </c>
      <c r="D26" s="880"/>
      <c r="E26" s="880"/>
      <c r="F26" s="880"/>
      <c r="G26" s="880"/>
      <c r="H26" s="880"/>
      <c r="I26" s="880"/>
      <c r="J26" s="880"/>
      <c r="K26" s="880"/>
      <c r="L26" s="880"/>
      <c r="M26" s="880"/>
      <c r="N26" s="881"/>
      <c r="O26" s="880"/>
      <c r="P26" s="880"/>
      <c r="Q26" s="882"/>
      <c r="R26" s="882"/>
      <c r="S26" s="882"/>
      <c r="T26" s="882"/>
      <c r="U26" s="883">
        <f t="shared" si="4"/>
        <v>24255104</v>
      </c>
      <c r="V26" s="884"/>
    </row>
    <row r="27" spans="1:22" s="848" customFormat="1" ht="15.95" customHeight="1">
      <c r="A27" s="877" t="s">
        <v>363</v>
      </c>
      <c r="B27" s="878"/>
      <c r="C27" s="879">
        <v>4843548</v>
      </c>
      <c r="D27" s="880"/>
      <c r="E27" s="880"/>
      <c r="F27" s="880"/>
      <c r="G27" s="880"/>
      <c r="H27" s="880"/>
      <c r="I27" s="880"/>
      <c r="J27" s="880"/>
      <c r="K27" s="880"/>
      <c r="L27" s="880"/>
      <c r="M27" s="880"/>
      <c r="N27" s="881"/>
      <c r="O27" s="880"/>
      <c r="P27" s="880"/>
      <c r="Q27" s="882"/>
      <c r="R27" s="882"/>
      <c r="S27" s="882"/>
      <c r="T27" s="882"/>
      <c r="U27" s="883">
        <f t="shared" si="4"/>
        <v>4843548</v>
      </c>
      <c r="V27" s="884"/>
    </row>
    <row r="28" spans="1:22" s="848" customFormat="1" ht="15.95" customHeight="1">
      <c r="A28" s="877" t="s">
        <v>445</v>
      </c>
      <c r="B28" s="878"/>
      <c r="C28" s="879">
        <v>3447000</v>
      </c>
      <c r="D28" s="880"/>
      <c r="E28" s="880"/>
      <c r="F28" s="880"/>
      <c r="G28" s="880"/>
      <c r="H28" s="880"/>
      <c r="I28" s="880"/>
      <c r="J28" s="880"/>
      <c r="K28" s="880"/>
      <c r="L28" s="880"/>
      <c r="M28" s="880"/>
      <c r="N28" s="881"/>
      <c r="O28" s="880"/>
      <c r="P28" s="880"/>
      <c r="Q28" s="882"/>
      <c r="R28" s="882"/>
      <c r="S28" s="882"/>
      <c r="T28" s="882">
        <f>-(10000*21.5)</f>
        <v>-215000</v>
      </c>
      <c r="U28" s="883">
        <f t="shared" si="4"/>
        <v>3232000</v>
      </c>
      <c r="V28" s="884"/>
    </row>
    <row r="29" spans="1:22" s="848" customFormat="1" ht="15.95" customHeight="1">
      <c r="A29" s="877" t="s">
        <v>446</v>
      </c>
      <c r="B29" s="878"/>
      <c r="C29" s="879">
        <v>5420110</v>
      </c>
      <c r="D29" s="880"/>
      <c r="E29" s="880"/>
      <c r="F29" s="880"/>
      <c r="G29" s="880"/>
      <c r="H29" s="880"/>
      <c r="I29" s="880"/>
      <c r="J29" s="880"/>
      <c r="K29" s="880"/>
      <c r="L29" s="880"/>
      <c r="M29" s="880"/>
      <c r="N29" s="881"/>
      <c r="O29" s="880"/>
      <c r="P29" s="880"/>
      <c r="Q29" s="882"/>
      <c r="R29" s="882"/>
      <c r="S29" s="882"/>
      <c r="T29" s="882"/>
      <c r="U29" s="883">
        <f t="shared" ref="U29:U30" si="5">SUM(C29:T29)</f>
        <v>5420110</v>
      </c>
      <c r="V29" s="884"/>
    </row>
    <row r="30" spans="1:22" s="848" customFormat="1" ht="15.95" customHeight="1">
      <c r="A30" s="877" t="s">
        <v>364</v>
      </c>
      <c r="B30" s="878"/>
      <c r="C30" s="879">
        <v>0</v>
      </c>
      <c r="D30" s="880"/>
      <c r="E30" s="880"/>
      <c r="F30" s="880"/>
      <c r="G30" s="880"/>
      <c r="H30" s="880"/>
      <c r="I30" s="880"/>
      <c r="J30" s="880"/>
      <c r="K30" s="880"/>
      <c r="L30" s="880"/>
      <c r="M30" s="880"/>
      <c r="N30" s="881"/>
      <c r="O30" s="880"/>
      <c r="P30" s="880"/>
      <c r="Q30" s="882"/>
      <c r="R30" s="882"/>
      <c r="S30" s="882"/>
      <c r="T30" s="882"/>
      <c r="U30" s="883">
        <f t="shared" si="5"/>
        <v>0</v>
      </c>
      <c r="V30" s="884"/>
    </row>
    <row r="31" spans="1:22" s="848" customFormat="1" ht="15.95" customHeight="1">
      <c r="A31" s="893" t="s">
        <v>401</v>
      </c>
      <c r="B31" s="878"/>
      <c r="C31" s="894">
        <f>SUM(C32:C36)</f>
        <v>72080214.949999988</v>
      </c>
      <c r="D31" s="885"/>
      <c r="E31" s="885"/>
      <c r="F31" s="885"/>
      <c r="G31" s="885"/>
      <c r="H31" s="885"/>
      <c r="I31" s="885"/>
      <c r="J31" s="885"/>
      <c r="K31" s="885"/>
      <c r="L31" s="880"/>
      <c r="M31" s="880"/>
      <c r="N31" s="880"/>
      <c r="O31" s="880"/>
      <c r="P31" s="885"/>
      <c r="Q31" s="882"/>
      <c r="R31" s="882"/>
      <c r="S31" s="882"/>
      <c r="T31" s="882"/>
      <c r="U31" s="898">
        <f>SUM(U32:U36)</f>
        <v>72080214.949999988</v>
      </c>
      <c r="V31" s="884"/>
    </row>
    <row r="32" spans="1:22" s="848" customFormat="1" ht="15.95" customHeight="1">
      <c r="A32" s="877" t="s">
        <v>447</v>
      </c>
      <c r="B32" s="878"/>
      <c r="C32" s="879">
        <v>17575000.390000001</v>
      </c>
      <c r="D32" s="885"/>
      <c r="E32" s="885"/>
      <c r="F32" s="885"/>
      <c r="G32" s="885"/>
      <c r="H32" s="885"/>
      <c r="I32" s="885"/>
      <c r="J32" s="885"/>
      <c r="K32" s="885"/>
      <c r="L32" s="880"/>
      <c r="M32" s="880"/>
      <c r="N32" s="880"/>
      <c r="O32" s="880"/>
      <c r="P32" s="885"/>
      <c r="Q32" s="882"/>
      <c r="R32" s="882"/>
      <c r="S32" s="882"/>
      <c r="T32" s="882"/>
      <c r="U32" s="883">
        <f>SUM(C32:T32)</f>
        <v>17575000.390000001</v>
      </c>
      <c r="V32" s="884"/>
    </row>
    <row r="33" spans="1:22" s="848" customFormat="1" ht="15.95" customHeight="1">
      <c r="A33" s="877" t="s">
        <v>448</v>
      </c>
      <c r="B33" s="878"/>
      <c r="C33" s="879">
        <v>19764636.119999997</v>
      </c>
      <c r="D33" s="885"/>
      <c r="E33" s="885"/>
      <c r="F33" s="885"/>
      <c r="G33" s="885"/>
      <c r="H33" s="885"/>
      <c r="I33" s="885"/>
      <c r="J33" s="885"/>
      <c r="K33" s="885"/>
      <c r="L33" s="880"/>
      <c r="M33" s="880"/>
      <c r="N33" s="880"/>
      <c r="O33" s="880">
        <v>350000</v>
      </c>
      <c r="P33" s="885"/>
      <c r="Q33" s="882"/>
      <c r="R33" s="882"/>
      <c r="S33" s="882"/>
      <c r="T33" s="882"/>
      <c r="U33" s="883">
        <f t="shared" ref="U33:U36" si="6">SUM(C33:T33)</f>
        <v>20114636.119999997</v>
      </c>
      <c r="V33" s="884"/>
    </row>
    <row r="34" spans="1:22" s="848" customFormat="1" ht="15.95" customHeight="1">
      <c r="A34" s="877" t="s">
        <v>370</v>
      </c>
      <c r="B34" s="878"/>
      <c r="C34" s="879">
        <v>20242778.59</v>
      </c>
      <c r="D34" s="885"/>
      <c r="E34" s="885"/>
      <c r="F34" s="885"/>
      <c r="G34" s="885"/>
      <c r="H34" s="885"/>
      <c r="I34" s="885"/>
      <c r="J34" s="885"/>
      <c r="K34" s="885"/>
      <c r="L34" s="880"/>
      <c r="M34" s="880"/>
      <c r="N34" s="880"/>
      <c r="O34" s="880">
        <v>-350000</v>
      </c>
      <c r="P34" s="885"/>
      <c r="Q34" s="882"/>
      <c r="R34" s="882"/>
      <c r="S34" s="882"/>
      <c r="T34" s="882"/>
      <c r="U34" s="883">
        <f t="shared" si="6"/>
        <v>19892778.59</v>
      </c>
      <c r="V34" s="884"/>
    </row>
    <row r="35" spans="1:22" s="848" customFormat="1" ht="15.95" customHeight="1">
      <c r="A35" s="877" t="s">
        <v>449</v>
      </c>
      <c r="B35" s="878"/>
      <c r="C35" s="879">
        <v>3258800</v>
      </c>
      <c r="D35" s="885"/>
      <c r="E35" s="885"/>
      <c r="F35" s="885"/>
      <c r="G35" s="885"/>
      <c r="H35" s="885"/>
      <c r="I35" s="885"/>
      <c r="J35" s="885"/>
      <c r="K35" s="885"/>
      <c r="L35" s="880"/>
      <c r="M35" s="880"/>
      <c r="N35" s="880"/>
      <c r="O35" s="880"/>
      <c r="P35" s="885"/>
      <c r="Q35" s="882"/>
      <c r="R35" s="882"/>
      <c r="S35" s="882"/>
      <c r="T35" s="882"/>
      <c r="U35" s="883">
        <f t="shared" si="6"/>
        <v>3258800</v>
      </c>
      <c r="V35" s="884"/>
    </row>
    <row r="36" spans="1:22" s="848" customFormat="1" ht="15.95" customHeight="1">
      <c r="A36" s="877" t="s">
        <v>450</v>
      </c>
      <c r="B36" s="878"/>
      <c r="C36" s="879">
        <v>11238999.85</v>
      </c>
      <c r="D36" s="885"/>
      <c r="E36" s="885"/>
      <c r="F36" s="885"/>
      <c r="G36" s="885"/>
      <c r="H36" s="885"/>
      <c r="I36" s="885"/>
      <c r="J36" s="885"/>
      <c r="K36" s="885"/>
      <c r="L36" s="880"/>
      <c r="M36" s="880"/>
      <c r="N36" s="880"/>
      <c r="O36" s="880"/>
      <c r="P36" s="885"/>
      <c r="Q36" s="882"/>
      <c r="R36" s="882"/>
      <c r="S36" s="882"/>
      <c r="T36" s="882"/>
      <c r="U36" s="883">
        <f t="shared" si="6"/>
        <v>11238999.85</v>
      </c>
      <c r="V36" s="884"/>
    </row>
    <row r="37" spans="1:22" s="848" customFormat="1" ht="18" customHeight="1">
      <c r="A37" s="886" t="s">
        <v>402</v>
      </c>
      <c r="B37" s="887"/>
      <c r="C37" s="888">
        <f>+C31+C22+C15</f>
        <v>160480405.94999999</v>
      </c>
      <c r="D37" s="889">
        <f t="shared" ref="D37:T37" si="7">SUM(D15:D36)</f>
        <v>0</v>
      </c>
      <c r="E37" s="889">
        <f t="shared" si="7"/>
        <v>0</v>
      </c>
      <c r="F37" s="889">
        <f t="shared" si="7"/>
        <v>0</v>
      </c>
      <c r="G37" s="889">
        <f t="shared" si="7"/>
        <v>0</v>
      </c>
      <c r="H37" s="889">
        <f t="shared" si="7"/>
        <v>0</v>
      </c>
      <c r="I37" s="889">
        <f t="shared" si="7"/>
        <v>6500000</v>
      </c>
      <c r="J37" s="889">
        <f t="shared" si="7"/>
        <v>0</v>
      </c>
      <c r="K37" s="889">
        <f t="shared" si="7"/>
        <v>0</v>
      </c>
      <c r="L37" s="889">
        <f t="shared" si="7"/>
        <v>0</v>
      </c>
      <c r="M37" s="889">
        <f t="shared" si="7"/>
        <v>0</v>
      </c>
      <c r="N37" s="889">
        <f t="shared" si="7"/>
        <v>0</v>
      </c>
      <c r="O37" s="889">
        <f t="shared" si="7"/>
        <v>0</v>
      </c>
      <c r="P37" s="889">
        <f t="shared" si="7"/>
        <v>0</v>
      </c>
      <c r="Q37" s="890">
        <f t="shared" si="7"/>
        <v>539550</v>
      </c>
      <c r="R37" s="890">
        <f t="shared" si="7"/>
        <v>2436662</v>
      </c>
      <c r="S37" s="890">
        <f t="shared" si="7"/>
        <v>-322500</v>
      </c>
      <c r="T37" s="890">
        <f t="shared" si="7"/>
        <v>-215000</v>
      </c>
      <c r="U37" s="891">
        <f>+U15+U22+U31</f>
        <v>169419117.94999999</v>
      </c>
      <c r="V37" s="892"/>
    </row>
    <row r="38" spans="1:22" s="848" customFormat="1" ht="15.95" customHeight="1">
      <c r="A38" s="900" t="s">
        <v>403</v>
      </c>
      <c r="B38" s="878"/>
      <c r="C38" s="879">
        <v>2667478</v>
      </c>
      <c r="D38" s="901"/>
      <c r="E38" s="901"/>
      <c r="F38" s="901"/>
      <c r="G38" s="901"/>
      <c r="H38" s="901"/>
      <c r="I38" s="901"/>
      <c r="J38" s="901"/>
      <c r="K38" s="901"/>
      <c r="L38" s="901"/>
      <c r="M38" s="901"/>
      <c r="N38" s="901">
        <v>30000</v>
      </c>
      <c r="O38" s="901"/>
      <c r="P38" s="902"/>
      <c r="Q38" s="902"/>
      <c r="R38" s="902"/>
      <c r="S38" s="902"/>
      <c r="T38" s="902"/>
      <c r="U38" s="903">
        <f t="shared" ref="U38:U48" si="8">SUM(C38:T38)</f>
        <v>2697478</v>
      </c>
      <c r="V38" s="884"/>
    </row>
    <row r="39" spans="1:22" s="848" customFormat="1" ht="15.95" customHeight="1">
      <c r="A39" s="877" t="s">
        <v>404</v>
      </c>
      <c r="B39" s="878"/>
      <c r="C39" s="879">
        <v>8375257</v>
      </c>
      <c r="D39" s="901"/>
      <c r="E39" s="901"/>
      <c r="F39" s="901"/>
      <c r="G39" s="901"/>
      <c r="H39" s="901"/>
      <c r="I39" s="901"/>
      <c r="J39" s="901">
        <v>-119000</v>
      </c>
      <c r="K39" s="901"/>
      <c r="L39" s="901"/>
      <c r="M39" s="901"/>
      <c r="N39" s="904">
        <v>-30000</v>
      </c>
      <c r="O39" s="904"/>
      <c r="P39" s="904"/>
      <c r="Q39" s="905"/>
      <c r="R39" s="905"/>
      <c r="S39" s="905"/>
      <c r="T39" s="905"/>
      <c r="U39" s="903">
        <f t="shared" si="8"/>
        <v>8226257</v>
      </c>
      <c r="V39" s="884"/>
    </row>
    <row r="40" spans="1:22" s="848" customFormat="1" ht="15.95" customHeight="1">
      <c r="A40" s="877" t="s">
        <v>405</v>
      </c>
      <c r="B40" s="878"/>
      <c r="C40" s="879">
        <v>2265122.7999999998</v>
      </c>
      <c r="D40" s="901"/>
      <c r="E40" s="901"/>
      <c r="F40" s="901"/>
      <c r="G40" s="901"/>
      <c r="H40" s="901"/>
      <c r="I40" s="901"/>
      <c r="J40" s="901">
        <v>119000</v>
      </c>
      <c r="K40" s="901">
        <v>-90720</v>
      </c>
      <c r="L40" s="901">
        <f>-22680-25432</f>
        <v>-48112</v>
      </c>
      <c r="M40" s="901"/>
      <c r="N40" s="904"/>
      <c r="O40" s="904"/>
      <c r="P40" s="904"/>
      <c r="Q40" s="902"/>
      <c r="R40" s="902"/>
      <c r="S40" s="902"/>
      <c r="T40" s="902"/>
      <c r="U40" s="903">
        <f t="shared" si="8"/>
        <v>2245290.7999999998</v>
      </c>
      <c r="V40" s="884"/>
    </row>
    <row r="41" spans="1:22" s="848" customFormat="1" ht="15.95" customHeight="1">
      <c r="A41" s="877" t="s">
        <v>406</v>
      </c>
      <c r="B41" s="878"/>
      <c r="C41" s="879">
        <v>3010000</v>
      </c>
      <c r="D41" s="901"/>
      <c r="E41" s="901"/>
      <c r="F41" s="901"/>
      <c r="G41" s="901"/>
      <c r="H41" s="901"/>
      <c r="I41" s="901"/>
      <c r="J41" s="901"/>
      <c r="K41" s="901"/>
      <c r="L41" s="901"/>
      <c r="M41" s="901"/>
      <c r="N41" s="901"/>
      <c r="O41" s="901"/>
      <c r="P41" s="901"/>
      <c r="Q41" s="902"/>
      <c r="R41" s="902"/>
      <c r="S41" s="902"/>
      <c r="T41" s="902"/>
      <c r="U41" s="903">
        <f t="shared" si="8"/>
        <v>3010000</v>
      </c>
      <c r="V41" s="884"/>
    </row>
    <row r="42" spans="1:22" s="848" customFormat="1" ht="15.95" customHeight="1">
      <c r="A42" s="877" t="s">
        <v>407</v>
      </c>
      <c r="B42" s="878"/>
      <c r="C42" s="879">
        <v>2370009</v>
      </c>
      <c r="D42" s="901"/>
      <c r="E42" s="901"/>
      <c r="F42" s="901"/>
      <c r="G42" s="901"/>
      <c r="H42" s="901"/>
      <c r="I42" s="901"/>
      <c r="J42" s="901"/>
      <c r="K42" s="901"/>
      <c r="L42" s="901"/>
      <c r="M42" s="901"/>
      <c r="N42" s="904"/>
      <c r="O42" s="904"/>
      <c r="P42" s="904"/>
      <c r="Q42" s="902"/>
      <c r="R42" s="902"/>
      <c r="S42" s="902"/>
      <c r="T42" s="902"/>
      <c r="U42" s="903">
        <f t="shared" si="8"/>
        <v>2370009</v>
      </c>
      <c r="V42" s="884"/>
    </row>
    <row r="43" spans="1:22" s="848" customFormat="1" ht="15.95" customHeight="1">
      <c r="A43" s="877" t="s">
        <v>408</v>
      </c>
      <c r="B43" s="878"/>
      <c r="C43" s="879">
        <v>5100180</v>
      </c>
      <c r="D43" s="904"/>
      <c r="E43" s="904"/>
      <c r="F43" s="904"/>
      <c r="G43" s="901"/>
      <c r="H43" s="904"/>
      <c r="I43" s="904"/>
      <c r="J43" s="904"/>
      <c r="K43" s="904">
        <v>90720</v>
      </c>
      <c r="L43" s="901">
        <f>-L40</f>
        <v>48112</v>
      </c>
      <c r="M43" s="904"/>
      <c r="N43" s="901"/>
      <c r="O43" s="901"/>
      <c r="P43" s="901"/>
      <c r="Q43" s="902"/>
      <c r="R43" s="902"/>
      <c r="S43" s="902"/>
      <c r="T43" s="902"/>
      <c r="U43" s="903">
        <f t="shared" si="8"/>
        <v>5239012</v>
      </c>
      <c r="V43" s="884"/>
    </row>
    <row r="44" spans="1:22" s="848" customFormat="1" ht="15.95" customHeight="1">
      <c r="A44" s="877" t="s">
        <v>397</v>
      </c>
      <c r="B44" s="878"/>
      <c r="C44" s="879">
        <v>6794700</v>
      </c>
      <c r="D44" s="901"/>
      <c r="E44" s="901"/>
      <c r="F44" s="901"/>
      <c r="G44" s="901"/>
      <c r="H44" s="901"/>
      <c r="I44" s="901"/>
      <c r="J44" s="901"/>
      <c r="K44" s="901"/>
      <c r="L44" s="901"/>
      <c r="M44" s="901">
        <f>148000+120000+120000-148000-120000-120000</f>
        <v>0</v>
      </c>
      <c r="N44" s="901"/>
      <c r="O44" s="901"/>
      <c r="P44" s="901"/>
      <c r="Q44" s="902"/>
      <c r="R44" s="902"/>
      <c r="S44" s="902"/>
      <c r="T44" s="902"/>
      <c r="U44" s="903">
        <f t="shared" si="8"/>
        <v>6794700</v>
      </c>
      <c r="V44" s="884"/>
    </row>
    <row r="45" spans="1:22" s="848" customFormat="1" ht="15.95" customHeight="1">
      <c r="A45" s="877" t="s">
        <v>409</v>
      </c>
      <c r="B45" s="878"/>
      <c r="C45" s="879">
        <v>13864572.1</v>
      </c>
      <c r="D45" s="901"/>
      <c r="E45" s="901"/>
      <c r="F45" s="901"/>
      <c r="G45" s="901"/>
      <c r="H45" s="901"/>
      <c r="I45" s="901"/>
      <c r="J45" s="901"/>
      <c r="K45" s="901"/>
      <c r="L45" s="901"/>
      <c r="M45" s="901"/>
      <c r="N45" s="901"/>
      <c r="O45" s="901"/>
      <c r="P45" s="901"/>
      <c r="Q45" s="902"/>
      <c r="R45" s="902"/>
      <c r="S45" s="902"/>
      <c r="T45" s="902"/>
      <c r="U45" s="903">
        <f t="shared" si="8"/>
        <v>13864572.1</v>
      </c>
      <c r="V45" s="884"/>
    </row>
    <row r="46" spans="1:22" s="848" customFormat="1" ht="15.95" customHeight="1">
      <c r="A46" s="877" t="s">
        <v>92</v>
      </c>
      <c r="B46" s="878"/>
      <c r="C46" s="879">
        <v>5594245</v>
      </c>
      <c r="D46" s="901"/>
      <c r="E46" s="901"/>
      <c r="F46" s="901"/>
      <c r="G46" s="901"/>
      <c r="H46" s="901"/>
      <c r="I46" s="901"/>
      <c r="J46" s="901"/>
      <c r="K46" s="901"/>
      <c r="L46" s="901"/>
      <c r="M46" s="901"/>
      <c r="N46" s="901"/>
      <c r="O46" s="901"/>
      <c r="P46" s="901"/>
      <c r="Q46" s="902"/>
      <c r="R46" s="902"/>
      <c r="S46" s="902"/>
      <c r="T46" s="902"/>
      <c r="U46" s="903">
        <f t="shared" si="8"/>
        <v>5594245</v>
      </c>
      <c r="V46" s="884"/>
    </row>
    <row r="47" spans="1:22" s="848" customFormat="1" ht="15.95" customHeight="1">
      <c r="A47" s="877" t="s">
        <v>410</v>
      </c>
      <c r="B47" s="878"/>
      <c r="C47" s="879">
        <v>208000</v>
      </c>
      <c r="D47" s="901"/>
      <c r="E47" s="901"/>
      <c r="F47" s="901"/>
      <c r="G47" s="901"/>
      <c r="H47" s="901"/>
      <c r="I47" s="901"/>
      <c r="J47" s="901"/>
      <c r="K47" s="901"/>
      <c r="L47" s="901"/>
      <c r="M47" s="901"/>
      <c r="N47" s="901"/>
      <c r="O47" s="901"/>
      <c r="P47" s="901"/>
      <c r="Q47" s="902"/>
      <c r="R47" s="902"/>
      <c r="S47" s="902"/>
      <c r="T47" s="902"/>
      <c r="U47" s="903">
        <f t="shared" si="8"/>
        <v>208000</v>
      </c>
      <c r="V47" s="884"/>
    </row>
    <row r="48" spans="1:22" s="848" customFormat="1" ht="15.95" customHeight="1">
      <c r="A48" s="877" t="s">
        <v>93</v>
      </c>
      <c r="B48" s="878"/>
      <c r="C48" s="879">
        <v>6360000</v>
      </c>
      <c r="D48" s="901"/>
      <c r="E48" s="901"/>
      <c r="F48" s="901"/>
      <c r="G48" s="901"/>
      <c r="H48" s="901"/>
      <c r="I48" s="901"/>
      <c r="J48" s="901"/>
      <c r="K48" s="901"/>
      <c r="L48" s="901"/>
      <c r="M48" s="901"/>
      <c r="N48" s="901"/>
      <c r="O48" s="901"/>
      <c r="P48" s="901"/>
      <c r="Q48" s="902"/>
      <c r="R48" s="902"/>
      <c r="S48" s="902"/>
      <c r="T48" s="902"/>
      <c r="U48" s="903">
        <f t="shared" si="8"/>
        <v>6360000</v>
      </c>
      <c r="V48" s="884"/>
    </row>
    <row r="49" spans="1:23" s="848" customFormat="1" ht="18" customHeight="1" thickBot="1">
      <c r="A49" s="906" t="s">
        <v>411</v>
      </c>
      <c r="B49" s="907"/>
      <c r="C49" s="908">
        <f t="shared" ref="C49:U49" si="9">SUM(C38:C48)</f>
        <v>56609563.899999999</v>
      </c>
      <c r="D49" s="908">
        <f t="shared" si="9"/>
        <v>0</v>
      </c>
      <c r="E49" s="908">
        <f t="shared" si="9"/>
        <v>0</v>
      </c>
      <c r="F49" s="908">
        <f t="shared" si="9"/>
        <v>0</v>
      </c>
      <c r="G49" s="908">
        <f t="shared" si="9"/>
        <v>0</v>
      </c>
      <c r="H49" s="908">
        <f t="shared" si="9"/>
        <v>0</v>
      </c>
      <c r="I49" s="908">
        <f t="shared" si="9"/>
        <v>0</v>
      </c>
      <c r="J49" s="908">
        <f t="shared" si="9"/>
        <v>0</v>
      </c>
      <c r="K49" s="908">
        <f t="shared" si="9"/>
        <v>0</v>
      </c>
      <c r="L49" s="908">
        <f t="shared" si="9"/>
        <v>0</v>
      </c>
      <c r="M49" s="908">
        <f t="shared" si="9"/>
        <v>0</v>
      </c>
      <c r="N49" s="908">
        <f t="shared" si="9"/>
        <v>0</v>
      </c>
      <c r="O49" s="908">
        <f t="shared" si="9"/>
        <v>0</v>
      </c>
      <c r="P49" s="908">
        <f t="shared" si="9"/>
        <v>0</v>
      </c>
      <c r="Q49" s="909">
        <f t="shared" si="9"/>
        <v>0</v>
      </c>
      <c r="R49" s="909">
        <f t="shared" si="9"/>
        <v>0</v>
      </c>
      <c r="S49" s="909">
        <f t="shared" si="9"/>
        <v>0</v>
      </c>
      <c r="T49" s="909">
        <f t="shared" si="9"/>
        <v>0</v>
      </c>
      <c r="U49" s="910">
        <f t="shared" si="9"/>
        <v>56609563.899999999</v>
      </c>
      <c r="V49" s="892"/>
    </row>
    <row r="50" spans="1:23" s="848" customFormat="1" ht="20.100000000000001" customHeight="1" thickTop="1" thickBot="1">
      <c r="A50" s="911" t="s">
        <v>412</v>
      </c>
      <c r="B50" s="912"/>
      <c r="C50" s="913">
        <f t="shared" ref="C50:U50" si="10">+C49+C37+C14</f>
        <v>275506480.23734045</v>
      </c>
      <c r="D50" s="914">
        <f t="shared" si="10"/>
        <v>537500</v>
      </c>
      <c r="E50" s="914">
        <f t="shared" si="10"/>
        <v>0</v>
      </c>
      <c r="F50" s="914">
        <f t="shared" si="10"/>
        <v>0</v>
      </c>
      <c r="G50" s="914">
        <f t="shared" si="10"/>
        <v>0</v>
      </c>
      <c r="H50" s="914">
        <f t="shared" si="10"/>
        <v>236606.37000000002</v>
      </c>
      <c r="I50" s="914">
        <f t="shared" si="10"/>
        <v>0</v>
      </c>
      <c r="J50" s="914">
        <f t="shared" si="10"/>
        <v>0</v>
      </c>
      <c r="K50" s="914">
        <f t="shared" si="10"/>
        <v>0</v>
      </c>
      <c r="L50" s="914">
        <f t="shared" si="10"/>
        <v>0</v>
      </c>
      <c r="M50" s="914">
        <f t="shared" si="10"/>
        <v>0</v>
      </c>
      <c r="N50" s="914">
        <f t="shared" si="10"/>
        <v>0</v>
      </c>
      <c r="O50" s="914">
        <f t="shared" si="10"/>
        <v>0</v>
      </c>
      <c r="P50" s="914">
        <f t="shared" si="10"/>
        <v>0</v>
      </c>
      <c r="Q50" s="915">
        <f t="shared" si="10"/>
        <v>0</v>
      </c>
      <c r="R50" s="915">
        <f t="shared" si="10"/>
        <v>0</v>
      </c>
      <c r="S50" s="915">
        <f t="shared" si="10"/>
        <v>-322500</v>
      </c>
      <c r="T50" s="915">
        <f t="shared" si="10"/>
        <v>-215000</v>
      </c>
      <c r="U50" s="916">
        <f t="shared" si="10"/>
        <v>275743086.60734046</v>
      </c>
      <c r="V50" s="892"/>
    </row>
    <row r="51" spans="1:23" s="848" customFormat="1" ht="9.75" customHeight="1" thickTop="1" thickBot="1">
      <c r="A51" s="917"/>
      <c r="B51" s="899"/>
      <c r="C51" s="918"/>
      <c r="D51" s="918"/>
      <c r="E51" s="918"/>
      <c r="F51" s="918"/>
      <c r="G51" s="918"/>
      <c r="H51" s="918"/>
      <c r="I51" s="918"/>
      <c r="J51" s="918"/>
      <c r="K51" s="918"/>
      <c r="L51" s="918"/>
      <c r="M51" s="918"/>
      <c r="N51" s="918"/>
      <c r="O51" s="918"/>
      <c r="P51" s="918"/>
      <c r="Q51" s="919"/>
      <c r="R51" s="919"/>
      <c r="S51" s="919"/>
      <c r="T51" s="919"/>
      <c r="U51" s="920"/>
    </row>
    <row r="52" spans="1:23" s="848" customFormat="1" ht="20.100000000000001" customHeight="1" thickTop="1" thickBot="1">
      <c r="A52" s="1784" t="s">
        <v>413</v>
      </c>
      <c r="B52" s="1785"/>
      <c r="C52" s="913">
        <f t="shared" ref="C52:T52" si="11">+C50</f>
        <v>275506480.23734045</v>
      </c>
      <c r="D52" s="914">
        <f t="shared" si="11"/>
        <v>537500</v>
      </c>
      <c r="E52" s="914">
        <f t="shared" si="11"/>
        <v>0</v>
      </c>
      <c r="F52" s="914">
        <f t="shared" si="11"/>
        <v>0</v>
      </c>
      <c r="G52" s="914">
        <f t="shared" si="11"/>
        <v>0</v>
      </c>
      <c r="H52" s="914">
        <f t="shared" si="11"/>
        <v>236606.37000000002</v>
      </c>
      <c r="I52" s="914">
        <f t="shared" si="11"/>
        <v>0</v>
      </c>
      <c r="J52" s="914">
        <f t="shared" si="11"/>
        <v>0</v>
      </c>
      <c r="K52" s="914">
        <f t="shared" si="11"/>
        <v>0</v>
      </c>
      <c r="L52" s="914">
        <f t="shared" si="11"/>
        <v>0</v>
      </c>
      <c r="M52" s="914">
        <f t="shared" si="11"/>
        <v>0</v>
      </c>
      <c r="N52" s="914">
        <f t="shared" si="11"/>
        <v>0</v>
      </c>
      <c r="O52" s="914">
        <f>+O50</f>
        <v>0</v>
      </c>
      <c r="P52" s="914">
        <f t="shared" si="11"/>
        <v>0</v>
      </c>
      <c r="Q52" s="915">
        <f t="shared" si="11"/>
        <v>0</v>
      </c>
      <c r="R52" s="915">
        <f t="shared" si="11"/>
        <v>0</v>
      </c>
      <c r="S52" s="915">
        <f t="shared" si="11"/>
        <v>-322500</v>
      </c>
      <c r="T52" s="915">
        <f t="shared" si="11"/>
        <v>-215000</v>
      </c>
      <c r="U52" s="916">
        <f>+U50</f>
        <v>275743086.60734046</v>
      </c>
      <c r="V52" s="884"/>
    </row>
    <row r="53" spans="1:23" s="848" customFormat="1" ht="15.95" customHeight="1" thickTop="1">
      <c r="A53" s="877"/>
      <c r="B53" s="878"/>
      <c r="C53" s="879"/>
      <c r="D53" s="885"/>
      <c r="E53" s="885"/>
      <c r="F53" s="885"/>
      <c r="G53" s="885"/>
      <c r="H53" s="885"/>
      <c r="I53" s="885"/>
      <c r="J53" s="885"/>
      <c r="K53" s="885"/>
      <c r="L53" s="880"/>
      <c r="M53" s="880"/>
      <c r="N53" s="880"/>
      <c r="O53" s="880"/>
      <c r="P53" s="885"/>
      <c r="Q53" s="882"/>
      <c r="R53" s="882"/>
      <c r="S53" s="882"/>
      <c r="T53" s="882"/>
      <c r="U53" s="883">
        <f>SUM(C53:T53)</f>
        <v>0</v>
      </c>
      <c r="V53" s="884"/>
    </row>
    <row r="54" spans="1:23" s="848" customFormat="1" ht="15.95" customHeight="1">
      <c r="A54" s="877"/>
      <c r="B54" s="878"/>
      <c r="C54" s="879"/>
      <c r="D54" s="885"/>
      <c r="E54" s="885"/>
      <c r="F54" s="885"/>
      <c r="G54" s="885"/>
      <c r="H54" s="885"/>
      <c r="I54" s="885"/>
      <c r="J54" s="885"/>
      <c r="K54" s="885"/>
      <c r="L54" s="880"/>
      <c r="M54" s="880"/>
      <c r="N54" s="880"/>
      <c r="O54" s="880"/>
      <c r="P54" s="885"/>
      <c r="Q54" s="882"/>
      <c r="R54" s="882"/>
      <c r="S54" s="882"/>
      <c r="T54" s="882"/>
      <c r="U54" s="883">
        <f>SUM(C54:T54)</f>
        <v>0</v>
      </c>
      <c r="V54" s="884"/>
    </row>
    <row r="55" spans="1:23" s="848" customFormat="1" ht="15.95" customHeight="1">
      <c r="A55" s="921" t="s">
        <v>94</v>
      </c>
      <c r="B55" s="878"/>
      <c r="C55" s="879">
        <v>-614895.19999999995</v>
      </c>
      <c r="D55" s="885"/>
      <c r="E55" s="885"/>
      <c r="F55" s="885"/>
      <c r="G55" s="885"/>
      <c r="H55" s="885">
        <v>-236606.37</v>
      </c>
      <c r="I55" s="885"/>
      <c r="J55" s="885"/>
      <c r="K55" s="885"/>
      <c r="L55" s="880"/>
      <c r="M55" s="880"/>
      <c r="N55" s="880"/>
      <c r="O55" s="880"/>
      <c r="P55" s="885"/>
      <c r="Q55" s="882"/>
      <c r="R55" s="882"/>
      <c r="S55" s="882"/>
      <c r="T55" s="882"/>
      <c r="U55" s="883">
        <f>SUM(C55:T55)</f>
        <v>-851501.57</v>
      </c>
      <c r="V55" s="884"/>
    </row>
    <row r="56" spans="1:23" s="848" customFormat="1" ht="15.95" customHeight="1">
      <c r="A56" s="900" t="s">
        <v>95</v>
      </c>
      <c r="B56" s="878"/>
      <c r="C56" s="879">
        <v>1301000</v>
      </c>
      <c r="D56" s="885"/>
      <c r="E56" s="885"/>
      <c r="F56" s="885"/>
      <c r="G56" s="885"/>
      <c r="H56" s="885"/>
      <c r="I56" s="885"/>
      <c r="J56" s="885"/>
      <c r="K56" s="885"/>
      <c r="L56" s="880"/>
      <c r="M56" s="880"/>
      <c r="N56" s="880"/>
      <c r="O56" s="880"/>
      <c r="P56" s="885"/>
      <c r="Q56" s="882"/>
      <c r="R56" s="882"/>
      <c r="S56" s="882"/>
      <c r="T56" s="882"/>
      <c r="U56" s="883">
        <f>SUM(C56:T56)</f>
        <v>1301000</v>
      </c>
      <c r="V56" s="884"/>
    </row>
    <row r="57" spans="1:23" s="848" customFormat="1" ht="18" customHeight="1">
      <c r="A57" s="886" t="s">
        <v>414</v>
      </c>
      <c r="B57" s="887"/>
      <c r="C57" s="888">
        <f>SUM(C53:C56)</f>
        <v>686104.8</v>
      </c>
      <c r="D57" s="888">
        <f>SUM(D53:D56)</f>
        <v>0</v>
      </c>
      <c r="E57" s="888">
        <f>SUM(E53:E56)</f>
        <v>0</v>
      </c>
      <c r="F57" s="888">
        <f>SUM(F53:F56)</f>
        <v>0</v>
      </c>
      <c r="G57" s="888">
        <f t="shared" ref="G57:T57" si="12">SUM(G53:G56)</f>
        <v>0</v>
      </c>
      <c r="H57" s="888">
        <f t="shared" si="12"/>
        <v>-236606.37</v>
      </c>
      <c r="I57" s="888">
        <f t="shared" si="12"/>
        <v>0</v>
      </c>
      <c r="J57" s="888">
        <f t="shared" si="12"/>
        <v>0</v>
      </c>
      <c r="K57" s="888">
        <f t="shared" si="12"/>
        <v>0</v>
      </c>
      <c r="L57" s="888">
        <f t="shared" si="12"/>
        <v>0</v>
      </c>
      <c r="M57" s="888">
        <f t="shared" si="12"/>
        <v>0</v>
      </c>
      <c r="N57" s="888">
        <f t="shared" si="12"/>
        <v>0</v>
      </c>
      <c r="O57" s="888">
        <f t="shared" si="12"/>
        <v>0</v>
      </c>
      <c r="P57" s="888">
        <f t="shared" si="12"/>
        <v>0</v>
      </c>
      <c r="Q57" s="922">
        <f t="shared" si="12"/>
        <v>0</v>
      </c>
      <c r="R57" s="922">
        <f t="shared" si="12"/>
        <v>0</v>
      </c>
      <c r="S57" s="922">
        <f t="shared" si="12"/>
        <v>0</v>
      </c>
      <c r="T57" s="922">
        <f t="shared" si="12"/>
        <v>0</v>
      </c>
      <c r="U57" s="891">
        <f>SUM(U53:U56)</f>
        <v>449498.43000000005</v>
      </c>
      <c r="V57" s="892"/>
    </row>
    <row r="58" spans="1:23" s="929" customFormat="1" ht="23.25" customHeight="1">
      <c r="A58" s="923" t="s">
        <v>415</v>
      </c>
      <c r="B58" s="924"/>
      <c r="C58" s="925">
        <f>+C57+C52</f>
        <v>276192585.03734046</v>
      </c>
      <c r="D58" s="925">
        <f t="shared" ref="D58:T58" si="13">+D57+D52</f>
        <v>537500</v>
      </c>
      <c r="E58" s="925">
        <f t="shared" si="13"/>
        <v>0</v>
      </c>
      <c r="F58" s="925">
        <f t="shared" si="13"/>
        <v>0</v>
      </c>
      <c r="G58" s="925">
        <f t="shared" si="13"/>
        <v>0</v>
      </c>
      <c r="H58" s="925">
        <f t="shared" si="13"/>
        <v>0</v>
      </c>
      <c r="I58" s="925">
        <f t="shared" si="13"/>
        <v>0</v>
      </c>
      <c r="J58" s="925">
        <f t="shared" si="13"/>
        <v>0</v>
      </c>
      <c r="K58" s="925">
        <f t="shared" si="13"/>
        <v>0</v>
      </c>
      <c r="L58" s="925">
        <f t="shared" si="13"/>
        <v>0</v>
      </c>
      <c r="M58" s="925">
        <f t="shared" si="13"/>
        <v>0</v>
      </c>
      <c r="N58" s="925">
        <f t="shared" si="13"/>
        <v>0</v>
      </c>
      <c r="O58" s="925">
        <f t="shared" si="13"/>
        <v>0</v>
      </c>
      <c r="P58" s="925">
        <f t="shared" si="13"/>
        <v>0</v>
      </c>
      <c r="Q58" s="926">
        <f t="shared" si="13"/>
        <v>0</v>
      </c>
      <c r="R58" s="926">
        <f t="shared" si="13"/>
        <v>0</v>
      </c>
      <c r="S58" s="926">
        <f t="shared" si="13"/>
        <v>-322500</v>
      </c>
      <c r="T58" s="926">
        <f t="shared" si="13"/>
        <v>-215000</v>
      </c>
      <c r="U58" s="927">
        <f>+U57+U52</f>
        <v>276192585.03734046</v>
      </c>
      <c r="V58" s="892"/>
      <c r="W58" s="928"/>
    </row>
  </sheetData>
  <mergeCells count="2">
    <mergeCell ref="A3:U3"/>
    <mergeCell ref="A52:B52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enableFormatConditionsCalculation="0"/>
  <dimension ref="A1:O69"/>
  <sheetViews>
    <sheetView showGridLines="0" topLeftCell="A5" zoomScale="60" zoomScaleNormal="60" zoomScalePageLayoutView="60" workbookViewId="0">
      <selection activeCell="E19" sqref="E19"/>
    </sheetView>
  </sheetViews>
  <sheetFormatPr baseColWidth="10" defaultRowHeight="15"/>
  <cols>
    <col min="1" max="1" width="3.28515625" customWidth="1"/>
    <col min="2" max="2" width="10.7109375" customWidth="1"/>
    <col min="3" max="3" width="12.7109375" customWidth="1"/>
    <col min="4" max="4" width="34.7109375" customWidth="1"/>
    <col min="5" max="5" width="18.85546875" customWidth="1"/>
    <col min="9" max="9" width="11.42578125" customWidth="1"/>
    <col min="10" max="10" width="18.85546875" customWidth="1"/>
  </cols>
  <sheetData>
    <row r="1" spans="1:15" s="935" customFormat="1" ht="18" thickBot="1">
      <c r="E1" s="936"/>
      <c r="I1" s="937"/>
      <c r="K1" s="937"/>
      <c r="L1" s="938"/>
      <c r="M1" s="939"/>
      <c r="N1" s="938"/>
    </row>
    <row r="2" spans="1:15" s="947" customFormat="1" ht="19.5" customHeight="1" thickTop="1">
      <c r="A2" s="940"/>
      <c r="B2" s="941"/>
      <c r="C2" s="942"/>
      <c r="D2" s="943"/>
      <c r="E2" s="1822"/>
      <c r="F2" s="1823"/>
      <c r="G2" s="1823"/>
      <c r="H2" s="1823"/>
      <c r="I2" s="1823"/>
      <c r="J2" s="1823"/>
      <c r="K2" s="1824"/>
      <c r="L2" s="944"/>
      <c r="M2" s="942"/>
      <c r="N2" s="945"/>
      <c r="O2" s="946"/>
    </row>
    <row r="3" spans="1:15" s="947" customFormat="1" ht="22.5" customHeight="1">
      <c r="A3" s="940"/>
      <c r="B3" s="1825" t="str">
        <f>SYNTHESE!D4</f>
        <v>POINT 50%</v>
      </c>
      <c r="C3" s="1826"/>
      <c r="D3" s="1827"/>
      <c r="E3" s="1805" t="s">
        <v>15</v>
      </c>
      <c r="F3" s="1806"/>
      <c r="G3" s="1806"/>
      <c r="H3" s="1806"/>
      <c r="I3" s="1806"/>
      <c r="J3" s="1806"/>
      <c r="K3" s="1807"/>
      <c r="L3" s="948"/>
      <c r="M3" s="949"/>
      <c r="N3" s="950"/>
      <c r="O3" s="951"/>
    </row>
    <row r="4" spans="1:15" s="947" customFormat="1" ht="22.5" customHeight="1">
      <c r="A4" s="940"/>
      <c r="B4" s="1825"/>
      <c r="C4" s="1826"/>
      <c r="D4" s="1827"/>
      <c r="E4" s="952"/>
      <c r="F4" s="953"/>
      <c r="G4" s="953"/>
      <c r="H4" s="953"/>
      <c r="I4" s="953"/>
      <c r="J4" s="953"/>
      <c r="K4" s="954"/>
      <c r="L4" s="948"/>
      <c r="M4" s="949"/>
      <c r="N4" s="950"/>
      <c r="O4" s="951"/>
    </row>
    <row r="5" spans="1:15" s="947" customFormat="1" ht="20.100000000000001" customHeight="1">
      <c r="A5" s="940"/>
      <c r="B5" s="1825"/>
      <c r="C5" s="1826"/>
      <c r="D5" s="1827"/>
      <c r="E5" s="1828"/>
      <c r="F5" s="1829"/>
      <c r="G5" s="1829"/>
      <c r="H5" s="1829"/>
      <c r="I5" s="1829"/>
      <c r="J5" s="1829"/>
      <c r="K5" s="1830"/>
      <c r="L5" s="948"/>
      <c r="M5" s="949"/>
      <c r="N5" s="950"/>
      <c r="O5" s="951"/>
    </row>
    <row r="6" spans="1:15" s="947" customFormat="1" ht="27.75" customHeight="1">
      <c r="A6" s="940"/>
      <c r="B6" s="1802">
        <f>SYNTHESE!D7</f>
        <v>42800</v>
      </c>
      <c r="C6" s="1803"/>
      <c r="D6" s="1804"/>
      <c r="E6" s="1805" t="str">
        <f>SYNTHESE!E6</f>
        <v xml:space="preserve">LES FAUBOURGS D'ANFA </v>
      </c>
      <c r="F6" s="1806"/>
      <c r="G6" s="1806"/>
      <c r="H6" s="1806"/>
      <c r="I6" s="1806"/>
      <c r="J6" s="1806"/>
      <c r="K6" s="1807"/>
      <c r="L6" s="948"/>
      <c r="M6" s="949"/>
      <c r="N6" s="950"/>
      <c r="O6" s="951"/>
    </row>
    <row r="7" spans="1:15" s="947" customFormat="1" ht="20.100000000000001" customHeight="1">
      <c r="A7" s="940"/>
      <c r="B7" s="1802"/>
      <c r="C7" s="1803"/>
      <c r="D7" s="1804"/>
      <c r="E7" s="1805" t="str">
        <f>SYNTHESE!E7</f>
        <v>CASABLANCA</v>
      </c>
      <c r="F7" s="1806"/>
      <c r="G7" s="1806"/>
      <c r="H7" s="1806"/>
      <c r="I7" s="1806"/>
      <c r="J7" s="1806"/>
      <c r="K7" s="1807"/>
      <c r="L7" s="948"/>
      <c r="M7" s="949"/>
      <c r="N7" s="957"/>
      <c r="O7" s="951"/>
    </row>
    <row r="8" spans="1:15" s="966" customFormat="1" ht="20.100000000000001" customHeight="1" thickBot="1">
      <c r="A8" s="958"/>
      <c r="B8" s="959"/>
      <c r="C8" s="960"/>
      <c r="D8" s="961"/>
      <c r="E8" s="1808"/>
      <c r="F8" s="1809"/>
      <c r="G8" s="1809"/>
      <c r="H8" s="1809"/>
      <c r="I8" s="1809"/>
      <c r="J8" s="1809"/>
      <c r="K8" s="1810"/>
      <c r="L8" s="962"/>
      <c r="M8" s="963"/>
      <c r="N8" s="964"/>
      <c r="O8" s="965"/>
    </row>
    <row r="9" spans="1:15" s="935" customFormat="1" ht="28.5" customHeight="1" thickTop="1">
      <c r="B9" s="967"/>
      <c r="C9" s="968"/>
      <c r="D9" s="968"/>
      <c r="E9" s="969"/>
      <c r="F9" s="968"/>
      <c r="G9" s="968"/>
      <c r="H9" s="968"/>
      <c r="I9" s="970"/>
      <c r="J9" s="968"/>
      <c r="K9" s="970"/>
      <c r="L9" s="971"/>
      <c r="M9" s="972"/>
      <c r="N9" s="971"/>
      <c r="O9" s="973"/>
    </row>
    <row r="10" spans="1:15" s="966" customFormat="1" ht="40.5" customHeight="1">
      <c r="A10" s="974"/>
      <c r="B10" s="1811" t="s">
        <v>416</v>
      </c>
      <c r="C10" s="1812"/>
      <c r="D10" s="1813"/>
      <c r="E10" s="1813"/>
      <c r="F10" s="1813"/>
      <c r="G10" s="1813"/>
      <c r="H10" s="1813"/>
      <c r="I10" s="1813"/>
      <c r="J10" s="1813"/>
      <c r="K10" s="1813"/>
      <c r="L10" s="1813"/>
      <c r="M10" s="1813"/>
      <c r="N10" s="1813"/>
      <c r="O10" s="1814"/>
    </row>
    <row r="11" spans="1:15" s="935" customFormat="1" ht="36" customHeight="1">
      <c r="B11" s="1815" t="s">
        <v>2</v>
      </c>
      <c r="C11" s="1816"/>
      <c r="D11" s="1813"/>
      <c r="E11" s="1813"/>
      <c r="F11" s="1813"/>
      <c r="G11" s="1813"/>
      <c r="H11" s="1813"/>
      <c r="I11" s="1813"/>
      <c r="J11" s="1813"/>
      <c r="K11" s="1813"/>
      <c r="L11" s="1813"/>
      <c r="M11" s="1813"/>
      <c r="N11" s="1813"/>
      <c r="O11" s="1814"/>
    </row>
    <row r="12" spans="1:15" s="935" customFormat="1" ht="36" customHeight="1">
      <c r="B12" s="1815" t="s">
        <v>417</v>
      </c>
      <c r="C12" s="1816"/>
      <c r="D12" s="1813"/>
      <c r="E12" s="1813"/>
      <c r="F12" s="1813"/>
      <c r="G12" s="1813"/>
      <c r="H12" s="1813"/>
      <c r="I12" s="1813"/>
      <c r="J12" s="1813"/>
      <c r="K12" s="1813"/>
      <c r="L12" s="1813"/>
      <c r="M12" s="1813"/>
      <c r="N12" s="1813"/>
      <c r="O12" s="1814"/>
    </row>
    <row r="13" spans="1:15" s="935" customFormat="1" ht="17.25">
      <c r="B13" s="975"/>
      <c r="C13" s="968"/>
      <c r="D13" s="968"/>
      <c r="E13" s="969"/>
      <c r="F13" s="968"/>
      <c r="G13" s="968"/>
      <c r="H13" s="968"/>
      <c r="I13" s="970"/>
      <c r="J13" s="968"/>
      <c r="K13" s="970"/>
      <c r="L13" s="971"/>
      <c r="M13" s="972"/>
      <c r="N13" s="971"/>
      <c r="O13" s="973"/>
    </row>
    <row r="14" spans="1:15" s="976" customFormat="1" ht="39.950000000000003" customHeight="1">
      <c r="B14" s="977"/>
      <c r="C14" s="978" t="s">
        <v>418</v>
      </c>
      <c r="D14" s="979"/>
      <c r="E14" s="980"/>
      <c r="F14" s="1817"/>
      <c r="G14" s="1817"/>
      <c r="H14" s="1817"/>
      <c r="I14" s="1817"/>
      <c r="J14" s="1817"/>
      <c r="K14" s="1817"/>
      <c r="L14" s="1817"/>
      <c r="M14" s="1817"/>
      <c r="N14" s="1817"/>
      <c r="O14" s="1818"/>
    </row>
    <row r="15" spans="1:15" s="976" customFormat="1" ht="36" customHeight="1">
      <c r="B15" s="981"/>
      <c r="C15" s="982"/>
      <c r="D15" s="983" t="s">
        <v>419</v>
      </c>
      <c r="E15" s="980"/>
      <c r="F15" s="1817"/>
      <c r="G15" s="1817"/>
      <c r="H15" s="1819" t="str">
        <f>PROPER(SYNTHESE!D4)</f>
        <v>Point 50%</v>
      </c>
      <c r="I15" s="1819"/>
      <c r="J15" s="984"/>
      <c r="K15" s="985"/>
      <c r="L15" s="1820" t="s">
        <v>420</v>
      </c>
      <c r="M15" s="1820"/>
      <c r="N15" s="985"/>
      <c r="O15" s="986"/>
    </row>
    <row r="16" spans="1:15" s="976" customFormat="1" ht="23.25">
      <c r="B16" s="981"/>
      <c r="C16" s="982"/>
      <c r="D16" s="987" t="e">
        <f>DCH!K20/1000</f>
        <v>#REF!</v>
      </c>
      <c r="E16" s="980"/>
      <c r="F16" s="980"/>
      <c r="G16" s="980"/>
      <c r="H16" s="1821" t="e">
        <f>DCH!M20/1000</f>
        <v>#REF!</v>
      </c>
      <c r="I16" s="1821"/>
      <c r="J16" s="980"/>
      <c r="K16" s="980"/>
      <c r="L16" s="988" t="e">
        <f>D16-H16</f>
        <v>#REF!</v>
      </c>
      <c r="M16" s="989" t="e">
        <f>L16/D16</f>
        <v>#REF!</v>
      </c>
      <c r="N16" s="980"/>
      <c r="O16" s="990"/>
    </row>
    <row r="17" spans="2:15" s="976" customFormat="1" ht="23.25" customHeight="1">
      <c r="B17" s="981"/>
      <c r="C17" s="982"/>
      <c r="D17" s="979"/>
      <c r="E17" s="980"/>
      <c r="F17" s="980"/>
      <c r="G17" s="980"/>
      <c r="H17" s="980"/>
      <c r="I17" s="980"/>
      <c r="J17" s="980"/>
      <c r="K17" s="980"/>
      <c r="L17" s="980"/>
      <c r="M17" s="980"/>
      <c r="N17" s="980"/>
      <c r="O17" s="990"/>
    </row>
    <row r="18" spans="2:15" s="976" customFormat="1" ht="39.950000000000003" customHeight="1">
      <c r="B18" s="977"/>
      <c r="C18" s="978" t="s">
        <v>421</v>
      </c>
      <c r="D18" s="979"/>
      <c r="E18" s="980"/>
      <c r="F18" s="980"/>
      <c r="G18" s="980"/>
      <c r="H18" s="980"/>
      <c r="I18" s="980"/>
      <c r="J18" s="980"/>
      <c r="K18" s="980"/>
      <c r="L18" s="980"/>
      <c r="M18" s="980"/>
      <c r="N18" s="980"/>
      <c r="O18" s="990"/>
    </row>
    <row r="19" spans="2:15" s="991" customFormat="1" ht="39.950000000000003" customHeight="1">
      <c r="B19" s="992"/>
      <c r="C19" s="993"/>
      <c r="D19" s="994"/>
      <c r="E19" s="994"/>
      <c r="F19" s="980"/>
      <c r="G19" s="980"/>
      <c r="H19" s="980"/>
      <c r="I19" s="980"/>
      <c r="J19" s="980"/>
      <c r="K19" s="980"/>
      <c r="L19" s="980"/>
      <c r="M19" s="980"/>
      <c r="N19" s="980"/>
      <c r="O19" s="990"/>
    </row>
    <row r="20" spans="2:15" s="979" customFormat="1" ht="29.25" customHeight="1">
      <c r="B20" s="992"/>
      <c r="C20" s="995"/>
      <c r="D20" s="995"/>
      <c r="E20" s="994"/>
      <c r="F20" s="980"/>
      <c r="G20" s="980"/>
      <c r="H20" s="980"/>
      <c r="I20" s="980"/>
      <c r="J20" s="980"/>
      <c r="K20" s="980"/>
      <c r="L20" s="980"/>
      <c r="M20" s="980"/>
      <c r="N20" s="984"/>
      <c r="O20" s="996"/>
    </row>
    <row r="21" spans="2:15" s="979" customFormat="1" ht="27.75" customHeight="1">
      <c r="B21" s="992"/>
      <c r="C21" s="997"/>
      <c r="D21" s="998"/>
      <c r="E21" s="999"/>
      <c r="F21" s="1000"/>
      <c r="G21" s="1000"/>
      <c r="H21" s="1800" t="s">
        <v>422</v>
      </c>
      <c r="I21" s="1801"/>
      <c r="J21" s="1001" t="s">
        <v>423</v>
      </c>
      <c r="K21" s="1800" t="s">
        <v>424</v>
      </c>
      <c r="L21" s="1801"/>
      <c r="M21" s="980"/>
      <c r="N21" s="984"/>
      <c r="O21" s="996"/>
    </row>
    <row r="22" spans="2:15" s="979" customFormat="1" ht="27.75" customHeight="1">
      <c r="B22" s="992"/>
      <c r="C22" s="997"/>
      <c r="D22" s="1002" t="s">
        <v>425</v>
      </c>
      <c r="E22" s="1003"/>
      <c r="F22" s="1004"/>
      <c r="G22" s="1004"/>
      <c r="H22" s="1796" t="e">
        <f>'Synthese DS'!#REF!</f>
        <v>#REF!</v>
      </c>
      <c r="I22" s="1797"/>
      <c r="J22" s="1005" t="e">
        <f>'Synthese DS'!#REF!/'Synthese DS'!#REF!</f>
        <v>#REF!</v>
      </c>
      <c r="K22" s="1796" t="e">
        <f>H22*J22</f>
        <v>#REF!</v>
      </c>
      <c r="L22" s="1797"/>
      <c r="M22" s="980"/>
      <c r="N22" s="984"/>
      <c r="O22" s="996"/>
    </row>
    <row r="23" spans="2:15" s="979" customFormat="1" ht="27.75" customHeight="1">
      <c r="B23" s="992"/>
      <c r="C23" s="997"/>
      <c r="D23" s="1272" t="str">
        <f>PROPER(SYNTHESE!D4)</f>
        <v>Point 50%</v>
      </c>
      <c r="E23" s="1003"/>
      <c r="F23" s="1004"/>
      <c r="G23" s="1004"/>
      <c r="H23" s="1796" t="e">
        <f>'Synthese DS'!#REF!</f>
        <v>#REF!</v>
      </c>
      <c r="I23" s="1797"/>
      <c r="J23" s="1005" t="e">
        <f>'Synthese DS'!#REF!/'Synthese DS'!#REF!</f>
        <v>#REF!</v>
      </c>
      <c r="K23" s="1796" t="e">
        <f>H23*J23</f>
        <v>#REF!</v>
      </c>
      <c r="L23" s="1797"/>
      <c r="M23" s="980"/>
      <c r="N23" s="984"/>
      <c r="O23" s="996"/>
    </row>
    <row r="24" spans="2:15" s="979" customFormat="1" ht="27.75" customHeight="1">
      <c r="B24" s="992"/>
      <c r="C24" s="1006"/>
      <c r="D24" s="1007" t="s">
        <v>199</v>
      </c>
      <c r="E24" s="1008"/>
      <c r="F24" s="1009"/>
      <c r="G24" s="1009"/>
      <c r="H24" s="1798" t="e">
        <f>H22-H23</f>
        <v>#REF!</v>
      </c>
      <c r="I24" s="1799"/>
      <c r="J24" s="1010" t="e">
        <f>J22-J23</f>
        <v>#REF!</v>
      </c>
      <c r="K24" s="1798" t="e">
        <f>K22-K23</f>
        <v>#REF!</v>
      </c>
      <c r="L24" s="1799"/>
      <c r="M24" s="980"/>
      <c r="N24" s="984"/>
      <c r="O24" s="996"/>
    </row>
    <row r="25" spans="2:15" s="979" customFormat="1" ht="27.75" customHeight="1">
      <c r="B25" s="992"/>
      <c r="C25" s="1011"/>
      <c r="D25" s="1012"/>
      <c r="E25" s="1013"/>
      <c r="F25" s="1014"/>
      <c r="G25" s="1014"/>
      <c r="H25" s="1014"/>
      <c r="I25" s="1014"/>
      <c r="J25" s="1014"/>
      <c r="K25" s="1014"/>
      <c r="L25" s="1014"/>
      <c r="M25" s="980"/>
      <c r="N25" s="984"/>
      <c r="O25" s="996"/>
    </row>
    <row r="26" spans="2:15" s="979" customFormat="1" ht="27.75" customHeight="1">
      <c r="B26" s="992"/>
      <c r="C26" s="1015"/>
      <c r="D26" s="1016"/>
      <c r="E26" s="1016"/>
      <c r="F26" s="1017"/>
      <c r="G26" s="1017"/>
      <c r="H26" s="1795" t="s">
        <v>43</v>
      </c>
      <c r="I26" s="1795"/>
      <c r="J26" s="1017"/>
      <c r="K26" s="1795" t="s">
        <v>172</v>
      </c>
      <c r="L26" s="1791"/>
      <c r="M26" s="980"/>
      <c r="N26" s="1018"/>
      <c r="O26" s="1019"/>
    </row>
    <row r="27" spans="2:15" s="976" customFormat="1" ht="27.75" customHeight="1">
      <c r="B27" s="981"/>
      <c r="C27" s="1020"/>
      <c r="D27" s="1021" t="s">
        <v>426</v>
      </c>
      <c r="E27" s="1022"/>
      <c r="F27" s="1023"/>
      <c r="G27" s="1023"/>
      <c r="H27" s="1788" t="e">
        <f>K27/K24</f>
        <v>#REF!</v>
      </c>
      <c r="I27" s="1789"/>
      <c r="J27" s="1024"/>
      <c r="K27" s="1790" t="e">
        <f>H23*J24</f>
        <v>#REF!</v>
      </c>
      <c r="L27" s="1791"/>
      <c r="M27" s="980"/>
      <c r="N27" s="980"/>
      <c r="O27" s="990"/>
    </row>
    <row r="28" spans="2:15" s="976" customFormat="1" ht="27.75" customHeight="1">
      <c r="B28" s="981"/>
      <c r="C28" s="1020"/>
      <c r="D28" s="1021" t="s">
        <v>427</v>
      </c>
      <c r="E28" s="1022"/>
      <c r="F28" s="1023"/>
      <c r="G28" s="1023"/>
      <c r="H28" s="1788" t="e">
        <f>H24/H22</f>
        <v>#REF!</v>
      </c>
      <c r="I28" s="1789"/>
      <c r="J28" s="1024"/>
      <c r="K28" s="1790" t="e">
        <f>H24*J22</f>
        <v>#REF!</v>
      </c>
      <c r="L28" s="1791"/>
      <c r="M28" s="980"/>
      <c r="N28" s="980"/>
      <c r="O28" s="990"/>
    </row>
    <row r="29" spans="2:15" s="935" customFormat="1" ht="27.75" customHeight="1">
      <c r="B29" s="975"/>
      <c r="C29" s="1025"/>
      <c r="D29" s="1026"/>
      <c r="E29" s="1027"/>
      <c r="F29" s="1028"/>
      <c r="G29" s="1028"/>
      <c r="H29" s="1028"/>
      <c r="I29" s="1028"/>
      <c r="J29" s="1028"/>
      <c r="L29" s="1029"/>
      <c r="M29" s="980"/>
      <c r="N29" s="971"/>
      <c r="O29" s="973"/>
    </row>
    <row r="30" spans="2:15" s="976" customFormat="1" ht="27.75" customHeight="1">
      <c r="B30" s="981"/>
      <c r="C30" s="1025"/>
      <c r="D30" s="1027" t="s">
        <v>428</v>
      </c>
      <c r="E30" s="1030"/>
      <c r="F30" s="1031"/>
      <c r="G30" s="1031"/>
      <c r="H30" s="1031"/>
      <c r="I30" s="1031"/>
      <c r="J30" s="1031"/>
      <c r="K30" s="980"/>
      <c r="L30" s="980"/>
      <c r="M30" s="980"/>
      <c r="N30" s="980"/>
      <c r="O30" s="990"/>
    </row>
    <row r="31" spans="2:15" s="976" customFormat="1" ht="27.75" customHeight="1">
      <c r="B31" s="981"/>
      <c r="C31" s="1025"/>
      <c r="D31" s="1027" t="s">
        <v>429</v>
      </c>
      <c r="E31" s="1030"/>
      <c r="F31" s="1031"/>
      <c r="G31" s="1031"/>
      <c r="H31" s="1031"/>
      <c r="I31" s="1031"/>
      <c r="J31" s="1031"/>
      <c r="K31" s="980"/>
      <c r="L31" s="980"/>
      <c r="M31" s="980"/>
      <c r="N31" s="980"/>
      <c r="O31" s="990"/>
    </row>
    <row r="32" spans="2:15" s="976" customFormat="1" ht="27.75" customHeight="1">
      <c r="B32" s="981"/>
      <c r="C32" s="1025"/>
      <c r="D32" s="1027"/>
      <c r="E32" s="1030"/>
      <c r="F32" s="1031"/>
      <c r="G32" s="1031"/>
      <c r="H32" s="1031"/>
      <c r="I32" s="1031"/>
      <c r="J32" s="1031"/>
      <c r="K32" s="980"/>
      <c r="L32" s="980"/>
      <c r="M32" s="980"/>
      <c r="N32" s="980"/>
      <c r="O32" s="990"/>
    </row>
    <row r="33" spans="2:15" s="976" customFormat="1" ht="27.75" customHeight="1">
      <c r="B33" s="981"/>
      <c r="C33" s="1025"/>
      <c r="D33" s="1026"/>
      <c r="E33" s="1027"/>
      <c r="F33" s="980"/>
      <c r="G33" s="980"/>
      <c r="H33" s="980"/>
      <c r="I33" s="980"/>
      <c r="J33" s="980"/>
      <c r="K33" s="980"/>
      <c r="L33" s="980"/>
      <c r="M33" s="980"/>
      <c r="N33" s="980"/>
      <c r="O33" s="990"/>
    </row>
    <row r="34" spans="2:15" s="979" customFormat="1" ht="27.75" customHeight="1">
      <c r="B34" s="1032"/>
      <c r="C34" s="1033" t="s">
        <v>430</v>
      </c>
      <c r="D34" s="1034"/>
      <c r="E34" s="1035"/>
      <c r="F34" s="1036"/>
      <c r="G34" s="1036"/>
      <c r="H34" s="1036"/>
      <c r="I34" s="1036"/>
      <c r="J34" s="1036"/>
      <c r="K34" s="1036"/>
      <c r="L34" s="1036"/>
      <c r="M34" s="980"/>
      <c r="N34" s="984"/>
      <c r="O34" s="996"/>
    </row>
    <row r="35" spans="2:15" s="979" customFormat="1" ht="27.75" customHeight="1">
      <c r="B35" s="981"/>
      <c r="C35" s="995"/>
      <c r="D35" s="995"/>
      <c r="E35" s="994"/>
      <c r="F35" s="980"/>
      <c r="G35" s="980"/>
      <c r="H35" s="980"/>
      <c r="I35" s="980"/>
      <c r="J35" s="980"/>
      <c r="K35" s="980"/>
      <c r="L35" s="980"/>
      <c r="M35" s="980"/>
      <c r="N35" s="984"/>
      <c r="O35" s="996"/>
    </row>
    <row r="36" spans="2:15" s="979" customFormat="1" ht="27.75" customHeight="1">
      <c r="B36" s="1037"/>
      <c r="C36" s="997"/>
      <c r="D36" s="1038"/>
      <c r="E36" s="1003"/>
      <c r="F36" s="1004"/>
      <c r="G36" s="1004"/>
      <c r="H36" s="1796" t="s">
        <v>422</v>
      </c>
      <c r="I36" s="1797"/>
      <c r="J36" s="1039" t="s">
        <v>423</v>
      </c>
      <c r="K36" s="1796" t="s">
        <v>424</v>
      </c>
      <c r="L36" s="1797"/>
      <c r="M36" s="980"/>
      <c r="N36" s="1018"/>
      <c r="O36" s="1019"/>
    </row>
    <row r="37" spans="2:15" s="935" customFormat="1" ht="27.75" customHeight="1">
      <c r="B37" s="975"/>
      <c r="C37" s="997"/>
      <c r="D37" s="1002" t="s">
        <v>432</v>
      </c>
      <c r="E37" s="1003"/>
      <c r="F37" s="1004"/>
      <c r="G37" s="1004"/>
      <c r="H37" s="1796" t="e">
        <f>'Synthese DS'!#REF!</f>
        <v>#REF!</v>
      </c>
      <c r="I37" s="1797"/>
      <c r="J37" s="1005" t="e">
        <f>'Synthese DS'!#REF!/'Synthese DS'!#REF!</f>
        <v>#REF!</v>
      </c>
      <c r="K37" s="1796" t="e">
        <f>H37*J37</f>
        <v>#REF!</v>
      </c>
      <c r="L37" s="1797"/>
      <c r="M37" s="980"/>
      <c r="N37" s="971"/>
      <c r="O37" s="973"/>
    </row>
    <row r="38" spans="2:15" s="935" customFormat="1" ht="27.75" customHeight="1">
      <c r="B38" s="975"/>
      <c r="C38" s="997"/>
      <c r="D38" s="1272" t="str">
        <f>PROPER(SYNTHESE!D4)</f>
        <v>Point 50%</v>
      </c>
      <c r="E38" s="1003"/>
      <c r="F38" s="1004"/>
      <c r="G38" s="1004"/>
      <c r="H38" s="1796" t="e">
        <f>'Synthese DS'!#REF!</f>
        <v>#REF!</v>
      </c>
      <c r="I38" s="1797"/>
      <c r="J38" s="1005" t="e">
        <f>'Synthese DS'!#REF!/'Synthese DS'!#REF!</f>
        <v>#REF!</v>
      </c>
      <c r="K38" s="1796" t="e">
        <f>H38*J38</f>
        <v>#REF!</v>
      </c>
      <c r="L38" s="1797"/>
      <c r="M38" s="980"/>
      <c r="N38" s="971"/>
      <c r="O38" s="973"/>
    </row>
    <row r="39" spans="2:15" s="935" customFormat="1" ht="27.75" customHeight="1">
      <c r="B39" s="975"/>
      <c r="C39" s="1006"/>
      <c r="D39" s="1007" t="s">
        <v>199</v>
      </c>
      <c r="E39" s="1008"/>
      <c r="F39" s="1009"/>
      <c r="G39" s="1009"/>
      <c r="H39" s="1793" t="e">
        <f>H37-H38</f>
        <v>#REF!</v>
      </c>
      <c r="I39" s="1794"/>
      <c r="J39" s="1040" t="e">
        <f>J37-J38</f>
        <v>#REF!</v>
      </c>
      <c r="K39" s="1793" t="e">
        <f>K37-K38</f>
        <v>#REF!</v>
      </c>
      <c r="L39" s="1794"/>
      <c r="M39" s="980"/>
      <c r="N39" s="971"/>
      <c r="O39" s="973"/>
    </row>
    <row r="40" spans="2:15" s="935" customFormat="1" ht="27.75" customHeight="1">
      <c r="B40" s="975"/>
      <c r="C40" s="1011"/>
      <c r="D40" s="1041"/>
      <c r="E40" s="1042"/>
      <c r="F40" s="1043"/>
      <c r="G40" s="1043"/>
      <c r="H40" s="1043"/>
      <c r="I40" s="1043"/>
      <c r="J40" s="1043"/>
      <c r="K40" s="1043"/>
      <c r="L40" s="1043"/>
      <c r="M40" s="980"/>
      <c r="N40" s="971"/>
      <c r="O40" s="973"/>
    </row>
    <row r="41" spans="2:15" s="935" customFormat="1" ht="27.75" customHeight="1">
      <c r="B41" s="975"/>
      <c r="C41" s="1015"/>
      <c r="D41" s="1016"/>
      <c r="E41" s="1016"/>
      <c r="F41" s="1017"/>
      <c r="G41" s="1017"/>
      <c r="H41" s="1795" t="s">
        <v>43</v>
      </c>
      <c r="I41" s="1795"/>
      <c r="J41" s="1017"/>
      <c r="K41" s="1795" t="s">
        <v>172</v>
      </c>
      <c r="L41" s="1791"/>
      <c r="M41" s="980"/>
      <c r="N41" s="971"/>
      <c r="O41" s="973"/>
    </row>
    <row r="42" spans="2:15" s="935" customFormat="1" ht="27.75" customHeight="1">
      <c r="B42" s="975"/>
      <c r="C42" s="1020"/>
      <c r="D42" s="1021" t="s">
        <v>426</v>
      </c>
      <c r="E42" s="1022"/>
      <c r="F42" s="1023"/>
      <c r="G42" s="1023"/>
      <c r="H42" s="1788" t="e">
        <f>K42/K39</f>
        <v>#REF!</v>
      </c>
      <c r="I42" s="1789"/>
      <c r="J42" s="1024"/>
      <c r="K42" s="1790" t="e">
        <f>H38*J39</f>
        <v>#REF!</v>
      </c>
      <c r="L42" s="1791"/>
      <c r="M42" s="980"/>
      <c r="N42" s="971"/>
      <c r="O42" s="973"/>
    </row>
    <row r="43" spans="2:15" s="935" customFormat="1" ht="27.75" customHeight="1">
      <c r="B43" s="975"/>
      <c r="C43" s="1020"/>
      <c r="D43" s="1021" t="s">
        <v>427</v>
      </c>
      <c r="E43" s="1022"/>
      <c r="F43" s="1023"/>
      <c r="G43" s="1023"/>
      <c r="H43" s="1788" t="e">
        <f>H39/H37</f>
        <v>#REF!</v>
      </c>
      <c r="I43" s="1789"/>
      <c r="J43" s="1024"/>
      <c r="K43" s="1790" t="e">
        <f>H39*J37</f>
        <v>#REF!</v>
      </c>
      <c r="L43" s="1791"/>
      <c r="M43" s="980"/>
      <c r="N43" s="971"/>
      <c r="O43" s="973"/>
    </row>
    <row r="44" spans="2:15" s="935" customFormat="1" ht="27.75" customHeight="1">
      <c r="B44" s="975"/>
      <c r="C44" s="1025"/>
      <c r="D44" s="1027"/>
      <c r="E44" s="1031"/>
      <c r="F44" s="1031"/>
      <c r="G44" s="1031"/>
      <c r="H44" s="1031"/>
      <c r="I44" s="1031"/>
      <c r="J44" s="1031"/>
      <c r="K44" s="1786"/>
      <c r="L44" s="1786"/>
      <c r="M44" s="980"/>
      <c r="N44" s="971"/>
      <c r="O44" s="973"/>
    </row>
    <row r="45" spans="2:15" s="935" customFormat="1" ht="27.75" customHeight="1">
      <c r="B45" s="975"/>
      <c r="C45" s="1025"/>
      <c r="D45" s="1027"/>
      <c r="E45" s="1031"/>
      <c r="F45" s="1031"/>
      <c r="G45" s="1031"/>
      <c r="H45" s="1031"/>
      <c r="I45" s="1031"/>
      <c r="J45" s="1031"/>
      <c r="K45" s="1262"/>
      <c r="L45" s="1262"/>
      <c r="M45" s="980"/>
      <c r="N45" s="971"/>
      <c r="O45" s="973"/>
    </row>
    <row r="46" spans="2:15" s="935" customFormat="1" ht="27.75" customHeight="1">
      <c r="B46" s="975"/>
      <c r="C46" s="1025"/>
      <c r="D46" s="1027"/>
      <c r="E46" s="1031"/>
      <c r="F46" s="1031"/>
      <c r="G46" s="1031"/>
      <c r="H46" s="1031"/>
      <c r="I46" s="1031"/>
      <c r="J46" s="1031"/>
      <c r="K46" s="1262"/>
      <c r="L46" s="1262"/>
      <c r="M46" s="980"/>
      <c r="N46" s="971"/>
      <c r="O46" s="973"/>
    </row>
    <row r="47" spans="2:15" s="935" customFormat="1" ht="27.75" customHeight="1">
      <c r="B47" s="975"/>
      <c r="C47" s="1025"/>
      <c r="D47" s="1027"/>
      <c r="E47" s="1031"/>
      <c r="F47" s="1031"/>
      <c r="G47" s="1031"/>
      <c r="H47" s="1031"/>
      <c r="I47" s="1031"/>
      <c r="J47" s="1031"/>
      <c r="K47" s="1262"/>
      <c r="L47" s="1262"/>
      <c r="M47" s="980"/>
      <c r="N47" s="971"/>
      <c r="O47" s="973"/>
    </row>
    <row r="48" spans="2:15" s="935" customFormat="1" ht="27.75" customHeight="1">
      <c r="B48" s="975"/>
      <c r="C48" s="1025"/>
      <c r="D48" s="1027"/>
      <c r="E48" s="1031"/>
      <c r="F48" s="1031"/>
      <c r="G48" s="1031"/>
      <c r="H48" s="1031"/>
      <c r="I48" s="1031"/>
      <c r="J48" s="1031"/>
      <c r="K48" s="1045"/>
      <c r="L48" s="1045"/>
      <c r="M48" s="980"/>
      <c r="N48" s="971"/>
      <c r="O48" s="973"/>
    </row>
    <row r="49" spans="2:15" s="979" customFormat="1" ht="27.75" customHeight="1">
      <c r="B49" s="1032"/>
      <c r="C49" s="1033" t="s">
        <v>431</v>
      </c>
      <c r="D49" s="1034"/>
      <c r="E49" s="1035"/>
      <c r="F49" s="1036"/>
      <c r="G49" s="1036"/>
      <c r="H49" s="1036"/>
      <c r="I49" s="1036"/>
      <c r="J49" s="1036"/>
      <c r="K49" s="1036"/>
      <c r="L49" s="1036"/>
      <c r="M49" s="980"/>
      <c r="N49" s="984"/>
      <c r="O49" s="996"/>
    </row>
    <row r="50" spans="2:15" s="935" customFormat="1" ht="27.75" customHeight="1">
      <c r="B50" s="975"/>
      <c r="C50" s="995"/>
      <c r="D50" s="995"/>
      <c r="E50" s="1046"/>
      <c r="F50" s="1047"/>
      <c r="G50" s="1047"/>
      <c r="H50" s="1047"/>
      <c r="I50" s="1047"/>
      <c r="J50" s="1047"/>
      <c r="K50" s="1047"/>
      <c r="L50" s="1047"/>
      <c r="M50" s="980"/>
      <c r="N50" s="971"/>
      <c r="O50" s="973"/>
    </row>
    <row r="51" spans="2:15" s="935" customFormat="1" ht="27.75" customHeight="1">
      <c r="B51" s="975"/>
      <c r="C51" s="997"/>
      <c r="D51" s="1038"/>
      <c r="E51" s="1003"/>
      <c r="F51" s="1004"/>
      <c r="G51" s="1004"/>
      <c r="H51" s="1796" t="s">
        <v>422</v>
      </c>
      <c r="I51" s="1797"/>
      <c r="J51" s="1039" t="s">
        <v>423</v>
      </c>
      <c r="K51" s="1796" t="s">
        <v>424</v>
      </c>
      <c r="L51" s="1797"/>
      <c r="M51" s="980"/>
      <c r="N51" s="971"/>
      <c r="O51" s="973"/>
    </row>
    <row r="52" spans="2:15" s="935" customFormat="1" ht="27.75" customHeight="1">
      <c r="B52" s="975"/>
      <c r="C52" s="997"/>
      <c r="D52" s="1002" t="s">
        <v>432</v>
      </c>
      <c r="E52" s="1003"/>
      <c r="F52" s="1004"/>
      <c r="G52" s="1004"/>
      <c r="H52" s="1796" t="e">
        <f>'Synthese DS'!#REF!</f>
        <v>#REF!</v>
      </c>
      <c r="I52" s="1797"/>
      <c r="J52" s="1005" t="e">
        <f>'Synthese DS'!#REF!/'Synthese DS'!#REF!</f>
        <v>#REF!</v>
      </c>
      <c r="K52" s="1796" t="e">
        <f>H52*J52</f>
        <v>#REF!</v>
      </c>
      <c r="L52" s="1797"/>
      <c r="M52" s="980"/>
      <c r="N52" s="971"/>
      <c r="O52" s="973"/>
    </row>
    <row r="53" spans="2:15" s="935" customFormat="1" ht="27.75" customHeight="1">
      <c r="B53" s="975"/>
      <c r="C53" s="997"/>
      <c r="D53" s="1272" t="str">
        <f>PROPER(SYNTHESE!D4)</f>
        <v>Point 50%</v>
      </c>
      <c r="E53" s="1003"/>
      <c r="F53" s="1004"/>
      <c r="G53" s="1004"/>
      <c r="H53" s="1796" t="e">
        <f>'Synthese DS'!#REF!</f>
        <v>#REF!</v>
      </c>
      <c r="I53" s="1797"/>
      <c r="J53" s="1005" t="e">
        <f>'Synthese DS'!#REF!/'Synthese DS'!#REF!</f>
        <v>#REF!</v>
      </c>
      <c r="K53" s="1796" t="e">
        <f>H53*J53</f>
        <v>#REF!</v>
      </c>
      <c r="L53" s="1797"/>
      <c r="M53" s="980"/>
      <c r="N53" s="971"/>
      <c r="O53" s="973"/>
    </row>
    <row r="54" spans="2:15" s="935" customFormat="1" ht="27.75" customHeight="1">
      <c r="B54" s="975"/>
      <c r="C54" s="1006"/>
      <c r="D54" s="1007" t="s">
        <v>199</v>
      </c>
      <c r="E54" s="1008"/>
      <c r="F54" s="1009"/>
      <c r="G54" s="1009"/>
      <c r="H54" s="1793" t="e">
        <f>H52-H53</f>
        <v>#REF!</v>
      </c>
      <c r="I54" s="1794"/>
      <c r="J54" s="1040" t="e">
        <f>J52-J53</f>
        <v>#REF!</v>
      </c>
      <c r="K54" s="1793" t="e">
        <f>K52-K53</f>
        <v>#REF!</v>
      </c>
      <c r="L54" s="1794"/>
      <c r="M54" s="980"/>
      <c r="N54" s="971"/>
      <c r="O54" s="973"/>
    </row>
    <row r="55" spans="2:15" s="935" customFormat="1" ht="27.75" customHeight="1">
      <c r="B55" s="975"/>
      <c r="C55" s="1011"/>
      <c r="D55" s="1048"/>
      <c r="E55" s="1049"/>
      <c r="F55" s="1050"/>
      <c r="G55" s="1050"/>
      <c r="H55" s="1050"/>
      <c r="I55" s="1050"/>
      <c r="J55" s="1050"/>
      <c r="K55" s="1050"/>
      <c r="L55" s="1050"/>
      <c r="M55" s="980"/>
      <c r="N55" s="971"/>
      <c r="O55" s="973"/>
    </row>
    <row r="56" spans="2:15" s="935" customFormat="1" ht="27.75" customHeight="1">
      <c r="B56" s="975"/>
      <c r="C56" s="1015"/>
      <c r="D56" s="1016"/>
      <c r="E56" s="1016"/>
      <c r="F56" s="1017"/>
      <c r="G56" s="1017"/>
      <c r="H56" s="1795" t="s">
        <v>43</v>
      </c>
      <c r="I56" s="1795"/>
      <c r="J56" s="1017"/>
      <c r="K56" s="1795" t="s">
        <v>172</v>
      </c>
      <c r="L56" s="1791"/>
      <c r="M56" s="980"/>
      <c r="N56" s="971"/>
      <c r="O56" s="973"/>
    </row>
    <row r="57" spans="2:15" s="935" customFormat="1" ht="27.75" customHeight="1">
      <c r="B57" s="975"/>
      <c r="C57" s="1020"/>
      <c r="D57" s="1021" t="s">
        <v>426</v>
      </c>
      <c r="E57" s="1022"/>
      <c r="F57" s="1023"/>
      <c r="G57" s="1023"/>
      <c r="H57" s="1788" t="e">
        <f>K57/K54</f>
        <v>#REF!</v>
      </c>
      <c r="I57" s="1789"/>
      <c r="J57" s="1024"/>
      <c r="K57" s="1790" t="e">
        <f>H53*J54</f>
        <v>#REF!</v>
      </c>
      <c r="L57" s="1791"/>
      <c r="M57" s="980"/>
      <c r="N57" s="971"/>
      <c r="O57" s="973"/>
    </row>
    <row r="58" spans="2:15" s="935" customFormat="1" ht="27.75" customHeight="1">
      <c r="B58" s="975"/>
      <c r="C58" s="1020"/>
      <c r="D58" s="1021" t="s">
        <v>427</v>
      </c>
      <c r="E58" s="1022"/>
      <c r="F58" s="1023"/>
      <c r="G58" s="1023"/>
      <c r="H58" s="1788" t="e">
        <f>H54/H52</f>
        <v>#REF!</v>
      </c>
      <c r="I58" s="1789"/>
      <c r="J58" s="1024"/>
      <c r="K58" s="1790" t="e">
        <f>H54*J52</f>
        <v>#REF!</v>
      </c>
      <c r="L58" s="1791"/>
      <c r="M58" s="980"/>
      <c r="N58" s="971"/>
      <c r="O58" s="973"/>
    </row>
    <row r="59" spans="2:15" s="935" customFormat="1" ht="27.75" customHeight="1">
      <c r="B59" s="975"/>
      <c r="C59" s="1025"/>
      <c r="D59" s="1044"/>
      <c r="E59" s="980"/>
      <c r="F59" s="1028"/>
      <c r="G59" s="1028"/>
      <c r="H59" s="1028"/>
      <c r="I59" s="1028"/>
      <c r="J59" s="1028"/>
      <c r="K59" s="968"/>
      <c r="L59" s="1029"/>
      <c r="M59" s="980"/>
      <c r="N59" s="971"/>
      <c r="O59" s="973"/>
    </row>
    <row r="60" spans="2:15" s="935" customFormat="1" ht="27.75" customHeight="1">
      <c r="B60" s="975"/>
      <c r="C60" s="1025"/>
      <c r="D60" s="1044"/>
      <c r="E60" s="980"/>
      <c r="F60" s="1028"/>
      <c r="G60" s="1028"/>
      <c r="H60" s="1028"/>
      <c r="I60" s="1028"/>
      <c r="J60" s="1028"/>
      <c r="K60" s="968"/>
      <c r="L60" s="1029"/>
      <c r="M60" s="980"/>
      <c r="N60" s="971"/>
      <c r="O60" s="973"/>
    </row>
    <row r="61" spans="2:15" s="935" customFormat="1" ht="27.75" customHeight="1">
      <c r="B61" s="975"/>
      <c r="C61" s="1025"/>
      <c r="D61" s="1044"/>
      <c r="E61" s="980"/>
      <c r="F61" s="1028"/>
      <c r="G61" s="1028"/>
      <c r="H61" s="1028"/>
      <c r="I61" s="1028"/>
      <c r="J61" s="1028"/>
      <c r="K61" s="968"/>
      <c r="L61" s="1029"/>
      <c r="M61" s="980"/>
      <c r="N61" s="971"/>
      <c r="O61" s="973"/>
    </row>
    <row r="62" spans="2:15" s="935" customFormat="1" ht="27.75" customHeight="1">
      <c r="B62" s="975"/>
      <c r="C62" s="1025"/>
      <c r="D62" s="1044"/>
      <c r="E62" s="980"/>
      <c r="F62" s="1028"/>
      <c r="G62" s="1028"/>
      <c r="H62" s="1028"/>
      <c r="I62" s="1028"/>
      <c r="J62" s="1028"/>
      <c r="K62" s="968"/>
      <c r="L62" s="1029"/>
      <c r="M62" s="980"/>
      <c r="N62" s="971"/>
      <c r="O62" s="973"/>
    </row>
    <row r="63" spans="2:15" s="935" customFormat="1" ht="27.75" customHeight="1">
      <c r="B63" s="975"/>
      <c r="C63" s="968"/>
      <c r="D63" s="1044"/>
      <c r="E63" s="980"/>
      <c r="F63" s="1028"/>
      <c r="G63" s="1028"/>
      <c r="H63" s="1028"/>
      <c r="I63" s="1028"/>
      <c r="J63" s="1028"/>
      <c r="K63" s="968"/>
      <c r="L63" s="1051"/>
      <c r="M63" s="972"/>
      <c r="N63" s="971"/>
      <c r="O63" s="973"/>
    </row>
    <row r="64" spans="2:15" s="979" customFormat="1" ht="27.75" customHeight="1">
      <c r="B64" s="1032"/>
      <c r="C64" s="1033" t="s">
        <v>436</v>
      </c>
      <c r="D64" s="1034"/>
      <c r="E64" s="1035"/>
      <c r="F64" s="1052"/>
      <c r="G64" s="1052"/>
      <c r="H64" s="1052"/>
      <c r="I64" s="1052"/>
      <c r="J64" s="1052"/>
      <c r="K64" s="1792" t="e">
        <f>'Synthese DS'!#REF!/1000</f>
        <v>#REF!</v>
      </c>
      <c r="L64" s="1792"/>
      <c r="M64" s="1061"/>
      <c r="N64" s="984"/>
      <c r="O64" s="996"/>
    </row>
    <row r="65" spans="2:15" s="935" customFormat="1" ht="27.75" customHeight="1">
      <c r="B65" s="975"/>
      <c r="C65" s="1025"/>
      <c r="D65" s="1053" t="s">
        <v>433</v>
      </c>
      <c r="E65" s="980"/>
      <c r="F65" s="1028"/>
      <c r="G65" s="1028"/>
      <c r="H65" s="1028"/>
      <c r="I65" s="1028"/>
      <c r="J65" s="1028"/>
      <c r="K65" s="1786"/>
      <c r="L65" s="1786"/>
      <c r="M65" s="980"/>
      <c r="N65" s="971"/>
      <c r="O65" s="973"/>
    </row>
    <row r="66" spans="2:15" s="935" customFormat="1" ht="27.75" customHeight="1">
      <c r="B66" s="975"/>
      <c r="C66" s="1025"/>
      <c r="D66" s="1053" t="s">
        <v>435</v>
      </c>
      <c r="E66" s="980"/>
      <c r="F66" s="1028"/>
      <c r="G66" s="1028"/>
      <c r="H66" s="1028"/>
      <c r="I66" s="1028"/>
      <c r="J66" s="1028"/>
      <c r="K66" s="1786"/>
      <c r="L66" s="1786"/>
      <c r="M66" s="980"/>
      <c r="N66" s="971"/>
      <c r="O66" s="973"/>
    </row>
    <row r="67" spans="2:15" s="935" customFormat="1" ht="27.75" customHeight="1">
      <c r="B67" s="975"/>
      <c r="C67" s="1025"/>
      <c r="D67" s="1053" t="s">
        <v>434</v>
      </c>
      <c r="E67" s="1031"/>
      <c r="F67" s="1031"/>
      <c r="G67" s="1031"/>
      <c r="H67" s="1028"/>
      <c r="I67" s="1028"/>
      <c r="J67" s="1028"/>
      <c r="K67" s="1786"/>
      <c r="L67" s="1786"/>
      <c r="M67" s="980"/>
      <c r="N67" s="971"/>
      <c r="O67" s="973"/>
    </row>
    <row r="68" spans="2:15" s="935" customFormat="1" ht="27.75" customHeight="1" thickBot="1">
      <c r="B68" s="1054"/>
      <c r="C68" s="1055"/>
      <c r="D68" s="1056"/>
      <c r="E68" s="1057"/>
      <c r="F68" s="1058"/>
      <c r="G68" s="1058"/>
      <c r="H68" s="1058"/>
      <c r="I68" s="1058"/>
      <c r="J68" s="1058"/>
      <c r="K68" s="1787"/>
      <c r="L68" s="1787"/>
      <c r="M68" s="1057"/>
      <c r="N68" s="1059"/>
      <c r="O68" s="1060"/>
    </row>
    <row r="69" spans="2:15" ht="15.75" thickTop="1"/>
  </sheetData>
  <mergeCells count="65">
    <mergeCell ref="E2:K2"/>
    <mergeCell ref="B3:D5"/>
    <mergeCell ref="E3:K3"/>
    <mergeCell ref="E5:K5"/>
    <mergeCell ref="B6:D6"/>
    <mergeCell ref="E6:K6"/>
    <mergeCell ref="H21:I21"/>
    <mergeCell ref="K21:L21"/>
    <mergeCell ref="B7:D7"/>
    <mergeCell ref="E7:K7"/>
    <mergeCell ref="E8:K8"/>
    <mergeCell ref="B10:O10"/>
    <mergeCell ref="B11:O11"/>
    <mergeCell ref="B12:O12"/>
    <mergeCell ref="F14:O14"/>
    <mergeCell ref="F15:G15"/>
    <mergeCell ref="H15:I15"/>
    <mergeCell ref="L15:M15"/>
    <mergeCell ref="H16:I16"/>
    <mergeCell ref="H22:I22"/>
    <mergeCell ref="K22:L22"/>
    <mergeCell ref="H23:I23"/>
    <mergeCell ref="K23:L23"/>
    <mergeCell ref="H24:I24"/>
    <mergeCell ref="K24:L24"/>
    <mergeCell ref="H26:I26"/>
    <mergeCell ref="K26:L26"/>
    <mergeCell ref="H27:I27"/>
    <mergeCell ref="K27:L27"/>
    <mergeCell ref="H28:I28"/>
    <mergeCell ref="K28:L28"/>
    <mergeCell ref="H36:I36"/>
    <mergeCell ref="K36:L36"/>
    <mergeCell ref="H37:I37"/>
    <mergeCell ref="K37:L37"/>
    <mergeCell ref="H38:I38"/>
    <mergeCell ref="K38:L38"/>
    <mergeCell ref="H43:I43"/>
    <mergeCell ref="K43:L43"/>
    <mergeCell ref="K44:L44"/>
    <mergeCell ref="H39:I39"/>
    <mergeCell ref="K39:L39"/>
    <mergeCell ref="H41:I41"/>
    <mergeCell ref="K41:L41"/>
    <mergeCell ref="H42:I42"/>
    <mergeCell ref="K42:L42"/>
    <mergeCell ref="H51:I51"/>
    <mergeCell ref="K51:L51"/>
    <mergeCell ref="H52:I52"/>
    <mergeCell ref="K52:L52"/>
    <mergeCell ref="H53:I53"/>
    <mergeCell ref="K53:L53"/>
    <mergeCell ref="H54:I54"/>
    <mergeCell ref="K54:L54"/>
    <mergeCell ref="H56:I56"/>
    <mergeCell ref="K56:L56"/>
    <mergeCell ref="H57:I57"/>
    <mergeCell ref="K57:L57"/>
    <mergeCell ref="K67:L67"/>
    <mergeCell ref="K68:L68"/>
    <mergeCell ref="H58:I58"/>
    <mergeCell ref="K58:L58"/>
    <mergeCell ref="K64:L64"/>
    <mergeCell ref="K65:L65"/>
    <mergeCell ref="K66:L66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A1:P106"/>
  <sheetViews>
    <sheetView showGridLines="0" zoomScale="70" zoomScaleNormal="70" zoomScalePageLayoutView="70" workbookViewId="0">
      <selection activeCell="B6" sqref="B6:D6"/>
    </sheetView>
  </sheetViews>
  <sheetFormatPr baseColWidth="10" defaultRowHeight="15"/>
  <cols>
    <col min="2" max="2" width="11.28515625" customWidth="1"/>
    <col min="3" max="3" width="13.7109375" customWidth="1"/>
    <col min="4" max="4" width="34.28515625" customWidth="1"/>
    <col min="5" max="5" width="18.7109375" customWidth="1"/>
    <col min="10" max="10" width="19.42578125" customWidth="1"/>
    <col min="11" max="11" width="17.140625" customWidth="1"/>
    <col min="12" max="12" width="25.7109375" customWidth="1"/>
    <col min="13" max="13" width="24.42578125" customWidth="1"/>
    <col min="14" max="14" width="13.7109375" customWidth="1"/>
    <col min="15" max="15" width="2.7109375" customWidth="1"/>
  </cols>
  <sheetData>
    <row r="1" spans="1:16" s="935" customFormat="1" ht="18" thickBot="1">
      <c r="E1" s="936"/>
      <c r="I1" s="937"/>
      <c r="K1" s="937"/>
      <c r="L1" s="938"/>
      <c r="M1" s="939"/>
      <c r="N1" s="938"/>
    </row>
    <row r="2" spans="1:16" s="947" customFormat="1" ht="19.5" customHeight="1" thickTop="1">
      <c r="A2" s="940"/>
      <c r="B2" s="941"/>
      <c r="C2" s="942"/>
      <c r="D2" s="943"/>
      <c r="E2" s="1822"/>
      <c r="F2" s="1823"/>
      <c r="G2" s="1823"/>
      <c r="H2" s="1823"/>
      <c r="I2" s="1823"/>
      <c r="J2" s="1823"/>
      <c r="K2" s="1824"/>
      <c r="L2" s="944"/>
      <c r="M2" s="942"/>
      <c r="N2" s="945"/>
      <c r="O2" s="946"/>
    </row>
    <row r="3" spans="1:16" s="947" customFormat="1" ht="22.5" customHeight="1">
      <c r="A3" s="940"/>
      <c r="B3" s="1825" t="str">
        <f>SYNTHESE!D4</f>
        <v>POINT 50%</v>
      </c>
      <c r="C3" s="1826"/>
      <c r="D3" s="1827"/>
      <c r="E3" s="1831" t="s">
        <v>15</v>
      </c>
      <c r="F3" s="1806"/>
      <c r="G3" s="1806"/>
      <c r="H3" s="1806"/>
      <c r="I3" s="1806"/>
      <c r="J3" s="1806"/>
      <c r="K3" s="1807"/>
      <c r="L3" s="948"/>
      <c r="M3" s="949"/>
      <c r="N3" s="950"/>
      <c r="O3" s="951"/>
    </row>
    <row r="4" spans="1:16" s="947" customFormat="1" ht="22.5" customHeight="1">
      <c r="A4" s="940"/>
      <c r="B4" s="1825"/>
      <c r="C4" s="1826"/>
      <c r="D4" s="1827"/>
      <c r="E4" s="1067"/>
      <c r="F4" s="955"/>
      <c r="G4" s="955"/>
      <c r="H4" s="955"/>
      <c r="I4" s="955"/>
      <c r="J4" s="955"/>
      <c r="K4" s="956"/>
      <c r="L4" s="948"/>
      <c r="M4" s="949"/>
      <c r="N4" s="950"/>
      <c r="O4" s="951"/>
    </row>
    <row r="5" spans="1:16" s="947" customFormat="1" ht="20.100000000000001" customHeight="1">
      <c r="A5" s="940"/>
      <c r="B5" s="1825"/>
      <c r="C5" s="1826"/>
      <c r="D5" s="1827"/>
      <c r="E5" s="1832"/>
      <c r="F5" s="1829"/>
      <c r="G5" s="1829"/>
      <c r="H5" s="1829"/>
      <c r="I5" s="1829"/>
      <c r="J5" s="1829"/>
      <c r="K5" s="1830"/>
      <c r="L5" s="948"/>
      <c r="M5" s="949"/>
      <c r="N5" s="950"/>
      <c r="O5" s="951"/>
    </row>
    <row r="6" spans="1:16" s="947" customFormat="1" ht="27.75">
      <c r="A6" s="940"/>
      <c r="B6" s="1802">
        <f>SYNTHESE!D7</f>
        <v>42800</v>
      </c>
      <c r="C6" s="1803"/>
      <c r="D6" s="1804"/>
      <c r="E6" s="1831" t="str">
        <f>SYNTHESE!E6</f>
        <v xml:space="preserve">LES FAUBOURGS D'ANFA </v>
      </c>
      <c r="F6" s="1806"/>
      <c r="G6" s="1806"/>
      <c r="H6" s="1806"/>
      <c r="I6" s="1806"/>
      <c r="J6" s="1806"/>
      <c r="K6" s="1807"/>
      <c r="L6" s="948"/>
      <c r="M6" s="949"/>
      <c r="N6" s="950"/>
      <c r="O6" s="951"/>
    </row>
    <row r="7" spans="1:16" s="947" customFormat="1" ht="27.75" customHeight="1">
      <c r="A7" s="940"/>
      <c r="B7" s="1802"/>
      <c r="C7" s="1803"/>
      <c r="D7" s="1804"/>
      <c r="E7" s="1831" t="str">
        <f>SYNTHESE!E7</f>
        <v>CASABLANCA</v>
      </c>
      <c r="F7" s="1806"/>
      <c r="G7" s="1806"/>
      <c r="H7" s="1806"/>
      <c r="I7" s="1806"/>
      <c r="J7" s="1806"/>
      <c r="K7" s="1807"/>
      <c r="L7" s="948"/>
      <c r="M7" s="949"/>
      <c r="N7" s="957"/>
      <c r="O7" s="951"/>
    </row>
    <row r="8" spans="1:16" s="966" customFormat="1" ht="20.100000000000001" customHeight="1" thickBot="1">
      <c r="A8" s="958"/>
      <c r="B8" s="959"/>
      <c r="C8" s="960"/>
      <c r="D8" s="961"/>
      <c r="E8" s="1808"/>
      <c r="F8" s="1809"/>
      <c r="G8" s="1809"/>
      <c r="H8" s="1809"/>
      <c r="I8" s="1809"/>
      <c r="J8" s="1809"/>
      <c r="K8" s="1810"/>
      <c r="L8" s="962"/>
      <c r="M8" s="963"/>
      <c r="N8" s="964"/>
      <c r="O8" s="965"/>
    </row>
    <row r="9" spans="1:16" s="935" customFormat="1" ht="40.5" customHeight="1" thickTop="1">
      <c r="B9" s="967"/>
      <c r="C9" s="968"/>
      <c r="D9" s="968"/>
      <c r="E9" s="969"/>
      <c r="F9" s="968"/>
      <c r="G9" s="968"/>
      <c r="H9" s="968"/>
      <c r="I9" s="970"/>
      <c r="J9" s="968"/>
      <c r="K9" s="970"/>
      <c r="L9" s="971"/>
      <c r="M9" s="972"/>
      <c r="N9" s="971"/>
      <c r="O9" s="973"/>
    </row>
    <row r="10" spans="1:16" s="966" customFormat="1" ht="40.5" customHeight="1">
      <c r="A10" s="974"/>
      <c r="B10" s="1834" t="s">
        <v>416</v>
      </c>
      <c r="C10" s="1835"/>
      <c r="D10" s="1836"/>
      <c r="E10" s="1836"/>
      <c r="F10" s="1836"/>
      <c r="G10" s="1836"/>
      <c r="H10" s="1836"/>
      <c r="I10" s="1836"/>
      <c r="J10" s="1836"/>
      <c r="K10" s="1836"/>
      <c r="L10" s="1836"/>
      <c r="M10" s="1836"/>
      <c r="N10" s="1836"/>
      <c r="O10" s="1837"/>
    </row>
    <row r="11" spans="1:16" s="935" customFormat="1" ht="100.5" customHeight="1">
      <c r="B11" s="1838" t="s">
        <v>451</v>
      </c>
      <c r="C11" s="1839"/>
      <c r="D11" s="1836"/>
      <c r="E11" s="1836"/>
      <c r="F11" s="1836"/>
      <c r="G11" s="1836"/>
      <c r="H11" s="1836"/>
      <c r="I11" s="1836"/>
      <c r="J11" s="1836"/>
      <c r="K11" s="1836"/>
      <c r="L11" s="1836"/>
      <c r="M11" s="1836"/>
      <c r="N11" s="1836"/>
      <c r="O11" s="1837"/>
    </row>
    <row r="12" spans="1:16" s="935" customFormat="1" ht="25.5" customHeight="1">
      <c r="B12" s="1069"/>
      <c r="C12" s="1070"/>
      <c r="D12" s="1070"/>
      <c r="E12" s="1071"/>
      <c r="F12" s="1072"/>
      <c r="G12" s="1072"/>
      <c r="H12" s="1072"/>
      <c r="I12" s="1072"/>
      <c r="J12" s="1072"/>
      <c r="K12" s="1072"/>
      <c r="L12" s="1072"/>
      <c r="M12" s="1072"/>
      <c r="N12" s="1072"/>
      <c r="O12" s="1073"/>
    </row>
    <row r="13" spans="1:16" s="935" customFormat="1" ht="18" customHeight="1">
      <c r="B13" s="975"/>
      <c r="C13" s="968"/>
      <c r="D13" s="968"/>
      <c r="E13" s="969"/>
      <c r="F13" s="968"/>
      <c r="G13" s="968"/>
      <c r="H13" s="968"/>
      <c r="I13" s="970"/>
      <c r="J13" s="968"/>
      <c r="K13" s="970"/>
      <c r="L13" s="971"/>
      <c r="M13" s="972"/>
      <c r="N13" s="971"/>
      <c r="O13" s="973"/>
    </row>
    <row r="14" spans="1:16" s="976" customFormat="1" ht="39.950000000000003" customHeight="1">
      <c r="B14" s="977"/>
      <c r="C14" s="978" t="s">
        <v>418</v>
      </c>
      <c r="D14" s="979"/>
      <c r="E14" s="980"/>
      <c r="F14" s="1817"/>
      <c r="G14" s="1817"/>
      <c r="H14" s="1817"/>
      <c r="I14" s="1817"/>
      <c r="J14" s="1817"/>
      <c r="K14" s="1817"/>
      <c r="L14" s="1817"/>
      <c r="M14" s="1817"/>
      <c r="N14" s="1817"/>
      <c r="O14" s="1818"/>
    </row>
    <row r="15" spans="1:16" s="976" customFormat="1" ht="39.950000000000003" customHeight="1">
      <c r="B15" s="1074"/>
      <c r="C15" s="1075"/>
      <c r="D15" s="1076" t="s">
        <v>337</v>
      </c>
      <c r="E15" s="1047"/>
      <c r="F15" s="1077"/>
      <c r="G15" s="1077"/>
      <c r="H15" s="1840" t="str">
        <f>PROPER(SYNTHESE!D4)</f>
        <v>Point 50%</v>
      </c>
      <c r="I15" s="1840"/>
      <c r="J15" s="1077"/>
      <c r="K15" s="1077"/>
      <c r="L15" s="1841" t="s">
        <v>420</v>
      </c>
      <c r="M15" s="1841"/>
      <c r="N15" s="985"/>
      <c r="O15" s="986"/>
    </row>
    <row r="16" spans="1:16" s="976" customFormat="1" ht="39.950000000000003" customHeight="1">
      <c r="B16" s="1074"/>
      <c r="C16" s="1075"/>
      <c r="D16" s="1079" t="e">
        <f>DCH!K41/1000</f>
        <v>#REF!</v>
      </c>
      <c r="E16" s="1080"/>
      <c r="F16" s="1080"/>
      <c r="G16" s="1080"/>
      <c r="H16" s="1842" t="e">
        <f>DCH!M41/1000</f>
        <v>#REF!</v>
      </c>
      <c r="I16" s="1842"/>
      <c r="J16" s="1080"/>
      <c r="K16" s="1080"/>
      <c r="L16" s="1081" t="e">
        <f>D16-H16</f>
        <v>#REF!</v>
      </c>
      <c r="M16" s="1082" t="e">
        <f>L16/D16</f>
        <v>#REF!</v>
      </c>
      <c r="N16" s="980"/>
      <c r="O16" s="990"/>
      <c r="P16" s="1083"/>
    </row>
    <row r="17" spans="2:15" s="976" customFormat="1" ht="39.950000000000003" customHeight="1">
      <c r="B17" s="1074"/>
      <c r="C17" s="1075"/>
      <c r="D17" s="979"/>
      <c r="E17" s="980"/>
      <c r="F17" s="985"/>
      <c r="G17" s="985"/>
      <c r="H17" s="985"/>
      <c r="I17" s="980"/>
      <c r="J17" s="980"/>
      <c r="K17" s="980"/>
      <c r="L17" s="1045"/>
      <c r="N17" s="985"/>
      <c r="O17" s="986"/>
    </row>
    <row r="18" spans="2:15" s="976" customFormat="1" ht="39.950000000000003" customHeight="1">
      <c r="B18" s="1074"/>
      <c r="C18" s="1075"/>
      <c r="D18" s="979"/>
      <c r="E18" s="980"/>
      <c r="F18" s="985"/>
      <c r="G18" s="985"/>
      <c r="H18" s="985"/>
      <c r="I18" s="985"/>
      <c r="J18" s="985"/>
      <c r="K18" s="985"/>
      <c r="L18" s="985"/>
      <c r="M18" s="985"/>
      <c r="N18" s="985"/>
      <c r="O18" s="986"/>
    </row>
    <row r="19" spans="2:15" s="976" customFormat="1" ht="39.950000000000003" customHeight="1">
      <c r="B19" s="977"/>
      <c r="C19" s="978" t="s">
        <v>421</v>
      </c>
      <c r="D19" s="979"/>
      <c r="E19" s="980"/>
      <c r="F19" s="1817"/>
      <c r="G19" s="1817"/>
      <c r="H19" s="1817"/>
      <c r="I19" s="1817"/>
      <c r="J19" s="1817"/>
      <c r="K19" s="1817"/>
      <c r="L19" s="1817"/>
      <c r="M19" s="1817"/>
      <c r="N19" s="1817"/>
      <c r="O19" s="1818"/>
    </row>
    <row r="20" spans="2:15" s="991" customFormat="1" ht="39.75" customHeight="1">
      <c r="B20" s="1084"/>
      <c r="C20" s="1085"/>
      <c r="D20" s="994"/>
      <c r="E20" s="994"/>
      <c r="F20" s="1817"/>
      <c r="G20" s="1817"/>
      <c r="H20" s="1817"/>
      <c r="I20" s="1817"/>
      <c r="J20" s="1817"/>
      <c r="K20" s="1817"/>
      <c r="L20" s="1817"/>
      <c r="M20" s="1817"/>
      <c r="N20" s="1817"/>
      <c r="O20" s="1818"/>
    </row>
    <row r="21" spans="2:15" s="979" customFormat="1" ht="29.25" customHeight="1">
      <c r="B21" s="1086"/>
      <c r="C21" s="1087" t="s">
        <v>88</v>
      </c>
      <c r="D21" s="1088"/>
      <c r="E21" s="1036"/>
      <c r="F21" s="1089"/>
      <c r="G21" s="1089"/>
      <c r="H21" s="1089"/>
      <c r="I21" s="1089"/>
      <c r="J21" s="1089"/>
      <c r="K21" s="1089"/>
      <c r="L21" s="1090" t="e">
        <f>'RECAP IND'!J13/1000</f>
        <v>#REF!</v>
      </c>
      <c r="M21" s="1091" t="e">
        <f>'RECAP IND'!K13</f>
        <v>#REF!</v>
      </c>
      <c r="N21" s="1092"/>
      <c r="O21" s="996"/>
    </row>
    <row r="22" spans="2:15" s="979" customFormat="1" ht="22.5" customHeight="1">
      <c r="B22" s="1086"/>
      <c r="E22" s="980"/>
      <c r="F22" s="984"/>
      <c r="G22" s="980"/>
      <c r="H22" s="984"/>
      <c r="I22" s="984"/>
      <c r="J22" s="984"/>
      <c r="K22" s="984"/>
      <c r="L22" s="984"/>
      <c r="M22" s="1093"/>
      <c r="N22" s="984"/>
      <c r="O22" s="996"/>
    </row>
    <row r="23" spans="2:15" s="979" customFormat="1" ht="23.1" customHeight="1">
      <c r="B23" s="1037"/>
      <c r="C23" s="979" t="s">
        <v>452</v>
      </c>
      <c r="E23" s="980"/>
      <c r="G23" s="980"/>
      <c r="H23" s="984"/>
      <c r="I23" s="984"/>
      <c r="J23" s="984"/>
      <c r="K23" s="984"/>
      <c r="L23" s="1094"/>
      <c r="M23" s="1095"/>
      <c r="N23" s="1018"/>
      <c r="O23" s="1019"/>
    </row>
    <row r="24" spans="2:15" s="976" customFormat="1" ht="23.1" customHeight="1">
      <c r="B24" s="1074"/>
      <c r="C24" s="1096"/>
      <c r="D24" s="979"/>
      <c r="E24" s="980"/>
      <c r="F24" s="985"/>
      <c r="G24" s="985"/>
      <c r="H24" s="985"/>
      <c r="I24" s="985"/>
      <c r="J24" s="985"/>
      <c r="K24" s="985"/>
      <c r="L24" s="1094"/>
      <c r="M24" s="985"/>
      <c r="N24" s="985"/>
      <c r="O24" s="986"/>
    </row>
    <row r="25" spans="2:15" s="976" customFormat="1" ht="23.1" customHeight="1">
      <c r="B25" s="1074"/>
      <c r="C25" s="1096"/>
      <c r="D25" s="979"/>
      <c r="E25" s="980"/>
      <c r="F25" s="985"/>
      <c r="G25" s="985"/>
      <c r="H25" s="985"/>
      <c r="I25" s="985"/>
      <c r="J25" s="985"/>
      <c r="K25" s="985"/>
      <c r="L25" s="1094"/>
      <c r="M25" s="985"/>
      <c r="N25" s="985"/>
      <c r="O25" s="986"/>
    </row>
    <row r="26" spans="2:15" s="976" customFormat="1" ht="22.5" customHeight="1">
      <c r="B26" s="1074"/>
      <c r="C26" s="1096"/>
      <c r="D26" s="979"/>
      <c r="E26" s="980"/>
      <c r="F26" s="985"/>
      <c r="G26" s="985"/>
      <c r="H26" s="985"/>
      <c r="I26" s="985"/>
      <c r="J26" s="985"/>
      <c r="K26" s="985"/>
      <c r="L26" s="985"/>
      <c r="M26" s="985"/>
      <c r="N26" s="985"/>
      <c r="O26" s="986"/>
    </row>
    <row r="27" spans="2:15" s="979" customFormat="1" ht="29.25" customHeight="1">
      <c r="B27" s="1086"/>
      <c r="C27" s="1087" t="s">
        <v>89</v>
      </c>
      <c r="D27" s="1088"/>
      <c r="E27" s="1036"/>
      <c r="F27" s="1089"/>
      <c r="G27" s="1089"/>
      <c r="H27" s="1089"/>
      <c r="I27" s="1089"/>
      <c r="J27" s="1089"/>
      <c r="K27" s="1089"/>
      <c r="L27" s="1090" t="e">
        <f>'RECAP IND'!J14/1000</f>
        <v>#REF!</v>
      </c>
      <c r="M27" s="1091" t="e">
        <f>'RECAP IND'!K14</f>
        <v>#REF!</v>
      </c>
      <c r="N27" s="984"/>
      <c r="O27" s="996"/>
    </row>
    <row r="28" spans="2:15" s="979" customFormat="1" ht="23.1" customHeight="1">
      <c r="B28" s="1074"/>
      <c r="C28" s="979" t="s">
        <v>453</v>
      </c>
      <c r="E28" s="980"/>
      <c r="F28" s="984"/>
      <c r="G28" s="980"/>
      <c r="H28" s="984"/>
      <c r="I28" s="984"/>
      <c r="J28" s="984"/>
      <c r="K28" s="984"/>
      <c r="L28" s="1094"/>
      <c r="M28" s="984"/>
      <c r="N28" s="984"/>
      <c r="O28" s="996"/>
    </row>
    <row r="29" spans="2:15" s="979" customFormat="1" ht="23.1" customHeight="1">
      <c r="B29" s="1074"/>
      <c r="C29" s="979" t="s">
        <v>454</v>
      </c>
      <c r="E29" s="980"/>
      <c r="F29" s="984"/>
      <c r="G29" s="980"/>
      <c r="H29" s="984"/>
      <c r="I29" s="984"/>
      <c r="J29" s="984"/>
      <c r="K29" s="984"/>
      <c r="L29" s="1094"/>
      <c r="M29" s="984"/>
      <c r="N29" s="984"/>
      <c r="O29" s="996"/>
    </row>
    <row r="30" spans="2:15" s="979" customFormat="1" ht="23.1" customHeight="1">
      <c r="B30" s="1074"/>
      <c r="C30" s="1096"/>
      <c r="E30" s="980"/>
      <c r="F30" s="984"/>
      <c r="G30" s="980"/>
      <c r="H30" s="984"/>
      <c r="I30" s="984"/>
      <c r="J30" s="984"/>
      <c r="K30" s="984"/>
      <c r="L30" s="1094"/>
      <c r="M30" s="984"/>
      <c r="N30" s="984"/>
      <c r="O30" s="996"/>
    </row>
    <row r="31" spans="2:15" s="979" customFormat="1" ht="23.1" customHeight="1">
      <c r="B31" s="1037"/>
      <c r="C31" s="1096"/>
      <c r="L31" s="1094"/>
      <c r="M31" s="1095"/>
      <c r="N31" s="1018"/>
      <c r="O31" s="1019"/>
    </row>
    <row r="32" spans="2:15" s="979" customFormat="1" ht="23.1" customHeight="1">
      <c r="B32" s="1074"/>
      <c r="C32" s="1096"/>
      <c r="E32" s="980"/>
      <c r="F32" s="984"/>
      <c r="G32" s="980"/>
      <c r="H32" s="984"/>
      <c r="I32" s="984"/>
      <c r="J32" s="984"/>
      <c r="K32" s="984"/>
      <c r="L32" s="1094"/>
      <c r="M32" s="984"/>
      <c r="N32" s="984"/>
      <c r="O32" s="996"/>
    </row>
    <row r="33" spans="2:15" s="979" customFormat="1" ht="29.25" customHeight="1">
      <c r="B33" s="1086"/>
      <c r="C33" s="1087" t="s">
        <v>369</v>
      </c>
      <c r="D33" s="1088"/>
      <c r="E33" s="1036"/>
      <c r="F33" s="1089"/>
      <c r="G33" s="1089"/>
      <c r="H33" s="1089"/>
      <c r="I33" s="1089"/>
      <c r="J33" s="1089"/>
      <c r="K33" s="1089"/>
      <c r="L33" s="1090" t="e">
        <f>'RECAP IND'!J15/1000</f>
        <v>#REF!</v>
      </c>
      <c r="M33" s="1091" t="e">
        <f>'RECAP IND'!K15</f>
        <v>#REF!</v>
      </c>
      <c r="N33" s="984"/>
      <c r="O33" s="996"/>
    </row>
    <row r="34" spans="2:15" s="935" customFormat="1" ht="23.1" customHeight="1">
      <c r="B34" s="975"/>
      <c r="C34" s="979" t="s">
        <v>455</v>
      </c>
      <c r="D34" s="968"/>
      <c r="E34" s="969"/>
      <c r="F34" s="968"/>
      <c r="G34" s="968"/>
      <c r="H34" s="968"/>
      <c r="I34" s="970"/>
      <c r="J34" s="968"/>
      <c r="K34" s="970"/>
      <c r="L34" s="1094"/>
      <c r="M34" s="972"/>
      <c r="N34" s="971"/>
      <c r="O34" s="973"/>
    </row>
    <row r="35" spans="2:15" s="935" customFormat="1" ht="23.1" customHeight="1">
      <c r="B35" s="975"/>
      <c r="C35" s="979" t="s">
        <v>456</v>
      </c>
      <c r="D35" s="968"/>
      <c r="E35" s="969"/>
      <c r="F35" s="968"/>
      <c r="G35" s="980"/>
      <c r="H35" s="984"/>
      <c r="I35" s="984"/>
      <c r="J35" s="984"/>
      <c r="K35" s="984"/>
      <c r="L35" s="1094"/>
      <c r="M35" s="972"/>
      <c r="N35" s="971"/>
      <c r="O35" s="973"/>
    </row>
    <row r="36" spans="2:15" s="935" customFormat="1" ht="23.1" customHeight="1">
      <c r="B36" s="975"/>
      <c r="C36" s="979" t="s">
        <v>457</v>
      </c>
      <c r="D36" s="968"/>
      <c r="E36" s="969"/>
      <c r="F36" s="968"/>
      <c r="G36" s="980"/>
      <c r="H36" s="984"/>
      <c r="I36" s="984"/>
      <c r="J36" s="984"/>
      <c r="K36" s="984"/>
      <c r="L36" s="1094"/>
      <c r="M36" s="972"/>
      <c r="N36" s="971"/>
      <c r="O36" s="973"/>
    </row>
    <row r="37" spans="2:15" s="935" customFormat="1" ht="23.1" customHeight="1">
      <c r="B37" s="975"/>
      <c r="C37" s="1096"/>
      <c r="D37" s="968"/>
      <c r="E37" s="969"/>
      <c r="F37" s="968"/>
      <c r="G37" s="968"/>
      <c r="H37" s="968"/>
      <c r="I37" s="970"/>
      <c r="J37" s="968"/>
      <c r="K37" s="970"/>
      <c r="L37" s="1094"/>
      <c r="M37" s="972"/>
      <c r="N37" s="971"/>
      <c r="O37" s="973"/>
    </row>
    <row r="38" spans="2:15" s="935" customFormat="1" ht="23.1" customHeight="1">
      <c r="B38" s="975"/>
      <c r="C38" s="968"/>
      <c r="D38" s="968"/>
      <c r="E38" s="969"/>
      <c r="F38" s="968"/>
      <c r="G38" s="968"/>
      <c r="H38" s="968"/>
      <c r="I38" s="970"/>
      <c r="J38" s="968"/>
      <c r="K38" s="970"/>
      <c r="L38" s="984"/>
      <c r="M38" s="972"/>
      <c r="N38" s="971"/>
      <c r="O38" s="973"/>
    </row>
    <row r="39" spans="2:15" s="935" customFormat="1" ht="23.1" customHeight="1">
      <c r="B39" s="975"/>
      <c r="C39" s="968"/>
      <c r="D39" s="968"/>
      <c r="E39" s="969"/>
      <c r="F39" s="968"/>
      <c r="G39" s="968"/>
      <c r="H39" s="968"/>
      <c r="I39" s="970"/>
      <c r="J39" s="968"/>
      <c r="K39" s="970"/>
      <c r="L39" s="971"/>
      <c r="M39" s="972"/>
      <c r="N39" s="971"/>
      <c r="O39" s="973"/>
    </row>
    <row r="40" spans="2:15" s="979" customFormat="1" ht="29.25" customHeight="1">
      <c r="B40" s="1086"/>
      <c r="C40" s="1087" t="s">
        <v>376</v>
      </c>
      <c r="D40" s="1088"/>
      <c r="E40" s="1036"/>
      <c r="F40" s="1089"/>
      <c r="G40" s="1089"/>
      <c r="H40" s="1089"/>
      <c r="I40" s="1089"/>
      <c r="J40" s="1089"/>
      <c r="K40" s="1089"/>
      <c r="L40" s="1090" t="e">
        <f>'RECAP IND'!J16/1000</f>
        <v>#REF!</v>
      </c>
      <c r="M40" s="1091" t="e">
        <f>'RECAP IND'!K16</f>
        <v>#REF!</v>
      </c>
      <c r="N40" s="984"/>
      <c r="O40" s="996"/>
    </row>
    <row r="41" spans="2:15" s="935" customFormat="1" ht="23.1" customHeight="1">
      <c r="B41" s="975"/>
      <c r="C41" s="979" t="s">
        <v>458</v>
      </c>
      <c r="D41" s="968"/>
      <c r="E41" s="969"/>
      <c r="F41" s="968"/>
      <c r="G41" s="980"/>
      <c r="H41" s="984"/>
      <c r="I41" s="984"/>
      <c r="J41" s="984"/>
      <c r="K41" s="984"/>
      <c r="L41" s="1094"/>
      <c r="M41" s="972"/>
      <c r="N41" s="971"/>
      <c r="O41" s="973"/>
    </row>
    <row r="42" spans="2:15" s="935" customFormat="1" ht="23.1" customHeight="1">
      <c r="B42" s="975"/>
      <c r="C42" s="979" t="s">
        <v>459</v>
      </c>
      <c r="D42" s="968"/>
      <c r="E42" s="969"/>
      <c r="F42" s="968"/>
      <c r="G42" s="968"/>
      <c r="H42" s="968"/>
      <c r="I42" s="970"/>
      <c r="J42" s="968"/>
      <c r="K42" s="970"/>
      <c r="L42" s="1094"/>
      <c r="M42" s="972"/>
      <c r="N42" s="971"/>
      <c r="O42" s="973"/>
    </row>
    <row r="43" spans="2:15" s="935" customFormat="1" ht="23.1" customHeight="1">
      <c r="B43" s="975"/>
      <c r="C43" s="979" t="s">
        <v>460</v>
      </c>
      <c r="D43" s="968"/>
      <c r="E43" s="969"/>
      <c r="F43" s="968"/>
      <c r="G43" s="968"/>
      <c r="H43" s="968"/>
      <c r="I43" s="970"/>
      <c r="J43" s="968"/>
      <c r="K43" s="970"/>
      <c r="L43" s="984"/>
      <c r="M43" s="972"/>
      <c r="N43" s="971"/>
      <c r="O43" s="973"/>
    </row>
    <row r="44" spans="2:15" s="935" customFormat="1" ht="23.1" customHeight="1">
      <c r="B44" s="975"/>
      <c r="C44" s="979"/>
      <c r="D44" s="968"/>
      <c r="E44" s="969"/>
      <c r="F44" s="968"/>
      <c r="G44" s="968"/>
      <c r="H44" s="968"/>
      <c r="I44" s="970"/>
      <c r="J44" s="968"/>
      <c r="K44" s="970"/>
      <c r="L44" s="984"/>
      <c r="M44" s="972"/>
      <c r="N44" s="971"/>
      <c r="O44" s="973"/>
    </row>
    <row r="45" spans="2:15" s="935" customFormat="1" ht="23.1" customHeight="1">
      <c r="B45" s="975"/>
      <c r="C45" s="979"/>
      <c r="D45" s="968"/>
      <c r="E45" s="969"/>
      <c r="F45" s="968"/>
      <c r="G45" s="968"/>
      <c r="H45" s="968"/>
      <c r="I45" s="970"/>
      <c r="J45" s="968"/>
      <c r="K45" s="970"/>
      <c r="L45" s="984"/>
      <c r="M45" s="972"/>
      <c r="N45" s="971"/>
      <c r="O45" s="973"/>
    </row>
    <row r="46" spans="2:15" s="935" customFormat="1" ht="23.1" customHeight="1">
      <c r="B46" s="975"/>
      <c r="C46" s="979"/>
      <c r="D46" s="968"/>
      <c r="E46" s="969"/>
      <c r="F46" s="968"/>
      <c r="G46" s="968"/>
      <c r="H46" s="968"/>
      <c r="I46" s="970"/>
      <c r="J46" s="968"/>
      <c r="K46" s="970"/>
      <c r="L46" s="984"/>
      <c r="M46" s="972"/>
      <c r="N46" s="971"/>
      <c r="O46" s="973"/>
    </row>
    <row r="47" spans="2:15" s="979" customFormat="1" ht="29.25" customHeight="1">
      <c r="B47" s="1086"/>
      <c r="C47" s="1087" t="s">
        <v>90</v>
      </c>
      <c r="D47" s="1088"/>
      <c r="E47" s="1036"/>
      <c r="F47" s="1089"/>
      <c r="G47" s="1089"/>
      <c r="H47" s="1089"/>
      <c r="I47" s="1089"/>
      <c r="J47" s="1089"/>
      <c r="K47" s="1089"/>
      <c r="L47" s="1090" t="e">
        <f>'RECAP IND'!J17/1000</f>
        <v>#REF!</v>
      </c>
      <c r="M47" s="1091" t="e">
        <f>'RECAP IND'!K17</f>
        <v>#REF!</v>
      </c>
      <c r="N47" s="984"/>
      <c r="O47" s="996"/>
    </row>
    <row r="48" spans="2:15" s="935" customFormat="1" ht="23.1" customHeight="1">
      <c r="B48" s="975"/>
      <c r="C48" s="979" t="s">
        <v>461</v>
      </c>
      <c r="E48" s="979"/>
      <c r="I48" s="937"/>
      <c r="K48" s="937"/>
      <c r="L48" s="1094"/>
      <c r="M48" s="972"/>
      <c r="N48" s="971"/>
      <c r="O48" s="973"/>
    </row>
    <row r="49" spans="2:15" s="935" customFormat="1" ht="23.1" customHeight="1">
      <c r="B49" s="975"/>
      <c r="C49" s="979" t="s">
        <v>462</v>
      </c>
      <c r="K49" s="937"/>
      <c r="L49" s="984"/>
      <c r="M49" s="972"/>
      <c r="N49" s="971"/>
      <c r="O49" s="973"/>
    </row>
    <row r="50" spans="2:15" s="935" customFormat="1" ht="23.1" customHeight="1">
      <c r="B50" s="975"/>
      <c r="C50" s="979" t="s">
        <v>463</v>
      </c>
      <c r="L50" s="984"/>
      <c r="M50" s="972"/>
      <c r="N50" s="971"/>
      <c r="O50" s="973"/>
    </row>
    <row r="51" spans="2:15" s="935" customFormat="1" ht="23.1" customHeight="1">
      <c r="B51" s="975"/>
      <c r="C51" s="979"/>
      <c r="L51" s="984"/>
      <c r="M51" s="972"/>
      <c r="N51" s="971"/>
      <c r="O51" s="973"/>
    </row>
    <row r="52" spans="2:15" s="935" customFormat="1" ht="23.1" customHeight="1">
      <c r="B52" s="975"/>
      <c r="C52" s="979"/>
      <c r="L52" s="984"/>
      <c r="M52" s="972"/>
      <c r="N52" s="971"/>
      <c r="O52" s="973"/>
    </row>
    <row r="53" spans="2:15" s="935" customFormat="1" ht="23.1" customHeight="1">
      <c r="B53" s="975"/>
      <c r="C53" s="979"/>
      <c r="J53" s="968"/>
      <c r="K53" s="970"/>
      <c r="L53" s="971"/>
      <c r="M53" s="972"/>
      <c r="N53" s="971"/>
      <c r="O53" s="973"/>
    </row>
    <row r="54" spans="2:15" s="979" customFormat="1" ht="29.25" customHeight="1">
      <c r="B54" s="1086"/>
      <c r="C54" s="1087" t="s">
        <v>91</v>
      </c>
      <c r="D54" s="1088"/>
      <c r="E54" s="1036"/>
      <c r="F54" s="1089"/>
      <c r="G54" s="1089"/>
      <c r="H54" s="1089"/>
      <c r="I54" s="1089"/>
      <c r="J54" s="1089"/>
      <c r="K54" s="1089"/>
      <c r="L54" s="1090" t="e">
        <f>'RECAP IND'!J18/1000</f>
        <v>#REF!</v>
      </c>
      <c r="M54" s="1091" t="e">
        <f>'RECAP IND'!K18</f>
        <v>#REF!</v>
      </c>
      <c r="N54" s="984"/>
      <c r="O54" s="996"/>
    </row>
    <row r="55" spans="2:15" s="979" customFormat="1" ht="23.1" customHeight="1">
      <c r="B55" s="975"/>
      <c r="C55" s="979" t="s">
        <v>464</v>
      </c>
      <c r="E55" s="980"/>
      <c r="G55" s="980"/>
      <c r="H55" s="984"/>
      <c r="I55" s="984"/>
      <c r="J55" s="984"/>
      <c r="K55" s="984"/>
      <c r="L55" s="1094"/>
      <c r="M55" s="1093"/>
      <c r="N55" s="984"/>
      <c r="O55" s="996"/>
    </row>
    <row r="56" spans="2:15" s="979" customFormat="1" ht="23.1" customHeight="1">
      <c r="B56" s="975"/>
      <c r="C56" s="979" t="s">
        <v>465</v>
      </c>
      <c r="E56" s="980"/>
      <c r="G56" s="980"/>
      <c r="H56" s="984"/>
      <c r="I56" s="984"/>
      <c r="J56" s="984"/>
      <c r="K56" s="984"/>
      <c r="L56" s="1094"/>
      <c r="M56" s="1093"/>
      <c r="N56" s="984"/>
      <c r="O56" s="996"/>
    </row>
    <row r="57" spans="2:15" s="979" customFormat="1" ht="23.1" customHeight="1">
      <c r="B57" s="975"/>
      <c r="C57" s="979" t="s">
        <v>466</v>
      </c>
      <c r="E57" s="980"/>
      <c r="F57" s="984"/>
      <c r="G57" s="980"/>
      <c r="H57" s="984"/>
      <c r="I57" s="984"/>
      <c r="J57" s="984"/>
      <c r="K57" s="984"/>
      <c r="L57" s="1094"/>
      <c r="M57" s="1093"/>
      <c r="N57" s="984"/>
      <c r="O57" s="996"/>
    </row>
    <row r="58" spans="2:15" s="979" customFormat="1" ht="23.1" customHeight="1">
      <c r="B58" s="975"/>
      <c r="E58" s="980"/>
      <c r="F58" s="984"/>
      <c r="G58" s="984"/>
      <c r="H58" s="984"/>
      <c r="I58" s="984"/>
      <c r="J58" s="984"/>
      <c r="K58" s="984"/>
      <c r="L58" s="984"/>
      <c r="M58" s="1093"/>
      <c r="N58" s="984"/>
      <c r="O58" s="996"/>
    </row>
    <row r="59" spans="2:15" s="979" customFormat="1" ht="23.1" customHeight="1">
      <c r="B59" s="975"/>
      <c r="E59" s="980"/>
      <c r="F59" s="984"/>
      <c r="G59" s="984"/>
      <c r="H59" s="984"/>
      <c r="I59" s="984"/>
      <c r="J59" s="984"/>
      <c r="K59" s="984"/>
      <c r="L59" s="984"/>
      <c r="M59" s="1093"/>
      <c r="N59" s="984"/>
      <c r="O59" s="996"/>
    </row>
    <row r="60" spans="2:15" s="979" customFormat="1" ht="23.1" customHeight="1">
      <c r="B60" s="975"/>
      <c r="E60" s="980"/>
      <c r="F60" s="984"/>
      <c r="G60" s="984"/>
      <c r="H60" s="984"/>
      <c r="I60" s="984"/>
      <c r="J60" s="984"/>
      <c r="K60" s="984"/>
      <c r="L60" s="984"/>
      <c r="M60" s="1093"/>
      <c r="N60" s="984"/>
      <c r="O60" s="996"/>
    </row>
    <row r="61" spans="2:15" s="979" customFormat="1" ht="29.25" customHeight="1">
      <c r="B61" s="1086"/>
      <c r="C61" s="1087" t="s">
        <v>87</v>
      </c>
      <c r="D61" s="1088"/>
      <c r="E61" s="1036"/>
      <c r="F61" s="1089"/>
      <c r="G61" s="1089"/>
      <c r="H61" s="1089"/>
      <c r="I61" s="1089"/>
      <c r="J61" s="1089"/>
      <c r="K61" s="1089"/>
      <c r="L61" s="1090" t="e">
        <f>'RECAP IND'!J19/1000</f>
        <v>#REF!</v>
      </c>
      <c r="M61" s="1091" t="e">
        <f>'RECAP IND'!K19</f>
        <v>#REF!</v>
      </c>
      <c r="N61" s="984"/>
      <c r="O61" s="996"/>
    </row>
    <row r="62" spans="2:15" s="976" customFormat="1" ht="23.1" customHeight="1">
      <c r="B62" s="1074"/>
      <c r="C62" s="979" t="s">
        <v>467</v>
      </c>
      <c r="D62" s="979"/>
      <c r="E62" s="980"/>
      <c r="F62" s="980"/>
      <c r="G62" s="980"/>
      <c r="H62" s="984"/>
      <c r="I62" s="984"/>
      <c r="J62" s="984"/>
      <c r="K62" s="984"/>
      <c r="L62" s="984"/>
      <c r="M62" s="980"/>
      <c r="N62" s="980"/>
      <c r="O62" s="990"/>
    </row>
    <row r="63" spans="2:15" s="935" customFormat="1" ht="23.1" customHeight="1">
      <c r="B63" s="975"/>
      <c r="C63" s="979"/>
      <c r="D63" s="968"/>
      <c r="E63" s="969"/>
      <c r="F63" s="968"/>
      <c r="G63" s="968"/>
      <c r="H63" s="968"/>
      <c r="I63" s="970"/>
      <c r="J63" s="968"/>
      <c r="K63" s="984"/>
      <c r="L63" s="984"/>
      <c r="M63" s="972"/>
      <c r="N63" s="971"/>
      <c r="O63" s="973"/>
    </row>
    <row r="64" spans="2:15" s="935" customFormat="1" ht="23.1" customHeight="1">
      <c r="B64" s="975"/>
      <c r="C64" s="979"/>
      <c r="D64" s="968"/>
      <c r="E64" s="969"/>
      <c r="F64" s="968"/>
      <c r="G64" s="968"/>
      <c r="H64" s="968"/>
      <c r="I64" s="970"/>
      <c r="J64" s="968"/>
      <c r="K64" s="984"/>
      <c r="L64" s="971"/>
      <c r="M64" s="972"/>
      <c r="N64" s="971"/>
      <c r="O64" s="973"/>
    </row>
    <row r="65" spans="2:15" s="935" customFormat="1" ht="23.1" customHeight="1">
      <c r="B65" s="975"/>
      <c r="C65" s="1097"/>
      <c r="D65" s="968"/>
      <c r="E65" s="969"/>
      <c r="F65" s="968"/>
      <c r="G65" s="968"/>
      <c r="H65" s="968"/>
      <c r="I65" s="970"/>
      <c r="J65" s="968"/>
      <c r="K65" s="970"/>
      <c r="L65" s="971"/>
      <c r="M65" s="972"/>
      <c r="N65" s="971"/>
      <c r="O65" s="973"/>
    </row>
    <row r="66" spans="2:15" s="979" customFormat="1" ht="29.25" customHeight="1">
      <c r="B66" s="1086"/>
      <c r="C66" s="1087" t="s">
        <v>135</v>
      </c>
      <c r="D66" s="1088"/>
      <c r="E66" s="1036"/>
      <c r="F66" s="1089"/>
      <c r="G66" s="1089"/>
      <c r="H66" s="1089"/>
      <c r="I66" s="1089"/>
      <c r="J66" s="1089"/>
      <c r="K66" s="1089"/>
      <c r="L66" s="1090" t="e">
        <f>'RECAP IND'!J20/1000</f>
        <v>#REF!</v>
      </c>
      <c r="M66" s="1091" t="e">
        <f>'RECAP IND'!K20</f>
        <v>#REF!</v>
      </c>
      <c r="N66" s="984"/>
      <c r="O66" s="996"/>
    </row>
    <row r="67" spans="2:15" s="979" customFormat="1" ht="29.25" customHeight="1">
      <c r="B67" s="1086"/>
      <c r="C67" s="1102" t="s">
        <v>468</v>
      </c>
      <c r="E67" s="980"/>
      <c r="F67" s="984"/>
      <c r="G67" s="984"/>
      <c r="H67" s="984"/>
      <c r="I67" s="984"/>
      <c r="J67" s="984"/>
      <c r="K67" s="984"/>
      <c r="L67" s="1103"/>
      <c r="M67" s="1061"/>
      <c r="N67" s="984"/>
      <c r="O67" s="996"/>
    </row>
    <row r="68" spans="2:15" s="979" customFormat="1" ht="22.5" customHeight="1">
      <c r="B68" s="1086"/>
      <c r="C68" s="1104"/>
      <c r="D68" s="1833" t="s">
        <v>469</v>
      </c>
      <c r="E68" s="1833"/>
      <c r="F68" s="1833"/>
      <c r="G68" s="1833"/>
      <c r="H68" s="1833"/>
      <c r="I68" s="1833"/>
      <c r="J68" s="984"/>
      <c r="K68" s="984"/>
      <c r="L68" s="1094"/>
      <c r="M68" s="1061"/>
      <c r="N68" s="984"/>
      <c r="O68" s="996"/>
    </row>
    <row r="69" spans="2:15" s="979" customFormat="1" ht="22.5" customHeight="1">
      <c r="B69" s="1086"/>
      <c r="C69" s="1104"/>
      <c r="D69" s="979" t="s">
        <v>470</v>
      </c>
      <c r="E69" s="1080"/>
      <c r="F69" s="1105"/>
      <c r="G69" s="984"/>
      <c r="H69" s="984"/>
      <c r="I69" s="984"/>
      <c r="J69" s="984"/>
      <c r="K69" s="984"/>
      <c r="L69" s="1094"/>
      <c r="M69" s="1061"/>
      <c r="N69" s="984"/>
      <c r="O69" s="996"/>
    </row>
    <row r="70" spans="2:15" s="979" customFormat="1" ht="22.5" customHeight="1">
      <c r="B70" s="1086"/>
      <c r="C70" s="1104"/>
      <c r="D70" s="979" t="s">
        <v>471</v>
      </c>
      <c r="E70" s="1080"/>
      <c r="F70" s="1105"/>
      <c r="G70" s="984"/>
      <c r="H70" s="984"/>
      <c r="I70" s="984"/>
      <c r="J70" s="984"/>
      <c r="K70" s="984"/>
      <c r="L70" s="1094"/>
      <c r="M70" s="1061"/>
      <c r="N70" s="984"/>
      <c r="O70" s="996"/>
    </row>
    <row r="71" spans="2:15" s="979" customFormat="1" ht="22.5" customHeight="1">
      <c r="B71" s="1086"/>
      <c r="C71" s="1104"/>
      <c r="D71" s="979" t="s">
        <v>472</v>
      </c>
      <c r="E71" s="980"/>
      <c r="F71" s="984"/>
      <c r="G71" s="984"/>
      <c r="H71" s="984"/>
      <c r="I71" s="984"/>
      <c r="J71" s="984"/>
      <c r="K71" s="984"/>
      <c r="L71" s="1094"/>
      <c r="M71" s="1061"/>
      <c r="N71" s="984"/>
      <c r="O71" s="996"/>
    </row>
    <row r="72" spans="2:15" s="979" customFormat="1" ht="22.5" customHeight="1">
      <c r="B72" s="1086"/>
      <c r="C72" s="1104"/>
      <c r="D72" s="979" t="s">
        <v>473</v>
      </c>
      <c r="E72" s="980"/>
      <c r="F72" s="984"/>
      <c r="G72" s="984"/>
      <c r="H72" s="984"/>
      <c r="I72" s="984"/>
      <c r="J72" s="984"/>
      <c r="K72" s="984"/>
      <c r="L72" s="1094"/>
      <c r="M72" s="1061"/>
      <c r="N72" s="984"/>
      <c r="O72" s="996"/>
    </row>
    <row r="73" spans="2:15" s="979" customFormat="1" ht="22.5" customHeight="1">
      <c r="B73" s="1086"/>
      <c r="C73" s="1104"/>
      <c r="D73" s="979" t="s">
        <v>474</v>
      </c>
      <c r="E73" s="980"/>
      <c r="F73" s="984"/>
      <c r="G73" s="984"/>
      <c r="H73" s="984"/>
      <c r="I73" s="984"/>
      <c r="J73" s="984"/>
      <c r="K73" s="984"/>
      <c r="L73" s="1094"/>
      <c r="M73" s="1061"/>
      <c r="N73" s="984"/>
      <c r="O73" s="996"/>
    </row>
    <row r="74" spans="2:15" s="979" customFormat="1" ht="22.5" customHeight="1">
      <c r="B74" s="1086"/>
      <c r="C74" s="1104"/>
      <c r="D74" s="979" t="s">
        <v>475</v>
      </c>
      <c r="E74" s="1080"/>
      <c r="F74" s="984"/>
      <c r="G74" s="984"/>
      <c r="H74" s="984"/>
      <c r="I74" s="984"/>
      <c r="J74" s="984"/>
      <c r="K74" s="984"/>
      <c r="L74" s="1094"/>
      <c r="M74" s="1061"/>
      <c r="N74" s="984"/>
      <c r="O74" s="996"/>
    </row>
    <row r="75" spans="2:15" s="979" customFormat="1" ht="22.5" customHeight="1">
      <c r="B75" s="1086"/>
      <c r="C75" s="1104"/>
      <c r="D75" s="979" t="s">
        <v>476</v>
      </c>
      <c r="E75" s="1080"/>
      <c r="F75" s="984"/>
      <c r="G75" s="984"/>
      <c r="H75" s="984"/>
      <c r="I75" s="984"/>
      <c r="J75" s="984"/>
      <c r="K75" s="984"/>
      <c r="L75" s="1094"/>
      <c r="M75" s="1061"/>
      <c r="N75" s="984"/>
      <c r="O75" s="996"/>
    </row>
    <row r="76" spans="2:15" s="979" customFormat="1" ht="22.5" customHeight="1">
      <c r="B76" s="1086"/>
      <c r="C76" s="1104"/>
      <c r="D76" s="1104"/>
      <c r="E76" s="980"/>
      <c r="F76" s="984"/>
      <c r="G76" s="984"/>
      <c r="H76" s="984"/>
      <c r="I76" s="984"/>
      <c r="J76" s="984"/>
      <c r="K76" s="984"/>
      <c r="L76" s="1094"/>
      <c r="M76" s="1061"/>
      <c r="N76" s="984"/>
      <c r="O76" s="996"/>
    </row>
    <row r="77" spans="2:15" s="979" customFormat="1" ht="22.5" customHeight="1">
      <c r="B77" s="1086"/>
      <c r="C77" s="1104"/>
      <c r="D77" s="1104"/>
      <c r="E77" s="980"/>
      <c r="F77" s="984"/>
      <c r="G77" s="984"/>
      <c r="H77" s="984"/>
      <c r="I77" s="984"/>
      <c r="J77" s="984"/>
      <c r="K77" s="984"/>
      <c r="L77" s="1094"/>
      <c r="M77" s="1061"/>
      <c r="N77" s="984"/>
      <c r="O77" s="996"/>
    </row>
    <row r="78" spans="2:15" s="976" customFormat="1" ht="22.5" customHeight="1">
      <c r="B78" s="1074"/>
      <c r="C78" s="1075"/>
      <c r="D78" s="979"/>
      <c r="E78" s="980"/>
      <c r="F78" s="984"/>
      <c r="G78" s="984"/>
      <c r="H78" s="984"/>
      <c r="I78" s="984"/>
      <c r="J78" s="984"/>
      <c r="K78" s="984"/>
      <c r="L78" s="984"/>
      <c r="M78" s="984"/>
      <c r="N78" s="984"/>
      <c r="O78" s="996"/>
    </row>
    <row r="79" spans="2:15" s="979" customFormat="1" ht="28.5" customHeight="1">
      <c r="B79" s="1086"/>
      <c r="C79" s="1087" t="s">
        <v>92</v>
      </c>
      <c r="D79" s="1088"/>
      <c r="E79" s="1036"/>
      <c r="F79" s="1089"/>
      <c r="G79" s="1089"/>
      <c r="H79" s="1089"/>
      <c r="I79" s="1089"/>
      <c r="J79" s="1089"/>
      <c r="K79" s="1089"/>
      <c r="L79" s="1090" t="e">
        <f>'RECAP IND'!J21/1000</f>
        <v>#REF!</v>
      </c>
      <c r="M79" s="1091" t="e">
        <f>'RECAP IND'!K21</f>
        <v>#REF!</v>
      </c>
      <c r="N79" s="984"/>
      <c r="O79" s="996"/>
    </row>
    <row r="80" spans="2:15" s="979" customFormat="1" ht="23.25" customHeight="1">
      <c r="B80" s="1037"/>
      <c r="C80" s="1096"/>
      <c r="E80" s="980"/>
      <c r="G80" s="980"/>
      <c r="H80" s="984"/>
      <c r="I80" s="984"/>
      <c r="J80" s="984"/>
      <c r="K80" s="984"/>
      <c r="L80" s="1094"/>
      <c r="M80" s="1095"/>
      <c r="N80" s="1018"/>
      <c r="O80" s="1019"/>
    </row>
    <row r="81" spans="2:15" s="979" customFormat="1" ht="23.25" customHeight="1">
      <c r="B81" s="1037"/>
      <c r="C81" s="1096"/>
      <c r="D81" s="979" t="s">
        <v>477</v>
      </c>
      <c r="E81" s="980"/>
      <c r="G81" s="980"/>
      <c r="H81" s="984"/>
      <c r="I81" s="984"/>
      <c r="J81" s="984"/>
      <c r="K81" s="984"/>
      <c r="L81" s="1094"/>
      <c r="M81" s="1095"/>
      <c r="N81" s="1018"/>
      <c r="O81" s="1019"/>
    </row>
    <row r="82" spans="2:15" s="935" customFormat="1" ht="23.25" customHeight="1">
      <c r="B82" s="975"/>
      <c r="C82" s="1096"/>
      <c r="D82" s="979" t="s">
        <v>478</v>
      </c>
      <c r="E82" s="980"/>
      <c r="F82" s="979"/>
      <c r="G82" s="980"/>
      <c r="H82" s="984"/>
      <c r="I82" s="984"/>
      <c r="J82" s="984"/>
      <c r="K82" s="984"/>
      <c r="L82" s="1094"/>
      <c r="M82" s="972"/>
      <c r="N82" s="971"/>
      <c r="O82" s="973"/>
    </row>
    <row r="83" spans="2:15" s="979" customFormat="1" ht="22.5" customHeight="1">
      <c r="B83" s="1086"/>
      <c r="C83" s="1104"/>
      <c r="D83" s="1104"/>
      <c r="E83" s="980"/>
      <c r="F83" s="1260"/>
      <c r="G83" s="1260"/>
      <c r="H83" s="1260"/>
      <c r="I83" s="1260"/>
      <c r="J83" s="1260"/>
      <c r="K83" s="1260"/>
      <c r="L83" s="1094"/>
      <c r="M83" s="1061"/>
      <c r="N83" s="1260"/>
      <c r="O83" s="1261"/>
    </row>
    <row r="84" spans="2:15" s="979" customFormat="1" ht="22.5" customHeight="1">
      <c r="B84" s="1086"/>
      <c r="C84" s="1104"/>
      <c r="D84" s="1104"/>
      <c r="E84" s="980"/>
      <c r="F84" s="1260"/>
      <c r="G84" s="1260"/>
      <c r="H84" s="1260"/>
      <c r="I84" s="1260"/>
      <c r="J84" s="1260"/>
      <c r="K84" s="1260"/>
      <c r="L84" s="1094"/>
      <c r="M84" s="1061"/>
      <c r="N84" s="1260"/>
      <c r="O84" s="1261"/>
    </row>
    <row r="85" spans="2:15" s="976" customFormat="1" ht="22.5" customHeight="1">
      <c r="B85" s="1074"/>
      <c r="C85" s="1075"/>
      <c r="D85" s="979"/>
      <c r="E85" s="980"/>
      <c r="F85" s="1260"/>
      <c r="G85" s="1260"/>
      <c r="H85" s="1260"/>
      <c r="I85" s="1260"/>
      <c r="J85" s="1260"/>
      <c r="K85" s="1260"/>
      <c r="L85" s="1260"/>
      <c r="M85" s="1260"/>
      <c r="N85" s="1260"/>
      <c r="O85" s="1261"/>
    </row>
    <row r="86" spans="2:15" s="935" customFormat="1" ht="23.25" customHeight="1">
      <c r="B86" s="975"/>
      <c r="C86" s="968"/>
      <c r="D86" s="968"/>
      <c r="E86" s="969"/>
      <c r="F86" s="968"/>
      <c r="G86" s="968"/>
      <c r="H86" s="968"/>
      <c r="I86" s="970"/>
      <c r="J86" s="968"/>
      <c r="K86" s="970"/>
      <c r="L86" s="971"/>
      <c r="M86" s="972"/>
      <c r="N86" s="971"/>
      <c r="O86" s="973"/>
    </row>
    <row r="87" spans="2:15" s="935" customFormat="1" ht="23.25" customHeight="1">
      <c r="B87" s="975"/>
      <c r="C87" s="1102"/>
      <c r="D87" s="979"/>
      <c r="E87" s="980"/>
      <c r="F87" s="984"/>
      <c r="G87" s="984"/>
      <c r="H87" s="984"/>
      <c r="I87" s="984"/>
      <c r="J87" s="984"/>
      <c r="K87" s="984"/>
      <c r="L87" s="1107"/>
      <c r="M87" s="1061"/>
      <c r="N87" s="971"/>
      <c r="O87" s="973"/>
    </row>
    <row r="88" spans="2:15" s="935" customFormat="1" ht="23.25" customHeight="1">
      <c r="B88" s="975"/>
      <c r="C88" s="1096"/>
      <c r="D88" s="979"/>
      <c r="E88" s="980"/>
      <c r="F88" s="979"/>
      <c r="G88" s="980"/>
      <c r="H88" s="984"/>
      <c r="I88" s="984"/>
      <c r="J88" s="984"/>
      <c r="K88" s="984"/>
      <c r="L88" s="1094"/>
      <c r="M88" s="1095"/>
      <c r="N88" s="971"/>
      <c r="O88" s="973"/>
    </row>
    <row r="89" spans="2:15" s="935" customFormat="1" ht="23.25" customHeight="1">
      <c r="B89" s="975"/>
      <c r="C89" s="1096"/>
      <c r="D89" s="979"/>
      <c r="E89" s="980"/>
      <c r="F89" s="979"/>
      <c r="G89" s="980"/>
      <c r="H89" s="984"/>
      <c r="I89" s="984"/>
      <c r="J89" s="984"/>
      <c r="K89" s="984"/>
      <c r="L89" s="1094"/>
      <c r="M89" s="1095"/>
      <c r="N89" s="971"/>
      <c r="O89" s="973"/>
    </row>
    <row r="90" spans="2:15" s="935" customFormat="1" ht="23.25" customHeight="1">
      <c r="B90" s="975"/>
      <c r="C90" s="1096"/>
      <c r="D90" s="979"/>
      <c r="E90" s="980"/>
      <c r="F90" s="979"/>
      <c r="G90" s="980"/>
      <c r="H90" s="984"/>
      <c r="I90" s="984"/>
      <c r="J90" s="984"/>
      <c r="K90" s="984"/>
      <c r="L90" s="1094"/>
      <c r="M90" s="972"/>
      <c r="N90" s="971"/>
      <c r="O90" s="973"/>
    </row>
    <row r="91" spans="2:15" s="935" customFormat="1" ht="23.25" customHeight="1">
      <c r="B91" s="975"/>
      <c r="C91" s="968"/>
      <c r="D91" s="968"/>
      <c r="E91" s="969"/>
      <c r="F91" s="968"/>
      <c r="G91" s="968"/>
      <c r="H91" s="968"/>
      <c r="I91" s="970"/>
      <c r="J91" s="968"/>
      <c r="K91" s="970"/>
      <c r="L91" s="971"/>
      <c r="M91" s="972"/>
      <c r="N91" s="971"/>
      <c r="O91" s="973"/>
    </row>
    <row r="92" spans="2:15" s="935" customFormat="1" ht="23.25" customHeight="1">
      <c r="B92" s="975"/>
      <c r="C92" s="968"/>
      <c r="D92" s="968"/>
      <c r="E92" s="969"/>
      <c r="F92" s="968"/>
      <c r="G92" s="968"/>
      <c r="H92" s="968"/>
      <c r="I92" s="970"/>
      <c r="J92" s="968"/>
      <c r="K92" s="970"/>
      <c r="L92" s="971"/>
      <c r="M92" s="972"/>
      <c r="N92" s="971"/>
      <c r="O92" s="973"/>
    </row>
    <row r="93" spans="2:15" s="935" customFormat="1" ht="23.25" customHeight="1">
      <c r="B93" s="975"/>
      <c r="C93" s="968"/>
      <c r="D93" s="968"/>
      <c r="E93" s="969"/>
      <c r="F93" s="968"/>
      <c r="G93" s="968"/>
      <c r="H93" s="968"/>
      <c r="I93" s="970"/>
      <c r="J93" s="968"/>
      <c r="K93" s="970"/>
      <c r="L93" s="971"/>
      <c r="M93" s="972"/>
      <c r="N93" s="971"/>
      <c r="O93" s="973"/>
    </row>
    <row r="94" spans="2:15" s="935" customFormat="1" ht="23.25" customHeight="1">
      <c r="B94" s="975"/>
      <c r="C94" s="968"/>
      <c r="D94" s="968"/>
      <c r="E94" s="969"/>
      <c r="F94" s="968"/>
      <c r="G94" s="968"/>
      <c r="H94" s="968"/>
      <c r="I94" s="970"/>
      <c r="J94" s="968"/>
      <c r="K94" s="970"/>
      <c r="L94" s="971"/>
      <c r="M94" s="972"/>
      <c r="N94" s="971"/>
      <c r="O94" s="973"/>
    </row>
    <row r="95" spans="2:15" s="935" customFormat="1" ht="23.25" customHeight="1">
      <c r="B95" s="975"/>
      <c r="C95" s="968"/>
      <c r="D95" s="968"/>
      <c r="E95" s="969"/>
      <c r="F95" s="968"/>
      <c r="G95" s="968"/>
      <c r="H95" s="968"/>
      <c r="I95" s="970"/>
      <c r="J95" s="968"/>
      <c r="K95" s="970"/>
      <c r="L95" s="971"/>
      <c r="M95" s="972"/>
      <c r="N95" s="971"/>
      <c r="O95" s="973"/>
    </row>
    <row r="96" spans="2:15" s="979" customFormat="1" ht="23.25" customHeight="1">
      <c r="B96" s="1086"/>
      <c r="C96" s="1102"/>
      <c r="E96" s="980"/>
      <c r="F96" s="984"/>
      <c r="G96" s="984"/>
      <c r="H96" s="984"/>
      <c r="I96" s="984"/>
      <c r="J96" s="984"/>
      <c r="K96" s="984"/>
      <c r="L96" s="1103"/>
      <c r="M96" s="1061"/>
      <c r="N96" s="984"/>
      <c r="O96" s="996"/>
    </row>
    <row r="97" spans="2:15" s="935" customFormat="1" ht="23.25" customHeight="1">
      <c r="B97" s="975"/>
      <c r="C97" s="968"/>
      <c r="D97" s="968"/>
      <c r="E97" s="969"/>
      <c r="F97" s="968"/>
      <c r="G97" s="968"/>
      <c r="H97" s="968"/>
      <c r="I97" s="970"/>
      <c r="J97" s="968"/>
      <c r="K97" s="970"/>
      <c r="L97" s="971"/>
      <c r="M97" s="972"/>
      <c r="N97" s="971"/>
      <c r="O97" s="973"/>
    </row>
    <row r="98" spans="2:15" s="935" customFormat="1" ht="23.25" customHeight="1">
      <c r="B98" s="975"/>
      <c r="C98" s="968"/>
      <c r="D98" s="968"/>
      <c r="E98" s="969"/>
      <c r="F98" s="968"/>
      <c r="G98" s="968"/>
      <c r="H98" s="968"/>
      <c r="I98" s="970"/>
      <c r="J98" s="968"/>
      <c r="K98" s="970"/>
      <c r="L98" s="971"/>
      <c r="M98" s="972"/>
      <c r="N98" s="971"/>
      <c r="O98" s="973"/>
    </row>
    <row r="99" spans="2:15" s="935" customFormat="1" ht="23.25" customHeight="1">
      <c r="B99" s="975"/>
      <c r="C99" s="968"/>
      <c r="D99" s="968"/>
      <c r="E99" s="969"/>
      <c r="F99" s="968"/>
      <c r="G99" s="968"/>
      <c r="H99" s="968"/>
      <c r="I99" s="970"/>
      <c r="J99" s="968"/>
      <c r="K99" s="970"/>
      <c r="L99" s="971"/>
      <c r="M99" s="972"/>
      <c r="N99" s="971"/>
      <c r="O99" s="973"/>
    </row>
    <row r="100" spans="2:15" s="935" customFormat="1" ht="23.25" customHeight="1">
      <c r="B100" s="975"/>
      <c r="C100" s="968"/>
      <c r="D100" s="968"/>
      <c r="E100" s="969"/>
      <c r="F100" s="968"/>
      <c r="G100" s="968"/>
      <c r="H100" s="968"/>
      <c r="I100" s="970"/>
      <c r="J100" s="968"/>
      <c r="K100" s="970"/>
      <c r="L100" s="971"/>
      <c r="M100" s="972"/>
      <c r="N100" s="971"/>
      <c r="O100" s="973"/>
    </row>
    <row r="101" spans="2:15" s="935" customFormat="1" ht="23.25" customHeight="1">
      <c r="B101" s="975"/>
      <c r="C101" s="968"/>
      <c r="D101" s="968"/>
      <c r="E101" s="969"/>
      <c r="F101" s="968"/>
      <c r="G101" s="968"/>
      <c r="H101" s="968"/>
      <c r="I101" s="970"/>
      <c r="J101" s="968"/>
      <c r="K101" s="970"/>
      <c r="L101" s="971"/>
      <c r="M101" s="972"/>
      <c r="N101" s="971"/>
      <c r="O101" s="973"/>
    </row>
    <row r="102" spans="2:15" s="935" customFormat="1" ht="23.25" customHeight="1">
      <c r="B102" s="975"/>
      <c r="C102" s="968"/>
      <c r="D102" s="968"/>
      <c r="E102" s="969"/>
      <c r="F102" s="968"/>
      <c r="G102" s="980"/>
      <c r="H102" s="984"/>
      <c r="I102" s="984"/>
      <c r="J102" s="984"/>
      <c r="K102" s="984"/>
      <c r="L102" s="984"/>
      <c r="M102" s="972"/>
      <c r="N102" s="971"/>
      <c r="O102" s="973"/>
    </row>
    <row r="103" spans="2:15" s="935" customFormat="1" ht="23.25" customHeight="1">
      <c r="B103" s="975"/>
      <c r="C103" s="968"/>
      <c r="D103" s="968"/>
      <c r="E103" s="969"/>
      <c r="F103" s="968"/>
      <c r="G103" s="968"/>
      <c r="H103" s="968"/>
      <c r="I103" s="970"/>
      <c r="J103" s="968"/>
      <c r="K103" s="970"/>
      <c r="L103" s="971"/>
      <c r="M103" s="972"/>
      <c r="N103" s="971"/>
      <c r="O103" s="973"/>
    </row>
    <row r="104" spans="2:15" s="935" customFormat="1" ht="23.25" customHeight="1">
      <c r="B104" s="975"/>
      <c r="C104" s="968"/>
      <c r="D104" s="968"/>
      <c r="E104" s="969"/>
      <c r="F104" s="968"/>
      <c r="G104" s="968"/>
      <c r="H104" s="968"/>
      <c r="I104" s="970"/>
      <c r="J104" s="968"/>
      <c r="K104" s="970"/>
      <c r="L104" s="971"/>
      <c r="M104" s="972"/>
      <c r="N104" s="971"/>
      <c r="O104" s="973"/>
    </row>
    <row r="105" spans="2:15" s="935" customFormat="1" ht="23.25" customHeight="1" thickBot="1">
      <c r="B105" s="1054"/>
      <c r="C105" s="1098"/>
      <c r="D105" s="1098"/>
      <c r="E105" s="1099"/>
      <c r="F105" s="1098"/>
      <c r="G105" s="1098"/>
      <c r="H105" s="1098"/>
      <c r="I105" s="1100"/>
      <c r="J105" s="1098"/>
      <c r="K105" s="1100"/>
      <c r="L105" s="1059"/>
      <c r="M105" s="1101"/>
      <c r="N105" s="1059"/>
      <c r="O105" s="1060"/>
    </row>
    <row r="106" spans="2:15" s="935" customFormat="1" ht="18" thickTop="1">
      <c r="E106" s="936"/>
      <c r="I106" s="937"/>
      <c r="K106" s="937"/>
      <c r="L106" s="938"/>
      <c r="M106" s="939"/>
      <c r="N106" s="938"/>
    </row>
  </sheetData>
  <mergeCells count="18">
    <mergeCell ref="D68:I68"/>
    <mergeCell ref="B7:D7"/>
    <mergeCell ref="E7:K7"/>
    <mergeCell ref="E8:K8"/>
    <mergeCell ref="B10:O10"/>
    <mergeCell ref="B11:O11"/>
    <mergeCell ref="F14:O14"/>
    <mergeCell ref="H15:I15"/>
    <mergeCell ref="L15:M15"/>
    <mergeCell ref="H16:I16"/>
    <mergeCell ref="F19:O19"/>
    <mergeCell ref="F20:O20"/>
    <mergeCell ref="E2:K2"/>
    <mergeCell ref="B3:D5"/>
    <mergeCell ref="E3:K3"/>
    <mergeCell ref="E5:K5"/>
    <mergeCell ref="B6:D6"/>
    <mergeCell ref="E6:K6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/>
  <dimension ref="A1:P57"/>
  <sheetViews>
    <sheetView showGridLines="0" zoomScale="70" zoomScaleNormal="70" zoomScalePageLayoutView="70" workbookViewId="0">
      <selection activeCell="B6" sqref="B6:D6"/>
    </sheetView>
  </sheetViews>
  <sheetFormatPr baseColWidth="10" defaultRowHeight="15"/>
  <cols>
    <col min="2" max="2" width="11.28515625" customWidth="1"/>
    <col min="3" max="3" width="13.7109375" customWidth="1"/>
    <col min="4" max="4" width="34.28515625" customWidth="1"/>
    <col min="5" max="5" width="18.7109375" customWidth="1"/>
    <col min="10" max="10" width="19.42578125" customWidth="1"/>
    <col min="11" max="11" width="17.140625" customWidth="1"/>
    <col min="12" max="12" width="25.7109375" customWidth="1"/>
    <col min="13" max="13" width="24.42578125" customWidth="1"/>
    <col min="14" max="14" width="13.7109375" customWidth="1"/>
    <col min="15" max="15" width="2.7109375" customWidth="1"/>
  </cols>
  <sheetData>
    <row r="1" spans="1:16" s="935" customFormat="1" ht="18" thickBot="1">
      <c r="E1" s="936"/>
      <c r="I1" s="937"/>
      <c r="K1" s="937"/>
      <c r="L1" s="938"/>
      <c r="M1" s="939"/>
      <c r="N1" s="938"/>
    </row>
    <row r="2" spans="1:16" s="947" customFormat="1" ht="19.5" customHeight="1" thickTop="1">
      <c r="A2" s="940"/>
      <c r="B2" s="941"/>
      <c r="C2" s="942"/>
      <c r="D2" s="943"/>
      <c r="E2" s="1822"/>
      <c r="F2" s="1823"/>
      <c r="G2" s="1823"/>
      <c r="H2" s="1823"/>
      <c r="I2" s="1823"/>
      <c r="J2" s="1823"/>
      <c r="K2" s="1824"/>
      <c r="L2" s="944"/>
      <c r="M2" s="942"/>
      <c r="N2" s="945"/>
      <c r="O2" s="946"/>
    </row>
    <row r="3" spans="1:16" s="947" customFormat="1" ht="22.5" customHeight="1">
      <c r="A3" s="940"/>
      <c r="B3" s="1825" t="str">
        <f>SYNTHESE!D4</f>
        <v>POINT 50%</v>
      </c>
      <c r="C3" s="1826"/>
      <c r="D3" s="1827"/>
      <c r="E3" s="1831" t="s">
        <v>15</v>
      </c>
      <c r="F3" s="1806"/>
      <c r="G3" s="1806"/>
      <c r="H3" s="1806"/>
      <c r="I3" s="1806"/>
      <c r="J3" s="1806"/>
      <c r="K3" s="1807"/>
      <c r="L3" s="948"/>
      <c r="M3" s="949"/>
      <c r="N3" s="950"/>
      <c r="O3" s="951"/>
    </row>
    <row r="4" spans="1:16" s="947" customFormat="1" ht="22.5" customHeight="1">
      <c r="A4" s="940"/>
      <c r="B4" s="1825"/>
      <c r="C4" s="1826"/>
      <c r="D4" s="1827"/>
      <c r="E4" s="1068"/>
      <c r="F4" s="1065"/>
      <c r="G4" s="1065"/>
      <c r="H4" s="1065"/>
      <c r="I4" s="1065"/>
      <c r="J4" s="1065"/>
      <c r="K4" s="1066"/>
      <c r="L4" s="948"/>
      <c r="M4" s="949"/>
      <c r="N4" s="950"/>
      <c r="O4" s="951"/>
    </row>
    <row r="5" spans="1:16" s="947" customFormat="1" ht="20.100000000000001" customHeight="1">
      <c r="A5" s="940"/>
      <c r="B5" s="1825"/>
      <c r="C5" s="1826"/>
      <c r="D5" s="1827"/>
      <c r="E5" s="1832"/>
      <c r="F5" s="1829"/>
      <c r="G5" s="1829"/>
      <c r="H5" s="1829"/>
      <c r="I5" s="1829"/>
      <c r="J5" s="1829"/>
      <c r="K5" s="1830"/>
      <c r="L5" s="948"/>
      <c r="M5" s="949"/>
      <c r="N5" s="950"/>
      <c r="O5" s="951"/>
    </row>
    <row r="6" spans="1:16" s="947" customFormat="1" ht="27.75">
      <c r="A6" s="940"/>
      <c r="B6" s="1802">
        <f>SYNTHESE!D7</f>
        <v>42800</v>
      </c>
      <c r="C6" s="1803"/>
      <c r="D6" s="1804"/>
      <c r="E6" s="1831" t="str">
        <f>SYNTHESE!E6</f>
        <v xml:space="preserve">LES FAUBOURGS D'ANFA </v>
      </c>
      <c r="F6" s="1806"/>
      <c r="G6" s="1806"/>
      <c r="H6" s="1806"/>
      <c r="I6" s="1806"/>
      <c r="J6" s="1806"/>
      <c r="K6" s="1807"/>
      <c r="L6" s="948"/>
      <c r="M6" s="949"/>
      <c r="N6" s="950"/>
      <c r="O6" s="951"/>
    </row>
    <row r="7" spans="1:16" s="947" customFormat="1" ht="27.75" customHeight="1">
      <c r="A7" s="940"/>
      <c r="B7" s="1802"/>
      <c r="C7" s="1803"/>
      <c r="D7" s="1804"/>
      <c r="E7" s="1831" t="str">
        <f>SYNTHESE!E7</f>
        <v>CASABLANCA</v>
      </c>
      <c r="F7" s="1806"/>
      <c r="G7" s="1806"/>
      <c r="H7" s="1806"/>
      <c r="I7" s="1806"/>
      <c r="J7" s="1806"/>
      <c r="K7" s="1807"/>
      <c r="L7" s="948"/>
      <c r="M7" s="949"/>
      <c r="N7" s="957"/>
      <c r="O7" s="951"/>
    </row>
    <row r="8" spans="1:16" s="966" customFormat="1" ht="20.100000000000001" customHeight="1" thickBot="1">
      <c r="A8" s="958"/>
      <c r="B8" s="959"/>
      <c r="C8" s="960"/>
      <c r="D8" s="961"/>
      <c r="E8" s="1808"/>
      <c r="F8" s="1809"/>
      <c r="G8" s="1809"/>
      <c r="H8" s="1809"/>
      <c r="I8" s="1809"/>
      <c r="J8" s="1809"/>
      <c r="K8" s="1810"/>
      <c r="L8" s="962"/>
      <c r="M8" s="963"/>
      <c r="N8" s="964"/>
      <c r="O8" s="965"/>
    </row>
    <row r="9" spans="1:16" s="935" customFormat="1" ht="40.5" customHeight="1" thickTop="1">
      <c r="B9" s="967"/>
      <c r="C9" s="968"/>
      <c r="D9" s="968"/>
      <c r="E9" s="969"/>
      <c r="F9" s="968"/>
      <c r="G9" s="968"/>
      <c r="H9" s="968"/>
      <c r="I9" s="970"/>
      <c r="J9" s="968"/>
      <c r="K9" s="970"/>
      <c r="L9" s="971"/>
      <c r="M9" s="972"/>
      <c r="N9" s="971"/>
      <c r="O9" s="973"/>
    </row>
    <row r="10" spans="1:16" s="966" customFormat="1" ht="40.5" customHeight="1">
      <c r="A10" s="974"/>
      <c r="B10" s="1834" t="s">
        <v>416</v>
      </c>
      <c r="C10" s="1835"/>
      <c r="D10" s="1836"/>
      <c r="E10" s="1836"/>
      <c r="F10" s="1836"/>
      <c r="G10" s="1836"/>
      <c r="H10" s="1836"/>
      <c r="I10" s="1836"/>
      <c r="J10" s="1836"/>
      <c r="K10" s="1836"/>
      <c r="L10" s="1836"/>
      <c r="M10" s="1836"/>
      <c r="N10" s="1836"/>
      <c r="O10" s="1837"/>
    </row>
    <row r="11" spans="1:16" s="935" customFormat="1" ht="100.5" customHeight="1">
      <c r="B11" s="1838" t="s">
        <v>479</v>
      </c>
      <c r="C11" s="1839"/>
      <c r="D11" s="1836"/>
      <c r="E11" s="1836"/>
      <c r="F11" s="1836"/>
      <c r="G11" s="1836"/>
      <c r="H11" s="1836"/>
      <c r="I11" s="1836"/>
      <c r="J11" s="1836"/>
      <c r="K11" s="1836"/>
      <c r="L11" s="1836"/>
      <c r="M11" s="1836"/>
      <c r="N11" s="1836"/>
      <c r="O11" s="1837"/>
    </row>
    <row r="12" spans="1:16" s="935" customFormat="1" ht="25.5" customHeight="1">
      <c r="B12" s="1069"/>
      <c r="C12" s="1070"/>
      <c r="D12" s="1070"/>
      <c r="E12" s="1071"/>
      <c r="F12" s="1072"/>
      <c r="G12" s="1072"/>
      <c r="H12" s="1072"/>
      <c r="I12" s="1072"/>
      <c r="J12" s="1072"/>
      <c r="K12" s="1072"/>
      <c r="L12" s="1072"/>
      <c r="M12" s="1072"/>
      <c r="N12" s="1072"/>
      <c r="O12" s="1073"/>
    </row>
    <row r="13" spans="1:16" s="935" customFormat="1" ht="18" customHeight="1">
      <c r="B13" s="975"/>
      <c r="C13" s="968"/>
      <c r="D13" s="968"/>
      <c r="E13" s="969"/>
      <c r="F13" s="968"/>
      <c r="G13" s="968"/>
      <c r="H13" s="968"/>
      <c r="I13" s="970"/>
      <c r="J13" s="968"/>
      <c r="K13" s="970"/>
      <c r="L13" s="971"/>
      <c r="M13" s="972"/>
      <c r="N13" s="971"/>
      <c r="O13" s="973"/>
    </row>
    <row r="14" spans="1:16" s="976" customFormat="1" ht="39.950000000000003" customHeight="1">
      <c r="B14" s="977"/>
      <c r="C14" s="978" t="s">
        <v>418</v>
      </c>
      <c r="D14" s="979"/>
      <c r="E14" s="980"/>
      <c r="F14" s="1817"/>
      <c r="G14" s="1817"/>
      <c r="H14" s="1817"/>
      <c r="I14" s="1817"/>
      <c r="J14" s="1817"/>
      <c r="K14" s="1817"/>
      <c r="L14" s="1817"/>
      <c r="M14" s="1817"/>
      <c r="N14" s="1817"/>
      <c r="O14" s="1818"/>
    </row>
    <row r="15" spans="1:16" s="976" customFormat="1" ht="39.950000000000003" customHeight="1">
      <c r="B15" s="1074"/>
      <c r="C15" s="1075"/>
      <c r="D15" s="1078" t="s">
        <v>337</v>
      </c>
      <c r="E15" s="1047"/>
      <c r="F15" s="1077"/>
      <c r="G15" s="1077"/>
      <c r="H15" s="1840" t="str">
        <f>PROPER(SYNTHESE!D4)</f>
        <v>Point 50%</v>
      </c>
      <c r="I15" s="1840"/>
      <c r="J15" s="1077"/>
      <c r="K15" s="1077"/>
      <c r="L15" s="1841" t="s">
        <v>420</v>
      </c>
      <c r="M15" s="1841"/>
      <c r="N15" s="985"/>
      <c r="O15" s="986"/>
    </row>
    <row r="16" spans="1:16" s="976" customFormat="1" ht="39.950000000000003" customHeight="1">
      <c r="B16" s="1074"/>
      <c r="C16" s="1075"/>
      <c r="D16" s="1079">
        <f>DCH!K23/1000</f>
        <v>1240.4490000000001</v>
      </c>
      <c r="E16" s="1080"/>
      <c r="F16" s="1080"/>
      <c r="G16" s="1080"/>
      <c r="H16" s="1842">
        <f>DCH!M23/1000</f>
        <v>0</v>
      </c>
      <c r="I16" s="1842"/>
      <c r="J16" s="1080"/>
      <c r="K16" s="1080"/>
      <c r="L16" s="1081">
        <f>D16-H16</f>
        <v>1240.4490000000001</v>
      </c>
      <c r="M16" s="1082">
        <f>L16/D16</f>
        <v>1</v>
      </c>
      <c r="N16" s="980"/>
      <c r="O16" s="990"/>
      <c r="P16" s="1083"/>
    </row>
    <row r="17" spans="2:15" s="976" customFormat="1" ht="39.950000000000003" customHeight="1">
      <c r="B17" s="1074"/>
      <c r="C17" s="1075"/>
      <c r="D17" s="979"/>
      <c r="E17" s="980"/>
      <c r="F17" s="985"/>
      <c r="G17" s="985"/>
      <c r="H17" s="985"/>
      <c r="I17" s="980"/>
      <c r="J17" s="980"/>
      <c r="K17" s="980"/>
      <c r="L17" s="1062"/>
      <c r="N17" s="985"/>
      <c r="O17" s="986"/>
    </row>
    <row r="18" spans="2:15" s="976" customFormat="1" ht="39.950000000000003" customHeight="1">
      <c r="B18" s="1074"/>
      <c r="C18" s="1075"/>
      <c r="D18" s="979"/>
      <c r="E18" s="980"/>
      <c r="F18" s="985"/>
      <c r="G18" s="985"/>
      <c r="H18" s="985"/>
      <c r="I18" s="985"/>
      <c r="J18" s="985"/>
      <c r="K18" s="985"/>
      <c r="L18" s="985"/>
      <c r="M18" s="985"/>
      <c r="N18" s="985"/>
      <c r="O18" s="986"/>
    </row>
    <row r="19" spans="2:15" s="976" customFormat="1" ht="39.950000000000003" customHeight="1">
      <c r="B19" s="977"/>
      <c r="C19" s="978" t="s">
        <v>421</v>
      </c>
      <c r="D19" s="979"/>
      <c r="E19" s="980"/>
      <c r="F19" s="1817"/>
      <c r="G19" s="1817"/>
      <c r="H19" s="1817"/>
      <c r="I19" s="1817"/>
      <c r="J19" s="1817"/>
      <c r="K19" s="1817"/>
      <c r="L19" s="1817"/>
      <c r="M19" s="1817"/>
      <c r="N19" s="1817"/>
      <c r="O19" s="1818"/>
    </row>
    <row r="20" spans="2:15" s="991" customFormat="1" ht="39.75" customHeight="1">
      <c r="B20" s="1084"/>
      <c r="C20" s="1085"/>
      <c r="D20" s="994"/>
      <c r="E20" s="994"/>
      <c r="F20" s="1817"/>
      <c r="G20" s="1817"/>
      <c r="H20" s="1817"/>
      <c r="I20" s="1817"/>
      <c r="J20" s="1817"/>
      <c r="K20" s="1817"/>
      <c r="L20" s="1817"/>
      <c r="M20" s="1817"/>
      <c r="N20" s="1817"/>
      <c r="O20" s="1818"/>
    </row>
    <row r="21" spans="2:15" s="979" customFormat="1" ht="29.25" customHeight="1">
      <c r="B21" s="1086"/>
      <c r="C21" s="1102"/>
      <c r="E21" s="980"/>
      <c r="F21" s="1063"/>
      <c r="G21" s="1063"/>
      <c r="H21" s="1063"/>
      <c r="I21" s="1063"/>
      <c r="J21" s="1063"/>
      <c r="K21" s="1063"/>
      <c r="L21" s="1107"/>
      <c r="M21" s="1061"/>
      <c r="N21" s="1092"/>
      <c r="O21" s="1064"/>
    </row>
    <row r="22" spans="2:15" s="979" customFormat="1" ht="22.5" customHeight="1">
      <c r="B22" s="1086"/>
      <c r="C22" s="979" t="s">
        <v>480</v>
      </c>
      <c r="E22" s="980"/>
      <c r="F22" s="1063"/>
      <c r="G22" s="980"/>
      <c r="H22" s="1063"/>
      <c r="I22" s="1063"/>
      <c r="J22" s="1063"/>
      <c r="K22" s="1063"/>
      <c r="L22" s="1063">
        <v>-160.02789000000001</v>
      </c>
      <c r="M22" s="1093"/>
      <c r="N22" s="1063"/>
      <c r="O22" s="1064"/>
    </row>
    <row r="23" spans="2:15" s="979" customFormat="1" ht="23.1" customHeight="1">
      <c r="B23" s="1037"/>
      <c r="E23" s="980"/>
      <c r="G23" s="980"/>
      <c r="H23" s="1063"/>
      <c r="I23" s="1063"/>
      <c r="J23" s="1063"/>
      <c r="K23" s="1063"/>
      <c r="L23" s="1094"/>
      <c r="M23" s="1095"/>
      <c r="N23" s="1018"/>
      <c r="O23" s="1019"/>
    </row>
    <row r="24" spans="2:15" s="976" customFormat="1" ht="23.1" customHeight="1">
      <c r="B24" s="1074"/>
      <c r="C24" s="1096"/>
      <c r="D24" s="979"/>
      <c r="E24" s="980"/>
      <c r="F24" s="985"/>
      <c r="G24" s="985"/>
      <c r="H24" s="985"/>
      <c r="I24" s="985"/>
      <c r="J24" s="985"/>
      <c r="K24" s="985"/>
      <c r="L24" s="1094"/>
      <c r="M24" s="985"/>
      <c r="N24" s="985"/>
      <c r="O24" s="986"/>
    </row>
    <row r="25" spans="2:15" s="976" customFormat="1" ht="23.1" customHeight="1">
      <c r="B25" s="1074"/>
      <c r="C25" s="979"/>
      <c r="D25" s="979"/>
      <c r="E25" s="980"/>
      <c r="F25" s="985"/>
      <c r="G25" s="985"/>
      <c r="H25" s="985"/>
      <c r="I25" s="985"/>
      <c r="J25" s="985"/>
      <c r="K25" s="985"/>
      <c r="L25" s="1094"/>
      <c r="M25" s="985"/>
      <c r="N25" s="985"/>
      <c r="O25" s="986"/>
    </row>
    <row r="26" spans="2:15" s="976" customFormat="1" ht="22.5" customHeight="1">
      <c r="B26" s="1074"/>
      <c r="C26" s="979" t="s">
        <v>481</v>
      </c>
      <c r="D26" s="979"/>
      <c r="E26" s="980"/>
      <c r="F26" s="985"/>
      <c r="G26" s="985"/>
      <c r="H26" s="985"/>
      <c r="I26" s="985"/>
      <c r="J26" s="985"/>
      <c r="K26" s="985"/>
      <c r="L26" s="1265">
        <v>300</v>
      </c>
      <c r="M26" s="985"/>
      <c r="N26" s="985"/>
      <c r="O26" s="986"/>
    </row>
    <row r="27" spans="2:15" s="976" customFormat="1" ht="22.5" customHeight="1">
      <c r="B27" s="1074"/>
      <c r="C27" s="1096"/>
      <c r="D27" s="979"/>
      <c r="E27" s="980"/>
      <c r="F27" s="985"/>
      <c r="G27" s="985"/>
      <c r="H27" s="985"/>
      <c r="I27" s="985"/>
      <c r="J27" s="985"/>
      <c r="K27" s="985"/>
      <c r="L27" s="985"/>
      <c r="M27" s="985"/>
      <c r="N27" s="985"/>
      <c r="O27" s="986"/>
    </row>
    <row r="28" spans="2:15" s="979" customFormat="1" ht="23.1" customHeight="1">
      <c r="B28" s="1074"/>
      <c r="E28" s="980"/>
      <c r="F28" s="1063"/>
      <c r="G28" s="980"/>
      <c r="H28" s="1063"/>
      <c r="I28" s="1063"/>
      <c r="J28" s="1063"/>
      <c r="K28" s="1063"/>
      <c r="L28" s="1094"/>
      <c r="M28" s="1063"/>
      <c r="N28" s="1063"/>
      <c r="O28" s="1064"/>
    </row>
    <row r="29" spans="2:15" s="979" customFormat="1" ht="23.1" customHeight="1">
      <c r="B29" s="1074"/>
      <c r="E29" s="980"/>
      <c r="F29" s="1063"/>
      <c r="G29" s="980"/>
      <c r="H29" s="1063"/>
      <c r="I29" s="1063"/>
      <c r="J29" s="1063"/>
      <c r="K29" s="1063"/>
      <c r="L29" s="1094"/>
      <c r="M29" s="1063"/>
      <c r="N29" s="1063"/>
      <c r="O29" s="1064"/>
    </row>
    <row r="30" spans="2:15" s="979" customFormat="1" ht="23.1" customHeight="1">
      <c r="B30" s="1074"/>
      <c r="C30" s="979" t="s">
        <v>482</v>
      </c>
      <c r="E30" s="980"/>
      <c r="F30" s="1063"/>
      <c r="G30" s="980"/>
      <c r="H30" s="1063"/>
      <c r="I30" s="1063"/>
      <c r="J30" s="1063"/>
      <c r="K30" s="1063"/>
      <c r="L30" s="1094">
        <v>-200</v>
      </c>
      <c r="M30" s="1063"/>
      <c r="N30" s="1063"/>
      <c r="O30" s="1064"/>
    </row>
    <row r="31" spans="2:15" s="979" customFormat="1" ht="23.1" customHeight="1">
      <c r="B31" s="1037"/>
      <c r="C31" s="1096"/>
      <c r="L31" s="1094"/>
      <c r="M31" s="1095"/>
      <c r="N31" s="1018"/>
      <c r="O31" s="1019"/>
    </row>
    <row r="32" spans="2:15" s="979" customFormat="1" ht="23.1" customHeight="1">
      <c r="B32" s="1074"/>
      <c r="C32" s="1096"/>
      <c r="E32" s="980"/>
      <c r="F32" s="1063"/>
      <c r="G32" s="980"/>
      <c r="H32" s="1063"/>
      <c r="I32" s="1063"/>
      <c r="J32" s="1063"/>
      <c r="K32" s="1063"/>
      <c r="L32" s="1094"/>
      <c r="M32" s="1063"/>
      <c r="N32" s="1063"/>
      <c r="O32" s="1064"/>
    </row>
    <row r="33" spans="2:15" s="979" customFormat="1" ht="29.25" customHeight="1">
      <c r="B33" s="1086"/>
      <c r="C33" s="1102"/>
      <c r="E33" s="980"/>
      <c r="F33" s="1063"/>
      <c r="G33" s="1063"/>
      <c r="H33" s="1063"/>
      <c r="I33" s="1063"/>
      <c r="J33" s="1063"/>
      <c r="K33" s="1063"/>
      <c r="L33" s="1107"/>
      <c r="M33" s="1061"/>
      <c r="N33" s="1063"/>
      <c r="O33" s="1064"/>
    </row>
    <row r="34" spans="2:15" s="935" customFormat="1" ht="23.1" customHeight="1">
      <c r="B34" s="975"/>
      <c r="C34" s="979"/>
      <c r="D34" s="968"/>
      <c r="E34" s="969"/>
      <c r="F34" s="968"/>
      <c r="G34" s="968"/>
      <c r="H34" s="968"/>
      <c r="I34" s="970"/>
      <c r="J34" s="968"/>
      <c r="K34" s="970"/>
      <c r="L34" s="1094"/>
      <c r="M34" s="972"/>
      <c r="N34" s="971"/>
      <c r="O34" s="973"/>
    </row>
    <row r="35" spans="2:15" s="935" customFormat="1" ht="23.1" customHeight="1">
      <c r="B35" s="975"/>
      <c r="C35" s="979"/>
      <c r="D35" s="968"/>
      <c r="E35" s="969"/>
      <c r="F35" s="968"/>
      <c r="G35" s="980"/>
      <c r="H35" s="1063"/>
      <c r="I35" s="1063"/>
      <c r="J35" s="1063"/>
      <c r="K35" s="1063"/>
      <c r="L35" s="1094"/>
      <c r="M35" s="972"/>
      <c r="N35" s="971"/>
      <c r="O35" s="973"/>
    </row>
    <row r="36" spans="2:15" s="935" customFormat="1" ht="23.1" customHeight="1">
      <c r="B36" s="975"/>
      <c r="C36" s="979"/>
      <c r="D36" s="968"/>
      <c r="E36" s="969"/>
      <c r="F36" s="968"/>
      <c r="G36" s="980"/>
      <c r="H36" s="1063"/>
      <c r="I36" s="1063"/>
      <c r="J36" s="1063"/>
      <c r="K36" s="1063"/>
      <c r="L36" s="1094"/>
      <c r="M36" s="972"/>
      <c r="N36" s="971"/>
      <c r="O36" s="973"/>
    </row>
    <row r="37" spans="2:15" s="935" customFormat="1" ht="23.1" customHeight="1">
      <c r="B37" s="975"/>
      <c r="C37" s="1096"/>
      <c r="D37" s="968"/>
      <c r="E37" s="969"/>
      <c r="F37" s="968"/>
      <c r="G37" s="968"/>
      <c r="H37" s="968"/>
      <c r="I37" s="970"/>
      <c r="J37" s="968"/>
      <c r="K37" s="970"/>
      <c r="L37" s="1094"/>
      <c r="M37" s="972"/>
      <c r="N37" s="971"/>
      <c r="O37" s="973"/>
    </row>
    <row r="38" spans="2:15" s="935" customFormat="1" ht="23.1" customHeight="1">
      <c r="B38" s="975"/>
      <c r="C38" s="968"/>
      <c r="D38" s="968"/>
      <c r="E38" s="969"/>
      <c r="F38" s="968"/>
      <c r="G38" s="968"/>
      <c r="H38" s="968"/>
      <c r="I38" s="970"/>
      <c r="J38" s="968"/>
      <c r="K38" s="970"/>
      <c r="L38" s="1063"/>
      <c r="M38" s="972"/>
      <c r="N38" s="971"/>
      <c r="O38" s="973"/>
    </row>
    <row r="39" spans="2:15" s="935" customFormat="1" ht="23.1" customHeight="1">
      <c r="B39" s="975"/>
      <c r="C39" s="968"/>
      <c r="D39" s="968"/>
      <c r="E39" s="969"/>
      <c r="F39" s="968"/>
      <c r="G39" s="968"/>
      <c r="H39" s="968"/>
      <c r="I39" s="970"/>
      <c r="J39" s="968"/>
      <c r="K39" s="970"/>
      <c r="L39" s="971"/>
      <c r="M39" s="972"/>
      <c r="N39" s="971"/>
      <c r="O39" s="973"/>
    </row>
    <row r="40" spans="2:15" s="979" customFormat="1" ht="29.25" customHeight="1">
      <c r="B40" s="1086"/>
      <c r="C40" s="1102"/>
      <c r="E40" s="980"/>
      <c r="F40" s="1063"/>
      <c r="G40" s="1063"/>
      <c r="H40" s="1063"/>
      <c r="I40" s="1063"/>
      <c r="J40" s="1063"/>
      <c r="K40" s="1063"/>
      <c r="L40" s="1107"/>
      <c r="M40" s="1061"/>
      <c r="N40" s="1063"/>
      <c r="O40" s="1064"/>
    </row>
    <row r="41" spans="2:15" s="935" customFormat="1" ht="23.1" customHeight="1">
      <c r="B41" s="975"/>
      <c r="C41" s="979"/>
      <c r="D41" s="968"/>
      <c r="E41" s="969"/>
      <c r="F41" s="968"/>
      <c r="G41" s="980"/>
      <c r="H41" s="1063"/>
      <c r="I41" s="1063"/>
      <c r="J41" s="1063"/>
      <c r="K41" s="1063"/>
      <c r="L41" s="1094"/>
      <c r="M41" s="972"/>
      <c r="N41" s="971"/>
      <c r="O41" s="973"/>
    </row>
    <row r="42" spans="2:15" s="935" customFormat="1" ht="23.1" customHeight="1">
      <c r="B42" s="975"/>
      <c r="C42" s="979"/>
      <c r="D42" s="968"/>
      <c r="E42" s="969"/>
      <c r="F42" s="968"/>
      <c r="G42" s="968"/>
      <c r="H42" s="968"/>
      <c r="I42" s="970"/>
      <c r="J42" s="968"/>
      <c r="K42" s="970"/>
      <c r="L42" s="1094"/>
      <c r="M42" s="972"/>
      <c r="N42" s="971"/>
      <c r="O42" s="973"/>
    </row>
    <row r="43" spans="2:15" s="935" customFormat="1" ht="23.1" customHeight="1">
      <c r="B43" s="975"/>
      <c r="C43" s="979"/>
      <c r="D43" s="968"/>
      <c r="E43" s="969"/>
      <c r="F43" s="968"/>
      <c r="G43" s="968"/>
      <c r="H43" s="968"/>
      <c r="I43" s="970"/>
      <c r="J43" s="968"/>
      <c r="K43" s="970"/>
      <c r="L43" s="1063"/>
      <c r="M43" s="972"/>
      <c r="N43" s="971"/>
      <c r="O43" s="973"/>
    </row>
    <row r="44" spans="2:15" s="935" customFormat="1" ht="23.1" customHeight="1">
      <c r="B44" s="975"/>
      <c r="C44" s="979"/>
      <c r="D44" s="968"/>
      <c r="E44" s="969"/>
      <c r="F44" s="968"/>
      <c r="G44" s="968"/>
      <c r="H44" s="968"/>
      <c r="I44" s="970"/>
      <c r="J44" s="968"/>
      <c r="K44" s="970"/>
      <c r="L44" s="1063"/>
      <c r="M44" s="972"/>
      <c r="N44" s="971"/>
      <c r="O44" s="973"/>
    </row>
    <row r="45" spans="2:15" s="935" customFormat="1" ht="23.1" customHeight="1">
      <c r="B45" s="975"/>
      <c r="C45" s="979"/>
      <c r="D45" s="968"/>
      <c r="E45" s="969"/>
      <c r="F45" s="968"/>
      <c r="G45" s="968"/>
      <c r="H45" s="968"/>
      <c r="I45" s="970"/>
      <c r="J45" s="968"/>
      <c r="K45" s="970"/>
      <c r="L45" s="1063"/>
      <c r="M45" s="972"/>
      <c r="N45" s="971"/>
      <c r="O45" s="973"/>
    </row>
    <row r="46" spans="2:15" s="935" customFormat="1" ht="23.1" customHeight="1">
      <c r="B46" s="975"/>
      <c r="C46" s="979"/>
      <c r="D46" s="968"/>
      <c r="E46" s="969"/>
      <c r="F46" s="968"/>
      <c r="G46" s="968"/>
      <c r="H46" s="968"/>
      <c r="I46" s="970"/>
      <c r="J46" s="968"/>
      <c r="K46" s="970"/>
      <c r="L46" s="1063"/>
      <c r="M46" s="972"/>
      <c r="N46" s="971"/>
      <c r="O46" s="973"/>
    </row>
    <row r="47" spans="2:15" s="935" customFormat="1" ht="23.25" customHeight="1">
      <c r="B47" s="975"/>
      <c r="C47" s="968"/>
      <c r="D47" s="968"/>
      <c r="E47" s="969"/>
      <c r="F47" s="968"/>
      <c r="G47" s="968"/>
      <c r="H47" s="968"/>
      <c r="I47" s="970"/>
      <c r="J47" s="968"/>
      <c r="K47" s="970"/>
      <c r="L47" s="971"/>
      <c r="M47" s="972"/>
      <c r="N47" s="971"/>
      <c r="O47" s="973"/>
    </row>
    <row r="48" spans="2:15" s="935" customFormat="1" ht="23.25" customHeight="1">
      <c r="B48" s="975"/>
      <c r="C48" s="968"/>
      <c r="D48" s="968"/>
      <c r="E48" s="969"/>
      <c r="F48" s="968"/>
      <c r="G48" s="968"/>
      <c r="H48" s="968"/>
      <c r="I48" s="970"/>
      <c r="J48" s="968"/>
      <c r="K48" s="970"/>
      <c r="L48" s="971"/>
      <c r="M48" s="972"/>
      <c r="N48" s="971"/>
      <c r="O48" s="973"/>
    </row>
    <row r="49" spans="2:15" s="935" customFormat="1" ht="23.25" customHeight="1">
      <c r="B49" s="975"/>
      <c r="C49" s="968"/>
      <c r="D49" s="968"/>
      <c r="E49" s="969"/>
      <c r="F49" s="968"/>
      <c r="G49" s="968"/>
      <c r="H49" s="968"/>
      <c r="I49" s="970"/>
      <c r="J49" s="968"/>
      <c r="K49" s="970"/>
      <c r="L49" s="971"/>
      <c r="M49" s="972"/>
      <c r="N49" s="971"/>
      <c r="O49" s="973"/>
    </row>
    <row r="50" spans="2:15" s="935" customFormat="1" ht="23.25" customHeight="1">
      <c r="B50" s="975"/>
      <c r="C50" s="968"/>
      <c r="D50" s="968"/>
      <c r="E50" s="969"/>
      <c r="F50" s="968"/>
      <c r="G50" s="968"/>
      <c r="H50" s="968"/>
      <c r="I50" s="970"/>
      <c r="J50" s="968"/>
      <c r="K50" s="970"/>
      <c r="L50" s="971"/>
      <c r="M50" s="972"/>
      <c r="N50" s="971"/>
      <c r="O50" s="973"/>
    </row>
    <row r="51" spans="2:15" s="935" customFormat="1" ht="23.25" customHeight="1">
      <c r="B51" s="975"/>
      <c r="C51" s="968"/>
      <c r="D51" s="968"/>
      <c r="E51" s="969"/>
      <c r="F51" s="968"/>
      <c r="G51" s="968"/>
      <c r="H51" s="968"/>
      <c r="I51" s="970"/>
      <c r="J51" s="968"/>
      <c r="K51" s="970"/>
      <c r="L51" s="971"/>
      <c r="M51" s="972"/>
      <c r="N51" s="971"/>
      <c r="O51" s="973"/>
    </row>
    <row r="52" spans="2:15" s="935" customFormat="1" ht="23.25" customHeight="1">
      <c r="B52" s="975"/>
      <c r="C52" s="968"/>
      <c r="D52" s="968"/>
      <c r="E52" s="969"/>
      <c r="F52" s="968"/>
      <c r="G52" s="968"/>
      <c r="H52" s="968"/>
      <c r="I52" s="970"/>
      <c r="J52" s="968"/>
      <c r="K52" s="970"/>
      <c r="L52" s="971"/>
      <c r="M52" s="972"/>
      <c r="N52" s="971"/>
      <c r="O52" s="973"/>
    </row>
    <row r="53" spans="2:15" s="935" customFormat="1" ht="23.25" customHeight="1">
      <c r="B53" s="975"/>
      <c r="C53" s="968"/>
      <c r="D53" s="968"/>
      <c r="E53" s="969"/>
      <c r="F53" s="968"/>
      <c r="G53" s="980"/>
      <c r="H53" s="1063"/>
      <c r="I53" s="1063"/>
      <c r="J53" s="1063"/>
      <c r="K53" s="1063"/>
      <c r="L53" s="1063"/>
      <c r="M53" s="972"/>
      <c r="N53" s="971"/>
      <c r="O53" s="973"/>
    </row>
    <row r="54" spans="2:15" s="935" customFormat="1" ht="23.25" customHeight="1">
      <c r="B54" s="975"/>
      <c r="C54" s="968"/>
      <c r="D54" s="968"/>
      <c r="E54" s="969"/>
      <c r="F54" s="968"/>
      <c r="G54" s="968"/>
      <c r="H54" s="968"/>
      <c r="I54" s="970"/>
      <c r="J54" s="968"/>
      <c r="K54" s="970"/>
      <c r="L54" s="971"/>
      <c r="M54" s="972"/>
      <c r="N54" s="971"/>
      <c r="O54" s="973"/>
    </row>
    <row r="55" spans="2:15" s="935" customFormat="1" ht="23.25" customHeight="1">
      <c r="B55" s="975"/>
      <c r="C55" s="968"/>
      <c r="D55" s="968"/>
      <c r="E55" s="969"/>
      <c r="F55" s="968"/>
      <c r="G55" s="968"/>
      <c r="H55" s="968"/>
      <c r="I55" s="970"/>
      <c r="J55" s="968"/>
      <c r="K55" s="970"/>
      <c r="L55" s="971"/>
      <c r="M55" s="972"/>
      <c r="N55" s="971"/>
      <c r="O55" s="973"/>
    </row>
    <row r="56" spans="2:15" s="935" customFormat="1" ht="23.25" customHeight="1" thickBot="1">
      <c r="B56" s="1054"/>
      <c r="C56" s="1098"/>
      <c r="D56" s="1098"/>
      <c r="E56" s="1099"/>
      <c r="F56" s="1098"/>
      <c r="G56" s="1098"/>
      <c r="H56" s="1098"/>
      <c r="I56" s="1100"/>
      <c r="J56" s="1098"/>
      <c r="K56" s="1100"/>
      <c r="L56" s="1059"/>
      <c r="M56" s="1101"/>
      <c r="N56" s="1059"/>
      <c r="O56" s="1060"/>
    </row>
    <row r="57" spans="2:15" s="935" customFormat="1" ht="18" thickTop="1">
      <c r="E57" s="936"/>
      <c r="I57" s="937"/>
      <c r="K57" s="937"/>
      <c r="L57" s="938"/>
      <c r="M57" s="939"/>
      <c r="N57" s="938"/>
    </row>
  </sheetData>
  <mergeCells count="17">
    <mergeCell ref="F14:O14"/>
    <mergeCell ref="E2:K2"/>
    <mergeCell ref="B3:D5"/>
    <mergeCell ref="E3:K3"/>
    <mergeCell ref="E5:K5"/>
    <mergeCell ref="B6:D6"/>
    <mergeCell ref="E6:K6"/>
    <mergeCell ref="B7:D7"/>
    <mergeCell ref="E7:K7"/>
    <mergeCell ref="E8:K8"/>
    <mergeCell ref="B10:O10"/>
    <mergeCell ref="B11:O11"/>
    <mergeCell ref="H15:I15"/>
    <mergeCell ref="L15:M15"/>
    <mergeCell ref="H16:I16"/>
    <mergeCell ref="F19:O19"/>
    <mergeCell ref="F20:O20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 enableFormatConditionsCalculation="0"/>
  <dimension ref="A1:P57"/>
  <sheetViews>
    <sheetView showGridLines="0" zoomScale="70" zoomScaleNormal="70" zoomScalePageLayoutView="70" workbookViewId="0">
      <selection activeCell="M6" sqref="M6"/>
    </sheetView>
  </sheetViews>
  <sheetFormatPr baseColWidth="10" defaultRowHeight="15"/>
  <cols>
    <col min="2" max="2" width="11.28515625" customWidth="1"/>
    <col min="3" max="3" width="13.7109375" customWidth="1"/>
    <col min="4" max="4" width="34.28515625" customWidth="1"/>
    <col min="5" max="5" width="18.7109375" customWidth="1"/>
    <col min="10" max="10" width="19.42578125" customWidth="1"/>
    <col min="11" max="11" width="17.140625" customWidth="1"/>
    <col min="12" max="12" width="25.7109375" customWidth="1"/>
    <col min="13" max="13" width="24.42578125" customWidth="1"/>
    <col min="14" max="14" width="13.7109375" customWidth="1"/>
    <col min="15" max="15" width="2.7109375" customWidth="1"/>
  </cols>
  <sheetData>
    <row r="1" spans="1:16" s="935" customFormat="1" ht="18" thickBot="1">
      <c r="E1" s="936"/>
      <c r="I1" s="937"/>
      <c r="K1" s="937"/>
      <c r="L1" s="938"/>
      <c r="M1" s="939"/>
      <c r="N1" s="938"/>
    </row>
    <row r="2" spans="1:16" s="947" customFormat="1" ht="19.5" customHeight="1" thickTop="1">
      <c r="A2" s="940"/>
      <c r="B2" s="941"/>
      <c r="C2" s="942"/>
      <c r="D2" s="943"/>
      <c r="E2" s="1822"/>
      <c r="F2" s="1823"/>
      <c r="G2" s="1823"/>
      <c r="H2" s="1823"/>
      <c r="I2" s="1823"/>
      <c r="J2" s="1823"/>
      <c r="K2" s="1824"/>
      <c r="L2" s="944"/>
      <c r="M2" s="942"/>
      <c r="N2" s="945"/>
      <c r="O2" s="946"/>
    </row>
    <row r="3" spans="1:16" s="947" customFormat="1" ht="22.5" customHeight="1">
      <c r="A3" s="940"/>
      <c r="B3" s="1825" t="str">
        <f>SYNTHESE!D4</f>
        <v>POINT 50%</v>
      </c>
      <c r="C3" s="1826"/>
      <c r="D3" s="1827"/>
      <c r="E3" s="1831" t="s">
        <v>15</v>
      </c>
      <c r="F3" s="1806"/>
      <c r="G3" s="1806"/>
      <c r="H3" s="1806"/>
      <c r="I3" s="1806"/>
      <c r="J3" s="1806"/>
      <c r="K3" s="1807"/>
      <c r="L3" s="948"/>
      <c r="M3" s="949"/>
      <c r="N3" s="950"/>
      <c r="O3" s="951"/>
    </row>
    <row r="4" spans="1:16" s="947" customFormat="1" ht="22.5" customHeight="1">
      <c r="A4" s="940"/>
      <c r="B4" s="1825"/>
      <c r="C4" s="1826"/>
      <c r="D4" s="1827"/>
      <c r="E4" s="1068"/>
      <c r="F4" s="1065"/>
      <c r="G4" s="1065"/>
      <c r="H4" s="1065"/>
      <c r="I4" s="1065"/>
      <c r="J4" s="1065"/>
      <c r="K4" s="1066"/>
      <c r="L4" s="948"/>
      <c r="M4" s="949"/>
      <c r="N4" s="950"/>
      <c r="O4" s="951"/>
    </row>
    <row r="5" spans="1:16" s="947" customFormat="1" ht="20.100000000000001" customHeight="1">
      <c r="A5" s="940"/>
      <c r="B5" s="1825"/>
      <c r="C5" s="1826"/>
      <c r="D5" s="1827"/>
      <c r="E5" s="1832"/>
      <c r="F5" s="1829"/>
      <c r="G5" s="1829"/>
      <c r="H5" s="1829"/>
      <c r="I5" s="1829"/>
      <c r="J5" s="1829"/>
      <c r="K5" s="1830"/>
      <c r="L5" s="948"/>
      <c r="M5" s="949"/>
      <c r="N5" s="950"/>
      <c r="O5" s="951"/>
    </row>
    <row r="6" spans="1:16" s="947" customFormat="1" ht="27.75">
      <c r="A6" s="940"/>
      <c r="B6" s="1802">
        <f>SYNTHESE!D7</f>
        <v>42800</v>
      </c>
      <c r="C6" s="1803"/>
      <c r="D6" s="1804"/>
      <c r="E6" s="1831" t="str">
        <f>SYNTHESE!E6</f>
        <v xml:space="preserve">LES FAUBOURGS D'ANFA </v>
      </c>
      <c r="F6" s="1806"/>
      <c r="G6" s="1806"/>
      <c r="H6" s="1806"/>
      <c r="I6" s="1806"/>
      <c r="J6" s="1806"/>
      <c r="K6" s="1807"/>
      <c r="L6" s="948"/>
      <c r="M6" s="949"/>
      <c r="N6" s="950"/>
      <c r="O6" s="951"/>
    </row>
    <row r="7" spans="1:16" s="947" customFormat="1" ht="27.75" customHeight="1">
      <c r="A7" s="940"/>
      <c r="B7" s="1802"/>
      <c r="C7" s="1803"/>
      <c r="D7" s="1804"/>
      <c r="E7" s="1831" t="str">
        <f>SYNTHESE!E7</f>
        <v>CASABLANCA</v>
      </c>
      <c r="F7" s="1806"/>
      <c r="G7" s="1806"/>
      <c r="H7" s="1806"/>
      <c r="I7" s="1806"/>
      <c r="J7" s="1806"/>
      <c r="K7" s="1807"/>
      <c r="L7" s="948"/>
      <c r="M7" s="949"/>
      <c r="N7" s="957"/>
      <c r="O7" s="951"/>
    </row>
    <row r="8" spans="1:16" s="966" customFormat="1" ht="20.100000000000001" customHeight="1" thickBot="1">
      <c r="A8" s="958"/>
      <c r="B8" s="959"/>
      <c r="C8" s="960"/>
      <c r="D8" s="961"/>
      <c r="E8" s="1808"/>
      <c r="F8" s="1809"/>
      <c r="G8" s="1809"/>
      <c r="H8" s="1809"/>
      <c r="I8" s="1809"/>
      <c r="J8" s="1809"/>
      <c r="K8" s="1810"/>
      <c r="L8" s="962"/>
      <c r="M8" s="963"/>
      <c r="N8" s="964"/>
      <c r="O8" s="965"/>
    </row>
    <row r="9" spans="1:16" s="935" customFormat="1" ht="40.5" customHeight="1" thickTop="1">
      <c r="B9" s="967"/>
      <c r="C9" s="968"/>
      <c r="D9" s="968"/>
      <c r="E9" s="969"/>
      <c r="F9" s="968"/>
      <c r="G9" s="968"/>
      <c r="H9" s="968"/>
      <c r="I9" s="970"/>
      <c r="J9" s="968"/>
      <c r="K9" s="970"/>
      <c r="L9" s="971"/>
      <c r="M9" s="972"/>
      <c r="N9" s="971"/>
      <c r="O9" s="973"/>
    </row>
    <row r="10" spans="1:16" s="966" customFormat="1" ht="40.5" customHeight="1">
      <c r="A10" s="974"/>
      <c r="B10" s="1834" t="s">
        <v>416</v>
      </c>
      <c r="C10" s="1835"/>
      <c r="D10" s="1836"/>
      <c r="E10" s="1836"/>
      <c r="F10" s="1836"/>
      <c r="G10" s="1836"/>
      <c r="H10" s="1836"/>
      <c r="I10" s="1836"/>
      <c r="J10" s="1836"/>
      <c r="K10" s="1836"/>
      <c r="L10" s="1836"/>
      <c r="M10" s="1836"/>
      <c r="N10" s="1836"/>
      <c r="O10" s="1837"/>
    </row>
    <row r="11" spans="1:16" s="935" customFormat="1" ht="100.5" customHeight="1">
      <c r="B11" s="1838" t="s">
        <v>483</v>
      </c>
      <c r="C11" s="1839"/>
      <c r="D11" s="1836"/>
      <c r="E11" s="1836"/>
      <c r="F11" s="1836"/>
      <c r="G11" s="1836"/>
      <c r="H11" s="1836"/>
      <c r="I11" s="1836"/>
      <c r="J11" s="1836"/>
      <c r="K11" s="1836"/>
      <c r="L11" s="1836"/>
      <c r="M11" s="1836"/>
      <c r="N11" s="1836"/>
      <c r="O11" s="1837"/>
    </row>
    <row r="12" spans="1:16" s="935" customFormat="1" ht="25.5" customHeight="1">
      <c r="B12" s="1069"/>
      <c r="C12" s="1070"/>
      <c r="D12" s="1070"/>
      <c r="E12" s="1071"/>
      <c r="F12" s="1072"/>
      <c r="G12" s="1072"/>
      <c r="H12" s="1072"/>
      <c r="I12" s="1072"/>
      <c r="J12" s="1072"/>
      <c r="K12" s="1072"/>
      <c r="L12" s="1072"/>
      <c r="M12" s="1072"/>
      <c r="N12" s="1072"/>
      <c r="O12" s="1073"/>
    </row>
    <row r="13" spans="1:16" s="935" customFormat="1" ht="18" customHeight="1">
      <c r="B13" s="975"/>
      <c r="C13" s="968"/>
      <c r="D13" s="968"/>
      <c r="E13" s="969"/>
      <c r="F13" s="968"/>
      <c r="G13" s="968"/>
      <c r="H13" s="968"/>
      <c r="I13" s="970"/>
      <c r="J13" s="968"/>
      <c r="K13" s="970"/>
      <c r="L13" s="971"/>
      <c r="M13" s="972"/>
      <c r="N13" s="971"/>
      <c r="O13" s="973"/>
    </row>
    <row r="14" spans="1:16" s="976" customFormat="1" ht="39.950000000000003" customHeight="1">
      <c r="B14" s="977"/>
      <c r="C14" s="978" t="s">
        <v>418</v>
      </c>
      <c r="D14" s="979"/>
      <c r="E14" s="980"/>
      <c r="F14" s="1817"/>
      <c r="G14" s="1817"/>
      <c r="H14" s="1817"/>
      <c r="I14" s="1817"/>
      <c r="J14" s="1817"/>
      <c r="K14" s="1817"/>
      <c r="L14" s="1817"/>
      <c r="M14" s="1817"/>
      <c r="N14" s="1817"/>
      <c r="O14" s="1818"/>
    </row>
    <row r="15" spans="1:16" s="976" customFormat="1" ht="39.950000000000003" customHeight="1">
      <c r="B15" s="1074"/>
      <c r="C15" s="1075"/>
      <c r="D15" s="1078" t="s">
        <v>337</v>
      </c>
      <c r="E15" s="1047"/>
      <c r="F15" s="1077"/>
      <c r="G15" s="1077"/>
      <c r="H15" s="1840" t="str">
        <f>PROPER(SYNTHESE!D4)</f>
        <v>Point 50%</v>
      </c>
      <c r="I15" s="1840"/>
      <c r="J15" s="1077"/>
      <c r="K15" s="1077"/>
      <c r="L15" s="1841" t="s">
        <v>420</v>
      </c>
      <c r="M15" s="1841"/>
      <c r="N15" s="985"/>
      <c r="O15" s="986"/>
    </row>
    <row r="16" spans="1:16" s="976" customFormat="1" ht="39.950000000000003" customHeight="1">
      <c r="B16" s="1074"/>
      <c r="C16" s="1075"/>
      <c r="D16" s="1079">
        <f>DCH!K24/1000</f>
        <v>12000</v>
      </c>
      <c r="E16" s="1080"/>
      <c r="F16" s="1080"/>
      <c r="G16" s="1080"/>
      <c r="H16" s="1842">
        <f>DCH!M24/1000</f>
        <v>0</v>
      </c>
      <c r="I16" s="1842"/>
      <c r="J16" s="1080"/>
      <c r="K16" s="1080"/>
      <c r="L16" s="1081">
        <f>D16-H16</f>
        <v>12000</v>
      </c>
      <c r="M16" s="1082">
        <f>L16/D16</f>
        <v>1</v>
      </c>
      <c r="N16" s="980"/>
      <c r="O16" s="990"/>
      <c r="P16" s="1083"/>
    </row>
    <row r="17" spans="2:15" s="976" customFormat="1" ht="39.950000000000003" customHeight="1">
      <c r="B17" s="1074"/>
      <c r="C17" s="1075"/>
      <c r="D17" s="979"/>
      <c r="E17" s="980"/>
      <c r="F17" s="985"/>
      <c r="G17" s="985"/>
      <c r="H17" s="985"/>
      <c r="I17" s="980"/>
      <c r="J17" s="980"/>
      <c r="K17" s="980"/>
      <c r="L17" s="1062"/>
      <c r="N17" s="985"/>
      <c r="O17" s="986"/>
    </row>
    <row r="18" spans="2:15" s="976" customFormat="1" ht="39.950000000000003" customHeight="1">
      <c r="B18" s="1074"/>
      <c r="C18" s="1075"/>
      <c r="D18" s="979"/>
      <c r="E18" s="980"/>
      <c r="F18" s="985"/>
      <c r="G18" s="985"/>
      <c r="H18" s="985"/>
      <c r="I18" s="985"/>
      <c r="J18" s="985"/>
      <c r="K18" s="985"/>
      <c r="L18" s="985"/>
      <c r="M18" s="985"/>
      <c r="N18" s="985"/>
      <c r="O18" s="986"/>
    </row>
    <row r="19" spans="2:15" s="976" customFormat="1" ht="39.950000000000003" customHeight="1">
      <c r="B19" s="977"/>
      <c r="C19" s="978" t="s">
        <v>421</v>
      </c>
      <c r="D19" s="979"/>
      <c r="E19" s="980"/>
      <c r="F19" s="1817"/>
      <c r="G19" s="1817"/>
      <c r="H19" s="1817"/>
      <c r="I19" s="1817"/>
      <c r="J19" s="1817"/>
      <c r="K19" s="1817"/>
      <c r="L19" s="1817"/>
      <c r="M19" s="1817"/>
      <c r="N19" s="1817"/>
      <c r="O19" s="1818"/>
    </row>
    <row r="20" spans="2:15" s="991" customFormat="1" ht="39.75" customHeight="1">
      <c r="B20" s="1084"/>
      <c r="C20" s="1085"/>
      <c r="D20" s="994"/>
      <c r="E20" s="994"/>
      <c r="F20" s="1817"/>
      <c r="G20" s="1817"/>
      <c r="H20" s="1817"/>
      <c r="I20" s="1817"/>
      <c r="J20" s="1817"/>
      <c r="K20" s="1817"/>
      <c r="L20" s="1817"/>
      <c r="M20" s="1817"/>
      <c r="N20" s="1817"/>
      <c r="O20" s="1818"/>
    </row>
    <row r="21" spans="2:15" s="991" customFormat="1" ht="29.25" customHeight="1">
      <c r="B21" s="1084"/>
      <c r="C21" s="1085"/>
      <c r="D21" s="994"/>
      <c r="E21" s="994"/>
      <c r="F21" s="1063"/>
      <c r="G21" s="1063"/>
      <c r="H21" s="1063"/>
      <c r="I21" s="1063"/>
      <c r="J21" s="1063"/>
      <c r="K21" s="1063"/>
      <c r="L21" s="1063"/>
      <c r="M21" s="1063"/>
      <c r="N21" s="1063"/>
      <c r="O21" s="1064"/>
    </row>
    <row r="22" spans="2:15" s="991" customFormat="1" ht="22.5" customHeight="1">
      <c r="B22" s="1084"/>
      <c r="C22" s="1085"/>
      <c r="D22" s="994" t="s">
        <v>484</v>
      </c>
      <c r="E22" s="994"/>
      <c r="F22" s="1063"/>
      <c r="G22" s="1063"/>
      <c r="H22" s="1063"/>
      <c r="I22" s="1063"/>
      <c r="J22" s="1063"/>
      <c r="K22" s="1063"/>
      <c r="L22" s="1063">
        <v>500</v>
      </c>
      <c r="M22" s="1063"/>
      <c r="N22" s="1063"/>
      <c r="O22" s="1064"/>
    </row>
    <row r="23" spans="2:15" s="991" customFormat="1" ht="22.5" customHeight="1">
      <c r="B23" s="1084"/>
      <c r="C23" s="1085"/>
      <c r="D23" s="994"/>
      <c r="E23" s="994"/>
      <c r="F23" s="1063"/>
      <c r="G23" s="1063"/>
      <c r="H23" s="1063"/>
      <c r="I23" s="1063"/>
      <c r="J23" s="1063"/>
      <c r="K23" s="1063"/>
      <c r="L23" s="1063"/>
      <c r="M23" s="1063"/>
      <c r="N23" s="1063"/>
      <c r="O23" s="1064"/>
    </row>
    <row r="24" spans="2:15" s="991" customFormat="1" ht="22.5" customHeight="1">
      <c r="B24" s="1084"/>
      <c r="C24" s="1085"/>
      <c r="D24" s="994"/>
      <c r="E24" s="994"/>
      <c r="F24" s="1063"/>
      <c r="G24" s="1063"/>
      <c r="H24" s="1063"/>
      <c r="I24" s="1063"/>
      <c r="J24" s="1063"/>
      <c r="K24" s="1063"/>
      <c r="L24" s="1063"/>
      <c r="M24" s="1063"/>
      <c r="N24" s="1063"/>
      <c r="O24" s="1064"/>
    </row>
    <row r="25" spans="2:15" s="991" customFormat="1" ht="22.5" customHeight="1">
      <c r="B25" s="1084"/>
      <c r="C25" s="1085"/>
      <c r="D25" s="994"/>
      <c r="E25" s="994"/>
      <c r="F25" s="1063"/>
      <c r="G25" s="1063"/>
      <c r="H25" s="1063"/>
      <c r="I25" s="1063"/>
      <c r="J25" s="1063"/>
      <c r="K25" s="1063"/>
      <c r="L25" s="1063"/>
      <c r="M25" s="1063"/>
      <c r="N25" s="1063"/>
      <c r="O25" s="1064"/>
    </row>
    <row r="26" spans="2:15" s="991" customFormat="1" ht="22.5" customHeight="1">
      <c r="B26" s="1084"/>
      <c r="C26" s="1085"/>
      <c r="D26" s="994"/>
      <c r="E26" s="994"/>
      <c r="F26" s="1063"/>
      <c r="G26" s="1063"/>
      <c r="H26" s="1063"/>
      <c r="I26" s="1063"/>
      <c r="J26" s="1063"/>
      <c r="K26" s="1063"/>
      <c r="L26" s="1063"/>
      <c r="M26" s="1063"/>
      <c r="N26" s="1063"/>
      <c r="O26" s="1064"/>
    </row>
    <row r="27" spans="2:15" s="991" customFormat="1" ht="22.5" customHeight="1">
      <c r="B27" s="1084"/>
      <c r="C27" s="1085"/>
      <c r="D27" s="994" t="s">
        <v>485</v>
      </c>
      <c r="E27" s="994"/>
      <c r="F27" s="1063"/>
      <c r="G27" s="1063"/>
      <c r="H27" s="1063"/>
      <c r="I27" s="1063"/>
      <c r="J27" s="1063"/>
      <c r="K27" s="1063"/>
      <c r="L27" s="1063">
        <v>205.81299999999999</v>
      </c>
      <c r="M27" s="1063"/>
      <c r="N27" s="1063"/>
      <c r="O27" s="1064"/>
    </row>
    <row r="28" spans="2:15" s="991" customFormat="1" ht="22.5" customHeight="1">
      <c r="B28" s="1084"/>
      <c r="C28" s="1085"/>
      <c r="D28" s="994"/>
      <c r="E28" s="994"/>
      <c r="F28" s="1063"/>
      <c r="G28" s="1063"/>
      <c r="H28" s="1063"/>
      <c r="I28" s="1063"/>
      <c r="J28" s="1063"/>
      <c r="K28" s="1063"/>
      <c r="L28" s="1063"/>
      <c r="M28" s="1063"/>
      <c r="N28" s="1063"/>
      <c r="O28" s="1064"/>
    </row>
    <row r="29" spans="2:15" s="991" customFormat="1" ht="22.5" customHeight="1">
      <c r="B29" s="1084"/>
      <c r="C29" s="1085"/>
      <c r="D29" s="994"/>
      <c r="E29" s="994"/>
      <c r="F29" s="1063"/>
      <c r="G29" s="1063"/>
      <c r="H29" s="1063"/>
      <c r="I29" s="1063"/>
      <c r="J29" s="1063"/>
      <c r="K29" s="1063"/>
      <c r="L29" s="1063"/>
      <c r="M29" s="1063"/>
      <c r="N29" s="1063"/>
      <c r="O29" s="1064"/>
    </row>
    <row r="30" spans="2:15" s="991" customFormat="1" ht="22.5" customHeight="1">
      <c r="B30" s="1084"/>
      <c r="C30" s="1085"/>
      <c r="D30" s="994"/>
      <c r="E30" s="994"/>
      <c r="F30" s="1063"/>
      <c r="G30" s="1063"/>
      <c r="H30" s="1063"/>
      <c r="I30" s="1063"/>
      <c r="J30" s="1063"/>
      <c r="K30" s="1063"/>
      <c r="L30" s="1063"/>
      <c r="M30" s="1063"/>
      <c r="N30" s="1063"/>
      <c r="O30" s="1064"/>
    </row>
    <row r="31" spans="2:15" s="991" customFormat="1" ht="22.5" customHeight="1">
      <c r="B31" s="1084"/>
      <c r="C31" s="1085"/>
      <c r="D31" s="994"/>
      <c r="E31" s="994"/>
      <c r="F31" s="1063"/>
      <c r="G31" s="1063"/>
      <c r="H31" s="1063"/>
      <c r="I31" s="1063"/>
      <c r="J31" s="1063"/>
      <c r="K31" s="1063"/>
      <c r="L31" s="1063"/>
      <c r="M31" s="1063"/>
      <c r="N31" s="1063"/>
      <c r="O31" s="1064"/>
    </row>
    <row r="32" spans="2:15" s="991" customFormat="1" ht="22.5" customHeight="1">
      <c r="B32" s="1084"/>
      <c r="C32" s="1085"/>
      <c r="D32" s="994"/>
      <c r="E32" s="994"/>
      <c r="F32" s="1063"/>
      <c r="G32" s="1063"/>
      <c r="H32" s="1063"/>
      <c r="I32" s="1063"/>
      <c r="J32" s="1063"/>
      <c r="K32" s="1063"/>
      <c r="L32" s="1063"/>
      <c r="M32" s="1063"/>
      <c r="N32" s="1063"/>
      <c r="O32" s="1064"/>
    </row>
    <row r="33" spans="2:15" s="991" customFormat="1" ht="22.5" customHeight="1">
      <c r="B33" s="1084"/>
      <c r="C33" s="1085"/>
      <c r="D33" s="994"/>
      <c r="E33" s="994"/>
      <c r="F33" s="1063"/>
      <c r="G33" s="1063"/>
      <c r="H33" s="1063"/>
      <c r="I33" s="1063"/>
      <c r="J33" s="1063"/>
      <c r="K33" s="1063"/>
      <c r="L33" s="1063"/>
      <c r="M33" s="1063"/>
      <c r="N33" s="1063"/>
      <c r="O33" s="1064"/>
    </row>
    <row r="34" spans="2:15" s="991" customFormat="1" ht="22.5" customHeight="1">
      <c r="B34" s="1084"/>
      <c r="C34" s="1085"/>
      <c r="D34" s="994" t="s">
        <v>486</v>
      </c>
      <c r="E34" s="994"/>
      <c r="F34" s="1063"/>
      <c r="G34" s="1063"/>
      <c r="H34" s="1063"/>
      <c r="I34" s="1063"/>
      <c r="J34" s="1063"/>
      <c r="K34" s="1063"/>
      <c r="L34" s="1063">
        <v>967.8230599999996</v>
      </c>
      <c r="M34" s="1063"/>
      <c r="N34" s="1063"/>
      <c r="O34" s="1064"/>
    </row>
    <row r="35" spans="2:15" s="991" customFormat="1" ht="22.5" customHeight="1">
      <c r="B35" s="1084"/>
      <c r="C35" s="1085"/>
      <c r="D35" s="994"/>
      <c r="E35" s="994"/>
      <c r="F35" s="1063"/>
      <c r="G35" s="1063"/>
      <c r="H35" s="1063"/>
      <c r="I35" s="1063"/>
      <c r="J35" s="1063"/>
      <c r="K35" s="1063"/>
      <c r="L35" s="1063"/>
      <c r="M35" s="1063"/>
      <c r="N35" s="1063"/>
      <c r="O35" s="1064"/>
    </row>
    <row r="36" spans="2:15" s="991" customFormat="1" ht="22.5" customHeight="1">
      <c r="B36" s="1084"/>
      <c r="C36" s="1085"/>
      <c r="D36" s="994"/>
      <c r="E36" s="994"/>
      <c r="F36" s="1063"/>
      <c r="G36" s="1063"/>
      <c r="H36" s="1063"/>
      <c r="I36" s="1063"/>
      <c r="J36" s="1063"/>
      <c r="K36" s="1063"/>
      <c r="L36" s="1063"/>
      <c r="M36" s="1063"/>
      <c r="N36" s="1063"/>
      <c r="O36" s="1064"/>
    </row>
    <row r="37" spans="2:15" s="991" customFormat="1" ht="22.5" customHeight="1">
      <c r="B37" s="1084"/>
      <c r="C37" s="1085"/>
      <c r="D37" s="994"/>
      <c r="E37" s="994"/>
      <c r="F37" s="1063"/>
      <c r="G37" s="1063"/>
      <c r="H37" s="1063"/>
      <c r="I37" s="1063"/>
      <c r="J37" s="1063"/>
      <c r="K37" s="1063"/>
      <c r="L37" s="1063"/>
      <c r="M37" s="1063"/>
      <c r="N37" s="1063"/>
      <c r="O37" s="1064"/>
    </row>
    <row r="38" spans="2:15" s="991" customFormat="1" ht="22.5" customHeight="1">
      <c r="B38" s="1084"/>
      <c r="C38" s="1085"/>
      <c r="D38" s="994"/>
      <c r="E38" s="994"/>
      <c r="F38" s="1063"/>
      <c r="G38" s="1063"/>
      <c r="H38" s="1063"/>
      <c r="I38" s="1063"/>
      <c r="J38" s="1063"/>
      <c r="K38" s="1063"/>
      <c r="L38" s="1063"/>
      <c r="M38" s="1063"/>
      <c r="N38" s="1063"/>
      <c r="O38" s="1064"/>
    </row>
    <row r="39" spans="2:15" s="935" customFormat="1" ht="22.5" customHeight="1">
      <c r="B39" s="975"/>
      <c r="C39" s="968"/>
      <c r="D39" s="968"/>
      <c r="E39" s="969"/>
      <c r="F39" s="968"/>
      <c r="G39" s="968"/>
      <c r="H39" s="968"/>
      <c r="I39" s="970"/>
      <c r="J39" s="968"/>
      <c r="K39" s="970"/>
      <c r="L39" s="971"/>
      <c r="M39" s="972"/>
      <c r="N39" s="971"/>
      <c r="O39" s="973"/>
    </row>
    <row r="40" spans="2:15" s="935" customFormat="1" ht="22.5" customHeight="1">
      <c r="B40" s="975"/>
      <c r="C40" s="968"/>
      <c r="D40" s="968"/>
      <c r="E40" s="969"/>
      <c r="F40" s="968"/>
      <c r="G40" s="968"/>
      <c r="H40" s="968"/>
      <c r="I40" s="970"/>
      <c r="J40" s="968"/>
      <c r="K40" s="970"/>
      <c r="L40" s="971"/>
      <c r="M40" s="972"/>
      <c r="N40" s="971"/>
      <c r="O40" s="973"/>
    </row>
    <row r="41" spans="2:15" s="935" customFormat="1" ht="22.5" customHeight="1">
      <c r="B41" s="975"/>
      <c r="C41" s="968"/>
      <c r="D41" s="968"/>
      <c r="E41" s="969"/>
      <c r="F41" s="968"/>
      <c r="G41" s="968"/>
      <c r="H41" s="968"/>
      <c r="I41" s="970"/>
      <c r="J41" s="968"/>
      <c r="K41" s="970"/>
      <c r="L41" s="971"/>
      <c r="M41" s="972"/>
      <c r="N41" s="971"/>
      <c r="O41" s="973"/>
    </row>
    <row r="42" spans="2:15" s="935" customFormat="1" ht="22.5" customHeight="1">
      <c r="B42" s="975"/>
      <c r="C42" s="968"/>
      <c r="D42" s="968"/>
      <c r="E42" s="969"/>
      <c r="F42" s="968"/>
      <c r="G42" s="968"/>
      <c r="H42" s="968"/>
      <c r="I42" s="970"/>
      <c r="J42" s="968"/>
      <c r="K42" s="970"/>
      <c r="L42" s="971"/>
      <c r="M42" s="972"/>
      <c r="N42" s="971"/>
      <c r="O42" s="973"/>
    </row>
    <row r="43" spans="2:15" s="935" customFormat="1" ht="22.5" customHeight="1">
      <c r="B43" s="975"/>
      <c r="C43" s="968"/>
      <c r="D43" s="968"/>
      <c r="E43" s="969"/>
      <c r="F43" s="968"/>
      <c r="G43" s="968"/>
      <c r="H43" s="968"/>
      <c r="I43" s="970"/>
      <c r="J43" s="968"/>
      <c r="K43" s="970"/>
      <c r="L43" s="971"/>
      <c r="M43" s="972"/>
      <c r="N43" s="971"/>
      <c r="O43" s="973"/>
    </row>
    <row r="44" spans="2:15" s="935" customFormat="1" ht="22.5" customHeight="1">
      <c r="B44" s="975"/>
      <c r="C44" s="968"/>
      <c r="D44" s="968"/>
      <c r="E44" s="969"/>
      <c r="F44" s="968"/>
      <c r="G44" s="968"/>
      <c r="H44" s="968"/>
      <c r="I44" s="970"/>
      <c r="J44" s="968"/>
      <c r="K44" s="970"/>
      <c r="L44" s="971"/>
      <c r="M44" s="972"/>
      <c r="N44" s="971"/>
      <c r="O44" s="973"/>
    </row>
    <row r="45" spans="2:15" s="935" customFormat="1" ht="22.5" customHeight="1">
      <c r="B45" s="975"/>
      <c r="C45" s="968"/>
      <c r="D45" s="968"/>
      <c r="E45" s="969"/>
      <c r="F45" s="968"/>
      <c r="G45" s="968"/>
      <c r="H45" s="968"/>
      <c r="I45" s="970"/>
      <c r="J45" s="968"/>
      <c r="K45" s="970"/>
      <c r="L45" s="971"/>
      <c r="M45" s="972"/>
      <c r="N45" s="971"/>
      <c r="O45" s="973"/>
    </row>
    <row r="46" spans="2:15" s="979" customFormat="1" ht="22.5" customHeight="1">
      <c r="B46" s="1086"/>
      <c r="C46" s="1102"/>
      <c r="E46" s="980"/>
      <c r="F46" s="1063"/>
      <c r="G46" s="1063"/>
      <c r="H46" s="1063"/>
      <c r="I46" s="1063"/>
      <c r="J46" s="1063"/>
      <c r="K46" s="1063"/>
      <c r="L46" s="1103"/>
      <c r="M46" s="1061"/>
      <c r="N46" s="1063"/>
      <c r="O46" s="1064"/>
    </row>
    <row r="47" spans="2:15" s="935" customFormat="1" ht="22.5" customHeight="1">
      <c r="B47" s="975"/>
      <c r="C47" s="968"/>
      <c r="D47" s="968"/>
      <c r="E47" s="969"/>
      <c r="F47" s="968"/>
      <c r="G47" s="968"/>
      <c r="H47" s="968"/>
      <c r="I47" s="970"/>
      <c r="J47" s="968"/>
      <c r="K47" s="970"/>
      <c r="L47" s="971"/>
      <c r="M47" s="972"/>
      <c r="N47" s="971"/>
      <c r="O47" s="973"/>
    </row>
    <row r="48" spans="2:15" s="935" customFormat="1" ht="22.5" customHeight="1">
      <c r="B48" s="975"/>
      <c r="C48" s="968"/>
      <c r="D48" s="968"/>
      <c r="E48" s="969"/>
      <c r="F48" s="968"/>
      <c r="G48" s="968"/>
      <c r="H48" s="968"/>
      <c r="I48" s="970"/>
      <c r="J48" s="968"/>
      <c r="K48" s="970"/>
      <c r="L48" s="971"/>
      <c r="M48" s="972"/>
      <c r="N48" s="971"/>
      <c r="O48" s="973"/>
    </row>
    <row r="49" spans="2:15" s="935" customFormat="1" ht="22.5" customHeight="1">
      <c r="B49" s="975"/>
      <c r="C49" s="968"/>
      <c r="D49" s="968"/>
      <c r="E49" s="969"/>
      <c r="F49" s="968"/>
      <c r="G49" s="968"/>
      <c r="H49" s="968"/>
      <c r="I49" s="970"/>
      <c r="J49" s="968"/>
      <c r="K49" s="970"/>
      <c r="L49" s="971"/>
      <c r="M49" s="972"/>
      <c r="N49" s="971"/>
      <c r="O49" s="973"/>
    </row>
    <row r="50" spans="2:15" s="935" customFormat="1" ht="22.5" customHeight="1">
      <c r="B50" s="975"/>
      <c r="C50" s="968"/>
      <c r="D50" s="968"/>
      <c r="E50" s="969"/>
      <c r="F50" s="968"/>
      <c r="G50" s="968"/>
      <c r="H50" s="968"/>
      <c r="I50" s="970"/>
      <c r="J50" s="968"/>
      <c r="K50" s="970"/>
      <c r="L50" s="971"/>
      <c r="M50" s="972"/>
      <c r="N50" s="971"/>
      <c r="O50" s="973"/>
    </row>
    <row r="51" spans="2:15" s="935" customFormat="1" ht="22.5" customHeight="1">
      <c r="B51" s="975"/>
      <c r="C51" s="968"/>
      <c r="D51" s="968"/>
      <c r="E51" s="969"/>
      <c r="F51" s="968"/>
      <c r="G51" s="968"/>
      <c r="H51" s="968"/>
      <c r="I51" s="970"/>
      <c r="J51" s="968"/>
      <c r="K51" s="970"/>
      <c r="L51" s="971"/>
      <c r="M51" s="972"/>
      <c r="N51" s="971"/>
      <c r="O51" s="973"/>
    </row>
    <row r="52" spans="2:15" s="935" customFormat="1" ht="22.5" customHeight="1">
      <c r="B52" s="975"/>
      <c r="C52" s="968"/>
      <c r="D52" s="968"/>
      <c r="E52" s="969"/>
      <c r="F52" s="968"/>
      <c r="G52" s="968"/>
      <c r="H52" s="968"/>
      <c r="I52" s="970"/>
      <c r="J52" s="968"/>
      <c r="K52" s="970"/>
      <c r="L52" s="971"/>
      <c r="M52" s="972"/>
      <c r="N52" s="971"/>
      <c r="O52" s="973"/>
    </row>
    <row r="53" spans="2:15" s="935" customFormat="1" ht="22.5" customHeight="1">
      <c r="B53" s="975"/>
      <c r="C53" s="968"/>
      <c r="D53" s="968"/>
      <c r="E53" s="969"/>
      <c r="F53" s="968"/>
      <c r="G53" s="980"/>
      <c r="H53" s="1063"/>
      <c r="I53" s="1063"/>
      <c r="J53" s="1063"/>
      <c r="K53" s="1063"/>
      <c r="L53" s="1063"/>
      <c r="M53" s="972"/>
      <c r="N53" s="971"/>
      <c r="O53" s="973"/>
    </row>
    <row r="54" spans="2:15" s="935" customFormat="1" ht="22.5" customHeight="1">
      <c r="B54" s="975"/>
      <c r="C54" s="968"/>
      <c r="D54" s="968"/>
      <c r="E54" s="969"/>
      <c r="F54" s="968"/>
      <c r="G54" s="968"/>
      <c r="H54" s="968"/>
      <c r="I54" s="970"/>
      <c r="J54" s="968"/>
      <c r="K54" s="970"/>
      <c r="L54" s="971"/>
      <c r="M54" s="972"/>
      <c r="N54" s="971"/>
      <c r="O54" s="973"/>
    </row>
    <row r="55" spans="2:15" s="935" customFormat="1" ht="22.5" customHeight="1">
      <c r="B55" s="975"/>
      <c r="C55" s="968"/>
      <c r="D55" s="968"/>
      <c r="E55" s="969"/>
      <c r="F55" s="968"/>
      <c r="G55" s="968"/>
      <c r="H55" s="968"/>
      <c r="I55" s="970"/>
      <c r="J55" s="968"/>
      <c r="K55" s="970"/>
      <c r="L55" s="971"/>
      <c r="M55" s="972"/>
      <c r="N55" s="971"/>
      <c r="O55" s="973"/>
    </row>
    <row r="56" spans="2:15" s="935" customFormat="1" ht="22.5" customHeight="1" thickBot="1">
      <c r="B56" s="1054"/>
      <c r="C56" s="1098"/>
      <c r="D56" s="1098"/>
      <c r="E56" s="1099"/>
      <c r="F56" s="1098"/>
      <c r="G56" s="1098"/>
      <c r="H56" s="1098"/>
      <c r="I56" s="1100"/>
      <c r="J56" s="1098"/>
      <c r="K56" s="1100"/>
      <c r="L56" s="1059"/>
      <c r="M56" s="1101"/>
      <c r="N56" s="1059"/>
      <c r="O56" s="1060"/>
    </row>
    <row r="57" spans="2:15" s="935" customFormat="1" ht="18" thickTop="1">
      <c r="E57" s="936"/>
      <c r="I57" s="937"/>
      <c r="K57" s="937"/>
      <c r="L57" s="938"/>
      <c r="M57" s="939"/>
      <c r="N57" s="938"/>
    </row>
  </sheetData>
  <mergeCells count="17">
    <mergeCell ref="F14:O14"/>
    <mergeCell ref="E2:K2"/>
    <mergeCell ref="B3:D5"/>
    <mergeCell ref="E3:K3"/>
    <mergeCell ref="E5:K5"/>
    <mergeCell ref="B6:D6"/>
    <mergeCell ref="E6:K6"/>
    <mergeCell ref="B7:D7"/>
    <mergeCell ref="E7:K7"/>
    <mergeCell ref="E8:K8"/>
    <mergeCell ref="B10:O10"/>
    <mergeCell ref="B11:O11"/>
    <mergeCell ref="H15:I15"/>
    <mergeCell ref="L15:M15"/>
    <mergeCell ref="H16:I16"/>
    <mergeCell ref="F19:O19"/>
    <mergeCell ref="F20:O20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 enableFormatConditionsCalculation="0"/>
  <dimension ref="A1:P107"/>
  <sheetViews>
    <sheetView showGridLines="0" topLeftCell="A15" zoomScale="70" zoomScaleNormal="70" zoomScalePageLayoutView="70" workbookViewId="0">
      <selection activeCell="M21" sqref="M21"/>
    </sheetView>
  </sheetViews>
  <sheetFormatPr baseColWidth="10" defaultRowHeight="15"/>
  <cols>
    <col min="2" max="2" width="11.28515625" customWidth="1"/>
    <col min="3" max="3" width="13.7109375" customWidth="1"/>
    <col min="4" max="4" width="34.28515625" customWidth="1"/>
    <col min="5" max="5" width="18.7109375" customWidth="1"/>
    <col min="10" max="10" width="19.42578125" customWidth="1"/>
    <col min="11" max="11" width="17.140625" customWidth="1"/>
    <col min="12" max="12" width="25.7109375" customWidth="1"/>
    <col min="13" max="13" width="24.42578125" customWidth="1"/>
    <col min="14" max="14" width="13.7109375" customWidth="1"/>
    <col min="15" max="15" width="2.7109375" customWidth="1"/>
  </cols>
  <sheetData>
    <row r="1" spans="1:16" s="935" customFormat="1" ht="18" thickBot="1">
      <c r="E1" s="936"/>
      <c r="I1" s="937"/>
      <c r="K1" s="937"/>
      <c r="L1" s="938"/>
      <c r="M1" s="939"/>
      <c r="N1" s="938"/>
    </row>
    <row r="2" spans="1:16" s="947" customFormat="1" ht="19.5" customHeight="1" thickTop="1">
      <c r="A2" s="940"/>
      <c r="B2" s="941"/>
      <c r="C2" s="942"/>
      <c r="D2" s="943"/>
      <c r="E2" s="1822"/>
      <c r="F2" s="1823"/>
      <c r="G2" s="1823"/>
      <c r="H2" s="1823"/>
      <c r="I2" s="1823"/>
      <c r="J2" s="1823"/>
      <c r="K2" s="1824"/>
      <c r="L2" s="944"/>
      <c r="M2" s="942"/>
      <c r="N2" s="945"/>
      <c r="O2" s="946"/>
    </row>
    <row r="3" spans="1:16" s="947" customFormat="1" ht="22.5" customHeight="1">
      <c r="A3" s="940"/>
      <c r="B3" s="1825" t="str">
        <f>SYNTHESE!D4</f>
        <v>POINT 50%</v>
      </c>
      <c r="C3" s="1826"/>
      <c r="D3" s="1827"/>
      <c r="E3" s="1831" t="s">
        <v>15</v>
      </c>
      <c r="F3" s="1806"/>
      <c r="G3" s="1806"/>
      <c r="H3" s="1806"/>
      <c r="I3" s="1806"/>
      <c r="J3" s="1806"/>
      <c r="K3" s="1807"/>
      <c r="L3" s="948"/>
      <c r="M3" s="949"/>
      <c r="N3" s="950"/>
      <c r="O3" s="951"/>
    </row>
    <row r="4" spans="1:16" s="947" customFormat="1" ht="22.5" customHeight="1">
      <c r="A4" s="940"/>
      <c r="B4" s="1825"/>
      <c r="C4" s="1826"/>
      <c r="D4" s="1827"/>
      <c r="E4" s="1068"/>
      <c r="F4" s="1065"/>
      <c r="G4" s="1065"/>
      <c r="H4" s="1065"/>
      <c r="I4" s="1065"/>
      <c r="J4" s="1065"/>
      <c r="K4" s="1066"/>
      <c r="L4" s="948"/>
      <c r="M4" s="949"/>
      <c r="N4" s="950"/>
      <c r="O4" s="951"/>
    </row>
    <row r="5" spans="1:16" s="947" customFormat="1" ht="20.100000000000001" customHeight="1">
      <c r="A5" s="940"/>
      <c r="B5" s="1825"/>
      <c r="C5" s="1826"/>
      <c r="D5" s="1827"/>
      <c r="E5" s="1832"/>
      <c r="F5" s="1829"/>
      <c r="G5" s="1829"/>
      <c r="H5" s="1829"/>
      <c r="I5" s="1829"/>
      <c r="J5" s="1829"/>
      <c r="K5" s="1830"/>
      <c r="L5" s="948"/>
      <c r="M5" s="949"/>
      <c r="N5" s="950"/>
      <c r="O5" s="951"/>
    </row>
    <row r="6" spans="1:16" s="947" customFormat="1" ht="27.75">
      <c r="A6" s="940"/>
      <c r="B6" s="1802">
        <f>SYNTHESE!D7</f>
        <v>42800</v>
      </c>
      <c r="C6" s="1803"/>
      <c r="D6" s="1804"/>
      <c r="E6" s="1831" t="str">
        <f>SYNTHESE!E6</f>
        <v xml:space="preserve">LES FAUBOURGS D'ANFA </v>
      </c>
      <c r="F6" s="1806"/>
      <c r="G6" s="1806"/>
      <c r="H6" s="1806"/>
      <c r="I6" s="1806"/>
      <c r="J6" s="1806"/>
      <c r="K6" s="1807"/>
      <c r="L6" s="948"/>
      <c r="M6" s="949"/>
      <c r="N6" s="950"/>
      <c r="O6" s="951"/>
    </row>
    <row r="7" spans="1:16" s="947" customFormat="1" ht="27.75" customHeight="1">
      <c r="A7" s="940"/>
      <c r="B7" s="1802"/>
      <c r="C7" s="1803"/>
      <c r="D7" s="1804"/>
      <c r="E7" s="1831" t="str">
        <f>SYNTHESE!E7</f>
        <v>CASABLANCA</v>
      </c>
      <c r="F7" s="1806"/>
      <c r="G7" s="1806"/>
      <c r="H7" s="1806"/>
      <c r="I7" s="1806"/>
      <c r="J7" s="1806"/>
      <c r="K7" s="1807"/>
      <c r="L7" s="948"/>
      <c r="M7" s="949"/>
      <c r="N7" s="957"/>
      <c r="O7" s="951"/>
    </row>
    <row r="8" spans="1:16" s="966" customFormat="1" ht="20.100000000000001" customHeight="1" thickBot="1">
      <c r="A8" s="958"/>
      <c r="B8" s="959"/>
      <c r="C8" s="960"/>
      <c r="D8" s="961"/>
      <c r="E8" s="1808"/>
      <c r="F8" s="1809"/>
      <c r="G8" s="1809"/>
      <c r="H8" s="1809"/>
      <c r="I8" s="1809"/>
      <c r="J8" s="1809"/>
      <c r="K8" s="1810"/>
      <c r="L8" s="962"/>
      <c r="M8" s="963"/>
      <c r="N8" s="964"/>
      <c r="O8" s="965"/>
    </row>
    <row r="9" spans="1:16" s="935" customFormat="1" ht="40.5" customHeight="1" thickTop="1">
      <c r="B9" s="967"/>
      <c r="C9" s="968"/>
      <c r="D9" s="968"/>
      <c r="E9" s="969"/>
      <c r="F9" s="968"/>
      <c r="G9" s="968"/>
      <c r="H9" s="968"/>
      <c r="I9" s="970"/>
      <c r="J9" s="968"/>
      <c r="K9" s="970"/>
      <c r="L9" s="971"/>
      <c r="M9" s="972"/>
      <c r="N9" s="971"/>
      <c r="O9" s="973"/>
    </row>
    <row r="10" spans="1:16" s="966" customFormat="1" ht="40.5" customHeight="1">
      <c r="A10" s="974"/>
      <c r="B10" s="1834" t="s">
        <v>416</v>
      </c>
      <c r="C10" s="1835"/>
      <c r="D10" s="1836"/>
      <c r="E10" s="1836"/>
      <c r="F10" s="1836"/>
      <c r="G10" s="1836"/>
      <c r="H10" s="1836"/>
      <c r="I10" s="1836"/>
      <c r="J10" s="1836"/>
      <c r="K10" s="1836"/>
      <c r="L10" s="1836"/>
      <c r="M10" s="1836"/>
      <c r="N10" s="1836"/>
      <c r="O10" s="1837"/>
    </row>
    <row r="11" spans="1:16" s="935" customFormat="1" ht="100.5" customHeight="1">
      <c r="B11" s="1838" t="s">
        <v>487</v>
      </c>
      <c r="C11" s="1839"/>
      <c r="D11" s="1836"/>
      <c r="E11" s="1836"/>
      <c r="F11" s="1836"/>
      <c r="G11" s="1836"/>
      <c r="H11" s="1836"/>
      <c r="I11" s="1836"/>
      <c r="J11" s="1836"/>
      <c r="K11" s="1836"/>
      <c r="L11" s="1836"/>
      <c r="M11" s="1836"/>
      <c r="N11" s="1836"/>
      <c r="O11" s="1837"/>
    </row>
    <row r="12" spans="1:16" s="935" customFormat="1" ht="25.5" customHeight="1">
      <c r="B12" s="1069"/>
      <c r="C12" s="1070"/>
      <c r="D12" s="1070"/>
      <c r="E12" s="1071"/>
      <c r="F12" s="1072"/>
      <c r="G12" s="1072"/>
      <c r="H12" s="1072"/>
      <c r="I12" s="1072"/>
      <c r="J12" s="1072"/>
      <c r="K12" s="1072"/>
      <c r="L12" s="1072"/>
      <c r="M12" s="1072"/>
      <c r="N12" s="1072"/>
      <c r="O12" s="1073"/>
    </row>
    <row r="13" spans="1:16" s="935" customFormat="1" ht="18" customHeight="1">
      <c r="B13" s="975"/>
      <c r="C13" s="968"/>
      <c r="D13" s="968"/>
      <c r="E13" s="969"/>
      <c r="F13" s="968"/>
      <c r="G13" s="968"/>
      <c r="H13" s="968"/>
      <c r="I13" s="970"/>
      <c r="J13" s="968"/>
      <c r="K13" s="970"/>
      <c r="L13" s="971"/>
      <c r="M13" s="972"/>
      <c r="N13" s="971"/>
      <c r="O13" s="973"/>
    </row>
    <row r="14" spans="1:16" s="976" customFormat="1" ht="39.950000000000003" customHeight="1">
      <c r="B14" s="977"/>
      <c r="C14" s="978" t="s">
        <v>418</v>
      </c>
      <c r="D14" s="979"/>
      <c r="E14" s="980"/>
      <c r="F14" s="1817"/>
      <c r="G14" s="1817"/>
      <c r="H14" s="1817"/>
      <c r="I14" s="1817"/>
      <c r="J14" s="1817"/>
      <c r="K14" s="1817"/>
      <c r="L14" s="1817"/>
      <c r="M14" s="1817"/>
      <c r="N14" s="1817"/>
      <c r="O14" s="1818"/>
    </row>
    <row r="15" spans="1:16" s="976" customFormat="1" ht="39.950000000000003" customHeight="1">
      <c r="B15" s="1074"/>
      <c r="C15" s="1075"/>
      <c r="D15" s="1078" t="s">
        <v>337</v>
      </c>
      <c r="E15" s="1047"/>
      <c r="F15" s="1077"/>
      <c r="G15" s="1077"/>
      <c r="H15" s="1840" t="str">
        <f>PROPER(SYNTHESE!D4)</f>
        <v>Point 50%</v>
      </c>
      <c r="I15" s="1840"/>
      <c r="J15" s="1077"/>
      <c r="K15" s="1077"/>
      <c r="L15" s="1841" t="s">
        <v>420</v>
      </c>
      <c r="M15" s="1841"/>
      <c r="N15" s="985"/>
      <c r="O15" s="986"/>
    </row>
    <row r="16" spans="1:16" s="976" customFormat="1" ht="39.950000000000003" customHeight="1">
      <c r="B16" s="1074"/>
      <c r="C16" s="1075"/>
      <c r="D16" s="1079">
        <f>DCH!K25/1000</f>
        <v>708.65499999999997</v>
      </c>
      <c r="E16" s="1080"/>
      <c r="F16" s="1080"/>
      <c r="G16" s="1080"/>
      <c r="H16" s="1842">
        <f>DCH!M25/1000</f>
        <v>0</v>
      </c>
      <c r="I16" s="1842"/>
      <c r="J16" s="1080"/>
      <c r="K16" s="1080"/>
      <c r="L16" s="1081">
        <f>D16-H16</f>
        <v>708.65499999999997</v>
      </c>
      <c r="M16" s="1082">
        <f>L16/D16</f>
        <v>1</v>
      </c>
      <c r="N16" s="980"/>
      <c r="O16" s="990"/>
      <c r="P16" s="1083"/>
    </row>
    <row r="17" spans="2:15" s="976" customFormat="1" ht="39.950000000000003" customHeight="1">
      <c r="B17" s="1074"/>
      <c r="C17" s="1075"/>
      <c r="D17" s="979"/>
      <c r="E17" s="980"/>
      <c r="F17" s="985"/>
      <c r="G17" s="985"/>
      <c r="H17" s="985"/>
      <c r="I17" s="980"/>
      <c r="J17" s="980"/>
      <c r="K17" s="980"/>
      <c r="L17" s="1062"/>
      <c r="N17" s="985"/>
      <c r="O17" s="986"/>
    </row>
    <row r="18" spans="2:15" s="976" customFormat="1" ht="39.950000000000003" customHeight="1">
      <c r="B18" s="1074"/>
      <c r="C18" s="1075"/>
      <c r="D18" s="979"/>
      <c r="E18" s="980"/>
      <c r="F18" s="985"/>
      <c r="G18" s="985"/>
      <c r="H18" s="985"/>
      <c r="I18" s="985"/>
      <c r="J18" s="985"/>
      <c r="K18" s="985"/>
      <c r="L18" s="985"/>
      <c r="M18" s="985"/>
      <c r="N18" s="985"/>
      <c r="O18" s="986"/>
    </row>
    <row r="19" spans="2:15" s="976" customFormat="1" ht="39.950000000000003" customHeight="1">
      <c r="B19" s="977"/>
      <c r="C19" s="978" t="s">
        <v>421</v>
      </c>
      <c r="D19" s="979"/>
      <c r="E19" s="980"/>
      <c r="F19" s="1817"/>
      <c r="G19" s="1817"/>
      <c r="H19" s="1817"/>
      <c r="I19" s="1817"/>
      <c r="J19" s="1817"/>
      <c r="K19" s="1817"/>
      <c r="L19" s="1817"/>
      <c r="M19" s="1817"/>
      <c r="N19" s="1817"/>
      <c r="O19" s="1818"/>
    </row>
    <row r="20" spans="2:15" s="991" customFormat="1" ht="39.75" customHeight="1">
      <c r="B20" s="1084"/>
      <c r="C20" s="1085"/>
      <c r="D20" s="994"/>
      <c r="E20" s="994"/>
      <c r="F20" s="1817"/>
      <c r="G20" s="1817"/>
      <c r="H20" s="1817"/>
      <c r="I20" s="1817"/>
      <c r="J20" s="1817"/>
      <c r="K20" s="1817"/>
      <c r="L20" s="1817"/>
      <c r="M20" s="1817"/>
      <c r="N20" s="1817"/>
      <c r="O20" s="1818"/>
    </row>
    <row r="21" spans="2:15" s="979" customFormat="1" ht="29.25" customHeight="1">
      <c r="B21" s="1086"/>
      <c r="C21" s="1102"/>
      <c r="D21" s="1108" t="s">
        <v>488</v>
      </c>
      <c r="E21" s="980"/>
      <c r="F21" s="1063"/>
      <c r="G21" s="1063"/>
      <c r="H21" s="1063"/>
      <c r="I21" s="1063"/>
      <c r="J21" s="1063"/>
      <c r="K21" s="1063"/>
      <c r="L21" s="1107">
        <v>844.32209000000034</v>
      </c>
      <c r="M21" s="1061">
        <v>1.1680043524156788E-2</v>
      </c>
      <c r="N21" s="1092"/>
      <c r="O21" s="1064"/>
    </row>
    <row r="22" spans="2:15" s="979" customFormat="1" ht="22.5" customHeight="1">
      <c r="B22" s="1086"/>
      <c r="E22" s="980"/>
      <c r="F22" s="1063"/>
      <c r="G22" s="980"/>
      <c r="H22" s="1063"/>
      <c r="I22" s="1063"/>
      <c r="J22" s="1063"/>
      <c r="K22" s="1063"/>
      <c r="L22" s="1063"/>
      <c r="M22" s="1093"/>
      <c r="N22" s="1063"/>
      <c r="O22" s="1064"/>
    </row>
    <row r="23" spans="2:15" s="979" customFormat="1" ht="23.1" customHeight="1">
      <c r="B23" s="1037"/>
      <c r="D23" s="979" t="s">
        <v>489</v>
      </c>
      <c r="E23" s="980"/>
      <c r="G23" s="980"/>
      <c r="H23" s="1063"/>
      <c r="I23" s="1063"/>
      <c r="J23" s="1063"/>
      <c r="K23" s="1063"/>
      <c r="L23" s="1094">
        <v>544.43845999999996</v>
      </c>
      <c r="M23" s="1095"/>
      <c r="N23" s="1018"/>
      <c r="O23" s="1019"/>
    </row>
    <row r="24" spans="2:15" s="976" customFormat="1" ht="23.1" customHeight="1">
      <c r="B24" s="1074"/>
      <c r="C24" s="1096"/>
      <c r="D24" s="979"/>
      <c r="E24" s="980"/>
      <c r="F24" s="985"/>
      <c r="G24" s="985"/>
      <c r="H24" s="985"/>
      <c r="I24" s="985"/>
      <c r="J24" s="985"/>
      <c r="K24" s="985"/>
      <c r="L24" s="1094"/>
      <c r="M24" s="985"/>
      <c r="N24" s="985"/>
      <c r="O24" s="986"/>
    </row>
    <row r="25" spans="2:15" s="976" customFormat="1" ht="23.1" customHeight="1">
      <c r="B25" s="1074"/>
      <c r="C25" s="1096"/>
      <c r="D25" s="979"/>
      <c r="E25" s="980"/>
      <c r="F25" s="985"/>
      <c r="G25" s="985"/>
      <c r="H25" s="985"/>
      <c r="I25" s="985"/>
      <c r="J25" s="985"/>
      <c r="K25" s="985"/>
      <c r="L25" s="1094"/>
      <c r="M25" s="985"/>
      <c r="N25" s="985"/>
      <c r="O25" s="986"/>
    </row>
    <row r="26" spans="2:15" s="976" customFormat="1" ht="22.5" customHeight="1">
      <c r="B26" s="1074"/>
      <c r="C26" s="1096"/>
      <c r="D26" s="979"/>
      <c r="E26" s="980"/>
      <c r="F26" s="985"/>
      <c r="G26" s="985"/>
      <c r="H26" s="985"/>
      <c r="I26" s="985"/>
      <c r="J26" s="985"/>
      <c r="K26" s="985"/>
      <c r="L26" s="985"/>
      <c r="M26" s="985"/>
      <c r="N26" s="985"/>
      <c r="O26" s="986"/>
    </row>
    <row r="27" spans="2:15" s="979" customFormat="1" ht="29.25" customHeight="1">
      <c r="B27" s="1086"/>
      <c r="C27" s="1102"/>
      <c r="D27" s="979" t="s">
        <v>490</v>
      </c>
      <c r="E27" s="980"/>
      <c r="F27" s="1063"/>
      <c r="G27" s="1063"/>
      <c r="H27" s="1063"/>
      <c r="I27" s="1063"/>
      <c r="J27" s="1063"/>
      <c r="K27" s="1063"/>
      <c r="L27" s="1107">
        <v>101.64878000000026</v>
      </c>
      <c r="M27" s="1061"/>
      <c r="N27" s="1063"/>
      <c r="O27" s="1064"/>
    </row>
    <row r="28" spans="2:15" s="979" customFormat="1" ht="23.1" customHeight="1">
      <c r="B28" s="1074"/>
      <c r="E28" s="980"/>
      <c r="F28" s="1063"/>
      <c r="G28" s="980"/>
      <c r="H28" s="1063"/>
      <c r="I28" s="1063"/>
      <c r="J28" s="1063"/>
      <c r="K28" s="1063"/>
      <c r="L28" s="1094"/>
      <c r="M28" s="1063"/>
      <c r="N28" s="1063"/>
      <c r="O28" s="1064"/>
    </row>
    <row r="29" spans="2:15" s="979" customFormat="1" ht="23.1" customHeight="1">
      <c r="B29" s="1074"/>
      <c r="E29" s="980"/>
      <c r="F29" s="1063"/>
      <c r="G29" s="980"/>
      <c r="H29" s="1063"/>
      <c r="I29" s="1063"/>
      <c r="J29" s="1063"/>
      <c r="K29" s="1063"/>
      <c r="L29" s="1094"/>
      <c r="M29" s="1063"/>
      <c r="N29" s="1063"/>
      <c r="O29" s="1064"/>
    </row>
    <row r="30" spans="2:15" s="979" customFormat="1" ht="23.1" customHeight="1">
      <c r="B30" s="1074"/>
      <c r="C30" s="1096"/>
      <c r="D30" s="979" t="s">
        <v>491</v>
      </c>
      <c r="E30" s="980"/>
      <c r="F30" s="1063"/>
      <c r="G30" s="980"/>
      <c r="H30" s="1063"/>
      <c r="I30" s="1063"/>
      <c r="J30" s="1063"/>
      <c r="K30" s="1063"/>
      <c r="L30" s="1094">
        <v>191.85713000000007</v>
      </c>
      <c r="M30" s="1063"/>
      <c r="N30" s="1063"/>
      <c r="O30" s="1064"/>
    </row>
    <row r="31" spans="2:15" s="979" customFormat="1" ht="23.1" customHeight="1">
      <c r="B31" s="1037"/>
      <c r="C31" s="1096"/>
      <c r="L31" s="1094"/>
      <c r="M31" s="1095"/>
      <c r="N31" s="1018"/>
      <c r="O31" s="1019"/>
    </row>
    <row r="32" spans="2:15" s="979" customFormat="1" ht="23.1" customHeight="1">
      <c r="B32" s="1074"/>
      <c r="C32" s="1096"/>
      <c r="E32" s="980"/>
      <c r="F32" s="1063"/>
      <c r="G32" s="980"/>
      <c r="H32" s="1063"/>
      <c r="I32" s="1063"/>
      <c r="J32" s="1063"/>
      <c r="K32" s="1063"/>
      <c r="L32" s="1094"/>
      <c r="M32" s="1063"/>
      <c r="N32" s="1063"/>
      <c r="O32" s="1064"/>
    </row>
    <row r="33" spans="2:15" s="979" customFormat="1" ht="29.25" customHeight="1">
      <c r="B33" s="1086"/>
      <c r="C33" s="1102"/>
      <c r="D33" s="1108" t="s">
        <v>492</v>
      </c>
      <c r="E33" s="980"/>
      <c r="F33" s="1063"/>
      <c r="G33" s="1063"/>
      <c r="H33" s="1063"/>
      <c r="I33" s="1063"/>
      <c r="J33" s="1063"/>
      <c r="K33" s="1063"/>
      <c r="L33" s="1107">
        <v>987.59398999999974</v>
      </c>
      <c r="M33" s="1061">
        <v>1.3662014679013854E-2</v>
      </c>
      <c r="N33" s="1063"/>
      <c r="O33" s="1064"/>
    </row>
    <row r="34" spans="2:15" s="935" customFormat="1" ht="23.1" customHeight="1">
      <c r="B34" s="975"/>
      <c r="C34" s="979"/>
      <c r="D34" s="968"/>
      <c r="E34" s="969"/>
      <c r="F34" s="968"/>
      <c r="G34" s="968"/>
      <c r="H34" s="968"/>
      <c r="I34" s="970"/>
      <c r="J34" s="968"/>
      <c r="K34" s="970"/>
      <c r="L34" s="1094"/>
      <c r="M34" s="972"/>
      <c r="N34" s="971"/>
      <c r="O34" s="973"/>
    </row>
    <row r="35" spans="2:15" s="935" customFormat="1" ht="23.1" customHeight="1">
      <c r="B35" s="975"/>
      <c r="C35" s="979"/>
      <c r="D35" s="968" t="s">
        <v>493</v>
      </c>
      <c r="E35" s="969"/>
      <c r="F35" s="968"/>
      <c r="G35" s="980"/>
      <c r="H35" s="1063"/>
      <c r="I35" s="1063"/>
      <c r="J35" s="1063"/>
      <c r="K35" s="1063"/>
      <c r="L35" s="1094">
        <v>1586.3767599999999</v>
      </c>
      <c r="M35" s="972"/>
      <c r="N35" s="971"/>
      <c r="O35" s="973"/>
    </row>
    <row r="36" spans="2:15" s="935" customFormat="1" ht="23.1" customHeight="1">
      <c r="B36" s="975"/>
      <c r="C36" s="979"/>
      <c r="D36" s="968"/>
      <c r="E36" s="969"/>
      <c r="F36" s="968"/>
      <c r="G36" s="980"/>
      <c r="H36" s="1063"/>
      <c r="I36" s="1063"/>
      <c r="J36" s="1063"/>
      <c r="K36" s="1063"/>
      <c r="L36" s="1094"/>
      <c r="M36" s="972"/>
      <c r="N36" s="971"/>
      <c r="O36" s="973"/>
    </row>
    <row r="37" spans="2:15" s="935" customFormat="1" ht="23.1" customHeight="1">
      <c r="B37" s="975"/>
      <c r="C37" s="1096"/>
      <c r="D37" s="968"/>
      <c r="E37" s="969"/>
      <c r="F37" s="968"/>
      <c r="G37" s="968"/>
      <c r="H37" s="968"/>
      <c r="I37" s="970"/>
      <c r="J37" s="968"/>
      <c r="K37" s="970"/>
      <c r="L37" s="1094"/>
      <c r="M37" s="972"/>
      <c r="N37" s="971"/>
      <c r="O37" s="973"/>
    </row>
    <row r="38" spans="2:15" s="935" customFormat="1" ht="23.1" customHeight="1">
      <c r="B38" s="975"/>
      <c r="C38" s="968"/>
      <c r="D38" s="968" t="s">
        <v>494</v>
      </c>
      <c r="E38" s="969"/>
      <c r="F38" s="968"/>
      <c r="G38" s="968"/>
      <c r="H38" s="968"/>
      <c r="I38" s="970"/>
      <c r="J38" s="968"/>
      <c r="K38" s="970"/>
      <c r="L38" s="1063">
        <v>-348.04250000000002</v>
      </c>
      <c r="M38" s="972"/>
      <c r="N38" s="971"/>
      <c r="O38" s="973"/>
    </row>
    <row r="39" spans="2:15" s="935" customFormat="1" ht="23.1" customHeight="1">
      <c r="B39" s="975"/>
      <c r="C39" s="968"/>
      <c r="D39" s="968"/>
      <c r="E39" s="969"/>
      <c r="F39" s="968"/>
      <c r="G39" s="968"/>
      <c r="H39" s="968"/>
      <c r="I39" s="970"/>
      <c r="J39" s="968"/>
      <c r="K39" s="970"/>
      <c r="L39" s="971"/>
      <c r="M39" s="972"/>
      <c r="N39" s="971"/>
      <c r="O39" s="973"/>
    </row>
    <row r="40" spans="2:15" s="979" customFormat="1" ht="29.25" customHeight="1">
      <c r="B40" s="1086"/>
      <c r="C40" s="1102"/>
      <c r="E40" s="980"/>
      <c r="F40" s="1063"/>
      <c r="G40" s="1063"/>
      <c r="H40" s="1063"/>
      <c r="I40" s="1063"/>
      <c r="J40" s="1063"/>
      <c r="K40" s="1063"/>
      <c r="L40" s="1107"/>
      <c r="M40" s="1061"/>
      <c r="N40" s="1063"/>
      <c r="O40" s="1064"/>
    </row>
    <row r="41" spans="2:15" s="935" customFormat="1" ht="23.1" customHeight="1">
      <c r="B41" s="975"/>
      <c r="C41" s="979"/>
      <c r="D41" s="968" t="s">
        <v>495</v>
      </c>
      <c r="E41" s="969"/>
      <c r="F41" s="968"/>
      <c r="G41" s="980"/>
      <c r="H41" s="1063"/>
      <c r="I41" s="1063"/>
      <c r="J41" s="1063"/>
      <c r="K41" s="1063"/>
      <c r="L41" s="1094">
        <v>-201.05143999999993</v>
      </c>
      <c r="M41" s="972"/>
      <c r="N41" s="971"/>
      <c r="O41" s="973"/>
    </row>
    <row r="42" spans="2:15" s="935" customFormat="1" ht="23.1" customHeight="1">
      <c r="B42" s="975"/>
      <c r="C42" s="979"/>
      <c r="D42" s="968"/>
      <c r="E42" s="969"/>
      <c r="F42" s="968"/>
      <c r="G42" s="968"/>
      <c r="H42" s="968"/>
      <c r="I42" s="970"/>
      <c r="J42" s="968"/>
      <c r="K42" s="970"/>
      <c r="L42" s="1094"/>
      <c r="M42" s="972"/>
      <c r="N42" s="971"/>
      <c r="O42" s="973"/>
    </row>
    <row r="43" spans="2:15" s="935" customFormat="1" ht="23.1" customHeight="1">
      <c r="B43" s="975"/>
      <c r="C43" s="979"/>
      <c r="D43" s="968"/>
      <c r="E43" s="969"/>
      <c r="F43" s="968"/>
      <c r="G43" s="968"/>
      <c r="H43" s="968"/>
      <c r="I43" s="970"/>
      <c r="J43" s="968"/>
      <c r="K43" s="970"/>
      <c r="L43" s="1063"/>
      <c r="M43" s="972"/>
      <c r="N43" s="971"/>
      <c r="O43" s="973"/>
    </row>
    <row r="44" spans="2:15" s="935" customFormat="1" ht="23.1" customHeight="1">
      <c r="B44" s="975"/>
      <c r="C44" s="979"/>
      <c r="D44" s="968" t="s">
        <v>496</v>
      </c>
      <c r="E44" s="969"/>
      <c r="F44" s="968"/>
      <c r="G44" s="968"/>
      <c r="H44" s="968"/>
      <c r="I44" s="970"/>
      <c r="J44" s="968"/>
      <c r="K44" s="970"/>
      <c r="L44" s="1063">
        <v>-49.688830000000074</v>
      </c>
      <c r="M44" s="972"/>
      <c r="N44" s="971"/>
      <c r="O44" s="973"/>
    </row>
    <row r="45" spans="2:15" s="935" customFormat="1" ht="23.1" customHeight="1">
      <c r="B45" s="975"/>
      <c r="C45" s="979"/>
      <c r="D45" s="968"/>
      <c r="E45" s="969"/>
      <c r="F45" s="968"/>
      <c r="G45" s="968"/>
      <c r="H45" s="968"/>
      <c r="I45" s="970"/>
      <c r="J45" s="968"/>
      <c r="K45" s="970"/>
      <c r="L45" s="1063"/>
      <c r="M45" s="972"/>
      <c r="N45" s="971"/>
      <c r="O45" s="973"/>
    </row>
    <row r="46" spans="2:15" s="935" customFormat="1" ht="23.1" customHeight="1">
      <c r="B46" s="975"/>
      <c r="C46" s="979"/>
      <c r="D46" s="968"/>
      <c r="E46" s="969"/>
      <c r="F46" s="968"/>
      <c r="G46" s="968"/>
      <c r="H46" s="968"/>
      <c r="I46" s="970"/>
      <c r="J46" s="968"/>
      <c r="K46" s="970"/>
      <c r="L46" s="1063"/>
      <c r="M46" s="972"/>
      <c r="N46" s="971"/>
      <c r="O46" s="973"/>
    </row>
    <row r="47" spans="2:15" s="979" customFormat="1" ht="29.25" customHeight="1">
      <c r="B47" s="1086"/>
      <c r="C47" s="1102"/>
      <c r="E47" s="980"/>
      <c r="F47" s="1063"/>
      <c r="G47" s="1063"/>
      <c r="H47" s="1063"/>
      <c r="I47" s="1063"/>
      <c r="J47" s="1063"/>
      <c r="K47" s="1063"/>
      <c r="L47" s="1107"/>
      <c r="M47" s="1061"/>
      <c r="N47" s="1063"/>
      <c r="O47" s="1064"/>
    </row>
    <row r="48" spans="2:15" s="935" customFormat="1" ht="29.25" customHeight="1">
      <c r="B48" s="975"/>
      <c r="C48" s="979"/>
      <c r="D48" s="1108" t="s">
        <v>497</v>
      </c>
      <c r="E48" s="979"/>
      <c r="F48" s="968"/>
      <c r="G48" s="968"/>
      <c r="H48" s="968"/>
      <c r="I48" s="970"/>
      <c r="J48" s="968"/>
      <c r="K48" s="970"/>
      <c r="L48" s="1094">
        <v>447</v>
      </c>
      <c r="M48" s="1061">
        <v>6.1836347966426914E-3</v>
      </c>
      <c r="N48" s="971"/>
      <c r="O48" s="973"/>
    </row>
    <row r="49" spans="2:15" s="935" customFormat="1" ht="23.1" customHeight="1">
      <c r="B49" s="975"/>
      <c r="C49" s="979"/>
      <c r="D49" s="968"/>
      <c r="E49" s="968"/>
      <c r="F49" s="968"/>
      <c r="G49" s="968"/>
      <c r="H49" s="968"/>
      <c r="I49" s="968"/>
      <c r="J49" s="968"/>
      <c r="K49" s="970"/>
      <c r="L49" s="1063"/>
      <c r="M49" s="972"/>
      <c r="N49" s="971"/>
      <c r="O49" s="973"/>
    </row>
    <row r="50" spans="2:15" s="935" customFormat="1" ht="23.1" customHeight="1">
      <c r="B50" s="975"/>
      <c r="C50" s="979"/>
      <c r="D50" s="968" t="s">
        <v>498</v>
      </c>
      <c r="E50" s="968"/>
      <c r="F50" s="968"/>
      <c r="G50" s="968"/>
      <c r="H50" s="968"/>
      <c r="I50" s="968"/>
      <c r="J50" s="968"/>
      <c r="K50" s="968"/>
      <c r="L50" s="1063">
        <v>365.98996000000091</v>
      </c>
      <c r="M50" s="972"/>
      <c r="N50" s="971"/>
      <c r="O50" s="973"/>
    </row>
    <row r="51" spans="2:15" s="935" customFormat="1" ht="23.1" customHeight="1">
      <c r="B51" s="975"/>
      <c r="C51" s="979"/>
      <c r="D51" s="968"/>
      <c r="E51" s="968"/>
      <c r="F51" s="968"/>
      <c r="G51" s="968"/>
      <c r="H51" s="968"/>
      <c r="I51" s="968"/>
      <c r="J51" s="968"/>
      <c r="K51" s="968"/>
      <c r="L51" s="1063"/>
      <c r="M51" s="972"/>
      <c r="N51" s="971"/>
      <c r="O51" s="973"/>
    </row>
    <row r="52" spans="2:15" s="935" customFormat="1" ht="23.1" customHeight="1">
      <c r="B52" s="975"/>
      <c r="C52" s="979"/>
      <c r="D52" s="968"/>
      <c r="E52" s="968"/>
      <c r="F52" s="968"/>
      <c r="G52" s="968"/>
      <c r="H52" s="968"/>
      <c r="I52" s="968"/>
      <c r="J52" s="968"/>
      <c r="K52" s="968"/>
      <c r="L52" s="1063"/>
      <c r="M52" s="972"/>
      <c r="N52" s="971"/>
      <c r="O52" s="973"/>
    </row>
    <row r="53" spans="2:15" s="935" customFormat="1" ht="23.1" customHeight="1">
      <c r="B53" s="975"/>
      <c r="C53" s="979"/>
      <c r="D53" s="968" t="s">
        <v>499</v>
      </c>
      <c r="E53" s="968"/>
      <c r="F53" s="968"/>
      <c r="G53" s="968"/>
      <c r="H53" s="968"/>
      <c r="I53" s="968"/>
      <c r="J53" s="968"/>
      <c r="K53" s="970"/>
      <c r="L53" s="1063">
        <v>354</v>
      </c>
      <c r="M53" s="972"/>
      <c r="N53" s="971"/>
      <c r="O53" s="973"/>
    </row>
    <row r="54" spans="2:15" s="979" customFormat="1" ht="29.25" customHeight="1">
      <c r="B54" s="1086"/>
      <c r="C54" s="1102"/>
      <c r="E54" s="980"/>
      <c r="F54" s="1063"/>
      <c r="G54" s="1063"/>
      <c r="H54" s="1063"/>
      <c r="I54" s="1063"/>
      <c r="J54" s="1063"/>
      <c r="K54" s="1063"/>
      <c r="L54" s="1107"/>
      <c r="M54" s="1061"/>
      <c r="N54" s="1063"/>
      <c r="O54" s="1064"/>
    </row>
    <row r="55" spans="2:15" s="979" customFormat="1" ht="23.1" customHeight="1">
      <c r="B55" s="975"/>
      <c r="E55" s="980"/>
      <c r="G55" s="980"/>
      <c r="H55" s="1063"/>
      <c r="I55" s="1063"/>
      <c r="J55" s="1063"/>
      <c r="K55" s="1063"/>
      <c r="L55" s="1094"/>
      <c r="M55" s="1093"/>
      <c r="N55" s="1063"/>
      <c r="O55" s="1064"/>
    </row>
    <row r="56" spans="2:15" s="979" customFormat="1" ht="23.1" customHeight="1">
      <c r="B56" s="975"/>
      <c r="E56" s="980"/>
      <c r="G56" s="980"/>
      <c r="H56" s="1063"/>
      <c r="I56" s="1063"/>
      <c r="J56" s="1063"/>
      <c r="K56" s="1063"/>
      <c r="L56" s="1094"/>
      <c r="M56" s="1093"/>
      <c r="N56" s="1063"/>
      <c r="O56" s="1064"/>
    </row>
    <row r="57" spans="2:15" s="979" customFormat="1" ht="23.1" customHeight="1">
      <c r="B57" s="975"/>
      <c r="E57" s="980"/>
      <c r="F57" s="1063"/>
      <c r="G57" s="980"/>
      <c r="H57" s="1063"/>
      <c r="I57" s="1063"/>
      <c r="J57" s="1063"/>
      <c r="K57" s="1063"/>
      <c r="L57" s="1094"/>
      <c r="M57" s="1093"/>
      <c r="N57" s="1063"/>
      <c r="O57" s="1064"/>
    </row>
    <row r="58" spans="2:15" s="979" customFormat="1" ht="23.1" customHeight="1">
      <c r="B58" s="975"/>
      <c r="E58" s="980"/>
      <c r="F58" s="1063"/>
      <c r="G58" s="1063"/>
      <c r="H58" s="1063"/>
      <c r="I58" s="1063"/>
      <c r="J58" s="1063"/>
      <c r="K58" s="1063"/>
      <c r="L58" s="1063"/>
      <c r="M58" s="1093"/>
      <c r="N58" s="1063"/>
      <c r="O58" s="1064"/>
    </row>
    <row r="59" spans="2:15" s="979" customFormat="1" ht="23.1" customHeight="1">
      <c r="B59" s="975"/>
      <c r="E59" s="980"/>
      <c r="F59" s="1063"/>
      <c r="G59" s="1063"/>
      <c r="H59" s="1063"/>
      <c r="I59" s="1063"/>
      <c r="J59" s="1063"/>
      <c r="K59" s="1063"/>
      <c r="L59" s="1063"/>
      <c r="M59" s="1093"/>
      <c r="N59" s="1063"/>
      <c r="O59" s="1064"/>
    </row>
    <row r="60" spans="2:15" s="979" customFormat="1" ht="23.1" customHeight="1">
      <c r="B60" s="975"/>
      <c r="E60" s="980"/>
      <c r="F60" s="1063"/>
      <c r="G60" s="1063"/>
      <c r="H60" s="1063"/>
      <c r="I60" s="1063"/>
      <c r="J60" s="1063"/>
      <c r="K60" s="1063"/>
      <c r="L60" s="1063"/>
      <c r="M60" s="1093"/>
      <c r="N60" s="1063"/>
      <c r="O60" s="1064"/>
    </row>
    <row r="61" spans="2:15" s="979" customFormat="1" ht="29.25" customHeight="1">
      <c r="B61" s="1086"/>
      <c r="C61" s="1102"/>
      <c r="E61" s="980"/>
      <c r="F61" s="1063"/>
      <c r="G61" s="1063"/>
      <c r="H61" s="1063"/>
      <c r="I61" s="1063"/>
      <c r="J61" s="1063"/>
      <c r="K61" s="1063"/>
      <c r="L61" s="1107"/>
      <c r="M61" s="1061"/>
      <c r="N61" s="1063"/>
      <c r="O61" s="1064"/>
    </row>
    <row r="62" spans="2:15" s="976" customFormat="1" ht="23.1" customHeight="1">
      <c r="B62" s="1074"/>
      <c r="C62" s="979"/>
      <c r="D62" s="979"/>
      <c r="E62" s="980"/>
      <c r="F62" s="980"/>
      <c r="G62" s="980"/>
      <c r="H62" s="1063"/>
      <c r="I62" s="1063"/>
      <c r="J62" s="1063"/>
      <c r="K62" s="1063"/>
      <c r="L62" s="1063"/>
      <c r="M62" s="980"/>
      <c r="N62" s="980"/>
      <c r="O62" s="990"/>
    </row>
    <row r="63" spans="2:15" s="935" customFormat="1" ht="23.1" customHeight="1">
      <c r="B63" s="975"/>
      <c r="C63" s="979"/>
      <c r="D63" s="968"/>
      <c r="E63" s="969"/>
      <c r="F63" s="968"/>
      <c r="G63" s="968"/>
      <c r="H63" s="968"/>
      <c r="I63" s="970"/>
      <c r="J63" s="968"/>
      <c r="K63" s="1063"/>
      <c r="L63" s="1063"/>
      <c r="M63" s="972"/>
      <c r="N63" s="971"/>
      <c r="O63" s="973"/>
    </row>
    <row r="64" spans="2:15" s="935" customFormat="1" ht="23.1" customHeight="1">
      <c r="B64" s="975"/>
      <c r="C64" s="979"/>
      <c r="D64" s="968"/>
      <c r="E64" s="969"/>
      <c r="F64" s="968"/>
      <c r="G64" s="968"/>
      <c r="H64" s="968"/>
      <c r="I64" s="970"/>
      <c r="J64" s="968"/>
      <c r="K64" s="1063"/>
      <c r="L64" s="971"/>
      <c r="M64" s="972"/>
      <c r="N64" s="971"/>
      <c r="O64" s="973"/>
    </row>
    <row r="65" spans="2:15" s="935" customFormat="1" ht="23.1" customHeight="1">
      <c r="B65" s="975"/>
      <c r="C65" s="1097"/>
      <c r="D65" s="968"/>
      <c r="E65" s="969"/>
      <c r="F65" s="968"/>
      <c r="G65" s="968"/>
      <c r="H65" s="968"/>
      <c r="I65" s="970"/>
      <c r="J65" s="968"/>
      <c r="K65" s="970"/>
      <c r="L65" s="971"/>
      <c r="M65" s="972"/>
      <c r="N65" s="971"/>
      <c r="O65" s="973"/>
    </row>
    <row r="66" spans="2:15" s="979" customFormat="1" ht="29.25" customHeight="1">
      <c r="B66" s="1086"/>
      <c r="C66" s="1102"/>
      <c r="E66" s="980"/>
      <c r="F66" s="1063"/>
      <c r="G66" s="1063"/>
      <c r="H66" s="1063"/>
      <c r="I66" s="1063"/>
      <c r="J66" s="1063"/>
      <c r="K66" s="1063"/>
      <c r="L66" s="1107"/>
      <c r="M66" s="1061"/>
      <c r="N66" s="1063"/>
      <c r="O66" s="1064"/>
    </row>
    <row r="67" spans="2:15" s="979" customFormat="1" ht="29.25" customHeight="1">
      <c r="B67" s="1086"/>
      <c r="C67" s="1102"/>
      <c r="E67" s="980"/>
      <c r="F67" s="1063"/>
      <c r="G67" s="1063"/>
      <c r="H67" s="1063"/>
      <c r="I67" s="1063"/>
      <c r="J67" s="1063"/>
      <c r="K67" s="1063"/>
      <c r="L67" s="1103"/>
      <c r="M67" s="1061"/>
      <c r="N67" s="1063"/>
      <c r="O67" s="1064"/>
    </row>
    <row r="68" spans="2:15" s="979" customFormat="1" ht="22.5" customHeight="1">
      <c r="B68" s="1086"/>
      <c r="C68" s="1104"/>
      <c r="D68" s="1833"/>
      <c r="E68" s="1833"/>
      <c r="F68" s="1833"/>
      <c r="G68" s="1833"/>
      <c r="H68" s="1833"/>
      <c r="I68" s="1833"/>
      <c r="J68" s="1063"/>
      <c r="K68" s="1063"/>
      <c r="L68" s="1094"/>
      <c r="M68" s="1061"/>
      <c r="N68" s="1063"/>
      <c r="O68" s="1064"/>
    </row>
    <row r="69" spans="2:15" s="979" customFormat="1" ht="22.5" customHeight="1">
      <c r="B69" s="1086"/>
      <c r="C69" s="1104"/>
      <c r="E69" s="1080"/>
      <c r="F69" s="1105"/>
      <c r="G69" s="1063"/>
      <c r="H69" s="1063"/>
      <c r="I69" s="1063"/>
      <c r="J69" s="1063"/>
      <c r="K69" s="1063"/>
      <c r="L69" s="1094"/>
      <c r="M69" s="1061"/>
      <c r="N69" s="1063"/>
      <c r="O69" s="1064"/>
    </row>
    <row r="70" spans="2:15" s="979" customFormat="1" ht="22.5" customHeight="1">
      <c r="B70" s="1086"/>
      <c r="C70" s="1104"/>
      <c r="E70" s="1080"/>
      <c r="F70" s="1105"/>
      <c r="G70" s="1063"/>
      <c r="H70" s="1063"/>
      <c r="I70" s="1063"/>
      <c r="J70" s="1063"/>
      <c r="K70" s="1063"/>
      <c r="L70" s="1094"/>
      <c r="M70" s="1061"/>
      <c r="N70" s="1063"/>
      <c r="O70" s="1064"/>
    </row>
    <row r="71" spans="2:15" s="979" customFormat="1" ht="22.5" customHeight="1">
      <c r="B71" s="1086"/>
      <c r="C71" s="1104"/>
      <c r="E71" s="980"/>
      <c r="F71" s="1063"/>
      <c r="G71" s="1063"/>
      <c r="H71" s="1063"/>
      <c r="I71" s="1063"/>
      <c r="J71" s="1063"/>
      <c r="K71" s="1063"/>
      <c r="L71" s="1094"/>
      <c r="M71" s="1061"/>
      <c r="N71" s="1063"/>
      <c r="O71" s="1064"/>
    </row>
    <row r="72" spans="2:15" s="979" customFormat="1" ht="22.5" customHeight="1">
      <c r="B72" s="1086"/>
      <c r="C72" s="1104"/>
      <c r="E72" s="980"/>
      <c r="F72" s="1063"/>
      <c r="G72" s="1063"/>
      <c r="H72" s="1063"/>
      <c r="I72" s="1063"/>
      <c r="J72" s="1063"/>
      <c r="K72" s="1063"/>
      <c r="L72" s="1094"/>
      <c r="M72" s="1061"/>
      <c r="N72" s="1063"/>
      <c r="O72" s="1064"/>
    </row>
    <row r="73" spans="2:15" s="979" customFormat="1" ht="22.5" customHeight="1">
      <c r="B73" s="1086"/>
      <c r="C73" s="1104"/>
      <c r="E73" s="980"/>
      <c r="F73" s="1063"/>
      <c r="G73" s="1063"/>
      <c r="H73" s="1063"/>
      <c r="I73" s="1063"/>
      <c r="J73" s="1063"/>
      <c r="K73" s="1063"/>
      <c r="L73" s="1094"/>
      <c r="M73" s="1061"/>
      <c r="N73" s="1063"/>
      <c r="O73" s="1064"/>
    </row>
    <row r="74" spans="2:15" s="979" customFormat="1" ht="22.5" customHeight="1">
      <c r="B74" s="1086"/>
      <c r="C74" s="1104"/>
      <c r="E74" s="1080"/>
      <c r="F74" s="1063"/>
      <c r="G74" s="1063"/>
      <c r="H74" s="1063"/>
      <c r="I74" s="1063"/>
      <c r="J74" s="1063"/>
      <c r="K74" s="1063"/>
      <c r="L74" s="1094"/>
      <c r="M74" s="1061"/>
      <c r="N74" s="1063"/>
      <c r="O74" s="1064"/>
    </row>
    <row r="75" spans="2:15" s="979" customFormat="1" ht="22.5" customHeight="1">
      <c r="B75" s="1086"/>
      <c r="C75" s="1104"/>
      <c r="E75" s="1080"/>
      <c r="F75" s="1063"/>
      <c r="G75" s="1063"/>
      <c r="H75" s="1063"/>
      <c r="I75" s="1063"/>
      <c r="J75" s="1063"/>
      <c r="K75" s="1063"/>
      <c r="L75" s="1094"/>
      <c r="M75" s="1061"/>
      <c r="N75" s="1063"/>
      <c r="O75" s="1064"/>
    </row>
    <row r="76" spans="2:15" s="979" customFormat="1" ht="22.5" customHeight="1">
      <c r="B76" s="1086"/>
      <c r="C76" s="1104"/>
      <c r="D76" s="1104"/>
      <c r="E76" s="980"/>
      <c r="F76" s="1063"/>
      <c r="G76" s="1063"/>
      <c r="H76" s="1063"/>
      <c r="I76" s="1063"/>
      <c r="J76" s="1063"/>
      <c r="K76" s="1063"/>
      <c r="L76" s="1094"/>
      <c r="M76" s="1061"/>
      <c r="N76" s="1063"/>
      <c r="O76" s="1064"/>
    </row>
    <row r="77" spans="2:15" s="979" customFormat="1" ht="22.5" customHeight="1">
      <c r="B77" s="1086"/>
      <c r="C77" s="1104"/>
      <c r="D77" s="1104"/>
      <c r="E77" s="980"/>
      <c r="F77" s="1063"/>
      <c r="G77" s="1063"/>
      <c r="H77" s="1063"/>
      <c r="I77" s="1063"/>
      <c r="J77" s="1063"/>
      <c r="K77" s="1063"/>
      <c r="L77" s="1094"/>
      <c r="M77" s="1061"/>
      <c r="N77" s="1063"/>
      <c r="O77" s="1064"/>
    </row>
    <row r="78" spans="2:15" s="976" customFormat="1" ht="22.5" customHeight="1">
      <c r="B78" s="1074"/>
      <c r="C78" s="1075"/>
      <c r="D78" s="979"/>
      <c r="E78" s="980"/>
      <c r="F78" s="1063"/>
      <c r="G78" s="1063"/>
      <c r="H78" s="1063"/>
      <c r="I78" s="1063"/>
      <c r="J78" s="1063"/>
      <c r="K78" s="1063"/>
      <c r="L78" s="1063"/>
      <c r="M78" s="1063"/>
      <c r="N78" s="1063"/>
      <c r="O78" s="1064"/>
    </row>
    <row r="79" spans="2:15" s="979" customFormat="1" ht="28.5" customHeight="1">
      <c r="B79" s="1086"/>
      <c r="C79" s="1102"/>
      <c r="E79" s="980"/>
      <c r="F79" s="1063"/>
      <c r="G79" s="1063"/>
      <c r="H79" s="1063"/>
      <c r="I79" s="1063"/>
      <c r="J79" s="1063"/>
      <c r="K79" s="1063"/>
      <c r="L79" s="1107"/>
      <c r="M79" s="1061"/>
      <c r="N79" s="1063"/>
      <c r="O79" s="1064"/>
    </row>
    <row r="80" spans="2:15" s="979" customFormat="1" ht="23.25" customHeight="1">
      <c r="B80" s="1037"/>
      <c r="C80" s="1096"/>
      <c r="E80" s="980"/>
      <c r="G80" s="980"/>
      <c r="H80" s="1063"/>
      <c r="I80" s="1063"/>
      <c r="J80" s="1063"/>
      <c r="K80" s="1063"/>
      <c r="L80" s="1094"/>
      <c r="M80" s="1095"/>
      <c r="N80" s="1018"/>
      <c r="O80" s="1019"/>
    </row>
    <row r="81" spans="2:15" s="979" customFormat="1" ht="23.25" customHeight="1">
      <c r="B81" s="1037"/>
      <c r="C81" s="1096"/>
      <c r="E81" s="980"/>
      <c r="G81" s="980"/>
      <c r="H81" s="1063"/>
      <c r="I81" s="1063"/>
      <c r="J81" s="1063"/>
      <c r="K81" s="1063"/>
      <c r="L81" s="1094"/>
      <c r="M81" s="1095"/>
      <c r="N81" s="1018"/>
      <c r="O81" s="1019"/>
    </row>
    <row r="82" spans="2:15" s="935" customFormat="1" ht="23.25" customHeight="1">
      <c r="B82" s="975"/>
      <c r="C82" s="1096"/>
      <c r="D82" s="979"/>
      <c r="E82" s="980"/>
      <c r="F82" s="979"/>
      <c r="G82" s="980"/>
      <c r="H82" s="1063"/>
      <c r="I82" s="1063"/>
      <c r="J82" s="1063"/>
      <c r="K82" s="1063"/>
      <c r="L82" s="1094"/>
      <c r="M82" s="972"/>
      <c r="N82" s="971"/>
      <c r="O82" s="973"/>
    </row>
    <row r="83" spans="2:15" s="935" customFormat="1" ht="23.25" customHeight="1">
      <c r="B83" s="975"/>
      <c r="C83" s="968"/>
      <c r="D83" s="968"/>
      <c r="E83" s="969"/>
      <c r="F83" s="968"/>
      <c r="G83" s="968"/>
      <c r="H83" s="968"/>
      <c r="I83" s="970"/>
      <c r="J83" s="968"/>
      <c r="K83" s="970"/>
      <c r="L83" s="971"/>
      <c r="M83" s="972"/>
      <c r="N83" s="971"/>
      <c r="O83" s="973"/>
    </row>
    <row r="84" spans="2:15" s="935" customFormat="1" ht="23.25" customHeight="1">
      <c r="B84" s="975"/>
      <c r="C84" s="968"/>
      <c r="D84" s="968"/>
      <c r="E84" s="969"/>
      <c r="F84" s="968"/>
      <c r="G84" s="980"/>
      <c r="H84" s="1063"/>
      <c r="I84" s="1063"/>
      <c r="J84" s="1063"/>
      <c r="K84" s="1063"/>
      <c r="L84" s="1106"/>
      <c r="M84" s="972"/>
      <c r="N84" s="971"/>
      <c r="O84" s="973"/>
    </row>
    <row r="85" spans="2:15" s="935" customFormat="1" ht="23.25" customHeight="1">
      <c r="B85" s="975"/>
      <c r="C85" s="968"/>
      <c r="D85" s="968"/>
      <c r="E85" s="969"/>
      <c r="F85" s="968"/>
      <c r="G85" s="980"/>
      <c r="H85" s="1063"/>
      <c r="I85" s="1063"/>
      <c r="J85" s="1063"/>
      <c r="K85" s="1063"/>
      <c r="L85" s="1063"/>
      <c r="M85" s="972"/>
      <c r="N85" s="971"/>
      <c r="O85" s="973"/>
    </row>
    <row r="86" spans="2:15" s="935" customFormat="1" ht="23.25" customHeight="1">
      <c r="B86" s="975"/>
      <c r="C86" s="968"/>
      <c r="D86" s="968"/>
      <c r="E86" s="969"/>
      <c r="F86" s="968"/>
      <c r="G86" s="968"/>
      <c r="H86" s="968"/>
      <c r="I86" s="970"/>
      <c r="J86" s="968"/>
      <c r="K86" s="970"/>
      <c r="L86" s="971"/>
      <c r="M86" s="972"/>
      <c r="N86" s="971"/>
      <c r="O86" s="973"/>
    </row>
    <row r="87" spans="2:15" s="935" customFormat="1" ht="23.25" customHeight="1">
      <c r="B87" s="975"/>
      <c r="C87" s="1102"/>
      <c r="D87" s="979"/>
      <c r="E87" s="980"/>
      <c r="F87" s="1063"/>
      <c r="G87" s="1063"/>
      <c r="H87" s="1063"/>
      <c r="I87" s="1063"/>
      <c r="J87" s="1063"/>
      <c r="K87" s="1063"/>
      <c r="L87" s="1107"/>
      <c r="M87" s="1061"/>
      <c r="N87" s="971"/>
      <c r="O87" s="973"/>
    </row>
    <row r="88" spans="2:15" s="935" customFormat="1" ht="23.25" customHeight="1">
      <c r="B88" s="975"/>
      <c r="C88" s="1096"/>
      <c r="D88" s="979"/>
      <c r="E88" s="980"/>
      <c r="F88" s="979"/>
      <c r="G88" s="980"/>
      <c r="H88" s="1063"/>
      <c r="I88" s="1063"/>
      <c r="J88" s="1063"/>
      <c r="K88" s="1063"/>
      <c r="L88" s="1094"/>
      <c r="M88" s="1095"/>
      <c r="N88" s="971"/>
      <c r="O88" s="973"/>
    </row>
    <row r="89" spans="2:15" s="935" customFormat="1" ht="23.25" customHeight="1">
      <c r="B89" s="975"/>
      <c r="C89" s="1096"/>
      <c r="D89" s="979"/>
      <c r="E89" s="980"/>
      <c r="F89" s="979"/>
      <c r="G89" s="980"/>
      <c r="H89" s="1063"/>
      <c r="I89" s="1063"/>
      <c r="J89" s="1063"/>
      <c r="K89" s="1063"/>
      <c r="L89" s="1094"/>
      <c r="M89" s="1095"/>
      <c r="N89" s="971"/>
      <c r="O89" s="973"/>
    </row>
    <row r="90" spans="2:15" s="935" customFormat="1" ht="23.25" customHeight="1">
      <c r="B90" s="975"/>
      <c r="C90" s="1096"/>
      <c r="D90" s="979"/>
      <c r="E90" s="980"/>
      <c r="F90" s="979"/>
      <c r="G90" s="980"/>
      <c r="H90" s="1063"/>
      <c r="I90" s="1063"/>
      <c r="J90" s="1063"/>
      <c r="K90" s="1063"/>
      <c r="L90" s="1094"/>
      <c r="M90" s="972"/>
      <c r="N90" s="971"/>
      <c r="O90" s="973"/>
    </row>
    <row r="91" spans="2:15" s="935" customFormat="1" ht="23.25" customHeight="1">
      <c r="B91" s="975"/>
      <c r="C91" s="968"/>
      <c r="D91" s="968"/>
      <c r="E91" s="969"/>
      <c r="F91" s="968"/>
      <c r="G91" s="968"/>
      <c r="H91" s="968"/>
      <c r="I91" s="970"/>
      <c r="J91" s="968"/>
      <c r="K91" s="970"/>
      <c r="L91" s="971"/>
      <c r="M91" s="972"/>
      <c r="N91" s="971"/>
      <c r="O91" s="973"/>
    </row>
    <row r="92" spans="2:15" s="935" customFormat="1" ht="23.25" customHeight="1">
      <c r="B92" s="975"/>
      <c r="C92" s="968"/>
      <c r="D92" s="968"/>
      <c r="E92" s="969"/>
      <c r="F92" s="968"/>
      <c r="G92" s="968"/>
      <c r="H92" s="968"/>
      <c r="I92" s="970"/>
      <c r="J92" s="968"/>
      <c r="K92" s="970"/>
      <c r="L92" s="971"/>
      <c r="M92" s="972"/>
      <c r="N92" s="971"/>
      <c r="O92" s="973"/>
    </row>
    <row r="93" spans="2:15" s="935" customFormat="1" ht="23.25" customHeight="1">
      <c r="B93" s="975"/>
      <c r="C93" s="968"/>
      <c r="D93" s="968"/>
      <c r="E93" s="969"/>
      <c r="F93" s="968"/>
      <c r="G93" s="968"/>
      <c r="H93" s="968"/>
      <c r="I93" s="970"/>
      <c r="J93" s="968"/>
      <c r="K93" s="970"/>
      <c r="L93" s="971"/>
      <c r="M93" s="972"/>
      <c r="N93" s="971"/>
      <c r="O93" s="973"/>
    </row>
    <row r="94" spans="2:15" s="935" customFormat="1" ht="23.25" customHeight="1">
      <c r="B94" s="975"/>
      <c r="C94" s="968"/>
      <c r="D94" s="968"/>
      <c r="E94" s="969"/>
      <c r="F94" s="968"/>
      <c r="G94" s="968"/>
      <c r="H94" s="968"/>
      <c r="I94" s="970"/>
      <c r="J94" s="968"/>
      <c r="K94" s="970"/>
      <c r="L94" s="971"/>
      <c r="M94" s="972"/>
      <c r="N94" s="971"/>
      <c r="O94" s="973"/>
    </row>
    <row r="95" spans="2:15" s="935" customFormat="1" ht="23.25" customHeight="1">
      <c r="B95" s="975"/>
      <c r="C95" s="968"/>
      <c r="D95" s="968"/>
      <c r="E95" s="969"/>
      <c r="F95" s="968"/>
      <c r="G95" s="968"/>
      <c r="H95" s="968"/>
      <c r="I95" s="970"/>
      <c r="J95" s="968"/>
      <c r="K95" s="970"/>
      <c r="L95" s="971"/>
      <c r="M95" s="972"/>
      <c r="N95" s="971"/>
      <c r="O95" s="973"/>
    </row>
    <row r="96" spans="2:15" s="979" customFormat="1" ht="23.25" customHeight="1">
      <c r="B96" s="1086"/>
      <c r="C96" s="1102"/>
      <c r="E96" s="980"/>
      <c r="F96" s="1063"/>
      <c r="G96" s="1063"/>
      <c r="H96" s="1063"/>
      <c r="I96" s="1063"/>
      <c r="J96" s="1063"/>
      <c r="K96" s="1063"/>
      <c r="L96" s="1103"/>
      <c r="M96" s="1061"/>
      <c r="N96" s="1063"/>
      <c r="O96" s="1064"/>
    </row>
    <row r="97" spans="2:15" s="935" customFormat="1" ht="23.25" customHeight="1">
      <c r="B97" s="975"/>
      <c r="C97" s="968"/>
      <c r="D97" s="968"/>
      <c r="E97" s="969"/>
      <c r="F97" s="968"/>
      <c r="G97" s="968"/>
      <c r="H97" s="968"/>
      <c r="I97" s="970"/>
      <c r="J97" s="968"/>
      <c r="K97" s="970"/>
      <c r="L97" s="971"/>
      <c r="M97" s="972"/>
      <c r="N97" s="971"/>
      <c r="O97" s="973"/>
    </row>
    <row r="98" spans="2:15" s="935" customFormat="1" ht="23.25" customHeight="1">
      <c r="B98" s="975"/>
      <c r="C98" s="968"/>
      <c r="D98" s="968"/>
      <c r="E98" s="969"/>
      <c r="F98" s="968"/>
      <c r="G98" s="968"/>
      <c r="H98" s="968"/>
      <c r="I98" s="970"/>
      <c r="J98" s="968"/>
      <c r="K98" s="970"/>
      <c r="L98" s="971"/>
      <c r="M98" s="972"/>
      <c r="N98" s="971"/>
      <c r="O98" s="973"/>
    </row>
    <row r="99" spans="2:15" s="935" customFormat="1" ht="23.25" customHeight="1">
      <c r="B99" s="975"/>
      <c r="C99" s="968"/>
      <c r="D99" s="968"/>
      <c r="E99" s="969"/>
      <c r="F99" s="968"/>
      <c r="G99" s="968"/>
      <c r="H99" s="968"/>
      <c r="I99" s="970"/>
      <c r="J99" s="968"/>
      <c r="K99" s="970"/>
      <c r="L99" s="971"/>
      <c r="M99" s="972"/>
      <c r="N99" s="971"/>
      <c r="O99" s="973"/>
    </row>
    <row r="100" spans="2:15" s="935" customFormat="1" ht="23.25" customHeight="1">
      <c r="B100" s="975"/>
      <c r="C100" s="968"/>
      <c r="D100" s="968"/>
      <c r="E100" s="969"/>
      <c r="F100" s="968"/>
      <c r="G100" s="968"/>
      <c r="H100" s="968"/>
      <c r="I100" s="970"/>
      <c r="J100" s="968"/>
      <c r="K100" s="970"/>
      <c r="L100" s="971"/>
      <c r="M100" s="972"/>
      <c r="N100" s="971"/>
      <c r="O100" s="973"/>
    </row>
    <row r="101" spans="2:15" s="935" customFormat="1" ht="23.25" customHeight="1">
      <c r="B101" s="975"/>
      <c r="C101" s="968"/>
      <c r="D101" s="968"/>
      <c r="E101" s="969"/>
      <c r="F101" s="968"/>
      <c r="G101" s="968"/>
      <c r="H101" s="968"/>
      <c r="I101" s="970"/>
      <c r="J101" s="968"/>
      <c r="K101" s="970"/>
      <c r="L101" s="971"/>
      <c r="M101" s="972"/>
      <c r="N101" s="971"/>
      <c r="O101" s="973"/>
    </row>
    <row r="102" spans="2:15" s="935" customFormat="1" ht="23.25" customHeight="1">
      <c r="B102" s="975"/>
      <c r="C102" s="968"/>
      <c r="D102" s="968"/>
      <c r="E102" s="969"/>
      <c r="F102" s="968"/>
      <c r="G102" s="968"/>
      <c r="H102" s="968"/>
      <c r="I102" s="970"/>
      <c r="J102" s="968"/>
      <c r="K102" s="970"/>
      <c r="L102" s="971"/>
      <c r="M102" s="972"/>
      <c r="N102" s="971"/>
      <c r="O102" s="973"/>
    </row>
    <row r="103" spans="2:15" s="935" customFormat="1" ht="23.25" customHeight="1">
      <c r="B103" s="975"/>
      <c r="C103" s="968"/>
      <c r="D103" s="968"/>
      <c r="E103" s="969"/>
      <c r="F103" s="968"/>
      <c r="G103" s="980"/>
      <c r="H103" s="1063"/>
      <c r="I103" s="1063"/>
      <c r="J103" s="1063"/>
      <c r="K103" s="1063"/>
      <c r="L103" s="1063"/>
      <c r="M103" s="972"/>
      <c r="N103" s="971"/>
      <c r="O103" s="973"/>
    </row>
    <row r="104" spans="2:15" s="935" customFormat="1" ht="23.25" customHeight="1">
      <c r="B104" s="975"/>
      <c r="C104" s="968"/>
      <c r="D104" s="968"/>
      <c r="E104" s="969"/>
      <c r="F104" s="968"/>
      <c r="G104" s="968"/>
      <c r="H104" s="968"/>
      <c r="I104" s="970"/>
      <c r="J104" s="968"/>
      <c r="K104" s="970"/>
      <c r="L104" s="971"/>
      <c r="M104" s="972"/>
      <c r="N104" s="971"/>
      <c r="O104" s="973"/>
    </row>
    <row r="105" spans="2:15" s="935" customFormat="1" ht="23.25" customHeight="1">
      <c r="B105" s="975"/>
      <c r="C105" s="968"/>
      <c r="D105" s="968"/>
      <c r="E105" s="969"/>
      <c r="F105" s="968"/>
      <c r="G105" s="968"/>
      <c r="H105" s="968"/>
      <c r="I105" s="970"/>
      <c r="J105" s="968"/>
      <c r="K105" s="970"/>
      <c r="L105" s="971"/>
      <c r="M105" s="972"/>
      <c r="N105" s="971"/>
      <c r="O105" s="973"/>
    </row>
    <row r="106" spans="2:15" s="935" customFormat="1" ht="23.25" customHeight="1" thickBot="1">
      <c r="B106" s="1054"/>
      <c r="C106" s="1098"/>
      <c r="D106" s="1098"/>
      <c r="E106" s="1099"/>
      <c r="F106" s="1098"/>
      <c r="G106" s="1098"/>
      <c r="H106" s="1098"/>
      <c r="I106" s="1100"/>
      <c r="J106" s="1098"/>
      <c r="K106" s="1100"/>
      <c r="L106" s="1059"/>
      <c r="M106" s="1101"/>
      <c r="N106" s="1059"/>
      <c r="O106" s="1060"/>
    </row>
    <row r="107" spans="2:15" s="935" customFormat="1" ht="18" thickTop="1">
      <c r="E107" s="936"/>
      <c r="I107" s="937"/>
      <c r="K107" s="937"/>
      <c r="L107" s="938"/>
      <c r="M107" s="939"/>
      <c r="N107" s="938"/>
    </row>
  </sheetData>
  <mergeCells count="18">
    <mergeCell ref="E2:K2"/>
    <mergeCell ref="B3:D5"/>
    <mergeCell ref="E3:K3"/>
    <mergeCell ref="E5:K5"/>
    <mergeCell ref="B6:D6"/>
    <mergeCell ref="E6:K6"/>
    <mergeCell ref="D68:I68"/>
    <mergeCell ref="B7:D7"/>
    <mergeCell ref="E7:K7"/>
    <mergeCell ref="E8:K8"/>
    <mergeCell ref="B10:O10"/>
    <mergeCell ref="B11:O11"/>
    <mergeCell ref="F14:O14"/>
    <mergeCell ref="H15:I15"/>
    <mergeCell ref="L15:M15"/>
    <mergeCell ref="H16:I16"/>
    <mergeCell ref="F19:O19"/>
    <mergeCell ref="F20:O20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 enableFormatConditionsCalculation="0"/>
  <dimension ref="A1:W20"/>
  <sheetViews>
    <sheetView showGridLines="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C5" sqref="C5"/>
    </sheetView>
  </sheetViews>
  <sheetFormatPr baseColWidth="10" defaultRowHeight="15"/>
  <cols>
    <col min="1" max="1" width="5.42578125" customWidth="1"/>
    <col min="2" max="2" width="51.42578125" customWidth="1"/>
    <col min="3" max="3" width="1.7109375" customWidth="1"/>
    <col min="4" max="8" width="4.7109375" customWidth="1"/>
    <col min="9" max="9" width="1.7109375" customWidth="1"/>
    <col min="10" max="12" width="4.7109375" customWidth="1"/>
    <col min="13" max="13" width="1.7109375" customWidth="1"/>
    <col min="14" max="14" width="9.7109375" customWidth="1"/>
    <col min="15" max="15" width="6.7109375" customWidth="1"/>
    <col min="16" max="16" width="9.7109375" customWidth="1"/>
    <col min="17" max="17" width="1.7109375" customWidth="1"/>
    <col min="18" max="19" width="4.7109375" customWidth="1"/>
    <col min="20" max="20" width="1.7109375" customWidth="1"/>
    <col min="21" max="21" width="10.7109375" customWidth="1"/>
    <col min="22" max="22" width="1.7109375" customWidth="1"/>
    <col min="23" max="23" width="59.7109375" customWidth="1"/>
  </cols>
  <sheetData>
    <row r="1" spans="1:23" s="1109" customFormat="1" ht="24.75" customHeight="1">
      <c r="A1" s="1849" t="s">
        <v>500</v>
      </c>
      <c r="B1" s="1849"/>
      <c r="C1" s="1849"/>
      <c r="D1" s="1849"/>
      <c r="E1" s="1849"/>
      <c r="F1" s="1849"/>
      <c r="G1" s="1849"/>
      <c r="H1" s="1849"/>
      <c r="I1" s="1849"/>
      <c r="J1" s="1849"/>
      <c r="K1" s="1849"/>
      <c r="L1" s="1849"/>
      <c r="M1" s="1849"/>
      <c r="N1" s="1849"/>
      <c r="O1" s="1849"/>
      <c r="P1" s="1849"/>
      <c r="Q1" s="1849"/>
      <c r="R1" s="1849"/>
      <c r="S1" s="1849"/>
      <c r="T1" s="1849"/>
      <c r="U1" s="1849"/>
      <c r="V1" s="1849"/>
      <c r="W1" s="1849"/>
    </row>
    <row r="2" spans="1:23" s="1109" customFormat="1" ht="12" customHeight="1">
      <c r="B2" s="1109" t="s">
        <v>501</v>
      </c>
      <c r="C2" s="1110"/>
      <c r="I2" s="1110"/>
      <c r="M2" s="1110"/>
      <c r="N2" s="1111"/>
      <c r="P2" s="1111"/>
      <c r="T2" s="1110"/>
      <c r="V2" s="1112"/>
      <c r="W2" s="1113"/>
    </row>
    <row r="3" spans="1:23" s="1109" customFormat="1" ht="25.5" customHeight="1">
      <c r="A3" s="1850" t="s">
        <v>502</v>
      </c>
      <c r="B3" s="1850" t="s">
        <v>503</v>
      </c>
      <c r="C3" s="1114"/>
      <c r="D3" s="1850" t="s">
        <v>504</v>
      </c>
      <c r="E3" s="1850"/>
      <c r="F3" s="1850"/>
      <c r="G3" s="1850"/>
      <c r="H3" s="1850"/>
      <c r="I3" s="1115"/>
      <c r="J3" s="1850" t="s">
        <v>505</v>
      </c>
      <c r="K3" s="1850"/>
      <c r="L3" s="1850"/>
      <c r="M3" s="1115"/>
      <c r="N3" s="1850" t="s">
        <v>506</v>
      </c>
      <c r="O3" s="1850"/>
      <c r="P3" s="1850"/>
      <c r="Q3" s="1115"/>
      <c r="R3" s="1851" t="s">
        <v>507</v>
      </c>
      <c r="S3" s="1852"/>
      <c r="T3" s="1115"/>
      <c r="U3" s="1116" t="s">
        <v>508</v>
      </c>
      <c r="V3" s="1115"/>
      <c r="W3" s="1850" t="s">
        <v>509</v>
      </c>
    </row>
    <row r="4" spans="1:23" s="1109" customFormat="1" ht="51.75" customHeight="1">
      <c r="A4" s="1850"/>
      <c r="B4" s="1850"/>
      <c r="C4" s="1114"/>
      <c r="D4" s="1117" t="s">
        <v>510</v>
      </c>
      <c r="E4" s="1117" t="s">
        <v>511</v>
      </c>
      <c r="F4" s="1117" t="s">
        <v>512</v>
      </c>
      <c r="G4" s="1117" t="s">
        <v>513</v>
      </c>
      <c r="H4" s="1117" t="s">
        <v>514</v>
      </c>
      <c r="I4" s="1118"/>
      <c r="J4" s="1117" t="s">
        <v>515</v>
      </c>
      <c r="K4" s="1117" t="s">
        <v>516</v>
      </c>
      <c r="L4" s="1117" t="s">
        <v>517</v>
      </c>
      <c r="M4" s="1118"/>
      <c r="N4" s="1119" t="s">
        <v>172</v>
      </c>
      <c r="O4" s="1117" t="s">
        <v>515</v>
      </c>
      <c r="P4" s="1119" t="s">
        <v>518</v>
      </c>
      <c r="Q4" s="1118"/>
      <c r="R4" s="1117" t="s">
        <v>519</v>
      </c>
      <c r="S4" s="1117" t="s">
        <v>520</v>
      </c>
      <c r="T4" s="1118"/>
      <c r="U4" s="1120" t="s">
        <v>518</v>
      </c>
      <c r="V4" s="1118"/>
      <c r="W4" s="1850"/>
    </row>
    <row r="5" spans="1:23" s="1109" customFormat="1" ht="60" customHeight="1">
      <c r="A5" s="1121">
        <v>1</v>
      </c>
      <c r="B5" s="1122" t="s">
        <v>521</v>
      </c>
      <c r="C5" s="1114"/>
      <c r="D5" s="1123"/>
      <c r="E5" s="1124"/>
      <c r="F5" s="1124"/>
      <c r="G5" s="1123"/>
      <c r="H5" s="1123"/>
      <c r="I5" s="1114"/>
      <c r="J5" s="1121"/>
      <c r="K5" s="1125"/>
      <c r="L5" s="1126">
        <f>+J5*K5</f>
        <v>0</v>
      </c>
      <c r="M5" s="1114"/>
      <c r="N5" s="1127">
        <v>250</v>
      </c>
      <c r="O5" s="1128">
        <v>0</v>
      </c>
      <c r="P5" s="1129">
        <f>+N5*O5</f>
        <v>0</v>
      </c>
      <c r="Q5" s="1130"/>
      <c r="R5" s="1131"/>
      <c r="S5" s="1131"/>
      <c r="T5" s="1114"/>
      <c r="U5" s="1121"/>
      <c r="V5" s="1114"/>
      <c r="W5" s="1132"/>
    </row>
    <row r="6" spans="1:23" s="1135" customFormat="1" ht="60" customHeight="1">
      <c r="A6" s="1124">
        <v>2</v>
      </c>
      <c r="B6" s="1122" t="s">
        <v>522</v>
      </c>
      <c r="C6" s="1114"/>
      <c r="D6" s="1124"/>
      <c r="E6" s="1124"/>
      <c r="F6" s="1123"/>
      <c r="G6" s="1123"/>
      <c r="H6" s="1124"/>
      <c r="I6" s="1114"/>
      <c r="J6" s="1121"/>
      <c r="K6" s="1125"/>
      <c r="L6" s="1126">
        <f>+J6*K6</f>
        <v>0</v>
      </c>
      <c r="M6" s="1114"/>
      <c r="N6" s="1127">
        <v>592</v>
      </c>
      <c r="O6" s="1128">
        <v>0.4</v>
      </c>
      <c r="P6" s="1133"/>
      <c r="Q6" s="1134"/>
      <c r="R6" s="1128"/>
      <c r="S6" s="1128"/>
      <c r="T6" s="1114"/>
      <c r="U6" s="1124"/>
      <c r="V6" s="1114"/>
      <c r="W6" s="1122"/>
    </row>
    <row r="7" spans="1:23" s="1135" customFormat="1" ht="60" customHeight="1">
      <c r="A7" s="1124">
        <v>3</v>
      </c>
      <c r="B7" s="1122" t="s">
        <v>523</v>
      </c>
      <c r="C7" s="1114"/>
      <c r="D7" s="1124"/>
      <c r="E7" s="1124"/>
      <c r="F7" s="1123"/>
      <c r="G7" s="1123"/>
      <c r="H7" s="1124"/>
      <c r="I7" s="1114"/>
      <c r="J7" s="1121"/>
      <c r="K7" s="1125"/>
      <c r="L7" s="1126"/>
      <c r="M7" s="1114"/>
      <c r="N7" s="1127">
        <v>120</v>
      </c>
      <c r="O7" s="1128">
        <v>0.7</v>
      </c>
      <c r="P7" s="1129">
        <f t="shared" ref="P7:P9" si="0">+N7*O7</f>
        <v>84</v>
      </c>
      <c r="Q7" s="1134"/>
      <c r="R7" s="1128"/>
      <c r="S7" s="1128"/>
      <c r="T7" s="1114"/>
      <c r="U7" s="1124"/>
      <c r="V7" s="1114"/>
      <c r="W7" s="1136"/>
    </row>
    <row r="8" spans="1:23" s="1135" customFormat="1" ht="60" customHeight="1">
      <c r="A8" s="1124">
        <v>4</v>
      </c>
      <c r="B8" s="1122" t="s">
        <v>524</v>
      </c>
      <c r="C8" s="1114"/>
      <c r="D8" s="1124"/>
      <c r="E8" s="1124"/>
      <c r="F8" s="1123"/>
      <c r="G8" s="1123"/>
      <c r="H8" s="1124"/>
      <c r="I8" s="1114"/>
      <c r="J8" s="1121"/>
      <c r="K8" s="1125"/>
      <c r="L8" s="1126"/>
      <c r="M8" s="1114"/>
      <c r="N8" s="1127">
        <v>500</v>
      </c>
      <c r="O8" s="1128">
        <v>0.5</v>
      </c>
      <c r="P8" s="1133"/>
      <c r="Q8" s="1134"/>
      <c r="R8" s="1128"/>
      <c r="S8" s="1128"/>
      <c r="T8" s="1114"/>
      <c r="U8" s="1124"/>
      <c r="V8" s="1114"/>
      <c r="W8" s="1136"/>
    </row>
    <row r="9" spans="1:23" s="1135" customFormat="1" ht="60" customHeight="1">
      <c r="A9" s="1124">
        <v>5</v>
      </c>
      <c r="B9" s="1122" t="s">
        <v>525</v>
      </c>
      <c r="C9" s="1114"/>
      <c r="D9" s="1124"/>
      <c r="E9" s="1124"/>
      <c r="F9" s="1123"/>
      <c r="G9" s="1123"/>
      <c r="H9" s="1124"/>
      <c r="I9" s="1114"/>
      <c r="J9" s="1121"/>
      <c r="K9" s="1125"/>
      <c r="L9" s="1126"/>
      <c r="M9" s="1114"/>
      <c r="N9" s="1127">
        <v>1200</v>
      </c>
      <c r="O9" s="1128">
        <v>1</v>
      </c>
      <c r="P9" s="1129">
        <f t="shared" si="0"/>
        <v>1200</v>
      </c>
      <c r="Q9" s="1134"/>
      <c r="R9" s="1128"/>
      <c r="S9" s="1128"/>
      <c r="T9" s="1114"/>
      <c r="U9" s="1124"/>
      <c r="V9" s="1114"/>
      <c r="W9" s="1122" t="s">
        <v>526</v>
      </c>
    </row>
    <row r="10" spans="1:23" s="1135" customFormat="1" ht="60" customHeight="1">
      <c r="A10" s="1124">
        <v>6</v>
      </c>
      <c r="B10" s="1122" t="s">
        <v>527</v>
      </c>
      <c r="C10" s="1114"/>
      <c r="D10" s="1124"/>
      <c r="E10" s="1124"/>
      <c r="F10" s="1123"/>
      <c r="G10" s="1123"/>
      <c r="H10" s="1124"/>
      <c r="I10" s="1114"/>
      <c r="J10" s="1121"/>
      <c r="K10" s="1125"/>
      <c r="L10" s="1126"/>
      <c r="M10" s="1114"/>
      <c r="N10" s="1127">
        <v>880</v>
      </c>
      <c r="O10" s="1128">
        <v>0.4</v>
      </c>
      <c r="P10" s="1133"/>
      <c r="Q10" s="1134"/>
      <c r="R10" s="1128"/>
      <c r="S10" s="1128"/>
      <c r="T10" s="1114"/>
      <c r="U10" s="1124"/>
      <c r="V10" s="1114"/>
      <c r="W10" s="1122"/>
    </row>
    <row r="11" spans="1:23" s="1135" customFormat="1" ht="60" customHeight="1">
      <c r="A11" s="1124">
        <v>7</v>
      </c>
      <c r="B11" s="1122" t="s">
        <v>528</v>
      </c>
      <c r="C11" s="1114"/>
      <c r="D11" s="1124"/>
      <c r="E11" s="1124"/>
      <c r="F11" s="1123"/>
      <c r="G11" s="1123"/>
      <c r="H11" s="1124"/>
      <c r="I11" s="1114"/>
      <c r="J11" s="1121"/>
      <c r="K11" s="1125"/>
      <c r="L11" s="1126"/>
      <c r="M11" s="1114"/>
      <c r="N11" s="1127" t="s">
        <v>529</v>
      </c>
      <c r="O11" s="1128"/>
      <c r="P11" s="1129"/>
      <c r="Q11" s="1134"/>
      <c r="R11" s="1128"/>
      <c r="S11" s="1128"/>
      <c r="T11" s="1114"/>
      <c r="U11" s="1124"/>
      <c r="V11" s="1114"/>
      <c r="W11" s="1122" t="s">
        <v>530</v>
      </c>
    </row>
    <row r="12" spans="1:23" s="1135" customFormat="1" ht="60" customHeight="1">
      <c r="A12" s="1124">
        <v>8</v>
      </c>
      <c r="B12" s="1122" t="s">
        <v>531</v>
      </c>
      <c r="C12" s="1114"/>
      <c r="D12" s="1124"/>
      <c r="E12" s="1124"/>
      <c r="F12" s="1123"/>
      <c r="G12" s="1123"/>
      <c r="H12" s="1124"/>
      <c r="I12" s="1114"/>
      <c r="J12" s="1121"/>
      <c r="K12" s="1125"/>
      <c r="L12" s="1126"/>
      <c r="M12" s="1114"/>
      <c r="N12" s="1127">
        <v>400</v>
      </c>
      <c r="O12" s="1128">
        <v>1</v>
      </c>
      <c r="P12" s="1129">
        <f t="shared" ref="P12:P14" si="1">+N12*O12</f>
        <v>400</v>
      </c>
      <c r="Q12" s="1134"/>
      <c r="R12" s="1128"/>
      <c r="S12" s="1128"/>
      <c r="T12" s="1114"/>
      <c r="U12" s="1124"/>
      <c r="V12" s="1114"/>
      <c r="W12" s="1136"/>
    </row>
    <row r="13" spans="1:23" s="1135" customFormat="1" ht="60" customHeight="1">
      <c r="A13" s="1124">
        <v>9</v>
      </c>
      <c r="B13" s="1122" t="s">
        <v>532</v>
      </c>
      <c r="C13" s="1114"/>
      <c r="D13" s="1124"/>
      <c r="E13" s="1124"/>
      <c r="F13" s="1123"/>
      <c r="G13" s="1123"/>
      <c r="H13" s="1124"/>
      <c r="I13" s="1114"/>
      <c r="J13" s="1121"/>
      <c r="K13" s="1125"/>
      <c r="L13" s="1126"/>
      <c r="M13" s="1114"/>
      <c r="N13" s="1127">
        <v>100</v>
      </c>
      <c r="O13" s="1128">
        <v>0</v>
      </c>
      <c r="P13" s="1129">
        <f t="shared" si="1"/>
        <v>0</v>
      </c>
      <c r="Q13" s="1134"/>
      <c r="R13" s="1128"/>
      <c r="S13" s="1128"/>
      <c r="T13" s="1114"/>
      <c r="U13" s="1124"/>
      <c r="V13" s="1114"/>
      <c r="W13" s="1136"/>
    </row>
    <row r="14" spans="1:23" s="1135" customFormat="1" ht="60" customHeight="1">
      <c r="A14" s="1124">
        <v>10</v>
      </c>
      <c r="B14" s="1122" t="s">
        <v>533</v>
      </c>
      <c r="C14" s="1114"/>
      <c r="D14" s="1124"/>
      <c r="E14" s="1124"/>
      <c r="F14" s="1123"/>
      <c r="G14" s="1123"/>
      <c r="H14" s="1124"/>
      <c r="I14" s="1114"/>
      <c r="J14" s="1121"/>
      <c r="K14" s="1125"/>
      <c r="L14" s="1126"/>
      <c r="M14" s="1114"/>
      <c r="N14" s="1127">
        <v>600</v>
      </c>
      <c r="O14" s="1128">
        <v>0.5</v>
      </c>
      <c r="P14" s="1129">
        <f t="shared" si="1"/>
        <v>300</v>
      </c>
      <c r="Q14" s="1134"/>
      <c r="R14" s="1128"/>
      <c r="S14" s="1128"/>
      <c r="T14" s="1114"/>
      <c r="U14" s="1124"/>
      <c r="V14" s="1114"/>
      <c r="W14" s="1136"/>
    </row>
    <row r="15" spans="1:23" s="1109" customFormat="1" ht="60" customHeight="1">
      <c r="A15" s="1121"/>
      <c r="B15" s="1137" t="s">
        <v>49</v>
      </c>
      <c r="C15" s="1114"/>
      <c r="D15" s="1121"/>
      <c r="E15" s="1121"/>
      <c r="F15" s="1121"/>
      <c r="G15" s="1121"/>
      <c r="H15" s="1121"/>
      <c r="I15" s="1114"/>
      <c r="J15" s="1121"/>
      <c r="K15" s="1125"/>
      <c r="L15" s="1138"/>
      <c r="M15" s="1114"/>
      <c r="N15" s="1139"/>
      <c r="O15" s="1131"/>
      <c r="P15" s="1139">
        <f>SUM(P5:P14)</f>
        <v>1984</v>
      </c>
      <c r="Q15" s="1130"/>
      <c r="R15" s="1131"/>
      <c r="S15" s="1131"/>
      <c r="T15" s="1114"/>
      <c r="U15" s="1121"/>
      <c r="V15" s="1114"/>
      <c r="W15" s="1140"/>
    </row>
    <row r="16" spans="1:23" s="1109" customFormat="1" ht="6.75" customHeight="1">
      <c r="C16" s="1110"/>
      <c r="I16" s="1110"/>
      <c r="M16" s="1110"/>
      <c r="N16" s="1111"/>
      <c r="P16" s="1111"/>
      <c r="T16" s="1110"/>
      <c r="V16" s="1110"/>
      <c r="W16" s="1113"/>
    </row>
    <row r="17" spans="1:23" s="1109" customFormat="1" ht="12.75">
      <c r="A17" s="1141" t="s">
        <v>534</v>
      </c>
      <c r="B17" s="1142"/>
      <c r="C17" s="1143"/>
      <c r="D17" s="1142"/>
      <c r="E17" s="1142"/>
      <c r="F17" s="1142"/>
      <c r="G17" s="1142"/>
      <c r="H17" s="1144"/>
      <c r="I17" s="1110"/>
      <c r="M17" s="1110"/>
      <c r="N17" s="1111"/>
      <c r="P17" s="1111"/>
      <c r="T17" s="1110"/>
      <c r="V17" s="1110"/>
      <c r="W17" s="1113"/>
    </row>
    <row r="18" spans="1:23" s="1109" customFormat="1" ht="14.25" customHeight="1">
      <c r="A18" s="1843" t="s">
        <v>535</v>
      </c>
      <c r="B18" s="1844"/>
      <c r="C18" s="1844"/>
      <c r="D18" s="1844"/>
      <c r="E18" s="1844"/>
      <c r="F18" s="1844"/>
      <c r="G18" s="1844"/>
      <c r="H18" s="1845"/>
      <c r="I18" s="1145"/>
      <c r="J18" s="1145"/>
      <c r="K18" s="1145"/>
      <c r="L18" s="1145"/>
      <c r="M18" s="1145"/>
      <c r="N18" s="1146"/>
      <c r="O18" s="1145"/>
      <c r="P18" s="1146"/>
      <c r="Q18" s="1145"/>
      <c r="R18" s="1145"/>
      <c r="S18" s="1145"/>
      <c r="T18" s="1145"/>
      <c r="U18" s="1145"/>
      <c r="V18" s="1145"/>
      <c r="W18" s="1145"/>
    </row>
    <row r="19" spans="1:23" s="1109" customFormat="1" ht="12.75">
      <c r="A19" s="1843"/>
      <c r="B19" s="1844"/>
      <c r="C19" s="1844"/>
      <c r="D19" s="1844"/>
      <c r="E19" s="1844"/>
      <c r="F19" s="1844"/>
      <c r="G19" s="1844"/>
      <c r="H19" s="1845"/>
      <c r="I19" s="1145"/>
      <c r="J19" s="1145"/>
      <c r="K19" s="1145"/>
      <c r="L19" s="1145"/>
      <c r="M19" s="1145"/>
      <c r="N19" s="1146"/>
      <c r="O19" s="1145"/>
      <c r="P19" s="1146"/>
      <c r="Q19" s="1145"/>
      <c r="R19" s="1145"/>
      <c r="S19" s="1145"/>
      <c r="T19" s="1145"/>
      <c r="U19" s="1145"/>
      <c r="V19" s="1145"/>
      <c r="W19" s="1145"/>
    </row>
    <row r="20" spans="1:23" s="1109" customFormat="1" ht="12.75">
      <c r="A20" s="1846"/>
      <c r="B20" s="1847"/>
      <c r="C20" s="1847"/>
      <c r="D20" s="1847"/>
      <c r="E20" s="1847"/>
      <c r="F20" s="1847"/>
      <c r="G20" s="1847"/>
      <c r="H20" s="1848"/>
      <c r="I20" s="1110"/>
      <c r="M20" s="1110"/>
      <c r="N20" s="1111"/>
      <c r="P20" s="1111"/>
      <c r="T20" s="1110"/>
      <c r="V20" s="1110"/>
      <c r="W20" s="1113"/>
    </row>
  </sheetData>
  <mergeCells count="9">
    <mergeCell ref="A18:H20"/>
    <mergeCell ref="A1:W1"/>
    <mergeCell ref="A3:A4"/>
    <mergeCell ref="B3:B4"/>
    <mergeCell ref="D3:H3"/>
    <mergeCell ref="J3:L3"/>
    <mergeCell ref="N3:P3"/>
    <mergeCell ref="R3:S3"/>
    <mergeCell ref="W3:W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 enableFormatConditionsCalculation="0"/>
  <dimension ref="A1:X16"/>
  <sheetViews>
    <sheetView showGridLines="0" workbookViewId="0">
      <pane xSplit="2" ySplit="4" topLeftCell="C8" activePane="bottomRight" state="frozen"/>
      <selection pane="topRight" activeCell="C1" sqref="C1"/>
      <selection pane="bottomLeft" activeCell="A5" sqref="A5"/>
      <selection pane="bottomRight" activeCell="A15" sqref="A15"/>
    </sheetView>
  </sheetViews>
  <sheetFormatPr baseColWidth="10" defaultRowHeight="15"/>
  <cols>
    <col min="1" max="1" width="5.42578125" customWidth="1"/>
    <col min="2" max="2" width="51.42578125" customWidth="1"/>
    <col min="3" max="3" width="1.7109375" customWidth="1"/>
    <col min="4" max="7" width="4.28515625" customWidth="1"/>
    <col min="8" max="8" width="1.7109375" customWidth="1"/>
    <col min="9" max="11" width="4.7109375" customWidth="1"/>
    <col min="12" max="12" width="1.7109375" customWidth="1"/>
    <col min="13" max="14" width="9.7109375" customWidth="1"/>
    <col min="15" max="15" width="1.7109375" customWidth="1"/>
    <col min="16" max="16" width="10.7109375" customWidth="1"/>
    <col min="17" max="17" width="1.7109375" customWidth="1"/>
    <col min="18" max="18" width="55.28515625" customWidth="1"/>
  </cols>
  <sheetData>
    <row r="1" spans="1:24" s="1109" customFormat="1" ht="24.75" customHeight="1">
      <c r="A1" s="1849" t="s">
        <v>536</v>
      </c>
      <c r="B1" s="1849"/>
      <c r="C1" s="1849"/>
      <c r="D1" s="1849"/>
      <c r="E1" s="1849"/>
      <c r="F1" s="1849"/>
      <c r="G1" s="1849"/>
      <c r="H1" s="1849"/>
      <c r="I1" s="1849"/>
      <c r="J1" s="1849"/>
      <c r="K1" s="1849"/>
      <c r="L1" s="1849"/>
      <c r="M1" s="1849"/>
      <c r="N1" s="1849"/>
      <c r="O1" s="1849"/>
      <c r="P1" s="1849"/>
      <c r="Q1" s="1849"/>
      <c r="R1" s="1849"/>
      <c r="S1" s="1147"/>
      <c r="T1" s="1147"/>
      <c r="U1" s="1147"/>
      <c r="V1" s="1147"/>
      <c r="W1" s="1147"/>
      <c r="X1" s="1147"/>
    </row>
    <row r="2" spans="1:24" s="1109" customFormat="1" ht="12" customHeight="1">
      <c r="B2" s="1109" t="s">
        <v>501</v>
      </c>
      <c r="C2" s="1110"/>
      <c r="H2" s="1110"/>
      <c r="L2" s="1110"/>
      <c r="O2" s="1110"/>
      <c r="Q2" s="1112"/>
      <c r="R2" s="1113"/>
      <c r="S2" s="1147"/>
      <c r="T2" s="1147"/>
      <c r="U2" s="1147"/>
      <c r="V2" s="1147"/>
      <c r="W2" s="1147"/>
      <c r="X2" s="1147"/>
    </row>
    <row r="3" spans="1:24" s="1109" customFormat="1" ht="25.5" customHeight="1">
      <c r="A3" s="1850" t="s">
        <v>502</v>
      </c>
      <c r="B3" s="1850" t="s">
        <v>537</v>
      </c>
      <c r="C3" s="1114"/>
      <c r="D3" s="1850" t="s">
        <v>538</v>
      </c>
      <c r="E3" s="1850"/>
      <c r="F3" s="1850"/>
      <c r="G3" s="1850"/>
      <c r="H3" s="1115"/>
      <c r="I3" s="1850" t="s">
        <v>539</v>
      </c>
      <c r="J3" s="1850"/>
      <c r="K3" s="1850"/>
      <c r="L3" s="1115"/>
      <c r="M3" s="1853" t="s">
        <v>506</v>
      </c>
      <c r="N3" s="1853"/>
      <c r="O3" s="1115"/>
      <c r="P3" s="1148" t="s">
        <v>540</v>
      </c>
      <c r="Q3" s="1115"/>
      <c r="R3" s="1850" t="s">
        <v>509</v>
      </c>
      <c r="S3" s="1147"/>
      <c r="T3" s="1147"/>
      <c r="U3" s="1147"/>
      <c r="V3" s="1147"/>
      <c r="W3" s="1147"/>
      <c r="X3" s="1147"/>
    </row>
    <row r="4" spans="1:24" s="1109" customFormat="1" ht="51.75" customHeight="1">
      <c r="A4" s="1850"/>
      <c r="B4" s="1850"/>
      <c r="C4" s="1114"/>
      <c r="D4" s="1117" t="s">
        <v>510</v>
      </c>
      <c r="E4" s="1117" t="s">
        <v>511</v>
      </c>
      <c r="F4" s="1117" t="s">
        <v>541</v>
      </c>
      <c r="G4" s="1117" t="s">
        <v>514</v>
      </c>
      <c r="H4" s="1118"/>
      <c r="I4" s="1117" t="s">
        <v>515</v>
      </c>
      <c r="J4" s="1117" t="s">
        <v>542</v>
      </c>
      <c r="K4" s="1117" t="s">
        <v>543</v>
      </c>
      <c r="L4" s="1118"/>
      <c r="M4" s="1117" t="s">
        <v>172</v>
      </c>
      <c r="N4" s="1117" t="s">
        <v>515</v>
      </c>
      <c r="O4" s="1118"/>
      <c r="P4" s="1120" t="s">
        <v>518</v>
      </c>
      <c r="Q4" s="1118"/>
      <c r="R4" s="1850"/>
      <c r="S4" s="1147"/>
      <c r="T4" s="1147"/>
      <c r="U4" s="1147"/>
      <c r="V4" s="1147"/>
      <c r="W4" s="1147"/>
      <c r="X4" s="1147"/>
    </row>
    <row r="5" spans="1:24" s="1160" customFormat="1" ht="58.5" customHeight="1">
      <c r="A5" s="1149">
        <v>1</v>
      </c>
      <c r="B5" s="1150" t="s">
        <v>544</v>
      </c>
      <c r="C5" s="1151"/>
      <c r="D5" s="1152"/>
      <c r="E5" s="1152"/>
      <c r="F5" s="1149"/>
      <c r="G5" s="1152"/>
      <c r="H5" s="1151"/>
      <c r="I5" s="1149"/>
      <c r="J5" s="1153"/>
      <c r="K5" s="1154"/>
      <c r="L5" s="1151"/>
      <c r="M5" s="1155">
        <v>1550</v>
      </c>
      <c r="N5" s="1156">
        <v>0.6</v>
      </c>
      <c r="O5" s="1157"/>
      <c r="P5" s="1158">
        <f>+M5*N5</f>
        <v>930</v>
      </c>
      <c r="Q5" s="1151"/>
      <c r="R5" s="1150" t="s">
        <v>545</v>
      </c>
      <c r="S5" s="1159"/>
      <c r="T5" s="1159"/>
      <c r="U5" s="1159"/>
      <c r="V5" s="1159"/>
      <c r="W5" s="1159"/>
      <c r="X5" s="1159"/>
    </row>
    <row r="6" spans="1:24" s="1160" customFormat="1" ht="58.5" customHeight="1">
      <c r="A6" s="1149">
        <v>2</v>
      </c>
      <c r="B6" s="1150" t="s">
        <v>546</v>
      </c>
      <c r="C6" s="1151"/>
      <c r="D6" s="1152"/>
      <c r="E6" s="1149"/>
      <c r="F6" s="1149"/>
      <c r="G6" s="1152"/>
      <c r="H6" s="1151"/>
      <c r="I6" s="1149"/>
      <c r="J6" s="1153"/>
      <c r="K6" s="1154"/>
      <c r="L6" s="1151"/>
      <c r="M6" s="1155">
        <v>280</v>
      </c>
      <c r="N6" s="1156">
        <v>1</v>
      </c>
      <c r="O6" s="1151"/>
      <c r="P6" s="1155">
        <f>+M6*N6</f>
        <v>280</v>
      </c>
      <c r="Q6" s="1151"/>
      <c r="R6" s="1150"/>
      <c r="S6" s="1159"/>
      <c r="T6" s="1159"/>
      <c r="U6" s="1159"/>
      <c r="V6" s="1159"/>
      <c r="W6" s="1159"/>
      <c r="X6" s="1159"/>
    </row>
    <row r="7" spans="1:24" s="1160" customFormat="1" ht="58.5" customHeight="1">
      <c r="A7" s="1149">
        <v>3</v>
      </c>
      <c r="B7" s="1150" t="s">
        <v>547</v>
      </c>
      <c r="C7" s="1151"/>
      <c r="D7" s="1152"/>
      <c r="E7" s="1149"/>
      <c r="F7" s="1149"/>
      <c r="G7" s="1152"/>
      <c r="H7" s="1151"/>
      <c r="I7" s="1149"/>
      <c r="J7" s="1153"/>
      <c r="K7" s="1154"/>
      <c r="L7" s="1151"/>
      <c r="M7" s="1155">
        <v>700</v>
      </c>
      <c r="N7" s="1156">
        <v>0.35</v>
      </c>
      <c r="O7" s="1151"/>
      <c r="P7" s="1158"/>
      <c r="Q7" s="1151"/>
      <c r="R7" s="1150" t="s">
        <v>548</v>
      </c>
      <c r="S7" s="1159"/>
      <c r="T7" s="1159"/>
      <c r="U7" s="1159"/>
      <c r="V7" s="1159"/>
      <c r="W7" s="1159"/>
      <c r="X7" s="1159"/>
    </row>
    <row r="8" spans="1:24" s="1166" customFormat="1" ht="58.5" customHeight="1">
      <c r="A8" s="1161">
        <v>4</v>
      </c>
      <c r="B8" s="1162" t="s">
        <v>549</v>
      </c>
      <c r="C8" s="1151"/>
      <c r="D8" s="1161"/>
      <c r="E8" s="1161"/>
      <c r="F8" s="1161"/>
      <c r="G8" s="1161"/>
      <c r="H8" s="1163"/>
      <c r="I8" s="1149"/>
      <c r="J8" s="1153"/>
      <c r="K8" s="1154"/>
      <c r="L8" s="1151"/>
      <c r="M8" s="1155">
        <v>195</v>
      </c>
      <c r="N8" s="1164">
        <v>0.9</v>
      </c>
      <c r="O8" s="1151"/>
      <c r="P8" s="1158">
        <f>+M8*N8</f>
        <v>175.5</v>
      </c>
      <c r="Q8" s="1151"/>
      <c r="R8" s="1150"/>
      <c r="S8" s="1165"/>
      <c r="T8" s="1165"/>
      <c r="U8" s="1165"/>
      <c r="V8" s="1165"/>
      <c r="W8" s="1165"/>
      <c r="X8" s="1165"/>
    </row>
    <row r="9" spans="1:24" s="1166" customFormat="1" ht="58.5" customHeight="1">
      <c r="A9" s="1149">
        <v>5</v>
      </c>
      <c r="B9" s="1122"/>
      <c r="C9" s="1151"/>
      <c r="D9" s="1161"/>
      <c r="E9" s="1161"/>
      <c r="F9" s="1167"/>
      <c r="G9" s="1161"/>
      <c r="H9" s="1163"/>
      <c r="I9" s="1149"/>
      <c r="J9" s="1153"/>
      <c r="K9" s="1154"/>
      <c r="L9" s="1151"/>
      <c r="M9" s="1155"/>
      <c r="N9" s="1164"/>
      <c r="O9" s="1151"/>
      <c r="P9" s="1158"/>
      <c r="Q9" s="1151"/>
      <c r="R9" s="1168"/>
      <c r="S9" s="1165"/>
      <c r="T9" s="1165"/>
      <c r="U9" s="1165"/>
      <c r="V9" s="1165"/>
      <c r="W9" s="1165"/>
      <c r="X9" s="1165"/>
    </row>
    <row r="10" spans="1:24" s="1166" customFormat="1" ht="58.5" customHeight="1">
      <c r="A10" s="1149">
        <v>5</v>
      </c>
      <c r="B10" s="1122"/>
      <c r="C10" s="1151"/>
      <c r="D10" s="1161"/>
      <c r="E10" s="1161"/>
      <c r="F10" s="1167"/>
      <c r="G10" s="1161"/>
      <c r="H10" s="1163"/>
      <c r="I10" s="1149"/>
      <c r="J10" s="1153"/>
      <c r="K10" s="1154"/>
      <c r="L10" s="1151"/>
      <c r="M10" s="1155"/>
      <c r="N10" s="1164"/>
      <c r="O10" s="1151"/>
      <c r="P10" s="1155"/>
      <c r="Q10" s="1151"/>
      <c r="R10" s="1168"/>
      <c r="S10" s="1165"/>
      <c r="T10" s="1165"/>
      <c r="U10" s="1165"/>
      <c r="V10" s="1165"/>
      <c r="W10" s="1165"/>
      <c r="X10" s="1165"/>
    </row>
    <row r="11" spans="1:24" s="1166" customFormat="1" ht="58.5" customHeight="1">
      <c r="A11" s="1149">
        <v>7</v>
      </c>
      <c r="B11" s="1122" t="s">
        <v>550</v>
      </c>
      <c r="C11" s="1151"/>
      <c r="D11" s="1161"/>
      <c r="E11" s="1161"/>
      <c r="F11" s="1167"/>
      <c r="G11" s="1161"/>
      <c r="H11" s="1163"/>
      <c r="I11" s="1149"/>
      <c r="J11" s="1153"/>
      <c r="K11" s="1154">
        <f t="shared" ref="K11:K14" si="0">+I11*J11</f>
        <v>0</v>
      </c>
      <c r="L11" s="1151"/>
      <c r="M11" s="1155">
        <v>518</v>
      </c>
      <c r="N11" s="1164">
        <v>1</v>
      </c>
      <c r="O11" s="1151"/>
      <c r="P11" s="1155">
        <f t="shared" ref="P11:P14" si="1">+N11*M11</f>
        <v>518</v>
      </c>
      <c r="Q11" s="1151"/>
      <c r="R11" s="1168"/>
      <c r="S11" s="1165"/>
      <c r="T11" s="1165"/>
      <c r="U11" s="1165"/>
      <c r="V11" s="1165"/>
      <c r="W11" s="1165"/>
      <c r="X11" s="1165"/>
    </row>
    <row r="12" spans="1:24" s="1166" customFormat="1" ht="58.5" customHeight="1">
      <c r="A12" s="1149">
        <v>8</v>
      </c>
      <c r="B12" s="1122" t="s">
        <v>551</v>
      </c>
      <c r="C12" s="1151"/>
      <c r="D12" s="1161"/>
      <c r="E12" s="1161"/>
      <c r="F12" s="1167"/>
      <c r="G12" s="1161"/>
      <c r="H12" s="1163"/>
      <c r="I12" s="1149"/>
      <c r="J12" s="1153"/>
      <c r="K12" s="1154">
        <f t="shared" si="0"/>
        <v>0</v>
      </c>
      <c r="L12" s="1151"/>
      <c r="M12" s="1155">
        <v>3950</v>
      </c>
      <c r="N12" s="1164">
        <v>0.85</v>
      </c>
      <c r="O12" s="1151"/>
      <c r="P12" s="1155">
        <f t="shared" si="1"/>
        <v>3357.5</v>
      </c>
      <c r="Q12" s="1151"/>
      <c r="R12" s="1169" t="s">
        <v>552</v>
      </c>
      <c r="S12" s="1165"/>
      <c r="T12" s="1165"/>
      <c r="U12" s="1165"/>
      <c r="V12" s="1165"/>
      <c r="W12" s="1165"/>
      <c r="X12" s="1165"/>
    </row>
    <row r="13" spans="1:24" s="1166" customFormat="1" ht="58.5" customHeight="1">
      <c r="A13" s="1149">
        <v>9</v>
      </c>
      <c r="B13" s="1122" t="s">
        <v>553</v>
      </c>
      <c r="C13" s="1151"/>
      <c r="D13" s="1161"/>
      <c r="E13" s="1161"/>
      <c r="F13" s="1167"/>
      <c r="G13" s="1161"/>
      <c r="H13" s="1163"/>
      <c r="I13" s="1149"/>
      <c r="J13" s="1153"/>
      <c r="K13" s="1154">
        <f t="shared" si="0"/>
        <v>0</v>
      </c>
      <c r="L13" s="1151"/>
      <c r="M13" s="1155"/>
      <c r="N13" s="1164"/>
      <c r="O13" s="1151"/>
      <c r="P13" s="1155">
        <f t="shared" si="1"/>
        <v>0</v>
      </c>
      <c r="Q13" s="1151"/>
      <c r="R13" s="1169" t="s">
        <v>554</v>
      </c>
      <c r="S13" s="1165"/>
      <c r="T13" s="1165"/>
      <c r="U13" s="1165"/>
      <c r="V13" s="1165"/>
      <c r="W13" s="1165"/>
      <c r="X13" s="1165"/>
    </row>
    <row r="14" spans="1:24" s="1166" customFormat="1" ht="58.5" customHeight="1">
      <c r="A14" s="1149">
        <v>10</v>
      </c>
      <c r="B14" s="1122" t="s">
        <v>555</v>
      </c>
      <c r="C14" s="1151"/>
      <c r="D14" s="1161"/>
      <c r="E14" s="1161"/>
      <c r="F14" s="1167"/>
      <c r="G14" s="1161"/>
      <c r="H14" s="1163"/>
      <c r="I14" s="1149"/>
      <c r="J14" s="1153"/>
      <c r="K14" s="1154">
        <f t="shared" si="0"/>
        <v>0</v>
      </c>
      <c r="L14" s="1151"/>
      <c r="M14" s="1155">
        <v>300</v>
      </c>
      <c r="N14" s="1164">
        <v>0.6</v>
      </c>
      <c r="O14" s="1151"/>
      <c r="P14" s="1155">
        <f t="shared" si="1"/>
        <v>180</v>
      </c>
      <c r="Q14" s="1151"/>
      <c r="R14" s="1169" t="s">
        <v>554</v>
      </c>
      <c r="S14" s="1165"/>
      <c r="T14" s="1165"/>
      <c r="U14" s="1165"/>
      <c r="V14" s="1165"/>
      <c r="W14" s="1165"/>
      <c r="X14" s="1165"/>
    </row>
    <row r="15" spans="1:24" s="1160" customFormat="1" ht="63" customHeight="1">
      <c r="A15" s="1170"/>
      <c r="B15" s="1137" t="s">
        <v>49</v>
      </c>
      <c r="C15" s="1151"/>
      <c r="D15" s="1149"/>
      <c r="E15" s="1149"/>
      <c r="F15" s="1149"/>
      <c r="G15" s="1149"/>
      <c r="H15" s="1163"/>
      <c r="I15" s="1149"/>
      <c r="J15" s="1149"/>
      <c r="K15" s="1149"/>
      <c r="L15" s="1151"/>
      <c r="M15" s="1171"/>
      <c r="N15" s="1170"/>
      <c r="O15" s="1151"/>
      <c r="P15" s="1172">
        <f>SUM(P5:P14)</f>
        <v>5441</v>
      </c>
      <c r="Q15" s="1151"/>
      <c r="R15" s="1170"/>
      <c r="S15" s="1159"/>
      <c r="T15" s="1159"/>
      <c r="U15" s="1159"/>
      <c r="V15" s="1159"/>
      <c r="W15" s="1159"/>
      <c r="X15" s="1159"/>
    </row>
    <row r="16" spans="1:24" s="1147" customFormat="1" ht="12.75">
      <c r="C16" s="1173"/>
      <c r="H16" s="1173"/>
      <c r="L16" s="1173"/>
      <c r="O16" s="1173"/>
      <c r="P16" s="1174"/>
      <c r="Q16" s="1173"/>
      <c r="R16" s="1175"/>
    </row>
  </sheetData>
  <mergeCells count="7">
    <mergeCell ref="A1:R1"/>
    <mergeCell ref="A3:A4"/>
    <mergeCell ref="B3:B4"/>
    <mergeCell ref="D3:G3"/>
    <mergeCell ref="I3:K3"/>
    <mergeCell ref="M3:N3"/>
    <mergeCell ref="R3:R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 enableFormatConditionsCalculation="0"/>
  <dimension ref="A1:AA42"/>
  <sheetViews>
    <sheetView showGridLines="0" workbookViewId="0">
      <selection activeCell="Q7" sqref="Q7"/>
    </sheetView>
  </sheetViews>
  <sheetFormatPr baseColWidth="10" defaultRowHeight="15"/>
  <cols>
    <col min="1" max="1" width="6.140625" customWidth="1"/>
    <col min="2" max="2" width="4.28515625" customWidth="1"/>
    <col min="4" max="4" width="35.85546875" customWidth="1"/>
    <col min="5" max="5" width="18.7109375" customWidth="1"/>
    <col min="8" max="11" width="17" customWidth="1"/>
    <col min="12" max="12" width="22.7109375" customWidth="1"/>
    <col min="13" max="13" width="7.85546875" customWidth="1"/>
    <col min="14" max="14" width="4.7109375" customWidth="1"/>
  </cols>
  <sheetData>
    <row r="1" spans="1:27" s="1176" customFormat="1" ht="17.25" thickBot="1">
      <c r="E1" s="1177"/>
      <c r="H1" s="1178"/>
      <c r="J1" s="1178"/>
      <c r="K1" s="1178"/>
      <c r="L1" s="1179"/>
      <c r="M1" s="1180"/>
      <c r="O1" s="1181"/>
      <c r="P1" s="1181"/>
      <c r="Q1" s="1181"/>
      <c r="R1" s="1181"/>
      <c r="S1" s="1181"/>
      <c r="T1" s="1181"/>
      <c r="U1" s="1181"/>
      <c r="V1" s="1181"/>
      <c r="W1" s="1181"/>
      <c r="X1" s="1181"/>
      <c r="Y1" s="1181"/>
      <c r="Z1" s="1181"/>
      <c r="AA1" s="1181"/>
    </row>
    <row r="2" spans="1:27" s="1190" customFormat="1" ht="19.5" customHeight="1" thickTop="1">
      <c r="A2" s="1182"/>
      <c r="B2" s="1183"/>
      <c r="C2" s="1184"/>
      <c r="D2" s="1185"/>
      <c r="E2" s="1871"/>
      <c r="F2" s="1872"/>
      <c r="G2" s="1872"/>
      <c r="H2" s="1872"/>
      <c r="I2" s="1872"/>
      <c r="J2" s="1873"/>
      <c r="K2" s="1186"/>
      <c r="L2" s="1187"/>
      <c r="M2" s="1184"/>
      <c r="N2" s="1188"/>
      <c r="O2" s="1189"/>
      <c r="P2" s="1189"/>
      <c r="Q2" s="1189"/>
      <c r="R2" s="1189"/>
      <c r="S2" s="1189"/>
      <c r="T2" s="1189"/>
      <c r="U2" s="1189"/>
      <c r="V2" s="1189"/>
      <c r="W2" s="1189"/>
      <c r="X2" s="1189"/>
      <c r="Y2" s="1189"/>
      <c r="Z2" s="1189"/>
      <c r="AA2" s="1189"/>
    </row>
    <row r="3" spans="1:27" s="1190" customFormat="1" ht="22.5" customHeight="1">
      <c r="A3" s="1182"/>
      <c r="B3" s="1874" t="str">
        <f>SYNTHESE!D4</f>
        <v>POINT 50%</v>
      </c>
      <c r="C3" s="1875"/>
      <c r="D3" s="1876"/>
      <c r="E3" s="1858" t="s">
        <v>15</v>
      </c>
      <c r="F3" s="1859"/>
      <c r="G3" s="1859"/>
      <c r="H3" s="1859"/>
      <c r="I3" s="1859"/>
      <c r="J3" s="1860"/>
      <c r="K3" s="1191"/>
      <c r="L3" s="1192"/>
      <c r="M3" s="1193"/>
      <c r="N3" s="1194"/>
      <c r="O3" s="1189"/>
      <c r="P3" s="1189"/>
      <c r="Q3" s="1189"/>
      <c r="R3" s="1189"/>
      <c r="S3" s="1189"/>
      <c r="T3" s="1189"/>
      <c r="U3" s="1189"/>
      <c r="V3" s="1189"/>
      <c r="W3" s="1189"/>
      <c r="X3" s="1189"/>
      <c r="Y3" s="1189"/>
      <c r="Z3" s="1189"/>
      <c r="AA3" s="1189"/>
    </row>
    <row r="4" spans="1:27" s="1190" customFormat="1" ht="22.5" customHeight="1">
      <c r="A4" s="1182"/>
      <c r="B4" s="1874"/>
      <c r="C4" s="1875"/>
      <c r="D4" s="1876"/>
      <c r="E4" s="1195"/>
      <c r="F4" s="1196"/>
      <c r="G4" s="1196"/>
      <c r="H4" s="1196"/>
      <c r="I4" s="1196"/>
      <c r="J4" s="1197"/>
      <c r="K4" s="1196"/>
      <c r="L4" s="1192"/>
      <c r="M4" s="1193"/>
      <c r="N4" s="1194"/>
      <c r="O4" s="1189"/>
      <c r="P4" s="1189"/>
      <c r="Q4" s="1189"/>
      <c r="R4" s="1189"/>
      <c r="S4" s="1189"/>
      <c r="T4" s="1189"/>
      <c r="U4" s="1189"/>
      <c r="V4" s="1189"/>
      <c r="W4" s="1189"/>
      <c r="X4" s="1189"/>
      <c r="Y4" s="1189"/>
      <c r="Z4" s="1189"/>
      <c r="AA4" s="1189"/>
    </row>
    <row r="5" spans="1:27" s="1190" customFormat="1" ht="20.100000000000001" customHeight="1">
      <c r="A5" s="1182"/>
      <c r="B5" s="1874"/>
      <c r="C5" s="1875"/>
      <c r="D5" s="1876"/>
      <c r="E5" s="1877"/>
      <c r="F5" s="1878"/>
      <c r="G5" s="1878"/>
      <c r="H5" s="1878"/>
      <c r="I5" s="1878"/>
      <c r="J5" s="1879"/>
      <c r="K5" s="1196"/>
      <c r="L5" s="1192"/>
      <c r="M5" s="1193"/>
      <c r="N5" s="1194"/>
      <c r="O5" s="1189"/>
      <c r="P5" s="1189"/>
      <c r="Q5" s="1189"/>
      <c r="R5" s="1189"/>
      <c r="S5" s="1189"/>
      <c r="T5" s="1189"/>
      <c r="U5" s="1189"/>
      <c r="V5" s="1189"/>
      <c r="W5" s="1189"/>
      <c r="X5" s="1189"/>
      <c r="Y5" s="1189"/>
      <c r="Z5" s="1189"/>
      <c r="AA5" s="1189"/>
    </row>
    <row r="6" spans="1:27" s="1190" customFormat="1" ht="27.75" customHeight="1">
      <c r="A6" s="1182"/>
      <c r="B6" s="1855">
        <v>42800</v>
      </c>
      <c r="C6" s="1856"/>
      <c r="D6" s="1857"/>
      <c r="E6" s="1858" t="str">
        <f>SYNTHESE!E6</f>
        <v xml:space="preserve">LES FAUBOURGS D'ANFA </v>
      </c>
      <c r="F6" s="1859"/>
      <c r="G6" s="1859"/>
      <c r="H6" s="1859"/>
      <c r="I6" s="1859"/>
      <c r="J6" s="1860"/>
      <c r="K6" s="1191"/>
      <c r="L6" s="1192"/>
      <c r="M6" s="1193"/>
      <c r="N6" s="1194"/>
      <c r="O6" s="1189"/>
      <c r="P6" s="1189"/>
      <c r="Q6" s="1189"/>
      <c r="R6" s="1189"/>
      <c r="S6" s="1189"/>
      <c r="T6" s="1189"/>
      <c r="U6" s="1189"/>
      <c r="V6" s="1189"/>
      <c r="W6" s="1189"/>
      <c r="X6" s="1189"/>
      <c r="Y6" s="1189"/>
      <c r="Z6" s="1189"/>
      <c r="AA6" s="1189"/>
    </row>
    <row r="7" spans="1:27" s="1190" customFormat="1" ht="19.5" customHeight="1">
      <c r="A7" s="1182"/>
      <c r="B7" s="1855"/>
      <c r="C7" s="1856"/>
      <c r="D7" s="1857"/>
      <c r="E7" s="1858" t="str">
        <f>SYNTHESE!E7</f>
        <v>CASABLANCA</v>
      </c>
      <c r="F7" s="1859"/>
      <c r="G7" s="1859"/>
      <c r="H7" s="1859"/>
      <c r="I7" s="1859"/>
      <c r="J7" s="1860"/>
      <c r="K7" s="1198"/>
      <c r="L7" s="1192"/>
      <c r="M7" s="1193"/>
      <c r="N7" s="1194"/>
      <c r="O7" s="1189"/>
      <c r="P7" s="1189"/>
      <c r="Q7" s="1189"/>
      <c r="R7" s="1189"/>
      <c r="S7" s="1189"/>
      <c r="T7" s="1189"/>
      <c r="U7" s="1189"/>
      <c r="V7" s="1189"/>
      <c r="W7" s="1189"/>
      <c r="X7" s="1189"/>
      <c r="Y7" s="1189"/>
      <c r="Z7" s="1189"/>
      <c r="AA7" s="1189"/>
    </row>
    <row r="8" spans="1:27" s="1208" customFormat="1" ht="20.100000000000001" customHeight="1" thickBot="1">
      <c r="A8" s="1199"/>
      <c r="B8" s="1200"/>
      <c r="C8" s="1201"/>
      <c r="D8" s="1202"/>
      <c r="E8" s="1861"/>
      <c r="F8" s="1862"/>
      <c r="G8" s="1862"/>
      <c r="H8" s="1862"/>
      <c r="I8" s="1862"/>
      <c r="J8" s="1863"/>
      <c r="K8" s="1203"/>
      <c r="L8" s="1204"/>
      <c r="M8" s="1205"/>
      <c r="N8" s="1206"/>
      <c r="O8" s="1207"/>
      <c r="P8" s="1207"/>
      <c r="Q8" s="1207"/>
      <c r="R8" s="1207"/>
      <c r="S8" s="1207"/>
      <c r="T8" s="1207"/>
      <c r="U8" s="1207"/>
      <c r="V8" s="1207"/>
      <c r="W8" s="1207"/>
      <c r="X8" s="1207"/>
      <c r="Y8" s="1207"/>
      <c r="Z8" s="1207"/>
      <c r="AA8" s="1207"/>
    </row>
    <row r="9" spans="1:27" s="1176" customFormat="1" ht="43.5" customHeight="1" thickTop="1">
      <c r="B9" s="1209"/>
      <c r="C9" s="1210"/>
      <c r="D9" s="1210"/>
      <c r="E9" s="1211"/>
      <c r="F9" s="1210"/>
      <c r="G9" s="1210"/>
      <c r="H9" s="1212"/>
      <c r="I9" s="1210"/>
      <c r="J9" s="1212"/>
      <c r="K9" s="1212"/>
      <c r="L9" s="1213"/>
      <c r="M9" s="1214"/>
      <c r="N9" s="1215"/>
      <c r="O9" s="1181"/>
      <c r="P9" s="1181"/>
      <c r="Q9" s="1181"/>
      <c r="R9" s="1181"/>
      <c r="S9" s="1181"/>
      <c r="T9" s="1181"/>
      <c r="U9" s="1181"/>
      <c r="V9" s="1181"/>
      <c r="W9" s="1181"/>
      <c r="X9" s="1181"/>
      <c r="Y9" s="1181"/>
      <c r="Z9" s="1181"/>
      <c r="AA9" s="1181"/>
    </row>
    <row r="10" spans="1:27" s="1208" customFormat="1" ht="40.5" customHeight="1">
      <c r="A10" s="1216"/>
      <c r="B10" s="1864"/>
      <c r="C10" s="1865"/>
      <c r="D10" s="1866"/>
      <c r="E10" s="1866"/>
      <c r="F10" s="1866"/>
      <c r="G10" s="1866"/>
      <c r="H10" s="1866"/>
      <c r="I10" s="1866"/>
      <c r="J10" s="1866"/>
      <c r="K10" s="1866"/>
      <c r="L10" s="1866"/>
      <c r="M10" s="1866"/>
      <c r="N10" s="1867"/>
      <c r="O10" s="1207"/>
      <c r="P10" s="1207"/>
      <c r="Q10" s="1207"/>
      <c r="R10" s="1207"/>
      <c r="S10" s="1207"/>
      <c r="T10" s="1207"/>
      <c r="U10" s="1207"/>
      <c r="V10" s="1207"/>
      <c r="W10" s="1207"/>
      <c r="X10" s="1207"/>
      <c r="Y10" s="1207"/>
      <c r="Z10" s="1207"/>
      <c r="AA10" s="1207"/>
    </row>
    <row r="11" spans="1:27" s="1176" customFormat="1" ht="99.75" customHeight="1">
      <c r="B11" s="1868" t="s">
        <v>556</v>
      </c>
      <c r="C11" s="1869"/>
      <c r="D11" s="1869"/>
      <c r="E11" s="1869"/>
      <c r="F11" s="1869"/>
      <c r="G11" s="1869"/>
      <c r="H11" s="1869"/>
      <c r="I11" s="1869"/>
      <c r="J11" s="1869"/>
      <c r="K11" s="1869"/>
      <c r="L11" s="1869"/>
      <c r="M11" s="1869"/>
      <c r="N11" s="1870"/>
      <c r="O11" s="1181"/>
      <c r="P11" s="1181"/>
      <c r="Q11" s="1181"/>
      <c r="R11" s="1181"/>
      <c r="S11" s="1181"/>
      <c r="T11" s="1181"/>
      <c r="U11" s="1181"/>
      <c r="V11" s="1181"/>
      <c r="W11" s="1181"/>
      <c r="X11" s="1181"/>
      <c r="Y11" s="1181"/>
      <c r="Z11" s="1181"/>
      <c r="AA11" s="1181"/>
    </row>
    <row r="12" spans="1:27" s="1176" customFormat="1" ht="33.75" customHeight="1">
      <c r="B12" s="1217"/>
      <c r="C12" s="1218"/>
      <c r="D12" s="1219"/>
      <c r="E12" s="1219"/>
      <c r="F12" s="1219"/>
      <c r="G12" s="1219"/>
      <c r="H12" s="1219"/>
      <c r="I12" s="1219"/>
      <c r="J12" s="1219"/>
      <c r="K12" s="1219"/>
      <c r="L12" s="1219"/>
      <c r="M12" s="1219"/>
      <c r="N12" s="1220"/>
      <c r="O12" s="1181"/>
      <c r="P12" s="1181"/>
      <c r="Q12" s="1181"/>
      <c r="R12" s="1181"/>
      <c r="S12" s="1181"/>
      <c r="T12" s="1181"/>
      <c r="U12" s="1181"/>
      <c r="V12" s="1181"/>
      <c r="W12" s="1181"/>
      <c r="X12" s="1181"/>
      <c r="Y12" s="1181"/>
      <c r="Z12" s="1181"/>
      <c r="AA12" s="1181"/>
    </row>
    <row r="13" spans="1:27" s="1176" customFormat="1" ht="33.75" customHeight="1">
      <c r="B13" s="1217"/>
      <c r="C13" s="1218"/>
      <c r="D13" s="1219"/>
      <c r="E13" s="1219"/>
      <c r="F13" s="1219"/>
      <c r="G13" s="1219"/>
      <c r="H13" s="1219"/>
      <c r="I13" s="1219"/>
      <c r="J13" s="1219"/>
      <c r="K13" s="1219"/>
      <c r="L13" s="1219"/>
      <c r="M13" s="1219"/>
      <c r="N13" s="1220"/>
      <c r="O13" s="1181"/>
      <c r="P13" s="1181"/>
      <c r="Q13" s="1181"/>
      <c r="R13" s="1181"/>
      <c r="S13" s="1181"/>
      <c r="T13" s="1181"/>
      <c r="U13" s="1181"/>
      <c r="V13" s="1181"/>
      <c r="W13" s="1181"/>
      <c r="X13" s="1181"/>
      <c r="Y13" s="1181"/>
      <c r="Z13" s="1181"/>
      <c r="AA13" s="1181"/>
    </row>
    <row r="14" spans="1:27" s="1176" customFormat="1" ht="46.5" customHeight="1">
      <c r="B14" s="1221"/>
      <c r="C14" s="1222"/>
      <c r="D14" s="1222"/>
      <c r="E14" s="1223"/>
      <c r="F14" s="1224"/>
      <c r="G14" s="1224"/>
      <c r="H14" s="1225" t="s">
        <v>9</v>
      </c>
      <c r="I14" s="1225" t="s">
        <v>10</v>
      </c>
      <c r="J14" s="1225" t="s">
        <v>11</v>
      </c>
      <c r="K14" s="1225" t="s">
        <v>557</v>
      </c>
      <c r="L14" s="1225" t="s">
        <v>558</v>
      </c>
      <c r="M14" s="1224"/>
      <c r="N14" s="1226"/>
      <c r="O14" s="1181"/>
      <c r="P14" s="1181"/>
      <c r="Q14" s="1181"/>
      <c r="R14" s="1181"/>
      <c r="S14" s="1181"/>
      <c r="T14" s="1181"/>
      <c r="U14" s="1181"/>
      <c r="V14" s="1181"/>
      <c r="W14" s="1181"/>
      <c r="X14" s="1181"/>
      <c r="Y14" s="1181"/>
      <c r="Z14" s="1181"/>
      <c r="AA14" s="1181"/>
    </row>
    <row r="15" spans="1:27" s="1176" customFormat="1" ht="46.5" customHeight="1">
      <c r="B15" s="1227"/>
      <c r="C15" s="1228"/>
      <c r="D15" s="1229"/>
      <c r="E15" s="1211"/>
      <c r="F15" s="1210"/>
      <c r="G15" s="1210"/>
      <c r="H15" s="542"/>
      <c r="I15" s="542"/>
      <c r="J15" s="542"/>
      <c r="K15" s="542"/>
      <c r="L15" s="1179"/>
      <c r="M15" s="1214"/>
      <c r="N15" s="1215"/>
      <c r="O15" s="1181"/>
      <c r="P15" s="1181"/>
      <c r="Q15" s="1181"/>
      <c r="R15" s="1181"/>
      <c r="S15" s="1181"/>
      <c r="T15" s="1181"/>
      <c r="U15" s="1181"/>
      <c r="V15" s="1181"/>
      <c r="W15" s="1181"/>
      <c r="X15" s="1181"/>
      <c r="Y15" s="1181"/>
      <c r="Z15" s="1181"/>
      <c r="AA15" s="1181"/>
    </row>
    <row r="16" spans="1:27" s="1230" customFormat="1" ht="46.5" customHeight="1">
      <c r="B16" s="1231"/>
      <c r="C16" s="1228" t="s">
        <v>559</v>
      </c>
      <c r="D16" s="1229" t="s">
        <v>560</v>
      </c>
      <c r="E16" s="541"/>
      <c r="F16" s="542"/>
      <c r="G16" s="542"/>
      <c r="H16" s="1232">
        <v>250</v>
      </c>
      <c r="I16" s="1232">
        <v>300</v>
      </c>
      <c r="J16" s="1232">
        <v>150</v>
      </c>
      <c r="K16" s="1232">
        <v>0</v>
      </c>
      <c r="L16" s="1230" t="s">
        <v>561</v>
      </c>
      <c r="M16" s="1233"/>
      <c r="N16" s="1234"/>
      <c r="O16" s="1235"/>
      <c r="P16" s="1235"/>
      <c r="Q16" s="1235"/>
      <c r="R16" s="1235"/>
      <c r="S16" s="1235"/>
      <c r="T16" s="1235"/>
      <c r="U16" s="1235"/>
      <c r="V16" s="1235"/>
      <c r="W16" s="1235"/>
      <c r="X16" s="1235"/>
      <c r="Y16" s="1235"/>
      <c r="Z16" s="1235"/>
      <c r="AA16" s="1235"/>
    </row>
    <row r="17" spans="2:27" s="1230" customFormat="1" ht="31.5" customHeight="1">
      <c r="B17" s="1231"/>
      <c r="C17" s="1236"/>
      <c r="E17" s="541"/>
      <c r="F17" s="542"/>
      <c r="G17" s="542"/>
      <c r="H17" s="1232"/>
      <c r="I17" s="1232"/>
      <c r="J17" s="1232"/>
      <c r="K17" s="1232"/>
      <c r="M17" s="1233"/>
      <c r="N17" s="1234"/>
      <c r="O17" s="1235"/>
      <c r="P17" s="1235"/>
      <c r="Q17" s="1235"/>
      <c r="R17" s="1235"/>
      <c r="S17" s="1235"/>
      <c r="T17" s="1235"/>
      <c r="U17" s="1235"/>
      <c r="V17" s="1235"/>
      <c r="W17" s="1235"/>
      <c r="X17" s="1235"/>
      <c r="Y17" s="1235"/>
      <c r="Z17" s="1235"/>
      <c r="AA17" s="1235"/>
    </row>
    <row r="18" spans="2:27" s="1230" customFormat="1" ht="46.5" customHeight="1">
      <c r="B18" s="1231"/>
      <c r="C18" s="1228" t="s">
        <v>559</v>
      </c>
      <c r="D18" s="1229" t="s">
        <v>562</v>
      </c>
      <c r="E18" s="541"/>
      <c r="F18" s="542"/>
      <c r="G18" s="542"/>
      <c r="H18" s="1232">
        <v>650</v>
      </c>
      <c r="I18" s="1232">
        <v>650</v>
      </c>
      <c r="J18" s="1232">
        <v>0</v>
      </c>
      <c r="K18" s="1232">
        <v>0</v>
      </c>
      <c r="M18" s="1233"/>
      <c r="N18" s="1234"/>
      <c r="O18" s="1235"/>
      <c r="P18" s="1235"/>
      <c r="Q18" s="1235"/>
      <c r="R18" s="1235"/>
      <c r="S18" s="1235"/>
      <c r="T18" s="1235"/>
      <c r="U18" s="1235"/>
      <c r="V18" s="1235"/>
      <c r="W18" s="1235"/>
      <c r="X18" s="1235"/>
      <c r="Y18" s="1235"/>
      <c r="Z18" s="1235"/>
      <c r="AA18" s="1235"/>
    </row>
    <row r="19" spans="2:27" s="1230" customFormat="1" ht="31.5" customHeight="1">
      <c r="B19" s="1231"/>
      <c r="C19" s="1236"/>
      <c r="E19" s="541"/>
      <c r="F19" s="542"/>
      <c r="G19" s="542"/>
      <c r="H19" s="1232"/>
      <c r="I19" s="1232"/>
      <c r="J19" s="1232"/>
      <c r="K19" s="1232"/>
      <c r="M19" s="1233"/>
      <c r="N19" s="1234"/>
      <c r="O19" s="1235"/>
      <c r="P19" s="1235"/>
      <c r="Q19" s="1235"/>
      <c r="R19" s="1235"/>
      <c r="S19" s="1235"/>
      <c r="T19" s="1235"/>
      <c r="U19" s="1235"/>
      <c r="V19" s="1235"/>
      <c r="W19" s="1235"/>
      <c r="X19" s="1235"/>
      <c r="Y19" s="1235"/>
      <c r="Z19" s="1235"/>
      <c r="AA19" s="1235"/>
    </row>
    <row r="20" spans="2:27" s="1230" customFormat="1" ht="46.5" customHeight="1">
      <c r="B20" s="1237"/>
      <c r="C20" s="1228" t="s">
        <v>559</v>
      </c>
      <c r="D20" s="1229" t="s">
        <v>563</v>
      </c>
      <c r="E20" s="541"/>
      <c r="H20" s="1238">
        <v>300</v>
      </c>
      <c r="I20" s="1232">
        <v>300</v>
      </c>
      <c r="J20" s="1232">
        <v>0</v>
      </c>
      <c r="K20" s="1232">
        <v>0</v>
      </c>
      <c r="M20" s="1239"/>
      <c r="N20" s="1240"/>
      <c r="O20" s="1235"/>
      <c r="P20" s="1235"/>
      <c r="Q20" s="1235"/>
      <c r="R20" s="1235"/>
      <c r="S20" s="1235"/>
      <c r="T20" s="1235"/>
      <c r="U20" s="1235"/>
      <c r="V20" s="1235"/>
      <c r="W20" s="1235"/>
      <c r="X20" s="1235"/>
      <c r="Y20" s="1235"/>
      <c r="Z20" s="1235"/>
      <c r="AA20" s="1235"/>
    </row>
    <row r="21" spans="2:27" s="1230" customFormat="1" ht="31.5" customHeight="1">
      <c r="B21" s="1231"/>
      <c r="C21" s="1236"/>
      <c r="E21" s="541"/>
      <c r="F21" s="542"/>
      <c r="G21" s="542"/>
      <c r="H21" s="1232"/>
      <c r="I21" s="1232"/>
      <c r="J21" s="1232"/>
      <c r="K21" s="1232"/>
      <c r="M21" s="1233"/>
      <c r="N21" s="1234"/>
      <c r="O21" s="1235"/>
      <c r="P21" s="1235"/>
      <c r="Q21" s="1235"/>
      <c r="R21" s="1235"/>
      <c r="S21" s="1235"/>
      <c r="T21" s="1235"/>
      <c r="U21" s="1235"/>
      <c r="V21" s="1235"/>
      <c r="W21" s="1235"/>
      <c r="X21" s="1235"/>
      <c r="Y21" s="1235"/>
      <c r="Z21" s="1235"/>
      <c r="AA21" s="1235"/>
    </row>
    <row r="22" spans="2:27" s="1230" customFormat="1" ht="46.5" customHeight="1">
      <c r="B22" s="1237"/>
      <c r="C22" s="1228" t="s">
        <v>559</v>
      </c>
      <c r="D22" s="1229" t="s">
        <v>564</v>
      </c>
      <c r="E22" s="541"/>
      <c r="H22" s="1238">
        <v>500</v>
      </c>
      <c r="I22" s="1232">
        <v>700</v>
      </c>
      <c r="J22" s="1232">
        <v>0</v>
      </c>
      <c r="K22" s="1232">
        <v>0</v>
      </c>
      <c r="M22" s="1239"/>
      <c r="N22" s="1240"/>
      <c r="O22" s="1235"/>
      <c r="P22" s="1235"/>
      <c r="Q22" s="1235"/>
      <c r="R22" s="1235"/>
      <c r="S22" s="1235"/>
      <c r="T22" s="1235"/>
      <c r="U22" s="1235"/>
      <c r="V22" s="1235"/>
      <c r="W22" s="1235"/>
      <c r="X22" s="1235"/>
      <c r="Y22" s="1235"/>
      <c r="Z22" s="1235"/>
      <c r="AA22" s="1235"/>
    </row>
    <row r="23" spans="2:27" s="1230" customFormat="1" ht="31.5" customHeight="1">
      <c r="B23" s="1231"/>
      <c r="C23" s="1236"/>
      <c r="E23" s="541"/>
      <c r="F23" s="542"/>
      <c r="G23" s="542"/>
      <c r="H23" s="1232"/>
      <c r="I23" s="1232"/>
      <c r="J23" s="1232"/>
      <c r="K23" s="1232"/>
      <c r="M23" s="1233"/>
      <c r="N23" s="1234"/>
      <c r="O23" s="1235"/>
      <c r="P23" s="1235"/>
      <c r="Q23" s="1235"/>
      <c r="R23" s="1235"/>
      <c r="S23" s="1235"/>
      <c r="T23" s="1235"/>
      <c r="U23" s="1235"/>
      <c r="V23" s="1235"/>
      <c r="W23" s="1235"/>
      <c r="X23" s="1235"/>
      <c r="Y23" s="1235"/>
      <c r="Z23" s="1235"/>
      <c r="AA23" s="1235"/>
    </row>
    <row r="24" spans="2:27" s="1230" customFormat="1" ht="46.5" customHeight="1">
      <c r="B24" s="1237"/>
      <c r="C24" s="1241" t="s">
        <v>559</v>
      </c>
      <c r="D24" s="1854" t="s">
        <v>565</v>
      </c>
      <c r="E24" s="1854"/>
      <c r="F24" s="1854"/>
      <c r="G24" s="1854"/>
      <c r="H24" s="1238">
        <v>300</v>
      </c>
      <c r="I24" s="1232">
        <v>500</v>
      </c>
      <c r="J24" s="1232">
        <v>0</v>
      </c>
      <c r="K24" s="1232">
        <v>0</v>
      </c>
      <c r="M24" s="1239"/>
      <c r="N24" s="1240"/>
      <c r="O24" s="1235"/>
      <c r="P24" s="1235"/>
      <c r="Q24" s="1235"/>
      <c r="R24" s="1235"/>
      <c r="S24" s="1235"/>
      <c r="T24" s="1235"/>
      <c r="U24" s="1235"/>
      <c r="V24" s="1235"/>
      <c r="W24" s="1235"/>
      <c r="X24" s="1235"/>
      <c r="Y24" s="1235"/>
      <c r="Z24" s="1235"/>
      <c r="AA24" s="1235"/>
    </row>
    <row r="25" spans="2:27" s="1230" customFormat="1" ht="31.5" customHeight="1">
      <c r="B25" s="1231"/>
      <c r="C25" s="1236"/>
      <c r="E25" s="541"/>
      <c r="F25" s="542"/>
      <c r="G25" s="542"/>
      <c r="H25" s="1232"/>
      <c r="I25" s="1232"/>
      <c r="J25" s="1232"/>
      <c r="K25" s="1232"/>
      <c r="M25" s="1233"/>
      <c r="N25" s="1234"/>
      <c r="O25" s="1235"/>
      <c r="P25" s="1235"/>
      <c r="Q25" s="1235"/>
      <c r="R25" s="1235"/>
      <c r="S25" s="1235"/>
      <c r="T25" s="1235"/>
      <c r="U25" s="1235"/>
      <c r="V25" s="1235"/>
      <c r="W25" s="1235"/>
      <c r="X25" s="1235"/>
      <c r="Y25" s="1235"/>
      <c r="Z25" s="1235"/>
      <c r="AA25" s="1235"/>
    </row>
    <row r="26" spans="2:27" s="1176" customFormat="1" ht="46.5" customHeight="1">
      <c r="B26" s="1227"/>
      <c r="C26" s="1228" t="s">
        <v>559</v>
      </c>
      <c r="D26" s="1193" t="s">
        <v>566</v>
      </c>
      <c r="E26" s="1211"/>
      <c r="F26" s="1210"/>
      <c r="G26" s="1210"/>
      <c r="H26" s="1238">
        <v>500</v>
      </c>
      <c r="I26" s="1232">
        <v>500</v>
      </c>
      <c r="J26" s="1232">
        <v>0</v>
      </c>
      <c r="K26" s="1232">
        <v>0</v>
      </c>
      <c r="L26" s="1179"/>
      <c r="M26" s="1214"/>
      <c r="N26" s="1215"/>
      <c r="O26" s="1181"/>
      <c r="P26" s="1181"/>
      <c r="Q26" s="1181"/>
      <c r="R26" s="1181"/>
      <c r="S26" s="1181"/>
      <c r="T26" s="1181"/>
      <c r="U26" s="1181"/>
      <c r="V26" s="1181"/>
      <c r="W26" s="1181"/>
      <c r="X26" s="1181"/>
      <c r="Y26" s="1181"/>
      <c r="Z26" s="1181"/>
      <c r="AA26" s="1181"/>
    </row>
    <row r="27" spans="2:27" s="1230" customFormat="1" ht="31.5" customHeight="1">
      <c r="B27" s="1231"/>
      <c r="C27" s="1236"/>
      <c r="E27" s="541"/>
      <c r="F27" s="542"/>
      <c r="G27" s="542"/>
      <c r="H27" s="1232"/>
      <c r="I27" s="1232"/>
      <c r="J27" s="1232"/>
      <c r="K27" s="1232"/>
      <c r="M27" s="1233"/>
      <c r="N27" s="1234"/>
      <c r="O27" s="1235"/>
      <c r="P27" s="1235"/>
      <c r="Q27" s="1235"/>
      <c r="R27" s="1235"/>
      <c r="S27" s="1235"/>
      <c r="T27" s="1235"/>
      <c r="U27" s="1235"/>
      <c r="V27" s="1235"/>
      <c r="W27" s="1235"/>
      <c r="X27" s="1235"/>
      <c r="Y27" s="1235"/>
      <c r="Z27" s="1235"/>
      <c r="AA27" s="1235"/>
    </row>
    <row r="28" spans="2:27" s="1176" customFormat="1" ht="46.5" customHeight="1">
      <c r="B28" s="1227"/>
      <c r="C28" s="1228" t="s">
        <v>559</v>
      </c>
      <c r="D28" s="1229" t="s">
        <v>567</v>
      </c>
      <c r="E28" s="1211"/>
      <c r="F28" s="1210"/>
      <c r="G28" s="1210"/>
      <c r="H28" s="1238">
        <v>250</v>
      </c>
      <c r="I28" s="1232">
        <v>800</v>
      </c>
      <c r="J28" s="1232">
        <v>0</v>
      </c>
      <c r="K28" s="1232">
        <v>0</v>
      </c>
      <c r="L28" s="1179"/>
      <c r="M28" s="1214"/>
      <c r="N28" s="1215"/>
      <c r="O28" s="1181"/>
      <c r="P28" s="1181"/>
      <c r="Q28" s="1181"/>
      <c r="R28" s="1181"/>
      <c r="S28" s="1181"/>
      <c r="T28" s="1181"/>
      <c r="U28" s="1181"/>
      <c r="V28" s="1181"/>
      <c r="W28" s="1181"/>
      <c r="X28" s="1181"/>
      <c r="Y28" s="1181"/>
      <c r="Z28" s="1181"/>
      <c r="AA28" s="1181"/>
    </row>
    <row r="29" spans="2:27" s="1230" customFormat="1" ht="31.5" customHeight="1">
      <c r="B29" s="1231"/>
      <c r="C29" s="1236"/>
      <c r="E29" s="541"/>
      <c r="F29" s="542"/>
      <c r="G29" s="542"/>
      <c r="H29" s="1232"/>
      <c r="I29" s="1232"/>
      <c r="J29" s="1232"/>
      <c r="K29" s="1232"/>
      <c r="M29" s="1233"/>
      <c r="N29" s="1234"/>
      <c r="O29" s="1235"/>
      <c r="P29" s="1235"/>
      <c r="Q29" s="1235"/>
      <c r="R29" s="1235"/>
      <c r="S29" s="1235"/>
      <c r="T29" s="1235"/>
      <c r="U29" s="1235"/>
      <c r="V29" s="1235"/>
      <c r="W29" s="1235"/>
      <c r="X29" s="1235"/>
      <c r="Y29" s="1235"/>
      <c r="Z29" s="1235"/>
      <c r="AA29" s="1235"/>
    </row>
    <row r="30" spans="2:27" s="1176" customFormat="1" ht="46.5" customHeight="1">
      <c r="B30" s="1227"/>
      <c r="C30" s="1228" t="s">
        <v>559</v>
      </c>
      <c r="D30" s="1229" t="s">
        <v>568</v>
      </c>
      <c r="E30" s="1211"/>
      <c r="F30" s="1210"/>
      <c r="G30" s="1210"/>
      <c r="H30" s="1238">
        <v>150</v>
      </c>
      <c r="I30" s="1232">
        <v>0</v>
      </c>
      <c r="J30" s="1232">
        <v>0</v>
      </c>
      <c r="K30" s="1232">
        <v>0</v>
      </c>
      <c r="L30" s="1179"/>
      <c r="M30" s="1214"/>
      <c r="N30" s="1215"/>
      <c r="O30" s="1181"/>
      <c r="P30" s="1181"/>
      <c r="Q30" s="1181"/>
      <c r="R30" s="1181"/>
      <c r="S30" s="1181"/>
      <c r="T30" s="1181"/>
      <c r="U30" s="1181"/>
      <c r="V30" s="1181"/>
      <c r="W30" s="1181"/>
      <c r="X30" s="1181"/>
      <c r="Y30" s="1181"/>
      <c r="Z30" s="1181"/>
      <c r="AA30" s="1181"/>
    </row>
    <row r="31" spans="2:27" s="1230" customFormat="1" ht="31.5" customHeight="1">
      <c r="B31" s="1231"/>
      <c r="C31" s="1236"/>
      <c r="E31" s="541"/>
      <c r="F31" s="542"/>
      <c r="G31" s="542"/>
      <c r="H31" s="1232"/>
      <c r="I31" s="1232"/>
      <c r="J31" s="1232"/>
      <c r="K31" s="1232"/>
      <c r="M31" s="1233"/>
      <c r="N31" s="1234"/>
      <c r="O31" s="1235"/>
      <c r="P31" s="1235"/>
      <c r="Q31" s="1235"/>
      <c r="R31" s="1235"/>
      <c r="S31" s="1235"/>
      <c r="T31" s="1235"/>
      <c r="U31" s="1235"/>
      <c r="V31" s="1235"/>
      <c r="W31" s="1235"/>
      <c r="X31" s="1235"/>
      <c r="Y31" s="1235"/>
      <c r="Z31" s="1235"/>
      <c r="AA31" s="1235"/>
    </row>
    <row r="32" spans="2:27" s="1176" customFormat="1" ht="46.5" customHeight="1">
      <c r="B32" s="1227"/>
      <c r="C32" s="1228" t="s">
        <v>559</v>
      </c>
      <c r="D32" s="1229" t="s">
        <v>569</v>
      </c>
      <c r="E32" s="1211"/>
      <c r="F32" s="1210"/>
      <c r="G32" s="1210"/>
      <c r="H32" s="1239">
        <v>0</v>
      </c>
      <c r="I32" s="1242">
        <v>2200</v>
      </c>
      <c r="J32" s="1242">
        <v>0</v>
      </c>
      <c r="K32" s="1242">
        <v>0</v>
      </c>
      <c r="L32" s="1179"/>
      <c r="M32" s="1214"/>
      <c r="N32" s="1215"/>
      <c r="O32" s="1181"/>
      <c r="P32" s="1181"/>
      <c r="Q32" s="1181"/>
      <c r="R32" s="1181"/>
      <c r="S32" s="1181"/>
      <c r="T32" s="1181"/>
      <c r="U32" s="1181"/>
      <c r="V32" s="1181"/>
      <c r="W32" s="1181"/>
      <c r="X32" s="1181"/>
      <c r="Y32" s="1181"/>
      <c r="Z32" s="1181"/>
      <c r="AA32" s="1181"/>
    </row>
    <row r="33" spans="2:27" s="1230" customFormat="1" ht="31.5" customHeight="1">
      <c r="B33" s="1231"/>
      <c r="C33" s="1236"/>
      <c r="E33" s="541"/>
      <c r="F33" s="542"/>
      <c r="G33" s="542"/>
      <c r="H33" s="1232"/>
      <c r="I33" s="1232"/>
      <c r="J33" s="1232"/>
      <c r="K33" s="1232"/>
      <c r="M33" s="1233"/>
      <c r="N33" s="1234"/>
      <c r="O33" s="1235"/>
      <c r="P33" s="1235"/>
      <c r="Q33" s="1235"/>
      <c r="R33" s="1235"/>
      <c r="S33" s="1235"/>
      <c r="T33" s="1235"/>
      <c r="U33" s="1235"/>
      <c r="V33" s="1235"/>
      <c r="W33" s="1235"/>
      <c r="X33" s="1235"/>
      <c r="Y33" s="1235"/>
      <c r="Z33" s="1235"/>
      <c r="AA33" s="1235"/>
    </row>
    <row r="34" spans="2:27" s="1176" customFormat="1" ht="46.5" customHeight="1">
      <c r="B34" s="1227"/>
      <c r="C34" s="1228" t="s">
        <v>559</v>
      </c>
      <c r="D34" s="1229" t="s">
        <v>396</v>
      </c>
      <c r="E34" s="1211"/>
      <c r="F34" s="1210"/>
      <c r="G34" s="1210"/>
      <c r="H34" s="1239">
        <v>0</v>
      </c>
      <c r="I34" s="1242">
        <v>500</v>
      </c>
      <c r="J34" s="1242">
        <v>0</v>
      </c>
      <c r="K34" s="1242">
        <v>0</v>
      </c>
      <c r="L34" s="1179"/>
      <c r="M34" s="1214"/>
      <c r="N34" s="1215"/>
      <c r="O34" s="1181"/>
      <c r="P34" s="1181"/>
      <c r="Q34" s="1181"/>
      <c r="R34" s="1181"/>
      <c r="S34" s="1181"/>
      <c r="T34" s="1181"/>
      <c r="U34" s="1181"/>
      <c r="V34" s="1181"/>
      <c r="W34" s="1181"/>
      <c r="X34" s="1181"/>
      <c r="Y34" s="1181"/>
      <c r="Z34" s="1181"/>
      <c r="AA34" s="1181"/>
    </row>
    <row r="35" spans="2:27" s="1176" customFormat="1" ht="46.5" customHeight="1">
      <c r="B35" s="1227"/>
      <c r="C35" s="1228" t="s">
        <v>559</v>
      </c>
      <c r="D35" s="1854" t="s">
        <v>570</v>
      </c>
      <c r="E35" s="1854"/>
      <c r="F35" s="1854"/>
      <c r="G35" s="1210"/>
      <c r="H35" s="1239"/>
      <c r="I35" s="1242">
        <v>1500</v>
      </c>
      <c r="J35" s="1242"/>
      <c r="K35" s="1242"/>
      <c r="L35" s="1179"/>
      <c r="M35" s="1214"/>
      <c r="N35" s="1215"/>
      <c r="O35" s="1181"/>
      <c r="P35" s="1181"/>
      <c r="Q35" s="1181"/>
      <c r="R35" s="1181"/>
      <c r="S35" s="1181"/>
      <c r="T35" s="1181"/>
      <c r="U35" s="1181"/>
      <c r="V35" s="1181"/>
      <c r="W35" s="1181"/>
      <c r="X35" s="1181"/>
      <c r="Y35" s="1181"/>
      <c r="Z35" s="1181"/>
      <c r="AA35" s="1181"/>
    </row>
    <row r="36" spans="2:27" s="1176" customFormat="1" ht="46.5" customHeight="1">
      <c r="B36" s="1227"/>
      <c r="C36" s="1210"/>
      <c r="D36" s="1210"/>
      <c r="E36" s="1211"/>
      <c r="F36" s="1210"/>
      <c r="G36" s="1210"/>
      <c r="H36" s="1210"/>
      <c r="I36" s="1212"/>
      <c r="J36" s="1212"/>
      <c r="K36" s="1212"/>
      <c r="L36" s="1179"/>
      <c r="M36" s="1214"/>
      <c r="N36" s="1215"/>
      <c r="O36" s="1181"/>
      <c r="P36" s="1181"/>
      <c r="Q36" s="1181"/>
      <c r="R36" s="1181"/>
      <c r="S36" s="1181"/>
      <c r="T36" s="1181"/>
      <c r="U36" s="1181"/>
      <c r="V36" s="1181"/>
      <c r="W36" s="1181"/>
      <c r="X36" s="1181"/>
      <c r="Y36" s="1181"/>
      <c r="Z36" s="1181"/>
      <c r="AA36" s="1181"/>
    </row>
    <row r="37" spans="2:27" s="1176" customFormat="1" ht="46.5" customHeight="1">
      <c r="B37" s="1227"/>
      <c r="C37" s="1210"/>
      <c r="D37" s="1210"/>
      <c r="E37" s="1211"/>
      <c r="F37" s="1210"/>
      <c r="G37" s="1210"/>
      <c r="H37" s="1210"/>
      <c r="I37" s="1212"/>
      <c r="J37" s="1212"/>
      <c r="K37" s="1212"/>
      <c r="L37" s="1179"/>
      <c r="M37" s="1214"/>
      <c r="N37" s="1215"/>
      <c r="O37" s="1181"/>
      <c r="P37" s="1181"/>
      <c r="Q37" s="1181"/>
      <c r="R37" s="1181"/>
      <c r="S37" s="1181"/>
      <c r="T37" s="1181"/>
      <c r="U37" s="1181"/>
      <c r="V37" s="1181"/>
      <c r="W37" s="1181"/>
      <c r="X37" s="1181"/>
      <c r="Y37" s="1181"/>
      <c r="Z37" s="1181"/>
      <c r="AA37" s="1181"/>
    </row>
    <row r="38" spans="2:27" s="1230" customFormat="1" ht="46.5" customHeight="1">
      <c r="B38" s="1231"/>
      <c r="C38" s="1236"/>
      <c r="F38" s="1243" t="s">
        <v>571</v>
      </c>
      <c r="H38" s="1244">
        <f>SUM(H16:H35)</f>
        <v>2900</v>
      </c>
      <c r="I38" s="1244">
        <f>SUM(I16:I35)</f>
        <v>7950</v>
      </c>
      <c r="J38" s="1244">
        <f>SUM(J16:J35)</f>
        <v>150</v>
      </c>
      <c r="K38" s="1244">
        <v>0</v>
      </c>
      <c r="L38" s="1245" t="s">
        <v>572</v>
      </c>
      <c r="M38" s="1246"/>
      <c r="N38" s="1234"/>
      <c r="O38" s="1235"/>
      <c r="P38" s="1235"/>
      <c r="Q38" s="1235"/>
      <c r="R38" s="1235"/>
      <c r="S38" s="1235"/>
      <c r="T38" s="1235"/>
      <c r="U38" s="1235"/>
      <c r="V38" s="1235"/>
      <c r="W38" s="1235"/>
      <c r="X38" s="1235"/>
      <c r="Y38" s="1235"/>
      <c r="Z38" s="1235"/>
      <c r="AA38" s="1235"/>
    </row>
    <row r="39" spans="2:27" s="1176" customFormat="1" ht="46.5" customHeight="1">
      <c r="B39" s="1227"/>
      <c r="C39" s="1210"/>
      <c r="D39" s="1210"/>
      <c r="E39" s="1211"/>
      <c r="F39" s="1210"/>
      <c r="G39" s="1210"/>
      <c r="H39" s="1210"/>
      <c r="I39" s="1210"/>
      <c r="J39" s="1212"/>
      <c r="K39" s="1212"/>
      <c r="L39" s="1213"/>
      <c r="M39" s="1214"/>
      <c r="N39" s="1215"/>
      <c r="O39" s="1181"/>
      <c r="P39" s="1181"/>
      <c r="Q39" s="1181"/>
      <c r="R39" s="1181"/>
      <c r="S39" s="1181"/>
      <c r="T39" s="1181"/>
      <c r="U39" s="1181"/>
      <c r="V39" s="1181"/>
      <c r="W39" s="1181"/>
      <c r="X39" s="1181"/>
      <c r="Y39" s="1181"/>
      <c r="Z39" s="1181"/>
      <c r="AA39" s="1181"/>
    </row>
    <row r="40" spans="2:27" s="1176" customFormat="1" ht="46.5" customHeight="1">
      <c r="B40" s="1227"/>
      <c r="C40" s="1210"/>
      <c r="D40" s="1210"/>
      <c r="E40" s="1211"/>
      <c r="F40" s="1210"/>
      <c r="G40" s="1210"/>
      <c r="H40" s="1212"/>
      <c r="I40" s="1210"/>
      <c r="J40" s="1212"/>
      <c r="K40" s="1212"/>
      <c r="L40" s="1213"/>
      <c r="M40" s="1214"/>
      <c r="N40" s="1215"/>
      <c r="O40" s="1181"/>
      <c r="P40" s="1181"/>
      <c r="Q40" s="1181"/>
      <c r="R40" s="1181"/>
      <c r="S40" s="1181"/>
      <c r="T40" s="1181"/>
      <c r="U40" s="1181"/>
      <c r="V40" s="1181"/>
      <c r="W40" s="1181"/>
      <c r="X40" s="1181"/>
      <c r="Y40" s="1181"/>
      <c r="Z40" s="1181"/>
      <c r="AA40" s="1181"/>
    </row>
    <row r="41" spans="2:27" s="1176" customFormat="1" ht="46.5" customHeight="1" thickBot="1">
      <c r="B41" s="1247"/>
      <c r="C41" s="1248"/>
      <c r="D41" s="1248"/>
      <c r="E41" s="1249"/>
      <c r="F41" s="1248"/>
      <c r="G41" s="1248"/>
      <c r="H41" s="1250"/>
      <c r="I41" s="1248"/>
      <c r="J41" s="1250"/>
      <c r="K41" s="1250"/>
      <c r="L41" s="1251"/>
      <c r="M41" s="1252"/>
      <c r="N41" s="1253"/>
      <c r="O41" s="1181"/>
      <c r="P41" s="1181"/>
      <c r="Q41" s="1181"/>
      <c r="R41" s="1181"/>
      <c r="S41" s="1181"/>
      <c r="T41" s="1181"/>
      <c r="U41" s="1181"/>
      <c r="V41" s="1181"/>
      <c r="W41" s="1181"/>
      <c r="X41" s="1181"/>
      <c r="Y41" s="1181"/>
      <c r="Z41" s="1181"/>
      <c r="AA41" s="1181"/>
    </row>
    <row r="42" spans="2:27" ht="15.75" thickTop="1"/>
  </sheetData>
  <mergeCells count="13">
    <mergeCell ref="E2:J2"/>
    <mergeCell ref="B3:D5"/>
    <mergeCell ref="E3:J3"/>
    <mergeCell ref="E5:J5"/>
    <mergeCell ref="B6:D6"/>
    <mergeCell ref="E6:J6"/>
    <mergeCell ref="D35:F35"/>
    <mergeCell ref="B7:D7"/>
    <mergeCell ref="E7:J7"/>
    <mergeCell ref="E8:J8"/>
    <mergeCell ref="B10:N10"/>
    <mergeCell ref="D24:G24"/>
    <mergeCell ref="B11:N1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SYNTHESE</vt:lpstr>
      <vt:lpstr>RECETTES</vt:lpstr>
      <vt:lpstr>DCH</vt:lpstr>
      <vt:lpstr>CHAPEAU</vt:lpstr>
      <vt:lpstr>TS</vt:lpstr>
      <vt:lpstr>ECARTS</vt:lpstr>
      <vt:lpstr>Synthese DS</vt:lpstr>
      <vt:lpstr>MO Qte</vt:lpstr>
      <vt:lpstr>BETON Qte</vt:lpstr>
      <vt:lpstr>ACIER Qte</vt:lpstr>
      <vt:lpstr>DETAILS</vt:lpstr>
      <vt:lpstr>RECAP IND</vt:lpstr>
      <vt:lpstr>Transfert</vt:lpstr>
      <vt:lpstr>Ecart PP</vt:lpstr>
      <vt:lpstr>Ecart Indirects</vt:lpstr>
      <vt:lpstr>Ecart STGO</vt:lpstr>
      <vt:lpstr>Ecart STCEA</vt:lpstr>
      <vt:lpstr>Ecart STCET</vt:lpstr>
      <vt:lpstr>Risques</vt:lpstr>
      <vt:lpstr>OPP</vt:lpstr>
      <vt:lpstr>PAM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cp:lastModifiedBy>Jorissen Daniel</cp:lastModifiedBy>
  <cp:lastPrinted>2017-04-20T07:18:48Z</cp:lastPrinted>
  <dcterms:created xsi:type="dcterms:W3CDTF">2017-04-17T22:50:40Z</dcterms:created>
  <dcterms:modified xsi:type="dcterms:W3CDTF">2017-05-23T11:26:58Z</dcterms:modified>
</cp:coreProperties>
</file>