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3.xml" ContentType="application/vnd.openxmlformats-officedocument.drawing+xml"/>
  <Override PartName="/xl/ctrlProps/ctrlProp9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4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drawings/drawing5.xml" ContentType="application/vnd.openxmlformats-officedocument.drawing+xml"/>
  <Override PartName="/xl/ctrlProps/ctrlProp12.xml" ContentType="application/vnd.ms-excel.controlproperties+xml"/>
  <Override PartName="/xl/ctrlProps/ctrlProp13.xml" ContentType="application/vnd.ms-excel.controlproperties+xml"/>
  <Override PartName="/xl/drawings/drawing6.xml" ContentType="application/vnd.openxmlformats-officedocument.drawing+xml"/>
  <Override PartName="/xl/ctrlProps/ctrlProp14.xml" ContentType="application/vnd.ms-excel.controlproperties+xml"/>
  <Override PartName="/xl/ctrlProps/ctrlProp15.xml" ContentType="application/vnd.ms-excel.controlproperties+xml"/>
  <Override PartName="/xl/drawings/drawing7.xml" ContentType="application/vnd.openxmlformats-officedocument.drawing+xml"/>
  <Override PartName="/xl/ctrlProps/ctrlProp16.xml" ContentType="application/vnd.ms-excel.controlproperties+xml"/>
  <Override PartName="/xl/ctrlProps/ctrlProp17.xml" ContentType="application/vnd.ms-excel.controlproperties+xml"/>
  <Override PartName="/xl/tables/table7.xml" ContentType="application/vnd.openxmlformats-officedocument.spreadsheetml.table+xml"/>
  <Override PartName="/xl/drawings/drawing8.xml" ContentType="application/vnd.openxmlformats-officedocument.drawing+xml"/>
  <Override PartName="/xl/ctrlProps/ctrlProp18.xml" ContentType="application/vnd.ms-excel.controlproperties+xml"/>
  <Override PartName="/xl/drawings/drawing9.xml" ContentType="application/vnd.openxmlformats-officedocument.drawing+xml"/>
  <Override PartName="/xl/ctrlProps/ctrlProp19.xml" ContentType="application/vnd.ms-excel.controlproperties+xml"/>
  <Override PartName="/xl/ctrlProps/ctrlProp20.xml" ContentType="application/vnd.ms-excel.controlproperties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drichvalue.xml" ContentType="application/vnd.ms-excel.rdrichvalue+xml"/>
  <Override PartName="/xl/richData/rdRichValueTypes.xml" ContentType="application/vnd.ms-excel.rdrichvaluetypes+xml"/>
  <Override PartName="/xl/richData/rdrichvaluestructure.xml" ContentType="application/vnd.ms-excel.rdrichvaluestructure+xml"/>
  <Override PartName="/xl/richData/richValueRel.xml" ContentType="application/vnd.ms-excel.richvaluerel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 codeName="{499AFE36-ED4D-9D94-70EF-1DFAAA4259C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D6F2CCC8-8672-43A7-BD4D-307A22D078B0}" xr6:coauthVersionLast="47" xr6:coauthVersionMax="47" xr10:uidLastSave="{00000000-0000-0000-0000-000000000000}"/>
  <bookViews>
    <workbookView xWindow="-120" yWindow="-120" windowWidth="20730" windowHeight="11160" tabRatio="685" firstSheet="4" activeTab="11" xr2:uid="{DA463B96-4166-4462-BFBA-BD13AE1BAB21}"/>
  </bookViews>
  <sheets>
    <sheet name="generateur de frequence" sheetId="39" r:id="rId1"/>
    <sheet name="Accueil" sheetId="23" r:id="rId2"/>
    <sheet name="Nouvel equipement" sheetId="37" r:id="rId3"/>
    <sheet name="Base de donnée" sheetId="6" r:id="rId4"/>
    <sheet name="Boite resistance" sheetId="36" r:id="rId5"/>
    <sheet name="Barre a shunt" sheetId="35" state="hidden" r:id="rId6"/>
    <sheet name="Source Chaude" sheetId="38" r:id="rId7"/>
    <sheet name="Pieuvre" sheetId="22" r:id="rId8"/>
    <sheet name="Valise" sheetId="26" r:id="rId9"/>
    <sheet name="Bilan Shunt" sheetId="24" r:id="rId10"/>
    <sheet name="Formulaire valise" sheetId="27" r:id="rId11"/>
    <sheet name="Traction" sheetId="33" r:id="rId12"/>
    <sheet name="Bilan Traction" sheetId="2" r:id="rId13"/>
    <sheet name="Bilan Pieuvre" sheetId="25" r:id="rId14"/>
    <sheet name="Bilan Valise" sheetId="28" state="hidden" r:id="rId15"/>
    <sheet name="References" sheetId="11" r:id="rId16"/>
  </sheets>
  <functionGroups builtInGroupCount="19"/>
  <externalReferences>
    <externalReference r:id="rId17"/>
  </externalReferences>
  <definedNames>
    <definedName name="_xleta.COUNT" hidden="1" xlm="1">#NAME?</definedName>
    <definedName name="_xleta.IF" hidden="1" xlm="1">#NAME?</definedName>
    <definedName name="_xleta.NOT" hidden="1" xlm="1">#NAME?</definedName>
    <definedName name="Conformite" localSheetId="5">Tab_Conformite[Conformité]</definedName>
    <definedName name="Conformite" localSheetId="4">Tab_Conformite[Conformité]</definedName>
    <definedName name="Conformite" localSheetId="0">Tab_Conformite[Conformité]</definedName>
    <definedName name="Conformite" localSheetId="11">Tab_Conformite[Conformité]</definedName>
    <definedName name="Conformite">Tab_Conformite[Conformité]</definedName>
    <definedName name="Identifiant">#REF!</definedName>
    <definedName name="Identifiant_Shunt">'[1]Formulaire de saisie'!$C$8</definedName>
    <definedName name="Norme" localSheetId="5">Tab_ConditionsAcces[Norme]</definedName>
    <definedName name="Norme" localSheetId="4">Tab_ConditionsAcces[Norme]</definedName>
    <definedName name="Norme" localSheetId="0">Tab_ConditionsAcces[Norme]</definedName>
    <definedName name="Norme" localSheetId="11">Tab_ConditionsAcces[Norme]</definedName>
    <definedName name="Norme">Tab_ConditionsAcces[Norme]</definedName>
    <definedName name="Num_Identification" localSheetId="5">Tab_Base[N°identification]</definedName>
    <definedName name="Num_Identification" localSheetId="4">Tab_Base[N°identification]</definedName>
    <definedName name="Num_Identification" localSheetId="0">Tab_Base[N°identification]</definedName>
    <definedName name="Num_Identification" localSheetId="11">Tab_Base[N°identification]</definedName>
    <definedName name="Num_Identification">Tab_Base[N°identification]</definedName>
    <definedName name="Pince" localSheetId="5">Tab_Pince[Type de pince]</definedName>
    <definedName name="Pince" localSheetId="4">Tab_Pince[Type de pince]</definedName>
    <definedName name="Pince" localSheetId="0">Tab_Pince[Type de pince]</definedName>
    <definedName name="Pince" localSheetId="11">Tab_Pince[Type de pince]</definedName>
    <definedName name="Pince">Tab_Pince[Type de pince]</definedName>
    <definedName name="Shunt">Tab_Type_Shunt[Type]</definedName>
    <definedName name="Verificateur" localSheetId="5">References!$A$2:$A$16</definedName>
    <definedName name="Verificateur" localSheetId="4">References!$A$2:$A$16</definedName>
    <definedName name="Verificateur" localSheetId="11">References!$A$2:$A$16</definedName>
    <definedName name="Verificateur">References!$A$2:$A$16</definedName>
    <definedName name="_xlnm.Print_Area" localSheetId="7">Pieuvre!$A$1:$H$46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6" i="38" l="1"/>
  <c r="C24" i="38"/>
  <c r="C29" i="38" s="1"/>
  <c r="A29" i="38"/>
  <c r="A30" i="38"/>
  <c r="A28" i="38"/>
  <c r="C30" i="38"/>
  <c r="D32" i="22"/>
  <c r="K31" i="22"/>
  <c r="D34" i="22"/>
  <c r="G8" i="38"/>
  <c r="B10" i="38"/>
  <c r="B8" i="38"/>
  <c r="B10" i="39"/>
  <c r="G8" i="39"/>
  <c r="B8" i="39"/>
  <c r="C27" i="39"/>
  <c r="G29" i="39"/>
  <c r="A2" i="39" s="1"/>
  <c r="E27" i="39"/>
  <c r="F29" i="38"/>
  <c r="F28" i="38"/>
  <c r="H28" i="38"/>
  <c r="G38" i="38"/>
  <c r="A2" i="38" s="1"/>
  <c r="E36" i="38"/>
  <c r="G30" i="39"/>
  <c r="G39" i="36"/>
  <c r="G39" i="38"/>
  <c r="H29" i="38" l="1"/>
  <c r="C28" i="38"/>
  <c r="B19" i="37"/>
  <c r="E26" i="22" l="1"/>
  <c r="B10" i="22"/>
  <c r="A32" i="22" s="1"/>
  <c r="G37" i="33"/>
  <c r="G43" i="22"/>
  <c r="G34" i="35"/>
  <c r="H27" i="33" l="1"/>
  <c r="H28" i="33"/>
  <c r="H26" i="33"/>
  <c r="G18" i="22" l="1"/>
  <c r="G42" i="22"/>
  <c r="A2" i="22" s="1"/>
  <c r="F26" i="36"/>
  <c r="F27" i="36"/>
  <c r="F28" i="36"/>
  <c r="E30" i="36"/>
  <c r="H30" i="36" s="1"/>
  <c r="E29" i="36"/>
  <c r="E28" i="36"/>
  <c r="E27" i="36"/>
  <c r="D30" i="36"/>
  <c r="D29" i="36"/>
  <c r="H29" i="36" s="1"/>
  <c r="D28" i="36"/>
  <c r="D27" i="36"/>
  <c r="D26" i="36"/>
  <c r="E26" i="36"/>
  <c r="D23" i="36"/>
  <c r="F24" i="35"/>
  <c r="F25" i="35"/>
  <c r="F23" i="35"/>
  <c r="G38" i="36"/>
  <c r="A2" i="36" s="1"/>
  <c r="E36" i="36"/>
  <c r="F25" i="36"/>
  <c r="H25" i="36" s="1"/>
  <c r="D25" i="36"/>
  <c r="F24" i="36"/>
  <c r="H24" i="36" s="1"/>
  <c r="D24" i="36"/>
  <c r="F23" i="36"/>
  <c r="H23" i="36" s="1"/>
  <c r="B10" i="36"/>
  <c r="G8" i="36"/>
  <c r="B8" i="36"/>
  <c r="D25" i="35"/>
  <c r="D24" i="35"/>
  <c r="D23" i="35"/>
  <c r="B10" i="35"/>
  <c r="G8" i="35"/>
  <c r="B8" i="35"/>
  <c r="G33" i="35"/>
  <c r="A2" i="35" s="1"/>
  <c r="E31" i="35"/>
  <c r="B12" i="33"/>
  <c r="B10" i="33"/>
  <c r="B8" i="33"/>
  <c r="G10" i="33"/>
  <c r="E34" i="33" s="1"/>
  <c r="G8" i="33"/>
  <c r="G36" i="33"/>
  <c r="A2" i="33" s="1"/>
  <c r="E40" i="22"/>
  <c r="H28" i="36" l="1"/>
  <c r="H27" i="36"/>
  <c r="H26" i="36"/>
  <c r="G34" i="22"/>
  <c r="H24" i="35"/>
  <c r="H25" i="35"/>
  <c r="H23" i="35"/>
  <c r="C36" i="36"/>
  <c r="G19" i="33"/>
  <c r="H19" i="33"/>
  <c r="C31" i="35" l="1"/>
  <c r="C34" i="33"/>
  <c r="G32" i="22" l="1"/>
  <c r="C40" i="22" s="1"/>
</calcChain>
</file>

<file path=xl/metadata.xml><?xml version="1.0" encoding="utf-8"?>
<metadata xmlns="http://schemas.openxmlformats.org/spreadsheetml/2006/main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4">
    <bk>
      <extLst>
        <ext xmlns:xlrd="http://schemas.microsoft.com/office/spreadsheetml/2017/richdata" uri="{3e2802c4-a4d2-4d8b-9148-e3be6c30e623}">
          <xlrd:rvb i="0"/>
        </ext>
      </extLst>
    </bk>
    <bk>
      <extLst>
        <ext xmlns:xlrd="http://schemas.microsoft.com/office/spreadsheetml/2017/richdata" uri="{3e2802c4-a4d2-4d8b-9148-e3be6c30e623}">
          <xlrd:rvb i="1"/>
        </ext>
      </extLst>
    </bk>
    <bk>
      <extLst>
        <ext xmlns:xlrd="http://schemas.microsoft.com/office/spreadsheetml/2017/richdata" uri="{3e2802c4-a4d2-4d8b-9148-e3be6c30e623}">
          <xlrd:rvb i="2"/>
        </ext>
      </extLst>
    </bk>
    <bk>
      <extLst>
        <ext xmlns:xlrd="http://schemas.microsoft.com/office/spreadsheetml/2017/richdata" uri="{3e2802c4-a4d2-4d8b-9148-e3be6c30e623}">
          <xlrd:rvb i="3"/>
        </ext>
      </extLst>
    </bk>
  </futureMetadata>
  <valueMetadata count="4">
    <bk>
      <rc t="1" v="0"/>
    </bk>
    <bk>
      <rc t="1" v="1"/>
    </bk>
    <bk>
      <rc t="1" v="2"/>
    </bk>
    <bk>
      <rc t="1" v="3"/>
    </bk>
  </valueMetadata>
</metadata>
</file>

<file path=xl/sharedStrings.xml><?xml version="1.0" encoding="utf-8"?>
<sst xmlns="http://schemas.openxmlformats.org/spreadsheetml/2006/main" count="1245" uniqueCount="406">
  <si>
    <t>CONSTAT DE VERIFICATION</t>
  </si>
  <si>
    <t>INSTRUMENT VERIFIE</t>
  </si>
  <si>
    <t>Désignation</t>
  </si>
  <si>
    <t xml:space="preserve">Constructeur </t>
  </si>
  <si>
    <t>Numéro de série</t>
  </si>
  <si>
    <t>N°identification</t>
  </si>
  <si>
    <t xml:space="preserve">Date du contrôle </t>
  </si>
  <si>
    <t>Vérificateur</t>
  </si>
  <si>
    <t>Température</t>
  </si>
  <si>
    <t>Humidité relative</t>
  </si>
  <si>
    <t>Etalons et instruments utilisés</t>
  </si>
  <si>
    <t xml:space="preserve"> Marquage 
de l'empreinte</t>
  </si>
  <si>
    <t>Absence
 de bavure</t>
  </si>
  <si>
    <t>Section</t>
  </si>
  <si>
    <t xml:space="preserve">Force de 
rupture </t>
  </si>
  <si>
    <t>Conformité</t>
  </si>
  <si>
    <t>Force de traction minimun</t>
  </si>
  <si>
    <t>CONDITION DE MESURE</t>
  </si>
  <si>
    <t>Modèle</t>
  </si>
  <si>
    <t>OBSERVATION</t>
  </si>
  <si>
    <t>RESULTAT DE MESURE</t>
  </si>
  <si>
    <t>Vitesse de traction</t>
  </si>
  <si>
    <t>Min</t>
  </si>
  <si>
    <t>Max</t>
  </si>
  <si>
    <t>Type d'essai</t>
  </si>
  <si>
    <t xml:space="preserve">Résistance de traction </t>
  </si>
  <si>
    <t>CONCLUSION</t>
  </si>
  <si>
    <t xml:space="preserve">Position 
cosse / embout </t>
  </si>
  <si>
    <t>Numéro du contrôle</t>
  </si>
  <si>
    <t>Date</t>
  </si>
  <si>
    <t>N° série</t>
  </si>
  <si>
    <t>Norme</t>
  </si>
  <si>
    <t>SIG-SER-BML-6001</t>
  </si>
  <si>
    <t>C130</t>
  </si>
  <si>
    <t>L36947</t>
  </si>
  <si>
    <t>NF C 20-130</t>
  </si>
  <si>
    <t>SIG-SER-BML-6002</t>
  </si>
  <si>
    <t>C130-26</t>
  </si>
  <si>
    <t>L36946</t>
  </si>
  <si>
    <t>SIG-SER-BML-1801</t>
  </si>
  <si>
    <t>HT120</t>
  </si>
  <si>
    <t>15AM174</t>
  </si>
  <si>
    <t>SIG-SER-BMS-1802</t>
  </si>
  <si>
    <t>14AW208</t>
  </si>
  <si>
    <t>SIG-SER-BML-1803</t>
  </si>
  <si>
    <t>HT45E</t>
  </si>
  <si>
    <t>17AR201</t>
  </si>
  <si>
    <t>SIG-SER-BMS-1804</t>
  </si>
  <si>
    <t>17AR621</t>
  </si>
  <si>
    <t>SIG-OUT-BML-5501</t>
  </si>
  <si>
    <t>KKEK3</t>
  </si>
  <si>
    <t>752338JQ578</t>
  </si>
  <si>
    <t>NF EN 60352-2</t>
  </si>
  <si>
    <t>SIG-OUT-BML-5503</t>
  </si>
  <si>
    <t>752338JQ568</t>
  </si>
  <si>
    <t>SIG-OUT-BMS-5502</t>
  </si>
  <si>
    <t>752338JQ526</t>
  </si>
  <si>
    <t>SIG-OUT-BML-5504</t>
  </si>
  <si>
    <t>KKEK3/K2F</t>
  </si>
  <si>
    <t>1056528PP033</t>
  </si>
  <si>
    <t>SIG-SER-BML-1701</t>
  </si>
  <si>
    <t>MRD50</t>
  </si>
  <si>
    <t>SIG-SER-BML-1702</t>
  </si>
  <si>
    <t>SIG-SER-BMS-1702</t>
  </si>
  <si>
    <t>MRD51</t>
  </si>
  <si>
    <t>SIG-SER-BMS-1704</t>
  </si>
  <si>
    <t>MRD52</t>
  </si>
  <si>
    <t>SIG-SER-BML-1401</t>
  </si>
  <si>
    <t>TH1-90</t>
  </si>
  <si>
    <t>MTR16118</t>
  </si>
  <si>
    <t>NF C 63-023</t>
  </si>
  <si>
    <t>SIG-SER-BML-1402</t>
  </si>
  <si>
    <t>MTR21268</t>
  </si>
  <si>
    <t>SIG-SER-BML-1407</t>
  </si>
  <si>
    <t>MTR22062</t>
  </si>
  <si>
    <t>SIG-SER-BML-1501</t>
  </si>
  <si>
    <t>MTR16121</t>
  </si>
  <si>
    <t>SIG-SER-BML-1502</t>
  </si>
  <si>
    <t>MTR16122</t>
  </si>
  <si>
    <t>SIG-SER-BMS-1403</t>
  </si>
  <si>
    <t>MTR16120</t>
  </si>
  <si>
    <t>SIG-SER-BMS-1404</t>
  </si>
  <si>
    <t>MTR16141</t>
  </si>
  <si>
    <t>SIG-SER-BMS-1405</t>
  </si>
  <si>
    <t>MTR22063</t>
  </si>
  <si>
    <t>SIG-SER-BML-1507</t>
  </si>
  <si>
    <t>TH1-S</t>
  </si>
  <si>
    <t>MTR22095</t>
  </si>
  <si>
    <t>SIG-SER-BMS-1503</t>
  </si>
  <si>
    <t>MTR16123</t>
  </si>
  <si>
    <t>SIG-SER-BMS-1504</t>
  </si>
  <si>
    <t>MTR16124</t>
  </si>
  <si>
    <t>SIG-SER-BMS-1505</t>
  </si>
  <si>
    <t>MTR22093</t>
  </si>
  <si>
    <t>SIG-OUT-BML-4601</t>
  </si>
  <si>
    <t>TH2</t>
  </si>
  <si>
    <t>MTR18172</t>
  </si>
  <si>
    <t>NF F 00-363</t>
  </si>
  <si>
    <t>SIG-OUT-BMS-4602</t>
  </si>
  <si>
    <t>MTR18171</t>
  </si>
  <si>
    <t>SIG-SER-BML-1601</t>
  </si>
  <si>
    <t>TH3-2</t>
  </si>
  <si>
    <t>SIG-SER-BML-1602</t>
  </si>
  <si>
    <t>SIG-SER-BML-1607</t>
  </si>
  <si>
    <t>SIG-SER-BMS-1603</t>
  </si>
  <si>
    <t>SIG-SER-BMS-1604</t>
  </si>
  <si>
    <t>SIG-SER-BMS-1605</t>
  </si>
  <si>
    <t>Echantillon 1</t>
  </si>
  <si>
    <t>Echantillon 2</t>
  </si>
  <si>
    <t>Echantillon 3</t>
  </si>
  <si>
    <t>L'instrument est déclaré</t>
  </si>
  <si>
    <t xml:space="preserve">aux prescriptions </t>
  </si>
  <si>
    <t>Vitesse Mini</t>
  </si>
  <si>
    <t>Pince</t>
  </si>
  <si>
    <t>Fabriquant</t>
  </si>
  <si>
    <t>Cembre</t>
  </si>
  <si>
    <t>Vérificateur 1</t>
  </si>
  <si>
    <t>Vérificateur 3</t>
  </si>
  <si>
    <t>Vérificateur 4</t>
  </si>
  <si>
    <t>Vérificateur 8</t>
  </si>
  <si>
    <t>Vérificateur 9</t>
  </si>
  <si>
    <t>Températeur Mini</t>
  </si>
  <si>
    <t>Températeur Maxi</t>
  </si>
  <si>
    <t>Humidité relative Maxi</t>
  </si>
  <si>
    <t>Humidité relative Mini</t>
  </si>
  <si>
    <t>Vitesse Maxi</t>
  </si>
  <si>
    <t>Voir rapport du banc d'essai</t>
  </si>
  <si>
    <t>Force de traction</t>
  </si>
  <si>
    <t>15°C</t>
  </si>
  <si>
    <t>35°C</t>
  </si>
  <si>
    <t>Numéro d'identification</t>
  </si>
  <si>
    <t>Hydrométrie</t>
  </si>
  <si>
    <t>Type de pince</t>
  </si>
  <si>
    <t>Vérificateur:</t>
  </si>
  <si>
    <t>Conforme</t>
  </si>
  <si>
    <t>Non conforme</t>
  </si>
  <si>
    <t>a définir</t>
  </si>
  <si>
    <t>Norme du contrôle</t>
  </si>
  <si>
    <t>Echantillion 1: 
Position de la cosse</t>
  </si>
  <si>
    <t>Echantillion 1: 
Marquage de l'empreinte</t>
  </si>
  <si>
    <t>Echantillion 1: 
Absence  de bavure</t>
  </si>
  <si>
    <t>Echantillion 1: 
Section</t>
  </si>
  <si>
    <t>Echantillion 1:
 Force de rupture 
mini</t>
  </si>
  <si>
    <t>Echantillion 1: 
Valeur de rupture</t>
  </si>
  <si>
    <t>Echantillion 2: 
Position de la cosse</t>
  </si>
  <si>
    <t>Echantillion 2: 
Absence  de bavure</t>
  </si>
  <si>
    <t>Echantillion 2: 
Section</t>
  </si>
  <si>
    <t>Echantillion 2: 
Marquage de l'empreinte</t>
  </si>
  <si>
    <t>Echantillion 2: 
Force de rupture mini</t>
  </si>
  <si>
    <t>Echantillion 2: 
Valeur de rupture</t>
  </si>
  <si>
    <t>Echantillion3: 
Position de la cosse</t>
  </si>
  <si>
    <t>Echantillion 3: 
Marquage de l'empreinte</t>
  </si>
  <si>
    <t>Echantillion 3: 
Absence  de bavure</t>
  </si>
  <si>
    <t>Echantillion 3: 
Section</t>
  </si>
  <si>
    <t>Echantillion 3: 
Force de rupture mini</t>
  </si>
  <si>
    <t>Echantillion 3: 
Valeur de rupture</t>
  </si>
  <si>
    <t>Mode Passe</t>
  </si>
  <si>
    <t>Tolérence</t>
  </si>
  <si>
    <t>Numéro identification Ampéremetre</t>
  </si>
  <si>
    <t>fd</t>
  </si>
  <si>
    <t>gh</t>
  </si>
  <si>
    <t>Numéro identification Voltmetre</t>
  </si>
  <si>
    <t>N°identification boite</t>
  </si>
  <si>
    <t>N°identification Pieuvre</t>
  </si>
  <si>
    <t>s</t>
  </si>
  <si>
    <t>Pieuvre</t>
  </si>
  <si>
    <t>Courant d'essai</t>
  </si>
  <si>
    <t>Boîte de résistances</t>
  </si>
  <si>
    <t>Boitier porte résistance pour multimètre numérique</t>
  </si>
  <si>
    <t>Cordons shunt</t>
  </si>
  <si>
    <t>Barre d'essai à shunt</t>
  </si>
  <si>
    <t>Nb de conducteur</t>
  </si>
  <si>
    <t>SIG-PIE-BMS-0201-16</t>
  </si>
  <si>
    <t>SIG-PIE-BMS-0202-32</t>
  </si>
  <si>
    <t>SIG-PIE-BML-0203-18</t>
  </si>
  <si>
    <t>SIG-PIE-BML-0204-24</t>
  </si>
  <si>
    <t>x</t>
  </si>
  <si>
    <t>Numéro identification Ohmetre</t>
  </si>
  <si>
    <t>xx</t>
  </si>
  <si>
    <t xml:space="preserve"> </t>
  </si>
  <si>
    <t>Valeur Attendu</t>
  </si>
  <si>
    <t>Valise test câble</t>
  </si>
  <si>
    <t>N°identification Valise</t>
  </si>
  <si>
    <t>IT</t>
  </si>
  <si>
    <t>Appareil de mesure</t>
  </si>
  <si>
    <t>SIG-MES-BML-6501</t>
  </si>
  <si>
    <t>SIG-MES-BMS-6502</t>
  </si>
  <si>
    <t>Valise Platine de test</t>
  </si>
  <si>
    <t>PELI</t>
  </si>
  <si>
    <t>1550 case</t>
  </si>
  <si>
    <t>TEC associé</t>
  </si>
  <si>
    <t>Volt-ampèremètrique</t>
  </si>
  <si>
    <t>et</t>
  </si>
  <si>
    <t>Instruments utilisés</t>
  </si>
  <si>
    <t>Résistance 
Relevé</t>
  </si>
  <si>
    <t>15,0°C</t>
  </si>
  <si>
    <t>20,0°C</t>
  </si>
  <si>
    <t>fabriquant</t>
  </si>
  <si>
    <t>modele</t>
  </si>
  <si>
    <t>serie</t>
  </si>
  <si>
    <t>Continuité</t>
  </si>
  <si>
    <t xml:space="preserve">Absence de continuite </t>
  </si>
  <si>
    <t>Barre à Shunt</t>
  </si>
  <si>
    <t>Boîte à résistance</t>
  </si>
  <si>
    <t>Nombre de conducteur à tester</t>
  </si>
  <si>
    <t>Boite a résistance</t>
  </si>
  <si>
    <t>à la tec</t>
  </si>
  <si>
    <t>Isolement</t>
  </si>
  <si>
    <t>led</t>
  </si>
  <si>
    <t>corbin</t>
  </si>
  <si>
    <t>ss</t>
  </si>
  <si>
    <t>A MP 02 F N°03</t>
  </si>
  <si>
    <t>Source chaude</t>
  </si>
  <si>
    <t>Générateur de fréquence</t>
  </si>
  <si>
    <t>Non Conforme</t>
  </si>
  <si>
    <t>IT - 5</t>
  </si>
  <si>
    <t>Numéro IT</t>
  </si>
  <si>
    <t>Tension relevée</t>
  </si>
  <si>
    <t>Résistance Théorique en fonction appareil de mesure</t>
  </si>
  <si>
    <t>A définir</t>
  </si>
  <si>
    <t>Nombre de branches</t>
  </si>
  <si>
    <t>Valeur corrigé</t>
  </si>
  <si>
    <t>Résistance Maximun de la pieuvre</t>
  </si>
  <si>
    <t>Nombre de conducteur testé</t>
  </si>
  <si>
    <t xml:space="preserve">Fabriquant </t>
  </si>
  <si>
    <t xml:space="preserve">Ampéremetre </t>
  </si>
  <si>
    <t>Voltmètre</t>
  </si>
  <si>
    <t>Courant d'essai 0,15</t>
  </si>
  <si>
    <t>Tension relevée 0,15</t>
  </si>
  <si>
    <t>Résistance 
Relevé 0,15</t>
  </si>
  <si>
    <t>Courant d'essai 0,25</t>
  </si>
  <si>
    <t>Tension relevée 0,25</t>
  </si>
  <si>
    <t>Résistance 
Relevé 0,25</t>
  </si>
  <si>
    <t>Courant d'essai 0,5</t>
  </si>
  <si>
    <t>Tension relevée 0,5</t>
  </si>
  <si>
    <t>Résistance 
Relevé 0,5</t>
  </si>
  <si>
    <t>Courant d'essai 5</t>
  </si>
  <si>
    <t>Tension relevée 5</t>
  </si>
  <si>
    <t>Résistance 
Relevé 5</t>
  </si>
  <si>
    <t>Courant d'essai 20</t>
  </si>
  <si>
    <t>Tension relevée 20</t>
  </si>
  <si>
    <t>Résistance 
Relevé 20</t>
  </si>
  <si>
    <t>Courant d'essai 60</t>
  </si>
  <si>
    <t>Tension relevée 60</t>
  </si>
  <si>
    <t>Résistance 
Relevé 60</t>
  </si>
  <si>
    <t>Courant d'essai 5000</t>
  </si>
  <si>
    <t>Tension relevée 5000</t>
  </si>
  <si>
    <t>Résistance 
Relevé 5000</t>
  </si>
  <si>
    <t>Courant d'essai 50002</t>
  </si>
  <si>
    <t>15/04/2025</t>
  </si>
  <si>
    <t>Observation</t>
  </si>
  <si>
    <t>Tension relevée 50002</t>
  </si>
  <si>
    <t>Résistance 
Relevé 50002</t>
  </si>
  <si>
    <t>Résistance 
Relevé 500023</t>
  </si>
  <si>
    <t>v</t>
  </si>
  <si>
    <t>2025-04-15-1</t>
  </si>
  <si>
    <t>18,0°C</t>
  </si>
  <si>
    <t>2025-04-15-2</t>
  </si>
  <si>
    <t>IT - 6</t>
  </si>
  <si>
    <t>10 V</t>
  </si>
  <si>
    <t>Résistance 60 Ω</t>
  </si>
  <si>
    <t>2025-04-15-SIG-SER-BML-6002</t>
  </si>
  <si>
    <t>0,6  mm²</t>
  </si>
  <si>
    <t>500 N</t>
  </si>
  <si>
    <t>0,93  mm²</t>
  </si>
  <si>
    <t>100 N</t>
  </si>
  <si>
    <t>1,4  mm²</t>
  </si>
  <si>
    <t>N°identification Source Chaude</t>
  </si>
  <si>
    <t>N°identification Générateur de fréquence</t>
  </si>
  <si>
    <t>e</t>
  </si>
  <si>
    <t>IT - 15</t>
  </si>
  <si>
    <t>30,0°C</t>
  </si>
  <si>
    <t>D</t>
  </si>
  <si>
    <t>numero identification</t>
  </si>
  <si>
    <t xml:space="preserve">Température </t>
  </si>
  <si>
    <t>Humidité</t>
  </si>
  <si>
    <t>observation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</si>
  <si>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</si>
  <si>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</si>
  <si>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</si>
  <si>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</si>
  <si>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</si>
  <si>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</si>
  <si>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</si>
  <si>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</si>
  <si>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</si>
  <si>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</si>
  <si>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</si>
  <si>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</si>
  <si>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</si>
  <si>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</si>
  <si>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</si>
  <si>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</si>
  <si>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</si>
  <si>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</si>
  <si>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</si>
  <si>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</si>
  <si>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</si>
  <si>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</si>
  <si>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</si>
  <si>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</si>
  <si>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</si>
  <si>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</si>
  <si>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</si>
  <si>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</si>
  <si>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</si>
  <si>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</si>
  <si>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</si>
  <si>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2 Ω</t>
  </si>
  <si>
    <t>3 Ω</t>
  </si>
  <si>
    <t>5 Ω</t>
  </si>
  <si>
    <t>6 Ω</t>
  </si>
  <si>
    <t>9 Ω</t>
  </si>
  <si>
    <t>11 Ω</t>
  </si>
  <si>
    <t>14 Ω</t>
  </si>
  <si>
    <t>17 Ω</t>
  </si>
  <si>
    <t>18 Ω</t>
  </si>
  <si>
    <t>21 Ω</t>
  </si>
  <si>
    <t>23 Ω</t>
  </si>
  <si>
    <t>25 Ω</t>
  </si>
  <si>
    <t>26 Ω</t>
  </si>
  <si>
    <t>27 Ω</t>
  </si>
  <si>
    <t>29 Ω</t>
  </si>
  <si>
    <t>30 Ω</t>
  </si>
  <si>
    <t>31 Ω</t>
  </si>
  <si>
    <t>b</t>
  </si>
  <si>
    <t>2025-04-16-2</t>
  </si>
  <si>
    <t>16/04/2025</t>
  </si>
  <si>
    <t>2025-04-16-SIG-SER-BML-6001</t>
  </si>
  <si>
    <t>600 N</t>
  </si>
  <si>
    <t>g</t>
  </si>
  <si>
    <t>2025-04-16-SIG-SER-BML-6002</t>
  </si>
  <si>
    <t>0,5  mm²</t>
  </si>
  <si>
    <t>h</t>
  </si>
  <si>
    <t>2025-04-16-SIG-SER-BML-1801</t>
  </si>
  <si>
    <t>25,0°C</t>
  </si>
  <si>
    <t>w</t>
  </si>
  <si>
    <t>1,5  mm²</t>
  </si>
  <si>
    <t>Modèle Pince</t>
  </si>
  <si>
    <t>H</t>
  </si>
  <si>
    <t>Type</t>
  </si>
  <si>
    <t>Valise de test</t>
  </si>
  <si>
    <t xml:space="preserve"> afficher uniquement si désignation = Pince</t>
  </si>
  <si>
    <t xml:space="preserve"> afficher uniquement si désignation = pieuvre</t>
  </si>
  <si>
    <t>Si désignation = Pince</t>
  </si>
  <si>
    <t>Si désignation = Boîte de résistances</t>
  </si>
  <si>
    <t>Si désignation = Boitier porte résistance pour multimètre numérique</t>
  </si>
  <si>
    <t>Si désignation = Cordons shunt</t>
  </si>
  <si>
    <t>Si désignation = Barre d'essai à shunt</t>
  </si>
  <si>
    <t>Si désignation = Pieuvre</t>
  </si>
  <si>
    <t>Si désignation = Valise de test</t>
  </si>
  <si>
    <t>Si désignation = Source chaude</t>
  </si>
  <si>
    <t>Si désignation = Générateur de fréquence</t>
  </si>
  <si>
    <t xml:space="preserve">compléter le tableau </t>
  </si>
  <si>
    <t>Tab_Base_Shunt</t>
  </si>
  <si>
    <t>Tab_Base</t>
  </si>
  <si>
    <t>Tab_Base_pieuvre</t>
  </si>
  <si>
    <t>Tab_Base_Valise</t>
  </si>
  <si>
    <t>Tab_Base_Source_chaude</t>
  </si>
  <si>
    <t>Tab_Base_Générateur</t>
  </si>
  <si>
    <t>Masquer si pieuvre</t>
  </si>
  <si>
    <t>Thermographie</t>
  </si>
  <si>
    <t>RESULTAT DE MESURE APRES REGLAGE</t>
  </si>
  <si>
    <t>RESULTAT DE MESURE REGLAGE</t>
  </si>
  <si>
    <t xml:space="preserve">Réglage à effectuer </t>
  </si>
  <si>
    <t>Caméra utilisé</t>
  </si>
  <si>
    <t>Fréquencemétre utilisé</t>
  </si>
  <si>
    <t>d</t>
  </si>
  <si>
    <t>f</t>
  </si>
  <si>
    <t>m</t>
  </si>
  <si>
    <t>n</t>
  </si>
  <si>
    <t>CORBIN Pierrick</t>
  </si>
  <si>
    <t>B1</t>
  </si>
  <si>
    <t>Dans l'onglet base de donnée</t>
  </si>
  <si>
    <t xml:space="preserve">ICI </t>
  </si>
  <si>
    <t>B7</t>
  </si>
  <si>
    <t>B10</t>
  </si>
  <si>
    <t>B22</t>
  </si>
  <si>
    <t>B19</t>
  </si>
  <si>
    <t>B16</t>
  </si>
  <si>
    <t>B13</t>
  </si>
  <si>
    <t>AC</t>
  </si>
  <si>
    <t>AD</t>
  </si>
  <si>
    <t>AF</t>
  </si>
  <si>
    <t>AE</t>
  </si>
  <si>
    <t>Z</t>
  </si>
  <si>
    <t>AA</t>
  </si>
  <si>
    <t>Y</t>
  </si>
  <si>
    <t>X</t>
  </si>
  <si>
    <t>R</t>
  </si>
  <si>
    <t>T</t>
  </si>
  <si>
    <t>U</t>
  </si>
  <si>
    <t>V</t>
  </si>
  <si>
    <t>P</t>
  </si>
  <si>
    <t>N</t>
  </si>
  <si>
    <t>J</t>
  </si>
  <si>
    <t>L</t>
  </si>
  <si>
    <t>K</t>
  </si>
  <si>
    <t>A</t>
  </si>
  <si>
    <t>B</t>
  </si>
  <si>
    <t>I</t>
  </si>
  <si>
    <t>c</t>
  </si>
  <si>
    <t>E</t>
  </si>
  <si>
    <t>F</t>
  </si>
  <si>
    <t>Fréquencemétre</t>
  </si>
  <si>
    <t>Formulaire d'un nouvel équipement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</si>
</sst>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164" formatCode="0.0\°\C"/>
    <numFmt numFmtId="165" formatCode="0.0%"/>
    <numFmt numFmtId="166" formatCode="General&quot; N&quot;"/>
    <numFmt numFmtId="167" formatCode="General\ &quot; mm²&quot;"/>
    <numFmt numFmtId="168" formatCode="General\ &quot;mm²&quot;"/>
    <numFmt numFmtId="169" formatCode="General&quot; %&quot;"/>
    <numFmt numFmtId="170" formatCode="General&quot; Ω&quot;"/>
    <numFmt numFmtId="171" formatCode="General&quot; V&quot;"/>
    <numFmt numFmtId="172" formatCode="General&quot; A&quot;"/>
    <numFmt numFmtId="173" formatCode="&quot;1 - &quot;General"/>
    <numFmt numFmtId="174" formatCode="&quot;IT - &quot;General"/>
    <numFmt numFmtId="175" formatCode="&quot;supérieur à&quot;\ General&quot; Ω&quot;"/>
    <numFmt numFmtId="176" formatCode="&quot;Résistance&quot;\ General&quot; Ω&quot;"/>
    <numFmt numFmtId="177" formatCode="&quot;Comprise entre &quot;0.00&quot; Ω et &quot;"/>
    <numFmt numFmtId="178" formatCode="0.00&quot; Ω&quot;"/>
  </numFmts>
  <fonts count="23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2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1"/>
      <name val="Aptos Narrow"/>
      <family val="2"/>
      <scheme val="minor"/>
    </font>
    <font>
      <sz val="11"/>
      <color theme="3" tint="0.499984740745262"/>
      <name val="Aptos Narrow"/>
      <family val="2"/>
      <scheme val="minor"/>
    </font>
    <font>
      <sz val="8"/>
      <color theme="3" tint="0.499984740745262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0"/>
      <color theme="3" tint="0.499984740745262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color rgb="FF00B0F0"/>
      <name val="Aptos Narrow"/>
      <family val="2"/>
      <scheme val="minor"/>
    </font>
    <font>
      <sz val="11"/>
      <color rgb="FF0070C0"/>
      <name val="Aptos Narrow"/>
      <family val="2"/>
      <scheme val="minor"/>
    </font>
    <font>
      <sz val="10"/>
      <color rgb="FF0070C0"/>
      <name val="Aptos Narrow"/>
      <family val="2"/>
      <scheme val="minor"/>
    </font>
    <font>
      <sz val="8"/>
      <color rgb="FF0070C0"/>
      <name val="Aptos Narrow"/>
      <family val="2"/>
      <scheme val="minor"/>
    </font>
    <font>
      <sz val="11"/>
      <color rgb="FF000000"/>
      <name val="Aptos Narrow"/>
      <family val="2"/>
    </font>
    <font>
      <sz val="9"/>
      <color rgb="FF000000"/>
      <name val="Aptos Narrow"/>
      <family val="2"/>
    </font>
    <font>
      <sz val="13"/>
      <color rgb="FF333333"/>
      <name val="Courier New"/>
      <family val="3"/>
    </font>
  </fonts>
  <fills count="10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4" tint="0.39997558519241921"/>
      </left>
      <right/>
      <top/>
      <bottom/>
      <diagonal/>
    </border>
    <border>
      <left/>
      <right style="thin">
        <color theme="4" tint="0.3999755851924192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2">
    <xf numFmtId="0" fontId="0" fillId="0" borderId="0"/>
    <xf numFmtId="0" fontId="14" fillId="0" borderId="0" applyNumberFormat="0" applyFill="0" applyBorder="0" applyAlignment="0" applyProtection="0"/>
  </cellStyleXfs>
  <cellXfs count="20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18" xfId="0" applyBorder="1" applyAlignment="1">
      <alignment vertical="center"/>
    </xf>
    <xf numFmtId="0" fontId="0" fillId="0" borderId="16" xfId="0" applyBorder="1" applyAlignment="1">
      <alignment vertical="center"/>
    </xf>
    <xf numFmtId="0" fontId="6" fillId="0" borderId="0" xfId="0" applyFont="1" applyAlignment="1">
      <alignment wrapText="1"/>
    </xf>
    <xf numFmtId="0" fontId="0" fillId="0" borderId="0" xfId="0" quotePrefix="1" applyAlignment="1">
      <alignment wrapText="1"/>
    </xf>
    <xf numFmtId="0" fontId="8" fillId="0" borderId="1" xfId="0" applyFont="1" applyBorder="1" applyAlignment="1">
      <alignment horizontal="center" vertical="center" wrapText="1"/>
    </xf>
    <xf numFmtId="0" fontId="1" fillId="4" borderId="19" xfId="0" applyFont="1" applyFill="1" applyBorder="1" applyAlignment="1">
      <alignment horizontal="center"/>
    </xf>
    <xf numFmtId="0" fontId="1" fillId="4" borderId="20" xfId="0" applyFont="1" applyFill="1" applyBorder="1" applyAlignment="1">
      <alignment horizontal="center"/>
    </xf>
    <xf numFmtId="14" fontId="0" fillId="0" borderId="0" xfId="0" applyNumberFormat="1"/>
    <xf numFmtId="0" fontId="7" fillId="0" borderId="13" xfId="0" applyFont="1" applyBorder="1" applyAlignment="1">
      <alignment horizontal="centerContinuous"/>
    </xf>
    <xf numFmtId="0" fontId="7" fillId="0" borderId="14" xfId="0" applyFont="1" applyBorder="1" applyAlignment="1">
      <alignment horizontal="centerContinuous"/>
    </xf>
    <xf numFmtId="0" fontId="0" fillId="0" borderId="0" xfId="0" quotePrefix="1"/>
    <xf numFmtId="0" fontId="10" fillId="0" borderId="0" xfId="0" applyFont="1" applyAlignment="1">
      <alignment horizontal="center"/>
    </xf>
    <xf numFmtId="0" fontId="0" fillId="3" borderId="1" xfId="0" applyFill="1" applyBorder="1" applyAlignment="1">
      <alignment vertical="center"/>
    </xf>
    <xf numFmtId="0" fontId="7" fillId="0" borderId="12" xfId="0" applyFont="1" applyBorder="1" applyAlignment="1">
      <alignment horizontal="centerContinuous" vertical="center"/>
    </xf>
    <xf numFmtId="0" fontId="0" fillId="3" borderId="9" xfId="0" applyFill="1" applyBorder="1" applyAlignment="1">
      <alignment vertical="center"/>
    </xf>
    <xf numFmtId="0" fontId="8" fillId="0" borderId="10" xfId="0" applyFont="1" applyBorder="1" applyAlignment="1">
      <alignment horizontal="centerContinuous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6" fillId="5" borderId="2" xfId="0" applyFont="1" applyFill="1" applyBorder="1" applyAlignment="1" applyProtection="1">
      <alignment horizontal="centerContinuous"/>
      <protection locked="0"/>
    </xf>
    <xf numFmtId="0" fontId="5" fillId="0" borderId="0" xfId="0" applyFont="1"/>
    <xf numFmtId="0" fontId="0" fillId="2" borderId="23" xfId="0" applyFill="1" applyBorder="1"/>
    <xf numFmtId="0" fontId="0" fillId="2" borderId="0" xfId="0" applyFill="1" applyAlignment="1">
      <alignment horizontal="center"/>
    </xf>
    <xf numFmtId="0" fontId="0" fillId="2" borderId="21" xfId="0" applyFill="1" applyBorder="1"/>
    <xf numFmtId="0" fontId="0" fillId="2" borderId="22" xfId="0" applyFill="1" applyBorder="1" applyAlignment="1">
      <alignment horizontal="center"/>
    </xf>
    <xf numFmtId="0" fontId="0" fillId="2" borderId="11" xfId="0" applyFill="1" applyBorder="1"/>
    <xf numFmtId="0" fontId="0" fillId="2" borderId="24" xfId="0" applyFill="1" applyBorder="1"/>
    <xf numFmtId="0" fontId="0" fillId="2" borderId="12" xfId="0" applyFill="1" applyBorder="1"/>
    <xf numFmtId="0" fontId="0" fillId="2" borderId="14" xfId="0" applyFill="1" applyBorder="1"/>
    <xf numFmtId="0" fontId="0" fillId="3" borderId="1" xfId="0" applyFill="1" applyBorder="1"/>
    <xf numFmtId="0" fontId="0" fillId="0" borderId="0" xfId="0" quotePrefix="1" applyAlignment="1">
      <alignment horizontal="center"/>
    </xf>
    <xf numFmtId="0" fontId="6" fillId="0" borderId="18" xfId="0" applyFont="1" applyBorder="1" applyAlignment="1">
      <alignment horizontal="center" vertical="center"/>
    </xf>
    <xf numFmtId="0" fontId="6" fillId="0" borderId="18" xfId="0" applyFont="1" applyBorder="1" applyAlignment="1">
      <alignment vertical="center"/>
    </xf>
    <xf numFmtId="0" fontId="13" fillId="0" borderId="9" xfId="0" applyFont="1" applyBorder="1" applyAlignment="1">
      <alignment horizontal="centerContinuous" vertical="center"/>
    </xf>
    <xf numFmtId="0" fontId="13" fillId="0" borderId="10" xfId="0" applyFont="1" applyBorder="1" applyAlignment="1">
      <alignment horizontal="centerContinuous" vertical="center"/>
    </xf>
    <xf numFmtId="0" fontId="11" fillId="0" borderId="0" xfId="0" applyFont="1" applyAlignment="1">
      <alignment vertical="center"/>
    </xf>
    <xf numFmtId="164" fontId="13" fillId="0" borderId="10" xfId="0" applyNumberFormat="1" applyFont="1" applyBorder="1" applyAlignment="1">
      <alignment horizontal="centerContinuous" vertical="center"/>
    </xf>
    <xf numFmtId="165" fontId="13" fillId="0" borderId="10" xfId="0" applyNumberFormat="1" applyFont="1" applyBorder="1" applyAlignment="1">
      <alignment horizontal="centerContinuous" vertical="center"/>
    </xf>
    <xf numFmtId="10" fontId="0" fillId="0" borderId="0" xfId="0" applyNumberFormat="1"/>
    <xf numFmtId="0" fontId="1" fillId="4" borderId="26" xfId="0" applyFont="1" applyFill="1" applyBorder="1" applyAlignment="1">
      <alignment horizontal="center"/>
    </xf>
    <xf numFmtId="0" fontId="1" fillId="4" borderId="27" xfId="0" applyFont="1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10" fontId="0" fillId="0" borderId="0" xfId="0" applyNumberFormat="1" applyAlignment="1">
      <alignment horizontal="center"/>
    </xf>
    <xf numFmtId="0" fontId="0" fillId="7" borderId="19" xfId="0" applyFill="1" applyBorder="1" applyAlignment="1">
      <alignment horizontal="center"/>
    </xf>
    <xf numFmtId="0" fontId="0" fillId="0" borderId="19" xfId="0" applyBorder="1" applyAlignment="1">
      <alignment horizontal="center"/>
    </xf>
    <xf numFmtId="0" fontId="1" fillId="4" borderId="27" xfId="0" applyFont="1" applyFill="1" applyBorder="1" applyAlignment="1">
      <alignment horizontal="center" vertical="center"/>
    </xf>
    <xf numFmtId="0" fontId="14" fillId="0" borderId="28" xfId="1" quotePrefix="1" applyBorder="1" applyAlignment="1">
      <alignment vertical="center"/>
    </xf>
    <xf numFmtId="0" fontId="0" fillId="0" borderId="25" xfId="0" applyBorder="1" applyAlignment="1">
      <alignment horizontal="center" vertical="center"/>
    </xf>
    <xf numFmtId="0" fontId="0" fillId="0" borderId="25" xfId="0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wrapText="1"/>
    </xf>
    <xf numFmtId="0" fontId="1" fillId="4" borderId="0" xfId="0" applyFont="1" applyFill="1" applyAlignment="1">
      <alignment horizontal="center"/>
    </xf>
    <xf numFmtId="0" fontId="1" fillId="4" borderId="29" xfId="0" applyFont="1" applyFill="1" applyBorder="1" applyAlignment="1">
      <alignment horizontal="center"/>
    </xf>
    <xf numFmtId="0" fontId="1" fillId="4" borderId="30" xfId="0" applyFont="1" applyFill="1" applyBorder="1" applyAlignment="1">
      <alignment horizontal="center"/>
    </xf>
    <xf numFmtId="0" fontId="0" fillId="0" borderId="15" xfId="0" applyBorder="1" applyAlignment="1">
      <alignment vertical="center"/>
    </xf>
    <xf numFmtId="0" fontId="13" fillId="0" borderId="9" xfId="0" applyFont="1" applyBorder="1" applyAlignment="1">
      <alignment horizontal="center" vertical="center"/>
    </xf>
    <xf numFmtId="0" fontId="0" fillId="0" borderId="20" xfId="0" applyBorder="1" applyAlignment="1">
      <alignment horizontal="center"/>
    </xf>
    <xf numFmtId="170" fontId="0" fillId="0" borderId="0" xfId="0" applyNumberFormat="1" applyAlignment="1">
      <alignment horizontal="center"/>
    </xf>
    <xf numFmtId="0" fontId="0" fillId="0" borderId="1" xfId="0" applyBorder="1"/>
    <xf numFmtId="0" fontId="0" fillId="0" borderId="31" xfId="0" applyBorder="1" applyAlignment="1">
      <alignment horizontal="center" vertical="center"/>
    </xf>
    <xf numFmtId="0" fontId="0" fillId="0" borderId="2" xfId="0" applyBorder="1"/>
    <xf numFmtId="0" fontId="0" fillId="0" borderId="2" xfId="0" quotePrefix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5" borderId="10" xfId="0" applyFill="1" applyBorder="1" applyAlignment="1" applyProtection="1">
      <alignment horizontal="centerContinuous" vertical="center"/>
      <protection locked="0"/>
    </xf>
    <xf numFmtId="0" fontId="0" fillId="3" borderId="31" xfId="0" applyFill="1" applyBorder="1" applyAlignment="1">
      <alignment horizontal="center" vertical="center" wrapText="1"/>
    </xf>
    <xf numFmtId="0" fontId="17" fillId="0" borderId="10" xfId="0" applyFont="1" applyBorder="1" applyAlignment="1">
      <alignment horizontal="centerContinuous"/>
    </xf>
    <xf numFmtId="0" fontId="18" fillId="0" borderId="9" xfId="0" applyFont="1" applyBorder="1" applyAlignment="1">
      <alignment horizontal="centerContinuous" vertical="center"/>
    </xf>
    <xf numFmtId="0" fontId="18" fillId="0" borderId="10" xfId="0" applyFont="1" applyBorder="1" applyAlignment="1">
      <alignment horizontal="centerContinuous" vertical="center"/>
    </xf>
    <xf numFmtId="0" fontId="17" fillId="5" borderId="9" xfId="0" applyFont="1" applyFill="1" applyBorder="1" applyAlignment="1" applyProtection="1">
      <alignment horizontal="centerContinuous" vertical="center"/>
      <protection locked="0"/>
    </xf>
    <xf numFmtId="168" fontId="18" fillId="0" borderId="1" xfId="0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Continuous" vertical="center"/>
    </xf>
    <xf numFmtId="0" fontId="17" fillId="0" borderId="13" xfId="0" applyFont="1" applyBorder="1" applyAlignment="1">
      <alignment horizontal="centerContinuous"/>
    </xf>
    <xf numFmtId="0" fontId="17" fillId="0" borderId="14" xfId="0" applyFont="1" applyBorder="1" applyAlignment="1">
      <alignment horizontal="centerContinuous"/>
    </xf>
    <xf numFmtId="166" fontId="19" fillId="0" borderId="1" xfId="0" applyNumberFormat="1" applyFont="1" applyBorder="1" applyAlignment="1">
      <alignment horizontal="center" vertical="center"/>
    </xf>
    <xf numFmtId="0" fontId="0" fillId="3" borderId="31" xfId="0" applyFill="1" applyBorder="1" applyAlignment="1">
      <alignment horizontal="center" vertical="center"/>
    </xf>
    <xf numFmtId="167" fontId="19" fillId="0" borderId="1" xfId="0" applyNumberFormat="1" applyFont="1" applyBorder="1" applyAlignment="1" applyProtection="1">
      <alignment horizontal="center" vertical="center"/>
      <protection locked="0"/>
    </xf>
    <xf numFmtId="166" fontId="19" fillId="0" borderId="1" xfId="0" applyNumberFormat="1" applyFont="1" applyBorder="1" applyAlignment="1">
      <alignment horizontal="center" vertical="center" wrapText="1"/>
    </xf>
    <xf numFmtId="0" fontId="16" fillId="0" borderId="15" xfId="0" quotePrefix="1" applyFont="1" applyBorder="1" applyAlignment="1">
      <alignment vertical="center"/>
    </xf>
    <xf numFmtId="0" fontId="16" fillId="0" borderId="15" xfId="0" applyFont="1" applyBorder="1" applyAlignment="1">
      <alignment vertical="center"/>
    </xf>
    <xf numFmtId="0" fontId="16" fillId="0" borderId="10" xfId="0" applyFont="1" applyBorder="1" applyAlignment="1">
      <alignment vertical="center"/>
    </xf>
    <xf numFmtId="176" fontId="0" fillId="3" borderId="1" xfId="0" applyNumberFormat="1" applyFill="1" applyBorder="1" applyAlignment="1">
      <alignment horizontal="center" vertical="center"/>
    </xf>
    <xf numFmtId="164" fontId="0" fillId="5" borderId="9" xfId="0" applyNumberFormat="1" applyFill="1" applyBorder="1" applyAlignment="1" applyProtection="1">
      <alignment horizontal="centerContinuous"/>
      <protection locked="0"/>
    </xf>
    <xf numFmtId="169" fontId="0" fillId="0" borderId="0" xfId="0" applyNumberFormat="1"/>
    <xf numFmtId="164" fontId="0" fillId="5" borderId="9" xfId="0" applyNumberFormat="1" applyFill="1" applyBorder="1" applyAlignment="1" applyProtection="1">
      <alignment horizontal="center"/>
      <protection locked="0"/>
    </xf>
    <xf numFmtId="169" fontId="0" fillId="5" borderId="9" xfId="0" applyNumberFormat="1" applyFill="1" applyBorder="1" applyAlignment="1" applyProtection="1">
      <alignment horizontal="center"/>
      <protection locked="0"/>
    </xf>
    <xf numFmtId="169" fontId="0" fillId="5" borderId="15" xfId="0" applyNumberFormat="1" applyFill="1" applyBorder="1" applyAlignment="1" applyProtection="1">
      <alignment horizontal="center"/>
      <protection locked="0"/>
    </xf>
    <xf numFmtId="0" fontId="0" fillId="0" borderId="9" xfId="0" applyBorder="1" applyAlignment="1">
      <alignment horizontal="centerContinuous" vertical="center" wrapText="1"/>
    </xf>
    <xf numFmtId="0" fontId="0" fillId="0" borderId="10" xfId="0" applyBorder="1" applyAlignment="1">
      <alignment horizontal="centerContinuous" vertical="center" wrapText="1"/>
    </xf>
    <xf numFmtId="0" fontId="8" fillId="0" borderId="0" xfId="0" applyFont="1" applyAlignment="1">
      <alignment horizontal="centerContinuous" vertical="center"/>
    </xf>
    <xf numFmtId="0" fontId="19" fillId="0" borderId="10" xfId="0" applyFont="1" applyBorder="1" applyAlignment="1">
      <alignment horizontal="centerContinuous" vertical="center"/>
    </xf>
    <xf numFmtId="164" fontId="17" fillId="5" borderId="9" xfId="0" applyNumberFormat="1" applyFont="1" applyFill="1" applyBorder="1" applyAlignment="1" applyProtection="1">
      <alignment horizontal="centerContinuous"/>
      <protection locked="0"/>
    </xf>
    <xf numFmtId="164" fontId="18" fillId="0" borderId="10" xfId="0" applyNumberFormat="1" applyFont="1" applyBorder="1" applyAlignment="1">
      <alignment horizontal="centerContinuous" vertical="center"/>
    </xf>
    <xf numFmtId="0" fontId="1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/>
    </xf>
    <xf numFmtId="0" fontId="17" fillId="0" borderId="9" xfId="0" applyFont="1" applyBorder="1" applyAlignment="1">
      <alignment horizontal="centerContinuous" vertical="center" wrapText="1"/>
    </xf>
    <xf numFmtId="0" fontId="17" fillId="0" borderId="10" xfId="0" applyFont="1" applyBorder="1" applyAlignment="1">
      <alignment horizontal="centerContinuous" vertical="center" wrapText="1"/>
    </xf>
    <xf numFmtId="169" fontId="17" fillId="5" borderId="9" xfId="0" applyNumberFormat="1" applyFont="1" applyFill="1" applyBorder="1" applyAlignment="1" applyProtection="1">
      <alignment horizontal="centerContinuous"/>
      <protection locked="0"/>
    </xf>
    <xf numFmtId="165" fontId="18" fillId="0" borderId="10" xfId="0" applyNumberFormat="1" applyFont="1" applyBorder="1" applyAlignment="1">
      <alignment horizontal="centerContinuous" vertical="center"/>
    </xf>
    <xf numFmtId="164" fontId="17" fillId="5" borderId="9" xfId="0" applyNumberFormat="1" applyFont="1" applyFill="1" applyBorder="1" applyAlignment="1" applyProtection="1">
      <alignment horizontal="center"/>
      <protection locked="0"/>
    </xf>
    <xf numFmtId="0" fontId="17" fillId="0" borderId="15" xfId="0" quotePrefix="1" applyFont="1" applyBorder="1" applyAlignment="1">
      <alignment vertical="center"/>
    </xf>
    <xf numFmtId="169" fontId="17" fillId="5" borderId="15" xfId="0" applyNumberFormat="1" applyFont="1" applyFill="1" applyBorder="1" applyAlignment="1" applyProtection="1">
      <alignment horizontal="center"/>
      <protection locked="0"/>
    </xf>
    <xf numFmtId="0" fontId="17" fillId="0" borderId="15" xfId="0" applyFont="1" applyBorder="1" applyAlignment="1">
      <alignment vertical="center"/>
    </xf>
    <xf numFmtId="0" fontId="17" fillId="0" borderId="10" xfId="0" applyFont="1" applyBorder="1" applyAlignment="1">
      <alignment vertical="center"/>
    </xf>
    <xf numFmtId="170" fontId="0" fillId="0" borderId="10" xfId="0" applyNumberFormat="1" applyBorder="1" applyAlignment="1">
      <alignment vertical="center" wrapText="1"/>
    </xf>
    <xf numFmtId="177" fontId="0" fillId="0" borderId="9" xfId="0" applyNumberFormat="1" applyBorder="1" applyAlignment="1">
      <alignment vertical="center" wrapText="1"/>
    </xf>
    <xf numFmtId="0" fontId="0" fillId="8" borderId="1" xfId="0" applyFill="1" applyBorder="1" applyAlignment="1">
      <alignment horizontal="center"/>
    </xf>
    <xf numFmtId="172" fontId="0" fillId="0" borderId="1" xfId="0" applyNumberFormat="1" applyBorder="1" applyAlignment="1">
      <alignment horizontal="center" vertical="center" wrapText="1"/>
    </xf>
    <xf numFmtId="171" fontId="0" fillId="0" borderId="1" xfId="0" applyNumberFormat="1" applyBorder="1" applyAlignment="1">
      <alignment horizontal="center"/>
    </xf>
    <xf numFmtId="0" fontId="18" fillId="0" borderId="10" xfId="0" applyFont="1" applyBorder="1" applyAlignment="1">
      <alignment horizontal="centerContinuous"/>
    </xf>
    <xf numFmtId="0" fontId="18" fillId="5" borderId="9" xfId="0" applyFont="1" applyFill="1" applyBorder="1" applyAlignment="1" applyProtection="1">
      <alignment horizontal="centerContinuous" vertical="center"/>
      <protection locked="0"/>
    </xf>
    <xf numFmtId="0" fontId="0" fillId="8" borderId="1" xfId="0" applyFill="1" applyBorder="1" applyAlignment="1">
      <alignment horizontal="center" vertical="center" wrapText="1"/>
    </xf>
    <xf numFmtId="0" fontId="13" fillId="0" borderId="0" xfId="0" applyFont="1" applyAlignment="1">
      <alignment horizontal="centerContinuous" vertical="center"/>
    </xf>
    <xf numFmtId="174" fontId="17" fillId="5" borderId="9" xfId="0" applyNumberFormat="1" applyFont="1" applyFill="1" applyBorder="1" applyAlignment="1" applyProtection="1">
      <alignment horizontal="centerContinuous"/>
      <protection locked="0"/>
    </xf>
    <xf numFmtId="0" fontId="16" fillId="0" borderId="10" xfId="0" quotePrefix="1" applyFont="1" applyBorder="1" applyAlignment="1">
      <alignment horizontal="centerContinuous" vertical="center"/>
    </xf>
    <xf numFmtId="0" fontId="0" fillId="0" borderId="15" xfId="0" applyBorder="1" applyAlignment="1">
      <alignment horizontal="centerContinuous"/>
    </xf>
    <xf numFmtId="0" fontId="0" fillId="0" borderId="10" xfId="0" applyBorder="1" applyAlignment="1">
      <alignment horizontal="centerContinuous"/>
    </xf>
    <xf numFmtId="17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173" fontId="15" fillId="3" borderId="1" xfId="0" applyNumberFormat="1" applyFont="1" applyFill="1" applyBorder="1" applyAlignment="1">
      <alignment horizontal="center" vertical="center"/>
    </xf>
    <xf numFmtId="170" fontId="13" fillId="0" borderId="9" xfId="0" applyNumberFormat="1" applyFont="1" applyBorder="1" applyAlignment="1">
      <alignment horizontal="centerContinuous" vertical="center"/>
    </xf>
    <xf numFmtId="170" fontId="0" fillId="0" borderId="10" xfId="0" applyNumberFormat="1" applyBorder="1" applyAlignment="1">
      <alignment horizontal="centerContinuous"/>
    </xf>
    <xf numFmtId="0" fontId="0" fillId="0" borderId="21" xfId="0" applyBorder="1"/>
    <xf numFmtId="0" fontId="12" fillId="0" borderId="12" xfId="0" applyFont="1" applyBorder="1" applyAlignment="1">
      <alignment horizontal="centerContinuous" vertical="center"/>
    </xf>
    <xf numFmtId="0" fontId="12" fillId="0" borderId="13" xfId="0" applyFont="1" applyBorder="1" applyAlignment="1">
      <alignment horizontal="centerContinuous" vertical="center"/>
    </xf>
    <xf numFmtId="0" fontId="12" fillId="0" borderId="14" xfId="0" applyFont="1" applyBorder="1" applyAlignment="1">
      <alignment horizontal="centerContinuous" vertical="center"/>
    </xf>
    <xf numFmtId="167" fontId="19" fillId="5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  <xf numFmtId="9" fontId="0" fillId="0" borderId="0" xfId="0" applyNumberFormat="1"/>
    <xf numFmtId="2" fontId="0" fillId="0" borderId="0" xfId="0" applyNumberFormat="1"/>
    <xf numFmtId="174" fontId="18" fillId="5" borderId="9" xfId="0" applyNumberFormat="1" applyFont="1" applyFill="1" applyBorder="1" applyAlignment="1" applyProtection="1">
      <alignment horizontal="centerContinuous"/>
      <protection locked="0"/>
    </xf>
    <xf numFmtId="14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9" fontId="0" fillId="0" borderId="1" xfId="0" applyNumberFormat="1" applyBorder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9" xfId="0" applyBorder="1" applyAlignment="1">
      <alignment horizontal="centerContinuous"/>
    </xf>
    <xf numFmtId="0" fontId="0" fillId="5" borderId="9" xfId="0" applyFill="1" applyBorder="1" applyAlignment="1" applyProtection="1">
      <alignment horizontal="centerContinuous" vertical="center"/>
      <protection locked="0"/>
    </xf>
    <xf numFmtId="0" fontId="0" fillId="0" borderId="0" xfId="0" applyAlignment="1" applyProtection="1">
      <alignment horizontal="left"/>
      <protection locked="0"/>
    </xf>
    <xf numFmtId="0" fontId="22" fillId="0" borderId="0" xfId="0" applyFont="1"/>
    <xf numFmtId="0" fontId="6" fillId="5" borderId="2" xfId="0" applyFont="1" applyFill="1" applyBorder="1" applyAlignment="1" applyProtection="1">
      <alignment horizontal="center" vertical="center"/>
      <protection locked="0"/>
    </xf>
    <xf numFmtId="0" fontId="1" fillId="9" borderId="6" xfId="0" applyFont="1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1" fillId="4" borderId="32" xfId="0" applyFont="1" applyFill="1" applyBorder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164" fontId="0" fillId="3" borderId="9" xfId="0" applyNumberFormat="1" applyFill="1" applyBorder="1" applyAlignment="1">
      <alignment vertical="center"/>
    </xf>
    <xf numFmtId="170" fontId="0" fillId="0" borderId="0" xfId="0" applyNumberFormat="1"/>
    <xf numFmtId="0" fontId="0" fillId="3" borderId="9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9" fillId="6" borderId="6" xfId="0" applyFont="1" applyFill="1" applyBorder="1" applyAlignment="1">
      <alignment horizontal="center"/>
    </xf>
    <xf numFmtId="0" fontId="9" fillId="6" borderId="7" xfId="0" applyFont="1" applyFill="1" applyBorder="1" applyAlignment="1">
      <alignment horizontal="center"/>
    </xf>
    <xf numFmtId="0" fontId="9" fillId="6" borderId="8" xfId="0" applyFont="1" applyFill="1" applyBorder="1" applyAlignment="1">
      <alignment horizontal="center"/>
    </xf>
    <xf numFmtId="0" fontId="13" fillId="0" borderId="9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0" fillId="3" borderId="9" xfId="0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178" fontId="0" fillId="0" borderId="9" xfId="0" applyNumberFormat="1" applyBorder="1" applyAlignment="1">
      <alignment horizontal="center" vertical="center" wrapText="1"/>
    </xf>
    <xf numFmtId="178" fontId="0" fillId="0" borderId="10" xfId="0" applyNumberForma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75" fontId="17" fillId="0" borderId="9" xfId="0" applyNumberFormat="1" applyFont="1" applyBorder="1" applyAlignment="1">
      <alignment horizontal="center" vertical="center" wrapText="1"/>
    </xf>
    <xf numFmtId="175" fontId="17" fillId="0" borderId="10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3" borderId="31" xfId="0" applyFill="1" applyBorder="1" applyAlignment="1">
      <alignment horizontal="center" vertical="center"/>
    </xf>
    <xf numFmtId="170" fontId="13" fillId="0" borderId="9" xfId="0" applyNumberFormat="1" applyFont="1" applyBorder="1" applyAlignment="1">
      <alignment horizontal="center" vertical="center"/>
    </xf>
    <xf numFmtId="170" fontId="13" fillId="0" borderId="10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170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textRotation="90"/>
    </xf>
    <xf numFmtId="0" fontId="17" fillId="0" borderId="9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96">
    <dxf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numFmt numFmtId="14" formatCode="0.00%"/>
    </dxf>
    <dxf>
      <numFmt numFmtId="14" formatCode="0.00%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z val="8"/>
        <color rgb="FF0070C0"/>
      </font>
      <numFmt numFmtId="167" formatCode="General\ &quot; mm²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z val="8"/>
        <color rgb="FF0070C0"/>
      </font>
      <numFmt numFmtId="167" formatCode="General\ &quot; mm²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z val="8"/>
        <color rgb="FF0070C0"/>
      </font>
      <numFmt numFmtId="167" formatCode="General\ &quot; mm²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0.0%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z val="14"/>
      </font>
      <numFmt numFmtId="0" formatCode="General"/>
      <fill>
        <patternFill patternType="none">
          <fgColor indexed="64"/>
          <bgColor auto="1"/>
        </patternFill>
      </fill>
      <alignment horizontal="centerContinuous" vertical="center" textRotation="0" wrapText="0" indent="0" justifyLastLine="0" shrinkToFit="0" readingOrder="0"/>
      <border diagonalUp="0" diagonalDown="0">
        <left style="medium">
          <color indexed="64"/>
        </left>
        <right/>
        <top/>
        <bottom style="medium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ptos Narrow"/>
        <family val="2"/>
        <scheme val="minor"/>
      </font>
      <numFmt numFmtId="0" formatCode="General"/>
      <alignment horizontal="centerContinuous" vertical="center" textRotation="0" wrapText="0" indent="0" justifyLastLine="0" shrinkToFit="0" readingOrder="0"/>
      <border diagonalUp="0" diagonalDown="0">
        <left style="medium">
          <color indexed="64"/>
        </left>
        <right/>
        <top/>
        <bottom style="medium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>
        <bottom style="thin">
          <color theme="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color rgb="FF92D05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rgb="FF92D05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numFmt numFmtId="2" formatCode="0.00"/>
    </dxf>
    <dxf>
      <numFmt numFmtId="2" formatCode="0.00"/>
    </dxf>
    <dxf>
      <numFmt numFmtId="2" formatCode="0.0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rgb="FF92D050"/>
      </font>
    </dxf>
    <dxf>
      <font>
        <color rgb="FFFF0000"/>
      </font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ont>
        <color rgb="FF92D050"/>
      </font>
    </dxf>
    <dxf>
      <font>
        <color rgb="FFFF0000"/>
      </font>
    </dxf>
    <dxf>
      <font>
        <color theme="0"/>
      </font>
      <fill>
        <patternFill>
          <bgColor theme="0"/>
        </patternFill>
      </fill>
      <border>
        <vertical/>
        <horizontal/>
      </border>
    </dxf>
    <dxf>
      <font>
        <color rgb="FF92D05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  <border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bottom/>
        <vertical/>
        <horizontal/>
      </border>
    </dxf>
    <dxf>
      <font>
        <color rgb="FF92D05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ont>
        <color rgb="FF92D05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26" Type="http://schemas.microsoft.com/office/2017/06/relationships/rdRichValue" Target="richData/rdrichvalue.xml"/><Relationship Id="rId3" Type="http://schemas.openxmlformats.org/officeDocument/2006/relationships/worksheet" Target="worksheets/sheet3.xml"/><Relationship Id="rId21" Type="http://schemas.openxmlformats.org/officeDocument/2006/relationships/sheetMetadata" Target="metadata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5" Type="http://schemas.microsoft.com/office/2017/06/relationships/rdRichValueTypes" Target="richData/rdRichValueTyp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17/06/relationships/rdRichValueStructure" Target="richData/rdrichvaluestructure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Relationship Id="rId27" Type="http://schemas.microsoft.com/office/2022/10/relationships/richValueRel" Target="richData/richValueRel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76200</xdr:colOff>
          <xdr:row>31</xdr:row>
          <xdr:rowOff>19050</xdr:rowOff>
        </xdr:from>
        <xdr:to>
          <xdr:col>8</xdr:col>
          <xdr:colOff>28575</xdr:colOff>
          <xdr:row>32</xdr:row>
          <xdr:rowOff>123825</xdr:rowOff>
        </xdr:to>
        <xdr:sp macro="" textlink="">
          <xdr:nvSpPr>
            <xdr:cNvPr id="66561" name="Button 1" hidden="1">
              <a:extLst>
                <a:ext uri="{63B3BB69-23CF-44E3-9099-C40C66FF867C}">
                  <a14:compatExt spid="_x0000_s66561"/>
                </a:ext>
                <a:ext uri="{FF2B5EF4-FFF2-40B4-BE49-F238E27FC236}">
                  <a16:creationId xmlns:a16="http://schemas.microsoft.com/office/drawing/2014/main" id="{00000000-0008-0000-0000-0000010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Aptos Narrow"/>
                </a:rPr>
                <a:t>Valider le contrôle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31</xdr:row>
          <xdr:rowOff>57150</xdr:rowOff>
        </xdr:from>
        <xdr:to>
          <xdr:col>2</xdr:col>
          <xdr:colOff>28575</xdr:colOff>
          <xdr:row>32</xdr:row>
          <xdr:rowOff>161925</xdr:rowOff>
        </xdr:to>
        <xdr:sp macro="" textlink="">
          <xdr:nvSpPr>
            <xdr:cNvPr id="66562" name="Button 2" hidden="1">
              <a:extLst>
                <a:ext uri="{63B3BB69-23CF-44E3-9099-C40C66FF867C}">
                  <a14:compatExt spid="_x0000_s66562"/>
                </a:ext>
                <a:ext uri="{FF2B5EF4-FFF2-40B4-BE49-F238E27FC236}">
                  <a16:creationId xmlns:a16="http://schemas.microsoft.com/office/drawing/2014/main" id="{00000000-0008-0000-0000-0000020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Aptos Narrow"/>
                </a:rPr>
                <a:t>Acceuil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2</xdr:row>
      <xdr:rowOff>0</xdr:rowOff>
    </xdr:from>
    <xdr:ext cx="304800" cy="302920"/>
    <xdr:sp macro="" textlink="">
      <xdr:nvSpPr>
        <xdr:cNvPr id="2" name="AutoShape 2" descr="RS PRO Pince à sertir pour Bornes isolées rouge, bleu, jaune Ovale, 8100748">
          <a:extLst>
            <a:ext uri="{FF2B5EF4-FFF2-40B4-BE49-F238E27FC236}">
              <a16:creationId xmlns:a16="http://schemas.microsoft.com/office/drawing/2014/main" id="{4E48F8AF-4CB2-4A7C-B8D4-410CD901F8F1}"/>
            </a:ext>
          </a:extLst>
        </xdr:cNvPr>
        <xdr:cNvSpPr>
          <a:spLocks noChangeAspect="1" noChangeArrowheads="1"/>
        </xdr:cNvSpPr>
      </xdr:nvSpPr>
      <xdr:spPr bwMode="auto">
        <a:xfrm>
          <a:off x="6381750" y="190500"/>
          <a:ext cx="304800" cy="302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2920"/>
    <xdr:sp macro="" textlink="">
      <xdr:nvSpPr>
        <xdr:cNvPr id="4" name="AutoShape 2" descr="RS PRO Pince à sertir pour Bornes isolées rouge, bleu, jaune Ovale, 8100748">
          <a:extLst>
            <a:ext uri="{FF2B5EF4-FFF2-40B4-BE49-F238E27FC236}">
              <a16:creationId xmlns:a16="http://schemas.microsoft.com/office/drawing/2014/main" id="{5A888E17-D9EB-460D-BD3B-8382EFA190DB}"/>
            </a:ext>
          </a:extLst>
        </xdr:cNvPr>
        <xdr:cNvSpPr>
          <a:spLocks noChangeAspect="1" noChangeArrowheads="1"/>
        </xdr:cNvSpPr>
      </xdr:nvSpPr>
      <xdr:spPr bwMode="auto">
        <a:xfrm>
          <a:off x="6134100" y="390525"/>
          <a:ext cx="304800" cy="302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2920"/>
    <xdr:sp macro="" textlink="">
      <xdr:nvSpPr>
        <xdr:cNvPr id="5" name="AutoShape 3" descr="RS PRO Pince à sertir pour Bornes isolées rouge, bleu, jaune Ovale, 8100748">
          <a:extLst>
            <a:ext uri="{FF2B5EF4-FFF2-40B4-BE49-F238E27FC236}">
              <a16:creationId xmlns:a16="http://schemas.microsoft.com/office/drawing/2014/main" id="{F4F1BD64-0F02-48D3-8C70-FDF8E6C2AE70}"/>
            </a:ext>
          </a:extLst>
        </xdr:cNvPr>
        <xdr:cNvSpPr>
          <a:spLocks noChangeAspect="1" noChangeArrowheads="1"/>
        </xdr:cNvSpPr>
      </xdr:nvSpPr>
      <xdr:spPr bwMode="auto">
        <a:xfrm>
          <a:off x="6134100" y="390525"/>
          <a:ext cx="304800" cy="302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</xdr:row>
      <xdr:rowOff>0</xdr:rowOff>
    </xdr:from>
    <xdr:ext cx="304800" cy="302920"/>
    <xdr:sp macro="" textlink="">
      <xdr:nvSpPr>
        <xdr:cNvPr id="6" name="AutoShape 2" descr="RS PRO Pince à sertir pour Bornes isolées rouge, bleu, jaune Ovale, 8100748">
          <a:extLst>
            <a:ext uri="{FF2B5EF4-FFF2-40B4-BE49-F238E27FC236}">
              <a16:creationId xmlns:a16="http://schemas.microsoft.com/office/drawing/2014/main" id="{A6C195F4-C5FF-468B-91D9-E6CD9A50DDAC}"/>
            </a:ext>
          </a:extLst>
        </xdr:cNvPr>
        <xdr:cNvSpPr>
          <a:spLocks noChangeAspect="1" noChangeArrowheads="1"/>
        </xdr:cNvSpPr>
      </xdr:nvSpPr>
      <xdr:spPr bwMode="auto">
        <a:xfrm>
          <a:off x="8820150" y="390525"/>
          <a:ext cx="304800" cy="302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</xdr:row>
      <xdr:rowOff>0</xdr:rowOff>
    </xdr:from>
    <xdr:ext cx="304800" cy="302920"/>
    <xdr:sp macro="" textlink="">
      <xdr:nvSpPr>
        <xdr:cNvPr id="7" name="AutoShape 3" descr="RS PRO Pince à sertir pour Bornes isolées rouge, bleu, jaune Ovale, 8100748">
          <a:extLst>
            <a:ext uri="{FF2B5EF4-FFF2-40B4-BE49-F238E27FC236}">
              <a16:creationId xmlns:a16="http://schemas.microsoft.com/office/drawing/2014/main" id="{14F97FB0-6F4F-4DAD-96E9-586B872E7740}"/>
            </a:ext>
          </a:extLst>
        </xdr:cNvPr>
        <xdr:cNvSpPr>
          <a:spLocks noChangeAspect="1" noChangeArrowheads="1"/>
        </xdr:cNvSpPr>
      </xdr:nvSpPr>
      <xdr:spPr bwMode="auto">
        <a:xfrm>
          <a:off x="8820150" y="390525"/>
          <a:ext cx="304800" cy="302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752475</xdr:colOff>
          <xdr:row>1</xdr:row>
          <xdr:rowOff>200025</xdr:rowOff>
        </xdr:from>
        <xdr:to>
          <xdr:col>2</xdr:col>
          <xdr:colOff>9525</xdr:colOff>
          <xdr:row>3</xdr:row>
          <xdr:rowOff>133350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Aptos Narrow"/>
                </a:rPr>
                <a:t>Barre à shunt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295275</xdr:colOff>
          <xdr:row>2</xdr:row>
          <xdr:rowOff>0</xdr:rowOff>
        </xdr:from>
        <xdr:to>
          <xdr:col>4</xdr:col>
          <xdr:colOff>9525</xdr:colOff>
          <xdr:row>3</xdr:row>
          <xdr:rowOff>133350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1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Aptos Narrow"/>
                </a:rPr>
                <a:t>Boîte de résistances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257175</xdr:colOff>
          <xdr:row>1</xdr:row>
          <xdr:rowOff>190500</xdr:rowOff>
        </xdr:from>
        <xdr:to>
          <xdr:col>5</xdr:col>
          <xdr:colOff>2371725</xdr:colOff>
          <xdr:row>3</xdr:row>
          <xdr:rowOff>114300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1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Aptos Narrow"/>
                </a:rPr>
                <a:t>Pince à sertir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161925</xdr:colOff>
          <xdr:row>1</xdr:row>
          <xdr:rowOff>180975</xdr:rowOff>
        </xdr:from>
        <xdr:to>
          <xdr:col>8</xdr:col>
          <xdr:colOff>28575</xdr:colOff>
          <xdr:row>3</xdr:row>
          <xdr:rowOff>123825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1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Aptos Narrow"/>
                </a:rPr>
                <a:t>Pieuvre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2</xdr:row>
          <xdr:rowOff>0</xdr:rowOff>
        </xdr:from>
        <xdr:to>
          <xdr:col>10</xdr:col>
          <xdr:colOff>38100</xdr:colOff>
          <xdr:row>3</xdr:row>
          <xdr:rowOff>142875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1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Aptos Narrow"/>
                </a:rPr>
                <a:t>Valise test câble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5</xdr:row>
          <xdr:rowOff>47625</xdr:rowOff>
        </xdr:from>
        <xdr:to>
          <xdr:col>8</xdr:col>
          <xdr:colOff>66675</xdr:colOff>
          <xdr:row>5</xdr:row>
          <xdr:rowOff>390525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1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Aptos Narrow"/>
                </a:rPr>
                <a:t>Rajout Equipement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57150</xdr:colOff>
          <xdr:row>2</xdr:row>
          <xdr:rowOff>114300</xdr:rowOff>
        </xdr:from>
        <xdr:to>
          <xdr:col>7</xdr:col>
          <xdr:colOff>66675</xdr:colOff>
          <xdr:row>4</xdr:row>
          <xdr:rowOff>38100</xdr:rowOff>
        </xdr:to>
        <xdr:sp macro="" textlink="">
          <xdr:nvSpPr>
            <xdr:cNvPr id="74768" name="Button 16" hidden="1">
              <a:extLst>
                <a:ext uri="{63B3BB69-23CF-44E3-9099-C40C66FF867C}">
                  <a14:compatExt spid="_x0000_s74768"/>
                </a:ext>
                <a:ext uri="{FF2B5EF4-FFF2-40B4-BE49-F238E27FC236}">
                  <a16:creationId xmlns:a16="http://schemas.microsoft.com/office/drawing/2014/main" id="{00000000-0008-0000-0200-000010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Aptos Narrow"/>
                </a:rPr>
                <a:t>Bouton 16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438150</xdr:colOff>
          <xdr:row>40</xdr:row>
          <xdr:rowOff>95250</xdr:rowOff>
        </xdr:from>
        <xdr:to>
          <xdr:col>7</xdr:col>
          <xdr:colOff>742950</xdr:colOff>
          <xdr:row>42</xdr:row>
          <xdr:rowOff>28575</xdr:rowOff>
        </xdr:to>
        <xdr:sp macro="" textlink="">
          <xdr:nvSpPr>
            <xdr:cNvPr id="47107" name="Button 3" hidden="1">
              <a:extLst>
                <a:ext uri="{63B3BB69-23CF-44E3-9099-C40C66FF867C}">
                  <a14:compatExt spid="_x0000_s47107"/>
                </a:ext>
                <a:ext uri="{FF2B5EF4-FFF2-40B4-BE49-F238E27FC236}">
                  <a16:creationId xmlns:a16="http://schemas.microsoft.com/office/drawing/2014/main" id="{00000000-0008-0000-0400-000003B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900" b="0" i="0" u="none" strike="noStrike" baseline="0">
                  <a:solidFill>
                    <a:srgbClr val="000000"/>
                  </a:solidFill>
                  <a:latin typeface="Aptos Narrow"/>
                </a:rPr>
                <a:t>Valider le contrôle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152400</xdr:colOff>
          <xdr:row>40</xdr:row>
          <xdr:rowOff>28575</xdr:rowOff>
        </xdr:from>
        <xdr:to>
          <xdr:col>2</xdr:col>
          <xdr:colOff>447675</xdr:colOff>
          <xdr:row>42</xdr:row>
          <xdr:rowOff>0</xdr:rowOff>
        </xdr:to>
        <xdr:sp macro="" textlink="">
          <xdr:nvSpPr>
            <xdr:cNvPr id="47110" name="Button 6" hidden="1">
              <a:extLst>
                <a:ext uri="{63B3BB69-23CF-44E3-9099-C40C66FF867C}">
                  <a14:compatExt spid="_x0000_s47110"/>
                </a:ext>
                <a:ext uri="{FF2B5EF4-FFF2-40B4-BE49-F238E27FC236}">
                  <a16:creationId xmlns:a16="http://schemas.microsoft.com/office/drawing/2014/main" id="{00000000-0008-0000-0400-000006B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Aptos Narrow"/>
                </a:rPr>
                <a:t>Acceuil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76200</xdr:colOff>
          <xdr:row>35</xdr:row>
          <xdr:rowOff>19050</xdr:rowOff>
        </xdr:from>
        <xdr:to>
          <xdr:col>8</xdr:col>
          <xdr:colOff>28575</xdr:colOff>
          <xdr:row>36</xdr:row>
          <xdr:rowOff>123825</xdr:rowOff>
        </xdr:to>
        <xdr:sp macro="" textlink="">
          <xdr:nvSpPr>
            <xdr:cNvPr id="53249" name="Button 1" hidden="1">
              <a:extLst>
                <a:ext uri="{63B3BB69-23CF-44E3-9099-C40C66FF867C}">
                  <a14:compatExt spid="_x0000_s53249"/>
                </a:ext>
                <a:ext uri="{FF2B5EF4-FFF2-40B4-BE49-F238E27FC236}">
                  <a16:creationId xmlns:a16="http://schemas.microsoft.com/office/drawing/2014/main" id="{00000000-0008-0000-0500-000001D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Aptos Narrow"/>
                </a:rPr>
                <a:t>Valider le contrôle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35</xdr:row>
          <xdr:rowOff>57150</xdr:rowOff>
        </xdr:from>
        <xdr:to>
          <xdr:col>2</xdr:col>
          <xdr:colOff>28575</xdr:colOff>
          <xdr:row>36</xdr:row>
          <xdr:rowOff>161925</xdr:rowOff>
        </xdr:to>
        <xdr:sp macro="" textlink="">
          <xdr:nvSpPr>
            <xdr:cNvPr id="53253" name="Button 5" hidden="1">
              <a:extLst>
                <a:ext uri="{63B3BB69-23CF-44E3-9099-C40C66FF867C}">
                  <a14:compatExt spid="_x0000_s53253"/>
                </a:ext>
                <a:ext uri="{FF2B5EF4-FFF2-40B4-BE49-F238E27FC236}">
                  <a16:creationId xmlns:a16="http://schemas.microsoft.com/office/drawing/2014/main" id="{00000000-0008-0000-0500-000005D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Aptos Narrow"/>
                </a:rPr>
                <a:t>Acceuil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76200</xdr:colOff>
          <xdr:row>40</xdr:row>
          <xdr:rowOff>19050</xdr:rowOff>
        </xdr:from>
        <xdr:to>
          <xdr:col>8</xdr:col>
          <xdr:colOff>28575</xdr:colOff>
          <xdr:row>41</xdr:row>
          <xdr:rowOff>123825</xdr:rowOff>
        </xdr:to>
        <xdr:sp macro="" textlink="">
          <xdr:nvSpPr>
            <xdr:cNvPr id="65537" name="Button 1" hidden="1">
              <a:extLst>
                <a:ext uri="{63B3BB69-23CF-44E3-9099-C40C66FF867C}">
                  <a14:compatExt spid="_x0000_s65537"/>
                </a:ext>
                <a:ext uri="{FF2B5EF4-FFF2-40B4-BE49-F238E27FC236}">
                  <a16:creationId xmlns:a16="http://schemas.microsoft.com/office/drawing/2014/main" id="{00000000-0008-0000-0600-0000010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Aptos Narrow"/>
                </a:rPr>
                <a:t>Valider le contrôle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40</xdr:row>
          <xdr:rowOff>57150</xdr:rowOff>
        </xdr:from>
        <xdr:to>
          <xdr:col>2</xdr:col>
          <xdr:colOff>28575</xdr:colOff>
          <xdr:row>41</xdr:row>
          <xdr:rowOff>161925</xdr:rowOff>
        </xdr:to>
        <xdr:sp macro="" textlink="">
          <xdr:nvSpPr>
            <xdr:cNvPr id="65538" name="Button 2" hidden="1">
              <a:extLst>
                <a:ext uri="{63B3BB69-23CF-44E3-9099-C40C66FF867C}">
                  <a14:compatExt spid="_x0000_s65538"/>
                </a:ext>
                <a:ext uri="{FF2B5EF4-FFF2-40B4-BE49-F238E27FC236}">
                  <a16:creationId xmlns:a16="http://schemas.microsoft.com/office/drawing/2014/main" id="{00000000-0008-0000-0600-0000020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Aptos Narrow"/>
                </a:rPr>
                <a:t>Acceuil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133350</xdr:colOff>
          <xdr:row>43</xdr:row>
          <xdr:rowOff>171450</xdr:rowOff>
        </xdr:from>
        <xdr:to>
          <xdr:col>2</xdr:col>
          <xdr:colOff>323850</xdr:colOff>
          <xdr:row>45</xdr:row>
          <xdr:rowOff>85725</xdr:rowOff>
        </xdr:to>
        <xdr:sp macro="" textlink="">
          <xdr:nvSpPr>
            <xdr:cNvPr id="54273" name="Button 1" hidden="1">
              <a:extLst>
                <a:ext uri="{63B3BB69-23CF-44E3-9099-C40C66FF867C}">
                  <a14:compatExt spid="_x0000_s54273"/>
                </a:ext>
                <a:ext uri="{FF2B5EF4-FFF2-40B4-BE49-F238E27FC236}">
                  <a16:creationId xmlns:a16="http://schemas.microsoft.com/office/drawing/2014/main" id="{00000000-0008-0000-0700-000001D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Aptos Narrow"/>
                </a:rPr>
                <a:t>Acceuil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304800</xdr:colOff>
          <xdr:row>44</xdr:row>
          <xdr:rowOff>9525</xdr:rowOff>
        </xdr:from>
        <xdr:to>
          <xdr:col>7</xdr:col>
          <xdr:colOff>790575</xdr:colOff>
          <xdr:row>45</xdr:row>
          <xdr:rowOff>152400</xdr:rowOff>
        </xdr:to>
        <xdr:sp macro="" textlink="">
          <xdr:nvSpPr>
            <xdr:cNvPr id="54274" name="Button 2" hidden="1">
              <a:extLst>
                <a:ext uri="{63B3BB69-23CF-44E3-9099-C40C66FF867C}">
                  <a14:compatExt spid="_x0000_s54274"/>
                </a:ext>
                <a:ext uri="{FF2B5EF4-FFF2-40B4-BE49-F238E27FC236}">
                  <a16:creationId xmlns:a16="http://schemas.microsoft.com/office/drawing/2014/main" id="{00000000-0008-0000-0700-000002D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Aptos Narrow"/>
                </a:rPr>
                <a:t>Valider le contrôle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619125</xdr:colOff>
          <xdr:row>8</xdr:row>
          <xdr:rowOff>142875</xdr:rowOff>
        </xdr:from>
        <xdr:to>
          <xdr:col>24</xdr:col>
          <xdr:colOff>180975</xdr:colOff>
          <xdr:row>10</xdr:row>
          <xdr:rowOff>76200</xdr:rowOff>
        </xdr:to>
        <xdr:sp macro="" textlink="">
          <xdr:nvSpPr>
            <xdr:cNvPr id="32769" name="Button 1" hidden="1">
              <a:extLst>
                <a:ext uri="{63B3BB69-23CF-44E3-9099-C40C66FF867C}">
                  <a14:compatExt spid="_x0000_s32769"/>
                </a:ext>
                <a:ext uri="{FF2B5EF4-FFF2-40B4-BE49-F238E27FC236}">
                  <a16:creationId xmlns:a16="http://schemas.microsoft.com/office/drawing/2014/main" id="{00000000-0008-0000-0A00-0000018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900" b="0" i="0" u="none" strike="noStrike" baseline="0">
                  <a:solidFill>
                    <a:srgbClr val="000000"/>
                  </a:solidFill>
                  <a:latin typeface="Aptos Narrow"/>
                </a:rPr>
                <a:t>Retourner à l'accueil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1000125</xdr:colOff>
          <xdr:row>38</xdr:row>
          <xdr:rowOff>28575</xdr:rowOff>
        </xdr:from>
        <xdr:to>
          <xdr:col>7</xdr:col>
          <xdr:colOff>561975</xdr:colOff>
          <xdr:row>40</xdr:row>
          <xdr:rowOff>47625</xdr:rowOff>
        </xdr:to>
        <xdr:sp macro="" textlink="">
          <xdr:nvSpPr>
            <xdr:cNvPr id="51202" name="Button 2" hidden="1">
              <a:extLst>
                <a:ext uri="{63B3BB69-23CF-44E3-9099-C40C66FF867C}">
                  <a14:compatExt spid="_x0000_s51202"/>
                </a:ext>
                <a:ext uri="{FF2B5EF4-FFF2-40B4-BE49-F238E27FC236}">
                  <a16:creationId xmlns:a16="http://schemas.microsoft.com/office/drawing/2014/main" id="{00000000-0008-0000-0B00-000002C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Aptos Narrow"/>
                </a:rPr>
                <a:t>Valider le contrôle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238125</xdr:colOff>
          <xdr:row>38</xdr:row>
          <xdr:rowOff>0</xdr:rowOff>
        </xdr:from>
        <xdr:to>
          <xdr:col>1</xdr:col>
          <xdr:colOff>762000</xdr:colOff>
          <xdr:row>40</xdr:row>
          <xdr:rowOff>19050</xdr:rowOff>
        </xdr:to>
        <xdr:sp macro="" textlink="">
          <xdr:nvSpPr>
            <xdr:cNvPr id="51206" name="Button 6" hidden="1">
              <a:extLst>
                <a:ext uri="{63B3BB69-23CF-44E3-9099-C40C66FF867C}">
                  <a14:compatExt spid="_x0000_s51206"/>
                </a:ext>
                <a:ext uri="{FF2B5EF4-FFF2-40B4-BE49-F238E27FC236}">
                  <a16:creationId xmlns:a16="http://schemas.microsoft.com/office/drawing/2014/main" id="{00000000-0008-0000-0B00-000006C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Aptos Narrow"/>
                </a:rPr>
                <a:t>Acceuil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pcorbin\Downloads\Boite%20a%20schunt\Formulaire%20de%20saisi2.xlsm" TargetMode="External"/><Relationship Id="rId1" Type="http://schemas.openxmlformats.org/officeDocument/2006/relationships/externalLinkPath" Target="/Users/pcorbin/Downloads/Boite%20a%20schunt/Formulaire%20de%20saisi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ormulaire de saisie"/>
      <sheetName val="Shunt"/>
      <sheetName val="Pieuvre"/>
      <sheetName val="Acceuil"/>
      <sheetName val="Bilan"/>
      <sheetName val="Rapport Shunt"/>
      <sheetName val="Rapport"/>
      <sheetName val="Base de donnée"/>
      <sheetName val="References"/>
    </sheetNames>
    <sheetDataSet>
      <sheetData sheetId="0" refreshError="1">
        <row r="8">
          <cell r="C8" t="str">
            <v>SIG-SER-BML-1701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richData/_rels/richValueRel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4">
  <rv s="0">
    <v>0</v>
    <v>5</v>
  </rv>
  <rv s="0">
    <v>1</v>
    <v>5</v>
  </rv>
  <rv s="0">
    <v>2</v>
    <v>5</v>
  </rv>
  <rv s="0">
    <v>3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</richValueRel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5B5C805-0F45-41B9-A43C-C01AD12A6BD4}" name="Tab_Base" displayName="Tab_Base" ref="A1:F35" totalsRowShown="0" headerRowDxfId="189" dataDxfId="188">
  <autoFilter ref="A1:F35" xr:uid="{65B5C805-0F45-41B9-A43C-C01AD12A6BD4}"/>
  <sortState xmlns:xlrd2="http://schemas.microsoft.com/office/spreadsheetml/2017/richdata2" ref="A2:F35">
    <sortCondition ref="D1:D35"/>
  </sortState>
  <tableColumns count="6">
    <tableColumn id="1" xr3:uid="{2CAFAFE8-B5ED-47F6-A943-C590D3268070}" name="N°identification" dataDxfId="187"/>
    <tableColumn id="9" xr3:uid="{958AA2F3-BD8B-43B8-9B57-FD34FE7BC592}" name="Désignation" dataDxfId="186"/>
    <tableColumn id="10" xr3:uid="{A3422CC5-FF43-480B-B76E-7ED7C580CEC8}" name="Fabriquant" dataDxfId="185"/>
    <tableColumn id="2" xr3:uid="{D9355AF2-3D94-475B-942C-39340C6B4A27}" name="Modèle" dataDxfId="184"/>
    <tableColumn id="3" xr3:uid="{CDE82772-520F-48AC-92AB-A0259A77686D}" name="N° série" dataDxfId="183"/>
    <tableColumn id="6" xr3:uid="{250B9552-694E-42FC-AADB-4E9EAE5736F6}" name="Norme" dataDxfId="18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60760F56-F2B0-44D3-B72D-E7A967089C5D}" name="Tab_Base_pieuvre" displayName="Tab_Base_pieuvre" ref="N1:P5" totalsRowShown="0" headerRowDxfId="181" headerRowBorderDxfId="180" tableBorderDxfId="179">
  <autoFilter ref="N1:P5" xr:uid="{60760F56-F2B0-44D3-B72D-E7A967089C5D}"/>
  <tableColumns count="3">
    <tableColumn id="1" xr3:uid="{67170935-F401-4171-9886-D071EA57DF92}" name="N°identification Pieuvre"/>
    <tableColumn id="3" xr3:uid="{27B36EB2-3DE5-46F9-A8A4-0B4A7081D471}" name="Désignation"/>
    <tableColumn id="2" xr3:uid="{097393B6-8F04-4C41-AA36-B5D849AC8472}" name="Nb de conducteur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DAA90CCC-2725-4CF2-9761-92E48BF6311B}" name="Tab_Base_Valise" displayName="Tab_Base_Valise" ref="R1:V3" totalsRowShown="0" headerRowDxfId="178" headerRowBorderDxfId="177" tableBorderDxfId="176">
  <autoFilter ref="R1:V3" xr:uid="{DAA90CCC-2725-4CF2-9761-92E48BF6311B}"/>
  <tableColumns count="5">
    <tableColumn id="1" xr3:uid="{94E77D1C-B439-4BC1-ACB6-0D81A5494AE2}" name="N°identification Valise"/>
    <tableColumn id="2" xr3:uid="{91BB66BD-A4EB-4D44-A61F-1D9F2C878C52}" name="Désignation"/>
    <tableColumn id="3" xr3:uid="{67D4CB98-0695-4F53-AA6E-C4A1AC846DDC}" name="Fabriquant"/>
    <tableColumn id="4" xr3:uid="{3609D040-48A6-48BD-BD81-9FF77796E0AA}" name="Modèle"/>
    <tableColumn id="5" xr3:uid="{649384BC-3CA5-4BB0-B28A-A3EC3B9AC9A7}" name="N° séri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DC801025-2901-480D-AB66-436A9DFD1D8A}" name="Tab_Base_Shunt" displayName="Tab_Base_Shunt" ref="H1:L4" totalsRowShown="0" headerRowDxfId="175" tableBorderDxfId="174">
  <autoFilter ref="H1:L4" xr:uid="{DC801025-2901-480D-AB66-436A9DFD1D8A}"/>
  <tableColumns count="5">
    <tableColumn id="1" xr3:uid="{4DFA85BD-36BE-45F7-B795-A4A80B9AE445}" name="N°identification boite"/>
    <tableColumn id="2" xr3:uid="{CCBCE758-31EF-4686-B56B-996C5AC84C72}" name="Désignation" dataDxfId="173"/>
    <tableColumn id="3" xr3:uid="{2F073BE8-F80B-412D-8E42-207B179ACE86}" name="Fabriquant"/>
    <tableColumn id="4" xr3:uid="{DDDB6719-E095-4D68-9527-B94A3C7BBA60}" name="Modèle"/>
    <tableColumn id="5" xr3:uid="{B62F557C-79AB-428B-A7AB-31EE1E2F7261}" name="N° séri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69AFCBA2-728C-4F0F-B6D4-772E28066BBC}" name="Tab_Base_source_chaude" displayName="Tab_Base_source_chaude" ref="X1:AA2" totalsRowShown="0" headerRowDxfId="172" headerRowBorderDxfId="171" tableBorderDxfId="170">
  <autoFilter ref="X1:AA2" xr:uid="{69AFCBA2-728C-4F0F-B6D4-772E28066BBC}"/>
  <tableColumns count="4">
    <tableColumn id="1" xr3:uid="{83D6BFA5-ED91-42F8-84B1-A5DC298E8343}" name="N°identification Source Chaude"/>
    <tableColumn id="2" xr3:uid="{1D66D9CF-8A92-4773-B41B-5EEB24BAEB9A}" name="Fabriquant"/>
    <tableColumn id="3" xr3:uid="{192AB68A-665A-4BA1-9E7B-79C3A0CB139F}" name="Modèle"/>
    <tableColumn id="4" xr3:uid="{3BABF0A5-0F34-4799-A166-0A9FC94C6A75}" name="N° séri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74B1E506-B7D4-4F35-8851-8A65B64E0F92}" name="Tab_Base_Generateur" displayName="Tab_Base_Generateur" ref="AC1:AF2" totalsRowShown="0" headerRowDxfId="169" headerRowBorderDxfId="168" tableBorderDxfId="167">
  <autoFilter ref="AC1:AF2" xr:uid="{74B1E506-B7D4-4F35-8851-8A65B64E0F92}"/>
  <tableColumns count="4">
    <tableColumn id="1" xr3:uid="{8337B20D-5B5E-4926-9EC0-3815A7D791F7}" name="N°identification Générateur de fréquence"/>
    <tableColumn id="2" xr3:uid="{F345FF67-3755-484A-A64E-9FC0E5F33575}" name="Fabriquant"/>
    <tableColumn id="3" xr3:uid="{C6B37E4C-CE2E-4754-81FB-31233732D48F}" name="Modèle"/>
    <tableColumn id="4" xr3:uid="{4CD48195-803B-4A4E-BD29-45C1C091694F}" name="N° série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B97754E-33F0-4427-8417-12DB3CCE6F44}" name="Tab_Bilan_Shunt" displayName="Tab_Bilan_Shunt" ref="A1:AN18" totalsRowShown="0" headerRowDxfId="129">
  <autoFilter ref="A1:AN18" xr:uid="{BB97754E-33F0-4427-8417-12DB3CCE6F44}"/>
  <tableColumns count="40">
    <tableColumn id="25" xr3:uid="{D9C73AE4-E9A3-40E0-A2CC-87B84BB60D2B}" name="IT" dataDxfId="128"/>
    <tableColumn id="1" xr3:uid="{6ADC9138-73F9-4AE3-9200-978FA8642497}" name="Numéro du contrôle"/>
    <tableColumn id="2" xr3:uid="{9DD31C8D-C0C6-4286-B288-80A6A5E7D363}" name="Vérificateur" dataDxfId="127"/>
    <tableColumn id="3" xr3:uid="{1DD6E2D9-8A85-431C-BBFE-053AB4EA8F1A}" name="Date" dataDxfId="126"/>
    <tableColumn id="4" xr3:uid="{96F7225B-DF45-45E1-9462-758E8C153666}" name="Numéro d'identification"/>
    <tableColumn id="5" xr3:uid="{D04E216D-F771-4E52-B2C1-D76C23F456DF}" name="Désignation"/>
    <tableColumn id="6" xr3:uid="{C6B46FC1-0ECA-4C06-AEC4-0BAEBF279973}" name="Fabriquant "/>
    <tableColumn id="27" xr3:uid="{8622191A-93D4-4907-843B-3B574EFCC19C}" name="Numéro de série"/>
    <tableColumn id="15" xr3:uid="{05272CD1-1884-4495-8ABB-5476CF8237F2}" name="Température" dataDxfId="125"/>
    <tableColumn id="7" xr3:uid="{59B64674-603F-4B46-AB31-2B1BB4307972}" name="Hydrométrie"/>
    <tableColumn id="8" xr3:uid="{B9EA999F-43C8-4E26-A7E1-289278DF9DD7}" name="Type d'essai"/>
    <tableColumn id="9" xr3:uid="{48A01720-AF26-4140-89FD-3ABA9CB90B04}" name="Ampéremetre "/>
    <tableColumn id="10" xr3:uid="{E3AE65A4-BA79-4481-BD07-FC83EDEDC7B8}" name="Voltmètre"/>
    <tableColumn id="11" xr3:uid="{26DF7CC9-E90A-4291-8195-F3605111A2E6}" name="Courant d'essai 0,15" dataDxfId="124"/>
    <tableColumn id="12" xr3:uid="{B8558655-E4B3-40CC-AFA0-1A57A71073B4}" name="Tension relevée 0,15"/>
    <tableColumn id="13" xr3:uid="{26CDA9C5-0E3C-4553-97DD-1AC63F3D8347}" name="Résistance _x000a_Relevé 0,15"/>
    <tableColumn id="14" xr3:uid="{6EE141D0-8153-420C-B420-DF0A0830DCC4}" name="Courant d'essai 0,25" dataDxfId="123"/>
    <tableColumn id="16" xr3:uid="{9EF99D5C-5346-44CC-9CF8-8A9A10DB9C59}" name="Tension relevée 0,25"/>
    <tableColumn id="17" xr3:uid="{89EB7D9A-4C8E-469D-A612-2B7B33819348}" name="Résistance _x000a_Relevé 0,25"/>
    <tableColumn id="18" xr3:uid="{85B00100-6430-469E-9586-244AD5EE0099}" name="Courant d'essai 0,5" dataDxfId="122"/>
    <tableColumn id="19" xr3:uid="{99D598D7-FE4A-499A-9CE1-B62BF66CFAF3}" name="Tension relevée 0,5"/>
    <tableColumn id="20" xr3:uid="{461018FA-0EDE-42FC-8EEB-91D7C2A64783}" name="Résistance _x000a_Relevé 0,5"/>
    <tableColumn id="21" xr3:uid="{39AB8E1B-3208-4464-90A4-421E1899D352}" name="Courant d'essai 5"/>
    <tableColumn id="22" xr3:uid="{699EB999-1051-47B3-92B4-D4A547C7B94F}" name="Tension relevée 5"/>
    <tableColumn id="23" xr3:uid="{CF1B31E4-76E9-4D2D-BFA2-5D42B2FB1468}" name="Résistance _x000a_Relevé 5"/>
    <tableColumn id="24" xr3:uid="{F998AB25-BE5A-4636-A8DC-7699771D97AE}" name="Courant d'essai 20"/>
    <tableColumn id="26" xr3:uid="{7709B308-A8C9-47F1-B797-989AA9F50A1B}" name="Tension relevée 20"/>
    <tableColumn id="28" xr3:uid="{FB3487AA-59D3-4CFD-8CCE-8502D68D388C}" name="Résistance _x000a_Relevé 20"/>
    <tableColumn id="29" xr3:uid="{07578E5A-BE73-49E0-B029-F30583EF5DC9}" name="Courant d'essai 60"/>
    <tableColumn id="30" xr3:uid="{E3549DC5-3C37-4374-A225-415A3F8869D9}" name="Tension relevée 60"/>
    <tableColumn id="31" xr3:uid="{429F1F59-EBA1-4B81-AFF7-27F4685E37A2}" name="Résistance _x000a_Relevé 60"/>
    <tableColumn id="32" xr3:uid="{3A0DEF2F-4290-4016-81EE-9C8004226C0E}" name="Courant d'essai 5000"/>
    <tableColumn id="33" xr3:uid="{D797E6D9-EB82-4A58-86F9-A8DC7B6904D6}" name="Tension relevée 5000"/>
    <tableColumn id="34" xr3:uid="{D83F546F-732F-4F57-8610-06E3D65B0498}" name="Résistance _x000a_Relevé 5000"/>
    <tableColumn id="35" xr3:uid="{73D64399-BFF8-4FE0-BE43-16F6DB697206}" name="Courant d'essai 50002"/>
    <tableColumn id="36" xr3:uid="{600FB629-DA0B-4E74-BD01-A40C548E2029}" name="Tension relevée 50002"/>
    <tableColumn id="37" xr3:uid="{9CD0712C-8D49-466D-8C33-F9C334993FDC}" name="Résistance _x000a_Relevé 50002"/>
    <tableColumn id="38" xr3:uid="{4036284F-5100-412D-ADAE-5F1EE6329423}" name="Résistance _x000a_Relevé 500023"/>
    <tableColumn id="39" xr3:uid="{4C95B60F-DAE2-48ED-B1C0-AB5112E8883E}" name="Conformité"/>
    <tableColumn id="40" xr3:uid="{6F512B54-B2D6-4C0C-83DA-EABA6D327D4A}" name="Observation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7C5E2BE-0A4A-407F-921E-5F30DF337373}" name="Tab_Bilan" displayName="Tab_Bilan" ref="A1:AA6" totalsRowShown="0" headerRowDxfId="97" dataDxfId="95" headerRowBorderDxfId="96" tableBorderDxfId="94">
  <autoFilter ref="A1:AA6" xr:uid="{57C5E2BE-0A4A-407F-921E-5F30DF337373}"/>
  <tableColumns count="27">
    <tableColumn id="28" xr3:uid="{B17E7B67-307A-4DB7-B376-796A6CD6CF6D}" name="IT" dataDxfId="93"/>
    <tableColumn id="1" xr3:uid="{039BDB8C-96EA-4058-9526-C0817881C0F1}" name="Numéro du contrôle" dataDxfId="92"/>
    <tableColumn id="2" xr3:uid="{8661EA66-B8F1-44B8-A6E2-FC5E9D1E5F28}" name="Vérificateur" dataDxfId="91"/>
    <tableColumn id="3" xr3:uid="{927C686B-0B67-46C5-BC81-56F6EF2A2ABB}" name="Date" dataDxfId="90"/>
    <tableColumn id="4" xr3:uid="{80940A7F-75E7-400F-80AD-F339E3FBD3AE}" name="Numéro d'identification" dataDxfId="89"/>
    <tableColumn id="5" xr3:uid="{DE076C4D-C408-425C-8AE2-2D270561913A}" name="Température" dataDxfId="88"/>
    <tableColumn id="6" xr3:uid="{B8882378-2669-46EA-B6EF-541D1CA09C79}" name="Hydrométrie" dataDxfId="87"/>
    <tableColumn id="10" xr3:uid="{D125EEF0-F6FA-4BFA-9052-1B2234E7575A}" name="Echantillion 1: _x000a_Section" dataDxfId="86"/>
    <tableColumn id="7" xr3:uid="{9236BDCD-E575-4C19-A15F-ACD471CB74BC}" name="Echantillion 1: _x000a_Position de la cosse" dataDxfId="85"/>
    <tableColumn id="8" xr3:uid="{0EECCAD7-162C-44FC-A647-E72D2C4D37B5}" name="Echantillion 1: _x000a_Marquage de l'empreinte" dataDxfId="84"/>
    <tableColumn id="9" xr3:uid="{9B468CC4-FD53-4D85-AA83-5CDD2C64D327}" name="Echantillion 1: _x000a_Absence  de bavure" dataDxfId="83"/>
    <tableColumn id="11" xr3:uid="{AD7695F9-8E4D-4EDD-8B64-B4596957837E}" name="Echantillion 1:_x000a_ Force de rupture _x000a_mini" dataDxfId="82"/>
    <tableColumn id="12" xr3:uid="{470BD8CD-775F-4C37-A03E-1F9CDCA5C3E8}" name="Echantillion 1: _x000a_Valeur de rupture" dataDxfId="81"/>
    <tableColumn id="16" xr3:uid="{31C2100B-A07D-45B0-A961-10CB19BDE7B5}" name="Echantillion 2: _x000a_Section" dataDxfId="80"/>
    <tableColumn id="13" xr3:uid="{1FD92DB0-F895-4DE4-BC2A-AF5F76C6E635}" name="Echantillion 2: _x000a_Position de la cosse" dataDxfId="79"/>
    <tableColumn id="14" xr3:uid="{1D6996EA-FF82-43C7-A6A8-671D6B3C030C}" name="Echantillion 2: _x000a_Marquage de l'empreinte" dataDxfId="78"/>
    <tableColumn id="15" xr3:uid="{9FDBBF67-2671-4AEC-AE8E-C0D991BF37A9}" name="Echantillion 2: _x000a_Absence  de bavure" dataDxfId="77"/>
    <tableColumn id="17" xr3:uid="{A262B428-E2FF-42CD-B129-682F26763347}" name="Echantillion 2: _x000a_Force de rupture mini" dataDxfId="76"/>
    <tableColumn id="18" xr3:uid="{FA829FF3-58B7-43E7-848E-F187300968EA}" name="Echantillion 2: _x000a_Valeur de rupture" dataDxfId="75"/>
    <tableColumn id="22" xr3:uid="{49D8D119-5A43-4AB7-84DB-FB070E051E0E}" name="Echantillion 3: _x000a_Section" dataDxfId="74"/>
    <tableColumn id="19" xr3:uid="{8DFD138E-A1B5-497F-A4EC-86BF9AC2B32E}" name="Echantillion3: _x000a_Position de la cosse" dataDxfId="73"/>
    <tableColumn id="20" xr3:uid="{E64C3DB4-1A4B-42FC-B24E-7C63C973AC70}" name="Echantillion 3: _x000a_Marquage de l'empreinte" dataDxfId="72"/>
    <tableColumn id="21" xr3:uid="{98181DEB-6D40-41DF-B99E-83171AAE63AE}" name="Echantillion 3: _x000a_Absence  de bavure" dataDxfId="71"/>
    <tableColumn id="23" xr3:uid="{BF003E62-A0E7-48E3-9FF3-6D6BE5CEDE14}" name="Echantillion 3: _x000a_Force de rupture mini" dataDxfId="70"/>
    <tableColumn id="24" xr3:uid="{6DC7423D-1D3E-409B-9E7D-279CDE096876}" name="Echantillion 3: _x000a_Valeur de rupture" dataDxfId="69"/>
    <tableColumn id="25" xr3:uid="{9D55E5AB-CBD0-4987-93C6-5F8BC3C2FF0F}" name="Conformité" dataDxfId="68"/>
    <tableColumn id="26" xr3:uid="{13861B80-9A2C-4751-82B9-0C027E52AE60}" name="Observation" dataDxfId="67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86E5B3B0-B401-4F5C-98F5-884901DD551F}" name="Tab_Bilan_pieuvre" displayName="Tab_Bilan_pieuvre" ref="A1:AN7" totalsRowShown="0" headerRowDxfId="66" dataDxfId="65">
  <autoFilter ref="A1:AN7" xr:uid="{86E5B3B0-B401-4F5C-98F5-884901DD551F}"/>
  <tableColumns count="40">
    <tableColumn id="7" xr3:uid="{51843410-EB92-41CC-9EA5-C7AA9C3EF804}" name="Numéro IT" dataDxfId="64"/>
    <tableColumn id="1" xr3:uid="{37F6E3E4-428E-4BF2-8209-BC2AA58F9298}" name="numero identification" dataDxfId="63"/>
    <tableColumn id="2" xr3:uid="{0F14B9CF-7B3A-4322-8BB3-361628086777}" name="Température " dataDxfId="62"/>
    <tableColumn id="3" xr3:uid="{0C81558A-711A-461C-9FA5-1648647D60AC}" name="Humidité" dataDxfId="61"/>
    <tableColumn id="4" xr3:uid="{26BE057C-3F84-44F3-B088-6441769F47CA}" name="Vérificateur" dataDxfId="60"/>
    <tableColumn id="5" xr3:uid="{ACDD7590-4E51-429D-9D35-9EB5AFB82BE4}" name="Nombre de branches" dataDxfId="59"/>
    <tableColumn id="6" xr3:uid="{A7E69D9F-D3C3-4C0C-B4D4-59C48705F47D}" name="2" dataDxfId="58"/>
    <tableColumn id="17" xr3:uid="{ADEF34B0-293F-483D-8AEA-B5971160F4E2}" name="3" dataDxfId="57"/>
    <tableColumn id="18" xr3:uid="{956C119D-75EF-4288-9976-BB3F1ED8A725}" name="4" dataDxfId="56"/>
    <tableColumn id="19" xr3:uid="{1F550008-7F21-4164-B3CF-3B846613ACE2}" name="5" dataDxfId="55"/>
    <tableColumn id="20" xr3:uid="{05118356-50C7-4DAB-9743-9ABC18045F65}" name="6" dataDxfId="54"/>
    <tableColumn id="21" xr3:uid="{6A5A7C2F-32CD-4536-A555-183EF587408B}" name="7" dataDxfId="53"/>
    <tableColumn id="22" xr3:uid="{0C1C88C8-A2F9-462B-B190-4F8D32CA9891}" name="8" dataDxfId="52"/>
    <tableColumn id="23" xr3:uid="{8185B63C-E249-4855-88BA-92646B0199A1}" name="9" dataDxfId="51"/>
    <tableColumn id="24" xr3:uid="{E8D57377-057D-4DF7-838E-E63DCECBA140}" name="10" dataDxfId="50"/>
    <tableColumn id="25" xr3:uid="{360F7EF2-9B73-4896-9964-3DBC7B63770D}" name="11" dataDxfId="49"/>
    <tableColumn id="26" xr3:uid="{048AA129-3336-493E-9CD1-77F94C6F06CE}" name="12" dataDxfId="48"/>
    <tableColumn id="27" xr3:uid="{0737969D-29F8-44DA-A130-C6DD5CCA9B8B}" name="13" dataDxfId="47"/>
    <tableColumn id="28" xr3:uid="{3249C0A4-40B3-47D0-A48D-5CA68D64E2DA}" name="14" dataDxfId="46"/>
    <tableColumn id="29" xr3:uid="{D4C864E1-558F-41BD-8DD9-7CEFB4CB0578}" name="15" dataDxfId="45"/>
    <tableColumn id="30" xr3:uid="{DC8C2496-3624-40DB-A24A-347BAD13EE20}" name="16" dataDxfId="44"/>
    <tableColumn id="31" xr3:uid="{A45EC4A7-8323-45CB-93BE-D0564BC9A240}" name="17" dataDxfId="43"/>
    <tableColumn id="32" xr3:uid="{C1194C3E-F92C-404D-BBA9-D1F94713539E}" name="18" dataDxfId="42"/>
    <tableColumn id="33" xr3:uid="{C337C5CD-676D-4A6C-9F1F-19270A3E4290}" name="19" dataDxfId="41"/>
    <tableColumn id="34" xr3:uid="{6915B8FD-25AA-4A30-B99F-25DF4CD8BA88}" name="20" dataDxfId="40"/>
    <tableColumn id="35" xr3:uid="{7521A1A3-271E-4B0E-A3B4-AE54E2288513}" name="21" dataDxfId="39"/>
    <tableColumn id="36" xr3:uid="{D36A7D84-2801-4A16-937F-9A5686E77976}" name="22" dataDxfId="38"/>
    <tableColumn id="37" xr3:uid="{0BB64C9D-FB12-4508-BEEE-A66EBCDA7548}" name="23" dataDxfId="37"/>
    <tableColumn id="38" xr3:uid="{DEF0CE0B-6BF8-4903-AFCE-97FF4BDAD1B4}" name="24" dataDxfId="36"/>
    <tableColumn id="39" xr3:uid="{52DC0618-0159-45AC-B724-A66BBDB86AAC}" name="25" dataDxfId="35"/>
    <tableColumn id="40" xr3:uid="{F9003AE3-14E2-4542-BB5B-E413614DAB7D}" name="26" dataDxfId="34"/>
    <tableColumn id="41" xr3:uid="{9339B918-6F28-4327-984E-AFFAC54ABAE8}" name="27" dataDxfId="33"/>
    <tableColumn id="42" xr3:uid="{9A2F6B35-55F9-417E-BA90-978CE8382C90}" name="28" dataDxfId="32"/>
    <tableColumn id="43" xr3:uid="{A5D0BBF2-7017-411D-9868-FAC7EA239929}" name="29" dataDxfId="31"/>
    <tableColumn id="44" xr3:uid="{7F526B36-D342-462C-9AEA-825EB9836B16}" name="30" dataDxfId="30"/>
    <tableColumn id="45" xr3:uid="{05CD27D9-5CBF-4A70-8B0D-D26EC16F94A6}" name="31" dataDxfId="29"/>
    <tableColumn id="46" xr3:uid="{B84C3E6E-76C9-4036-A677-85BE16CC1128}" name="32" dataDxfId="28"/>
    <tableColumn id="47" xr3:uid="{E05D6BDF-9609-48D9-9755-7E7E50157BC3}" name="observation" dataDxfId="27"/>
    <tableColumn id="15" xr3:uid="{BEC41DAB-8692-4689-94F6-F9E5C4F08BEB}" name="Conformité" dataDxfId="26"/>
    <tableColumn id="8" xr3:uid="{2DB7A49B-0172-4DDB-AA26-095D99B1CE3A}" name="Appareil de mesure" dataDxfId="25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DF26BE7-9AC7-40B1-BD5E-810BC0270543}" name="Tab_Conformite" displayName="Tab_Conformite" ref="C1:C3" totalsRowShown="0" dataDxfId="24">
  <autoFilter ref="C1:C3" xr:uid="{DDF26BE7-9AC7-40B1-BD5E-810BC0270543}"/>
  <tableColumns count="1">
    <tableColumn id="1" xr3:uid="{AD9D81F1-F47E-4C6B-B245-2C5105975A90}" name="Conformité" dataDxfId="23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326E191C-4471-41AB-87C4-3EBA162DF19E}" name="Tab_Pince" displayName="Tab_Pince" ref="E1:F13" totalsRowShown="0" headerRowDxfId="22" dataDxfId="21">
  <autoFilter ref="E1:F13" xr:uid="{326E191C-4471-41AB-87C4-3EBA162DF19E}"/>
  <sortState xmlns:xlrd2="http://schemas.microsoft.com/office/spreadsheetml/2017/richdata2" ref="E2:F13">
    <sortCondition ref="E1:E32"/>
  </sortState>
  <tableColumns count="2">
    <tableColumn id="2" xr3:uid="{5FFCB278-C6B3-42E5-A7BA-B1F893E61020}" name="Type de pince" dataDxfId="20"/>
    <tableColumn id="3" xr3:uid="{7198E8EF-54BD-4950-83BE-8259D25ED37F}" name="Norme" dataDxfId="19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71C94714-7F37-49ED-A7D2-CF86BC3E573F}" name="Tab_Section" displayName="Tab_Section" ref="H1:J69" totalsRowShown="0">
  <autoFilter ref="H1:J69" xr:uid="{71C94714-7F37-49ED-A7D2-CF86BC3E573F}"/>
  <sortState xmlns:xlrd2="http://schemas.microsoft.com/office/spreadsheetml/2017/richdata2" ref="H2:J69">
    <sortCondition ref="H1:H69"/>
  </sortState>
  <tableColumns count="3">
    <tableColumn id="1" xr3:uid="{D3620F3D-B9F7-4400-9ACE-AA6363040582}" name="Norme" dataDxfId="18"/>
    <tableColumn id="2" xr3:uid="{2FAC779E-A45D-43D8-9B15-F5441AA9880F}" name="Section" dataDxfId="17"/>
    <tableColumn id="3" xr3:uid="{BA47EBBC-F813-477B-BB9A-0A40E153A4FC}" name="Force de traction" dataDxfId="16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3A3ADAC0-81F8-4157-AF8D-BC27F07FE7B2}" name="Tab_ConditionsAcces" displayName="Tab_ConditionsAcces" ref="L1:R5" totalsRowShown="0">
  <autoFilter ref="L1:R5" xr:uid="{3A3ADAC0-81F8-4157-AF8D-BC27F07FE7B2}"/>
  <tableColumns count="7">
    <tableColumn id="1" xr3:uid="{E38545FC-FEB5-40E0-8522-484943763F7F}" name="Norme" dataDxfId="15"/>
    <tableColumn id="2" xr3:uid="{42140810-34C4-467C-AFCD-D2B8912A6295}" name="Températeur Mini" dataDxfId="14"/>
    <tableColumn id="3" xr3:uid="{22D8B14D-C95C-4D01-975F-4EA9E9D96C25}" name="Températeur Maxi" dataDxfId="13"/>
    <tableColumn id="4" xr3:uid="{7935CB8B-3F44-4224-A53A-D40B87803FF0}" name="Humidité relative Mini" dataDxfId="12"/>
    <tableColumn id="5" xr3:uid="{BF62E1FE-2AEA-4340-9AB0-4FE1ABDDC26D}" name="Humidité relative Maxi" dataDxfId="11"/>
    <tableColumn id="6" xr3:uid="{E3F3B4DA-0280-4E31-8E43-F9FC2A7A153C}" name="Vitesse Mini" dataDxfId="10"/>
    <tableColumn id="7" xr3:uid="{7F3A6703-2336-4D8D-A953-8FBDE987734B}" name="Vitesse Maxi" dataDxfId="9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81C0F22-1ACB-4537-B46A-6F69FDD387FA}" name="Ampéremetre" displayName="Ampéremetre" ref="X1:Y3" totalsRowShown="0">
  <autoFilter ref="X1:Y3" xr:uid="{081C0F22-1ACB-4537-B46A-6F69FDD387FA}"/>
  <tableColumns count="2">
    <tableColumn id="1" xr3:uid="{6BA50A39-6706-40CC-B7C7-FE5B5E0CFD1A}" name="Numéro identification Ampéremetre"/>
    <tableColumn id="2" xr3:uid="{0ABF9CCA-3F2A-40F3-A00B-0D098344D6C9}" name="Tolérence" dataDxfId="8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530221B2-7C6F-44DF-9E2D-A21BA6028DAE}" name="Voltmetre" displayName="Voltmetre" ref="AA1:AB3" totalsRowShown="0">
  <autoFilter ref="AA1:AB3" xr:uid="{530221B2-7C6F-44DF-9E2D-A21BA6028DAE}"/>
  <tableColumns count="2">
    <tableColumn id="1" xr3:uid="{A5283263-C57B-42B6-8D6E-0D5DB2675A23}" name="Numéro identification Voltmetre"/>
    <tableColumn id="2" xr3:uid="{1DC2DE78-1B87-407C-B8FE-889DE9D4530B}" name="Tolérence" dataDxfId="7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89B5E180-49CA-4337-8744-7A87DD47617B}" name="Tab_Type_Shunt" displayName="Tab_Type_Shunt" ref="AD1:AD10" totalsRowShown="0" headerRowDxfId="6" dataDxfId="4" headerRowBorderDxfId="5" tableBorderDxfId="3" totalsRowBorderDxfId="2">
  <autoFilter ref="AD1:AD10" xr:uid="{89B5E180-49CA-4337-8744-7A87DD47617B}"/>
  <tableColumns count="1">
    <tableColumn id="1" xr3:uid="{7CE41171-3CC8-4493-BC54-1384490B7ED9}" name="Type" dataDxfId="1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FDF64B90-4AE8-4ABA-9EC8-74B9CCDE61B1}" name="ohmetre" displayName="ohmetre" ref="AF1:AG3" totalsRowShown="0">
  <autoFilter ref="AF1:AG3" xr:uid="{FDF64B90-4AE8-4ABA-9EC8-74B9CCDE61B1}"/>
  <tableColumns count="2">
    <tableColumn id="1" xr3:uid="{01D630BB-6C7A-4265-AB48-BFE58EEC129B}" name="Numéro identification Ohmetre"/>
    <tableColumn id="2" xr3:uid="{F2A6AD1C-9C7C-4CA3-80A3-825FC687F5FD}" name="Tolérence" dataDxfId="0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4E851F45-DFE4-4F8C-A0C4-4BAE925CFE46}" name="Tableau14" displayName="Tableau14" ref="AI1:AI3" totalsRowShown="0">
  <autoFilter ref="AI1:AI3" xr:uid="{4E851F45-DFE4-4F8C-A0C4-4BAE925CFE46}"/>
  <tableColumns count="1">
    <tableColumn id="1" xr3:uid="{EA8BBAC1-45F1-41F9-A1F4-F6030723D090}" name="Continuité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8.xml"/><Relationship Id="rId3" Type="http://schemas.openxmlformats.org/officeDocument/2006/relationships/ctrlProp" Target="../ctrlProps/ctrlProp3.xml"/><Relationship Id="rId7" Type="http://schemas.openxmlformats.org/officeDocument/2006/relationships/ctrlProp" Target="../ctrlProps/ctrlProp7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ctrlProp" Target="../ctrlProps/ctrlProp1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3.xml"/><Relationship Id="rId4" Type="http://schemas.openxmlformats.org/officeDocument/2006/relationships/ctrlProp" Target="../ctrlProps/ctrlProp12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4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4" Type="http://schemas.openxmlformats.org/officeDocument/2006/relationships/ctrlProp" Target="../ctrlProps/ctrlProp1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17.xml"/><Relationship Id="rId4" Type="http://schemas.openxmlformats.org/officeDocument/2006/relationships/ctrlProp" Target="../ctrlProps/ctrlProp1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0.xml"/><Relationship Id="rId4" Type="http://schemas.openxmlformats.org/officeDocument/2006/relationships/ctrlProp" Target="../ctrlProps/ctrlProp19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7.xml"/><Relationship Id="rId3" Type="http://schemas.openxmlformats.org/officeDocument/2006/relationships/table" Target="../tables/table12.xml"/><Relationship Id="rId7" Type="http://schemas.openxmlformats.org/officeDocument/2006/relationships/table" Target="../tables/table16.xml"/><Relationship Id="rId2" Type="http://schemas.openxmlformats.org/officeDocument/2006/relationships/table" Target="../tables/table11.xml"/><Relationship Id="rId1" Type="http://schemas.openxmlformats.org/officeDocument/2006/relationships/table" Target="../tables/table10.xml"/><Relationship Id="rId6" Type="http://schemas.openxmlformats.org/officeDocument/2006/relationships/table" Target="../tables/table15.xml"/><Relationship Id="rId5" Type="http://schemas.openxmlformats.org/officeDocument/2006/relationships/table" Target="../tables/table14.xml"/><Relationship Id="rId4" Type="http://schemas.openxmlformats.org/officeDocument/2006/relationships/table" Target="../tables/table13.xml"/><Relationship Id="rId9" Type="http://schemas.openxmlformats.org/officeDocument/2006/relationships/table" Target="../tables/table1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2EC44-0FCD-430D-8F5C-2401E891CA59}">
  <sheetPr codeName="Feuil3"/>
  <dimension ref="A1:H33"/>
  <sheetViews>
    <sheetView workbookViewId="0">
      <selection activeCell="B20" sqref="B20"/>
    </sheetView>
  </sheetViews>
  <sheetFormatPr baseColWidth="10" defaultRowHeight="15" x14ac:dyDescent="0.25"/>
  <cols>
    <col min="3" max="3" width="15" customWidth="1"/>
  </cols>
  <sheetData>
    <row r="1" spans="1:8" ht="28.5" x14ac:dyDescent="0.25">
      <c r="A1" s="160" t="s">
        <v>0</v>
      </c>
      <c r="B1" s="161"/>
      <c r="C1" s="161"/>
      <c r="D1" s="161"/>
      <c r="E1" s="161"/>
      <c r="F1" s="161"/>
      <c r="G1" s="161"/>
      <c r="H1" s="162"/>
    </row>
    <row r="2" spans="1:8" ht="19.5" thickBot="1" x14ac:dyDescent="0.3">
      <c r="A2" s="163" t="str">
        <f ca="1">IF(OR(ISBLANK(G6),ISBLANK(G6)),"",TEXT(G29,"AAAA-MM-JJ")&amp;"-"&amp;G6)</f>
        <v>2025-04-17-d</v>
      </c>
      <c r="B2" s="164"/>
      <c r="C2" s="164"/>
      <c r="D2" s="164"/>
      <c r="E2" s="164"/>
      <c r="F2" s="164"/>
      <c r="G2" s="164"/>
      <c r="H2" s="165"/>
    </row>
    <row r="3" spans="1:8" ht="15.75" thickBot="1" x14ac:dyDescent="0.3"/>
    <row r="4" spans="1:8" ht="15.75" thickBot="1" x14ac:dyDescent="0.3">
      <c r="A4" s="166" t="s">
        <v>1</v>
      </c>
      <c r="B4" s="167"/>
      <c r="C4" s="167"/>
      <c r="D4" s="167"/>
      <c r="E4" s="167"/>
      <c r="F4" s="167"/>
      <c r="G4" s="167"/>
      <c r="H4" s="168"/>
    </row>
    <row r="6" spans="1:8" x14ac:dyDescent="0.25">
      <c r="A6" s="19" t="s">
        <v>216</v>
      </c>
      <c r="B6" s="120"/>
      <c r="C6" s="72"/>
      <c r="E6" s="158" t="s">
        <v>5</v>
      </c>
      <c r="F6" s="159"/>
      <c r="G6" s="75" t="s">
        <v>367</v>
      </c>
      <c r="H6" s="97"/>
    </row>
    <row r="8" spans="1:8" x14ac:dyDescent="0.25">
      <c r="A8" s="19" t="s">
        <v>2</v>
      </c>
      <c r="B8" s="73" t="str">
        <f>IF(ISBLANK(G6),"",VLOOKUP(G6,Tab_Base_Generateur[],2,0))</f>
        <v>f</v>
      </c>
      <c r="C8" s="74"/>
      <c r="D8" s="21"/>
      <c r="E8" s="169" t="s">
        <v>3</v>
      </c>
      <c r="F8" s="169"/>
      <c r="G8" s="73" t="str">
        <f>IF(ISBLANK(G6),"",VLOOKUP(G6,Tab_Base_Generateur[],3,0))</f>
        <v>m</v>
      </c>
      <c r="H8" s="74"/>
    </row>
    <row r="9" spans="1:8" x14ac:dyDescent="0.25">
      <c r="A9" s="21"/>
      <c r="B9" s="21"/>
      <c r="C9" s="21"/>
      <c r="D9" s="21"/>
      <c r="E9" s="21"/>
      <c r="F9" s="21"/>
      <c r="G9" s="21"/>
      <c r="H9" s="21"/>
    </row>
    <row r="10" spans="1:8" x14ac:dyDescent="0.25">
      <c r="A10" s="17" t="s">
        <v>4</v>
      </c>
      <c r="B10" s="73">
        <f>IF(ISBLANK(G6),"",VLOOKUP(G6,Tab_Base_Generateur[],4,0))</f>
        <v>1</v>
      </c>
      <c r="C10" s="74"/>
      <c r="D10" s="21"/>
      <c r="E10" s="158" t="s">
        <v>190</v>
      </c>
      <c r="F10" s="159"/>
      <c r="G10" s="73"/>
      <c r="H10" s="97"/>
    </row>
    <row r="11" spans="1:8" ht="15.75" thickBot="1" x14ac:dyDescent="0.3">
      <c r="A11" s="21"/>
      <c r="B11" s="21"/>
      <c r="C11" s="21"/>
      <c r="D11" s="21"/>
      <c r="E11" s="21"/>
      <c r="F11" s="21"/>
      <c r="G11" s="21"/>
      <c r="H11" s="21"/>
    </row>
    <row r="12" spans="1:8" ht="15.75" thickBot="1" x14ac:dyDescent="0.3">
      <c r="A12" s="166" t="s">
        <v>17</v>
      </c>
      <c r="B12" s="167"/>
      <c r="C12" s="167"/>
      <c r="D12" s="167"/>
      <c r="E12" s="167"/>
      <c r="F12" s="167"/>
      <c r="G12" s="167"/>
      <c r="H12" s="168"/>
    </row>
    <row r="13" spans="1:8" x14ac:dyDescent="0.25">
      <c r="A13" s="21"/>
      <c r="B13" s="21"/>
      <c r="C13" s="21"/>
      <c r="D13" s="21"/>
      <c r="E13" s="21"/>
      <c r="F13" s="21"/>
      <c r="G13" s="21"/>
      <c r="H13" s="21"/>
    </row>
    <row r="14" spans="1:8" x14ac:dyDescent="0.25">
      <c r="A14" s="19" t="s">
        <v>8</v>
      </c>
      <c r="B14" s="98"/>
      <c r="C14" s="99"/>
      <c r="D14" s="21"/>
      <c r="E14" s="169" t="s">
        <v>9</v>
      </c>
      <c r="F14" s="158"/>
      <c r="G14" s="104"/>
      <c r="H14" s="105"/>
    </row>
    <row r="15" spans="1:8" x14ac:dyDescent="0.25">
      <c r="A15" s="21"/>
      <c r="B15" s="21"/>
      <c r="C15" s="21"/>
      <c r="D15" s="21"/>
      <c r="E15" s="2"/>
      <c r="F15" s="2"/>
      <c r="G15" s="2"/>
      <c r="H15" s="2"/>
    </row>
    <row r="16" spans="1:8" x14ac:dyDescent="0.25">
      <c r="A16" s="17" t="s">
        <v>24</v>
      </c>
      <c r="B16" s="178" t="s">
        <v>404</v>
      </c>
      <c r="C16" s="179"/>
      <c r="D16" s="21"/>
      <c r="E16" s="158" t="s">
        <v>366</v>
      </c>
      <c r="F16" s="180"/>
      <c r="G16" s="109"/>
      <c r="H16" s="110"/>
    </row>
    <row r="17" spans="1:8" ht="15.75" thickBot="1" x14ac:dyDescent="0.3"/>
    <row r="18" spans="1:8" ht="15.75" thickBot="1" x14ac:dyDescent="0.3">
      <c r="A18" s="181" t="s">
        <v>363</v>
      </c>
      <c r="B18" s="182"/>
      <c r="C18" s="182"/>
      <c r="D18" s="182"/>
      <c r="E18" s="182"/>
      <c r="F18" s="182"/>
      <c r="G18" s="182"/>
      <c r="H18" s="183"/>
    </row>
    <row r="20" spans="1:8" x14ac:dyDescent="0.25">
      <c r="A20" s="156"/>
      <c r="B20" s="154"/>
      <c r="C20" s="63"/>
      <c r="F20" s="156"/>
      <c r="G20" s="155"/>
      <c r="H20" s="63"/>
    </row>
    <row r="21" spans="1:8" x14ac:dyDescent="0.25">
      <c r="A21" s="156"/>
      <c r="B21" s="154"/>
      <c r="C21" s="63"/>
      <c r="F21" s="156"/>
      <c r="G21" s="154"/>
      <c r="H21" s="63"/>
    </row>
    <row r="22" spans="1:8" ht="15.75" thickBot="1" x14ac:dyDescent="0.3"/>
    <row r="23" spans="1:8" ht="15.75" thickBot="1" x14ac:dyDescent="0.3">
      <c r="A23" s="170" t="s">
        <v>19</v>
      </c>
      <c r="B23" s="171"/>
      <c r="C23" s="171"/>
      <c r="D23" s="171"/>
      <c r="E23" s="171"/>
      <c r="F23" s="171"/>
      <c r="G23" s="171"/>
      <c r="H23" s="172"/>
    </row>
    <row r="24" spans="1:8" ht="15.75" thickBot="1" x14ac:dyDescent="0.3">
      <c r="A24" s="18"/>
      <c r="B24" s="13"/>
      <c r="C24" s="13"/>
      <c r="D24" s="13"/>
      <c r="E24" s="13"/>
      <c r="F24" s="13"/>
      <c r="G24" s="13"/>
      <c r="H24" s="14"/>
    </row>
    <row r="25" spans="1:8" ht="15.75" thickBot="1" x14ac:dyDescent="0.3"/>
    <row r="26" spans="1:8" ht="15.75" thickBot="1" x14ac:dyDescent="0.3">
      <c r="A26" s="173" t="s">
        <v>26</v>
      </c>
      <c r="B26" s="174"/>
      <c r="C26" s="174"/>
      <c r="D26" s="174"/>
      <c r="E26" s="174"/>
      <c r="F26" s="174"/>
      <c r="G26" s="174"/>
      <c r="H26" s="175"/>
    </row>
    <row r="27" spans="1:8" x14ac:dyDescent="0.25">
      <c r="A27" s="176" t="s">
        <v>110</v>
      </c>
      <c r="B27" s="177"/>
      <c r="C27" s="36" t="str">
        <f>IF(AND(C20="conforme",C21="conforme",G20="conforme",G21="conforme"),"Conforme","Non Conforme")</f>
        <v>Non Conforme</v>
      </c>
      <c r="D27" s="5" t="s">
        <v>206</v>
      </c>
      <c r="E27" s="37">
        <f>G10</f>
        <v>0</v>
      </c>
      <c r="F27" s="5"/>
      <c r="G27" s="5"/>
      <c r="H27" s="6"/>
    </row>
    <row r="29" spans="1:8" x14ac:dyDescent="0.25">
      <c r="E29" t="s">
        <v>6</v>
      </c>
      <c r="G29" s="12">
        <f ca="1">TODAY()</f>
        <v>45764</v>
      </c>
    </row>
    <row r="30" spans="1:8" x14ac:dyDescent="0.25">
      <c r="A30" s="8"/>
      <c r="E30" t="s">
        <v>133</v>
      </c>
      <c r="G30" s="148" t="e">
        <f>LEFT(NomUtilisateur(),FIND(" [",NomUtilisateur())-1)</f>
        <v>#VALUE!</v>
      </c>
    </row>
    <row r="31" spans="1:8" x14ac:dyDescent="0.25">
      <c r="A31" s="1"/>
      <c r="B31" s="1"/>
      <c r="C31" s="47"/>
      <c r="E31" s="90"/>
    </row>
    <row r="32" spans="1:8" x14ac:dyDescent="0.25">
      <c r="A32" s="1"/>
      <c r="B32" s="1"/>
      <c r="C32" s="62"/>
    </row>
    <row r="33" spans="1:3" x14ac:dyDescent="0.25">
      <c r="A33" s="1"/>
      <c r="B33" s="1"/>
      <c r="C33" s="62"/>
    </row>
  </sheetData>
  <mergeCells count="14">
    <mergeCell ref="A23:H23"/>
    <mergeCell ref="A26:H26"/>
    <mergeCell ref="A27:B27"/>
    <mergeCell ref="A12:H12"/>
    <mergeCell ref="E14:F14"/>
    <mergeCell ref="B16:C16"/>
    <mergeCell ref="E16:F16"/>
    <mergeCell ref="A18:H18"/>
    <mergeCell ref="E10:F10"/>
    <mergeCell ref="A1:H1"/>
    <mergeCell ref="A2:H2"/>
    <mergeCell ref="A4:H4"/>
    <mergeCell ref="E6:F6"/>
    <mergeCell ref="E8:F8"/>
  </mergeCells>
  <conditionalFormatting sqref="C27">
    <cfRule type="cellIs" dxfId="195" priority="4" operator="equal">
      <formula>"Non conforme"</formula>
    </cfRule>
    <cfRule type="cellIs" dxfId="194" priority="5" operator="equal">
      <formula>"conforme"</formula>
    </cfRule>
  </conditionalFormatting>
  <conditionalFormatting sqref="B20:B21 G20:G21">
    <cfRule type="containsBlanks" dxfId="193" priority="6">
      <formula>LEN(TRIM(B20))=0</formula>
    </cfRule>
    <cfRule type="cellIs" dxfId="192" priority="7" operator="greaterThan">
      <formula>$G$16</formula>
    </cfRule>
  </conditionalFormatting>
  <conditionalFormatting sqref="C20:C21 H20:H21">
    <cfRule type="beginsWith" dxfId="191" priority="2" operator="beginsWith" text="Conforme">
      <formula>LEFT(C20,LEN("Conforme"))="Conforme"</formula>
    </cfRule>
  </conditionalFormatting>
  <conditionalFormatting sqref="H20:H21 C20:C21">
    <cfRule type="cellIs" dxfId="190" priority="1" operator="equal">
      <formula>"Non conforme"</formula>
    </cfRule>
  </conditionalFormatting>
  <dataValidations count="3">
    <dataValidation type="whole" allowBlank="1" showInputMessage="1" showErrorMessage="1" sqref="B6" xr:uid="{161ADF07-08DA-4A12-B24B-1934C0974460}">
      <formula1>0</formula1>
      <formula2>100000000000000000</formula2>
    </dataValidation>
    <dataValidation type="decimal" allowBlank="1" showInputMessage="1" showErrorMessage="1" errorTitle="Valeur hors tolérence" error="La valeur doit être comprise entre 25% et 75%" prompt="Saisir l'hydrométrie de la pièce._x000a_Elle doit être comprise entre 25 et 75%" sqref="G14" xr:uid="{8B4D5A24-6A9B-48A8-AC69-29E71557B863}">
      <formula1>25</formula1>
      <formula2>75</formula2>
    </dataValidation>
    <dataValidation type="decimal" allowBlank="1" showInputMessage="1" showErrorMessage="1" errorTitle="Valeur hors tolérence" error="La valeur doit être comprise entre 15°C et 35°C" prompt="Saisir la temprérature de la pièce._x000a_Elle doit être comprise entre 15 et 30°C" sqref="B14" xr:uid="{D50033A8-C05E-455E-B729-8A6CD622FE40}">
      <formula1>15</formula1>
      <formula2>35</formula2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6561" r:id="rId3" name="Button 1">
              <controlPr defaultSize="0" print="0" autoFill="0" autoPict="0" macro="[0]!Nouveau_barre">
                <anchor moveWithCells="1" sizeWithCells="1">
                  <from>
                    <xdr:col>5</xdr:col>
                    <xdr:colOff>76200</xdr:colOff>
                    <xdr:row>31</xdr:row>
                    <xdr:rowOff>19050</xdr:rowOff>
                  </from>
                  <to>
                    <xdr:col>8</xdr:col>
                    <xdr:colOff>28575</xdr:colOff>
                    <xdr:row>32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6562" r:id="rId4" name="Button 2">
              <controlPr defaultSize="0" print="0" autoFill="0" autoPict="0" macro="[0]!Acceuil_barre">
                <anchor moveWithCells="1" sizeWithCells="1">
                  <from>
                    <xdr:col>0</xdr:col>
                    <xdr:colOff>85725</xdr:colOff>
                    <xdr:row>31</xdr:row>
                    <xdr:rowOff>57150</xdr:rowOff>
                  </from>
                  <to>
                    <xdr:col>2</xdr:col>
                    <xdr:colOff>28575</xdr:colOff>
                    <xdr:row>32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231EB9B-3C11-47A0-BC6B-123C7B6D1308}">
          <x14:formula1>
            <xm:f>'Base de donnée'!$AC:$AC</xm:f>
          </x14:formula1>
          <xm:sqref>G6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A098D8-0041-48B3-97B6-984FC1298FE4}">
  <sheetPr codeName="Feuil2"/>
  <dimension ref="B3:J7"/>
  <sheetViews>
    <sheetView zoomScale="110" zoomScaleNormal="110" workbookViewId="0">
      <selection activeCell="F6" sqref="F6"/>
    </sheetView>
  </sheetViews>
  <sheetFormatPr baseColWidth="10" defaultRowHeight="15" x14ac:dyDescent="0.25"/>
  <cols>
    <col min="2" max="2" width="35.7109375" customWidth="1"/>
    <col min="3" max="3" width="4.5703125" customWidth="1"/>
    <col min="4" max="4" width="36" customWidth="1"/>
    <col min="5" max="5" width="4.5703125" customWidth="1"/>
    <col min="6" max="6" width="35.7109375" customWidth="1"/>
    <col min="7" max="7" width="2.42578125" customWidth="1"/>
    <col min="8" max="8" width="35.7109375" customWidth="1"/>
    <col min="9" max="9" width="4.42578125" customWidth="1"/>
    <col min="10" max="10" width="35.7109375" customWidth="1"/>
  </cols>
  <sheetData>
    <row r="3" spans="2:10" ht="15.75" thickBot="1" x14ac:dyDescent="0.3">
      <c r="B3" s="64" t="s">
        <v>202</v>
      </c>
      <c r="C3" s="1"/>
      <c r="D3" t="s">
        <v>203</v>
      </c>
      <c r="E3" s="1"/>
      <c r="G3" s="1"/>
      <c r="H3" t="s">
        <v>165</v>
      </c>
      <c r="J3" s="46" t="s">
        <v>181</v>
      </c>
    </row>
    <row r="4" spans="2:10" ht="144.94999999999999" customHeight="1" thickBot="1" x14ac:dyDescent="0.3">
      <c r="B4" s="46" t="e" vm="1">
        <v>#VALUE!</v>
      </c>
      <c r="D4" s="65" t="e" vm="2">
        <v>#VALUE!</v>
      </c>
      <c r="F4" s="46" t="e" vm="3">
        <v>#VALUE!</v>
      </c>
      <c r="H4" s="66" t="e" vm="4">
        <v>#VALUE!</v>
      </c>
      <c r="J4" s="51"/>
    </row>
    <row r="6" spans="2:10" ht="33" customHeight="1" x14ac:dyDescent="0.25">
      <c r="B6" s="2" t="s">
        <v>212</v>
      </c>
      <c r="D6" s="2" t="s">
        <v>213</v>
      </c>
    </row>
    <row r="7" spans="2:10" ht="144.94999999999999" customHeight="1" x14ac:dyDescent="0.25"/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Ouvrir_barre">
                <anchor moveWithCells="1" sizeWithCells="1">
                  <from>
                    <xdr:col>0</xdr:col>
                    <xdr:colOff>752475</xdr:colOff>
                    <xdr:row>1</xdr:row>
                    <xdr:rowOff>200025</xdr:rowOff>
                  </from>
                  <to>
                    <xdr:col>2</xdr:col>
                    <xdr:colOff>9525</xdr:colOff>
                    <xdr:row>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Ouvrir_resistance">
                <anchor moveWithCells="1" sizeWithCells="1">
                  <from>
                    <xdr:col>2</xdr:col>
                    <xdr:colOff>295275</xdr:colOff>
                    <xdr:row>2</xdr:row>
                    <xdr:rowOff>0</xdr:rowOff>
                  </from>
                  <to>
                    <xdr:col>4</xdr:col>
                    <xdr:colOff>9525</xdr:colOff>
                    <xdr:row>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Ouvrir_Traction">
                <anchor moveWithCells="1" sizeWithCells="1">
                  <from>
                    <xdr:col>4</xdr:col>
                    <xdr:colOff>257175</xdr:colOff>
                    <xdr:row>1</xdr:row>
                    <xdr:rowOff>190500</xdr:rowOff>
                  </from>
                  <to>
                    <xdr:col>5</xdr:col>
                    <xdr:colOff>2371725</xdr:colOff>
                    <xdr:row>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Button 6">
              <controlPr defaultSize="0" print="0" autoFill="0" autoPict="0" macro="[0]!Ouvrir_pieuvre">
                <anchor moveWithCells="1" sizeWithCells="1">
                  <from>
                    <xdr:col>6</xdr:col>
                    <xdr:colOff>161925</xdr:colOff>
                    <xdr:row>1</xdr:row>
                    <xdr:rowOff>180975</xdr:rowOff>
                  </from>
                  <to>
                    <xdr:col>8</xdr:col>
                    <xdr:colOff>28575</xdr:colOff>
                    <xdr:row>3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Button 7">
              <controlPr defaultSize="0" print="0" autoFill="0" autoPict="0" macro="[0]!valise">
                <anchor moveWithCells="1" sizeWithCells="1">
                  <from>
                    <xdr:col>9</xdr:col>
                    <xdr:colOff>0</xdr:colOff>
                    <xdr:row>2</xdr:row>
                    <xdr:rowOff>0</xdr:rowOff>
                  </from>
                  <to>
                    <xdr:col>10</xdr:col>
                    <xdr:colOff>38100</xdr:colOff>
                    <xdr:row>3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8" name="Button 9">
              <controlPr defaultSize="0" print="0" autoFill="0" autoPict="0" macro="[0]!Vérificateur">
                <anchor moveWithCells="1" sizeWithCells="1">
                  <from>
                    <xdr:col>7</xdr:col>
                    <xdr:colOff>28575</xdr:colOff>
                    <xdr:row>5</xdr:row>
                    <xdr:rowOff>47625</xdr:rowOff>
                  </from>
                  <to>
                    <xdr:col>8</xdr:col>
                    <xdr:colOff>66675</xdr:colOff>
                    <xdr:row>5</xdr:row>
                    <xdr:rowOff>390525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A8B6AC-0FA2-4F46-8CDB-CA4EBE1F5A1C}">
  <sheetPr codeName="Feuil1"/>
  <dimension ref="A1:S35"/>
  <sheetViews>
    <sheetView topLeftCell="A4" workbookViewId="0">
      <selection activeCell="B4" sqref="B4 B7 B10 B13"/>
    </sheetView>
  </sheetViews>
  <sheetFormatPr baseColWidth="10" defaultRowHeight="15" x14ac:dyDescent="0.25"/>
  <cols>
    <col min="1" max="1" width="60.28515625" customWidth="1"/>
    <col min="2" max="2" width="36.7109375" customWidth="1"/>
    <col min="6" max="6" width="3.7109375" bestFit="1" customWidth="1"/>
    <col min="7" max="7" width="23.85546875" customWidth="1"/>
    <col min="8" max="8" width="20.85546875" customWidth="1"/>
    <col min="9" max="9" width="20.7109375" customWidth="1"/>
    <col min="10" max="10" width="6" customWidth="1"/>
    <col min="11" max="11" width="14.85546875" customWidth="1"/>
    <col min="12" max="12" width="4.140625" bestFit="1" customWidth="1"/>
    <col min="13" max="13" width="27.140625" bestFit="1" customWidth="1"/>
    <col min="14" max="14" width="4.140625" bestFit="1" customWidth="1"/>
    <col min="15" max="15" width="27.140625" bestFit="1" customWidth="1"/>
    <col min="16" max="16" width="4.140625" bestFit="1" customWidth="1"/>
    <col min="17" max="17" width="27.140625" bestFit="1" customWidth="1"/>
    <col min="18" max="18" width="4.140625" bestFit="1" customWidth="1"/>
    <col min="19" max="19" width="27.140625" bestFit="1" customWidth="1"/>
  </cols>
  <sheetData>
    <row r="1" spans="1:4" ht="16.5" thickBot="1" x14ac:dyDescent="0.3">
      <c r="A1" s="184" t="s">
        <v>405</v>
      </c>
      <c r="B1" s="185"/>
      <c r="C1" s="186"/>
    </row>
    <row r="2" spans="1:4" x14ac:dyDescent="0.25">
      <c r="A2" s="28"/>
      <c r="B2" s="29"/>
      <c r="C2" s="30"/>
    </row>
    <row r="3" spans="1:4" ht="15.75" thickBot="1" x14ac:dyDescent="0.3">
      <c r="A3" s="26"/>
      <c r="B3" s="27" t="s">
        <v>5</v>
      </c>
      <c r="C3" s="31"/>
    </row>
    <row r="4" spans="1:4" ht="15.75" thickBot="1" x14ac:dyDescent="0.3">
      <c r="A4" s="26"/>
      <c r="B4" s="24"/>
      <c r="C4" s="31"/>
    </row>
    <row r="5" spans="1:4" x14ac:dyDescent="0.25">
      <c r="A5" s="26"/>
      <c r="B5" s="27"/>
      <c r="C5" s="31"/>
    </row>
    <row r="6" spans="1:4" ht="15.75" thickBot="1" x14ac:dyDescent="0.3">
      <c r="A6" s="26"/>
      <c r="B6" s="27" t="s">
        <v>2</v>
      </c>
      <c r="C6" s="31"/>
    </row>
    <row r="7" spans="1:4" ht="15.75" thickBot="1" x14ac:dyDescent="0.3">
      <c r="A7" s="26"/>
      <c r="B7" s="150" t="s">
        <v>169</v>
      </c>
      <c r="C7" s="31"/>
    </row>
    <row r="8" spans="1:4" x14ac:dyDescent="0.25">
      <c r="A8" s="26"/>
      <c r="B8" s="27"/>
      <c r="C8" s="31"/>
    </row>
    <row r="9" spans="1:4" ht="15.75" thickBot="1" x14ac:dyDescent="0.3">
      <c r="A9" s="26"/>
      <c r="B9" s="27" t="s">
        <v>114</v>
      </c>
      <c r="C9" s="31"/>
    </row>
    <row r="10" spans="1:4" ht="15.75" thickBot="1" x14ac:dyDescent="0.3">
      <c r="A10" s="26"/>
      <c r="B10" s="24"/>
      <c r="C10" s="31"/>
      <c r="D10" t="s">
        <v>360</v>
      </c>
    </row>
    <row r="11" spans="1:4" x14ac:dyDescent="0.25">
      <c r="A11" s="26"/>
      <c r="B11" s="27"/>
      <c r="C11" s="31"/>
    </row>
    <row r="12" spans="1:4" ht="15.75" thickBot="1" x14ac:dyDescent="0.3">
      <c r="A12" s="26"/>
      <c r="B12" s="27" t="s">
        <v>30</v>
      </c>
      <c r="C12" s="31"/>
    </row>
    <row r="13" spans="1:4" ht="15.75" thickBot="1" x14ac:dyDescent="0.3">
      <c r="A13" s="26"/>
      <c r="B13" s="24"/>
      <c r="C13" s="31"/>
      <c r="D13" t="s">
        <v>360</v>
      </c>
    </row>
    <row r="14" spans="1:4" x14ac:dyDescent="0.25">
      <c r="A14" s="26"/>
      <c r="B14" s="27"/>
      <c r="C14" s="31"/>
    </row>
    <row r="15" spans="1:4" ht="15.75" thickBot="1" x14ac:dyDescent="0.3">
      <c r="A15" s="26"/>
      <c r="B15" s="27" t="s">
        <v>338</v>
      </c>
      <c r="C15" s="31"/>
    </row>
    <row r="16" spans="1:4" ht="15.75" thickBot="1" x14ac:dyDescent="0.3">
      <c r="A16" s="26"/>
      <c r="B16" s="24" t="s">
        <v>101</v>
      </c>
      <c r="C16" s="31"/>
    </row>
    <row r="17" spans="1:19" ht="15.75" thickBot="1" x14ac:dyDescent="0.3">
      <c r="A17" s="26"/>
      <c r="B17" s="27"/>
      <c r="C17" s="31"/>
    </row>
    <row r="18" spans="1:19" ht="15.75" thickBot="1" x14ac:dyDescent="0.3">
      <c r="A18" s="26"/>
      <c r="B18" s="151" t="s">
        <v>31</v>
      </c>
      <c r="C18" s="31"/>
      <c r="D18" t="s">
        <v>342</v>
      </c>
    </row>
    <row r="19" spans="1:19" ht="15.75" thickBot="1" x14ac:dyDescent="0.3">
      <c r="A19" s="26"/>
      <c r="B19" s="24" t="str">
        <f>VLOOKUP(B16,References!E:F,2)</f>
        <v>NF C 63-023</v>
      </c>
      <c r="C19" s="31"/>
      <c r="D19" t="s">
        <v>342</v>
      </c>
    </row>
    <row r="20" spans="1:19" x14ac:dyDescent="0.25">
      <c r="A20" s="26"/>
      <c r="B20" s="27"/>
      <c r="C20" s="31"/>
    </row>
    <row r="21" spans="1:19" ht="15.75" thickBot="1" x14ac:dyDescent="0.3">
      <c r="A21" s="26"/>
      <c r="B21" s="27" t="s">
        <v>171</v>
      </c>
      <c r="C21" s="31"/>
      <c r="D21" t="s">
        <v>343</v>
      </c>
    </row>
    <row r="22" spans="1:19" ht="15.75" thickBot="1" x14ac:dyDescent="0.3">
      <c r="A22" s="26"/>
      <c r="B22" s="24" t="s">
        <v>339</v>
      </c>
      <c r="C22" s="31"/>
      <c r="D22" t="s">
        <v>343</v>
      </c>
    </row>
    <row r="23" spans="1:19" x14ac:dyDescent="0.25">
      <c r="A23" s="26"/>
      <c r="B23" s="27"/>
      <c r="C23" s="31"/>
    </row>
    <row r="24" spans="1:19" ht="15.75" thickBot="1" x14ac:dyDescent="0.3">
      <c r="A24" s="32"/>
      <c r="B24" s="152"/>
      <c r="C24" s="33"/>
    </row>
    <row r="26" spans="1:19" x14ac:dyDescent="0.25">
      <c r="F26" s="63" t="s">
        <v>374</v>
      </c>
      <c r="G26" s="63" t="s">
        <v>373</v>
      </c>
      <c r="H26" s="63" t="s">
        <v>374</v>
      </c>
      <c r="I26" s="63" t="s">
        <v>373</v>
      </c>
      <c r="J26" s="63" t="s">
        <v>374</v>
      </c>
      <c r="K26" s="63" t="s">
        <v>373</v>
      </c>
      <c r="L26" s="63" t="s">
        <v>374</v>
      </c>
      <c r="M26" s="63" t="s">
        <v>373</v>
      </c>
      <c r="N26" s="63" t="s">
        <v>374</v>
      </c>
      <c r="O26" s="63" t="s">
        <v>373</v>
      </c>
      <c r="P26" s="63" t="s">
        <v>374</v>
      </c>
      <c r="Q26" s="63" t="s">
        <v>373</v>
      </c>
      <c r="R26" s="63" t="s">
        <v>374</v>
      </c>
      <c r="S26" s="63" t="s">
        <v>373</v>
      </c>
    </row>
    <row r="27" spans="1:19" x14ac:dyDescent="0.25">
      <c r="A27" t="s">
        <v>345</v>
      </c>
      <c r="B27" t="s">
        <v>353</v>
      </c>
      <c r="C27" t="s">
        <v>354</v>
      </c>
      <c r="F27" s="63" t="s">
        <v>372</v>
      </c>
      <c r="G27" s="63" t="s">
        <v>339</v>
      </c>
      <c r="H27" s="63" t="s">
        <v>375</v>
      </c>
      <c r="I27" s="63" t="s">
        <v>400</v>
      </c>
      <c r="J27" s="63" t="s">
        <v>376</v>
      </c>
      <c r="K27" t="s">
        <v>395</v>
      </c>
      <c r="L27" s="63" t="s">
        <v>380</v>
      </c>
      <c r="M27" s="63" t="s">
        <v>396</v>
      </c>
      <c r="N27" s="63" t="s">
        <v>379</v>
      </c>
      <c r="O27" s="63" t="s">
        <v>397</v>
      </c>
      <c r="P27" s="63" t="s">
        <v>378</v>
      </c>
      <c r="Q27" s="63"/>
      <c r="R27" s="63" t="s">
        <v>377</v>
      </c>
      <c r="S27" s="63"/>
    </row>
    <row r="28" spans="1:19" x14ac:dyDescent="0.25">
      <c r="A28" t="s">
        <v>346</v>
      </c>
      <c r="B28" t="s">
        <v>353</v>
      </c>
      <c r="C28" t="s">
        <v>354</v>
      </c>
      <c r="F28" s="63" t="s">
        <v>372</v>
      </c>
      <c r="G28" s="63" t="s">
        <v>339</v>
      </c>
      <c r="H28" s="63" t="s">
        <v>375</v>
      </c>
      <c r="I28" s="63" t="s">
        <v>400</v>
      </c>
      <c r="J28" s="63" t="s">
        <v>376</v>
      </c>
      <c r="K28" t="s">
        <v>395</v>
      </c>
      <c r="L28" s="63" t="s">
        <v>380</v>
      </c>
      <c r="M28" s="63" t="s">
        <v>396</v>
      </c>
      <c r="N28" s="63" t="s">
        <v>379</v>
      </c>
      <c r="O28" s="63" t="s">
        <v>397</v>
      </c>
      <c r="P28" s="63" t="s">
        <v>378</v>
      </c>
      <c r="Q28" s="63"/>
      <c r="R28" s="63" t="s">
        <v>377</v>
      </c>
      <c r="S28" s="63"/>
    </row>
    <row r="29" spans="1:19" x14ac:dyDescent="0.25">
      <c r="A29" t="s">
        <v>347</v>
      </c>
      <c r="B29" t="s">
        <v>353</v>
      </c>
      <c r="C29" t="s">
        <v>354</v>
      </c>
      <c r="F29" s="63" t="s">
        <v>372</v>
      </c>
      <c r="G29" s="63" t="s">
        <v>339</v>
      </c>
      <c r="H29" s="63" t="s">
        <v>375</v>
      </c>
      <c r="I29" s="63" t="s">
        <v>400</v>
      </c>
      <c r="J29" s="63" t="s">
        <v>376</v>
      </c>
      <c r="K29" t="s">
        <v>395</v>
      </c>
      <c r="L29" s="63" t="s">
        <v>380</v>
      </c>
      <c r="M29" s="63" t="s">
        <v>396</v>
      </c>
      <c r="N29" s="63" t="s">
        <v>379</v>
      </c>
      <c r="O29" s="63" t="s">
        <v>397</v>
      </c>
      <c r="P29" s="63" t="s">
        <v>378</v>
      </c>
      <c r="Q29" s="63"/>
      <c r="R29" s="63" t="s">
        <v>377</v>
      </c>
      <c r="S29" s="63"/>
    </row>
    <row r="30" spans="1:19" x14ac:dyDescent="0.25">
      <c r="A30" t="s">
        <v>348</v>
      </c>
      <c r="B30" t="s">
        <v>353</v>
      </c>
      <c r="C30" t="s">
        <v>354</v>
      </c>
      <c r="F30" s="63" t="s">
        <v>372</v>
      </c>
      <c r="G30" s="63" t="s">
        <v>339</v>
      </c>
      <c r="H30" s="63" t="s">
        <v>375</v>
      </c>
      <c r="I30" s="63" t="s">
        <v>400</v>
      </c>
      <c r="J30" s="63" t="s">
        <v>376</v>
      </c>
      <c r="K30" t="s">
        <v>395</v>
      </c>
      <c r="L30" s="63" t="s">
        <v>380</v>
      </c>
      <c r="M30" s="63" t="s">
        <v>396</v>
      </c>
      <c r="N30" s="63" t="s">
        <v>379</v>
      </c>
      <c r="O30" s="63" t="s">
        <v>397</v>
      </c>
      <c r="P30" s="63" t="s">
        <v>378</v>
      </c>
      <c r="Q30" s="63"/>
      <c r="R30" s="63" t="s">
        <v>377</v>
      </c>
      <c r="S30" s="63"/>
    </row>
    <row r="31" spans="1:19" x14ac:dyDescent="0.25">
      <c r="A31" t="s">
        <v>344</v>
      </c>
      <c r="B31" t="s">
        <v>353</v>
      </c>
      <c r="C31" t="s">
        <v>355</v>
      </c>
      <c r="F31" s="63" t="s">
        <v>372</v>
      </c>
      <c r="G31" s="63" t="s">
        <v>398</v>
      </c>
      <c r="H31" s="63" t="s">
        <v>375</v>
      </c>
      <c r="I31" s="63" t="s">
        <v>399</v>
      </c>
      <c r="J31" s="63" t="s">
        <v>376</v>
      </c>
      <c r="K31" s="63" t="s">
        <v>401</v>
      </c>
      <c r="L31" s="63" t="s">
        <v>380</v>
      </c>
      <c r="M31" s="63" t="s">
        <v>402</v>
      </c>
      <c r="N31" s="63" t="s">
        <v>379</v>
      </c>
      <c r="O31" s="63" t="s">
        <v>272</v>
      </c>
      <c r="P31" s="63" t="s">
        <v>378</v>
      </c>
      <c r="Q31" s="63" t="s">
        <v>403</v>
      </c>
      <c r="R31" s="63" t="s">
        <v>377</v>
      </c>
      <c r="S31" s="63"/>
    </row>
    <row r="32" spans="1:19" x14ac:dyDescent="0.25">
      <c r="A32" t="s">
        <v>349</v>
      </c>
      <c r="B32" t="s">
        <v>353</v>
      </c>
      <c r="C32" t="s">
        <v>356</v>
      </c>
      <c r="F32" s="63" t="s">
        <v>372</v>
      </c>
      <c r="G32" s="63" t="s">
        <v>394</v>
      </c>
      <c r="H32" s="63"/>
      <c r="I32" s="63"/>
      <c r="J32" s="63" t="s">
        <v>376</v>
      </c>
      <c r="K32" s="63"/>
      <c r="L32" s="63" t="s">
        <v>380</v>
      </c>
      <c r="M32" s="63"/>
      <c r="N32" s="63" t="s">
        <v>379</v>
      </c>
      <c r="O32" s="63"/>
      <c r="P32" s="63" t="s">
        <v>378</v>
      </c>
      <c r="Q32" s="63"/>
      <c r="R32" s="63" t="s">
        <v>377</v>
      </c>
      <c r="S32" s="63" t="s">
        <v>393</v>
      </c>
    </row>
    <row r="33" spans="1:19" x14ac:dyDescent="0.25">
      <c r="A33" t="s">
        <v>350</v>
      </c>
      <c r="B33" t="s">
        <v>353</v>
      </c>
      <c r="C33" t="s">
        <v>357</v>
      </c>
      <c r="F33" s="63" t="s">
        <v>372</v>
      </c>
      <c r="G33" s="63" t="s">
        <v>389</v>
      </c>
      <c r="H33" s="63"/>
      <c r="I33" s="63"/>
      <c r="J33" s="63" t="s">
        <v>376</v>
      </c>
      <c r="K33" s="63" t="s">
        <v>390</v>
      </c>
      <c r="L33" s="63" t="s">
        <v>380</v>
      </c>
      <c r="M33" s="63" t="s">
        <v>392</v>
      </c>
      <c r="N33" s="63" t="s">
        <v>379</v>
      </c>
      <c r="O33" s="63" t="s">
        <v>391</v>
      </c>
      <c r="P33" s="63" t="s">
        <v>378</v>
      </c>
      <c r="Q33" s="63"/>
      <c r="R33" s="63" t="s">
        <v>377</v>
      </c>
      <c r="S33" s="63"/>
    </row>
    <row r="34" spans="1:19" x14ac:dyDescent="0.25">
      <c r="A34" t="s">
        <v>351</v>
      </c>
      <c r="B34" t="s">
        <v>353</v>
      </c>
      <c r="C34" t="s">
        <v>358</v>
      </c>
      <c r="F34" s="63" t="s">
        <v>372</v>
      </c>
      <c r="G34" s="63" t="s">
        <v>388</v>
      </c>
      <c r="H34" s="63"/>
      <c r="I34" s="63"/>
      <c r="J34" s="63" t="s">
        <v>376</v>
      </c>
      <c r="K34" s="63" t="s">
        <v>387</v>
      </c>
      <c r="L34" s="63" t="s">
        <v>380</v>
      </c>
      <c r="M34" s="63" t="s">
        <v>386</v>
      </c>
      <c r="N34" s="63" t="s">
        <v>379</v>
      </c>
      <c r="O34" s="63" t="s">
        <v>385</v>
      </c>
      <c r="P34" s="63" t="s">
        <v>378</v>
      </c>
      <c r="Q34" s="63"/>
      <c r="R34" s="63" t="s">
        <v>377</v>
      </c>
      <c r="S34" s="63"/>
    </row>
    <row r="35" spans="1:19" x14ac:dyDescent="0.25">
      <c r="A35" t="s">
        <v>352</v>
      </c>
      <c r="B35" t="s">
        <v>353</v>
      </c>
      <c r="C35" t="s">
        <v>359</v>
      </c>
      <c r="F35" s="63" t="s">
        <v>372</v>
      </c>
      <c r="G35" s="63" t="s">
        <v>381</v>
      </c>
      <c r="H35" s="63"/>
      <c r="I35" s="63"/>
      <c r="J35" s="63" t="s">
        <v>376</v>
      </c>
      <c r="K35" s="63" t="s">
        <v>382</v>
      </c>
      <c r="L35" s="63" t="s">
        <v>380</v>
      </c>
      <c r="M35" s="63" t="s">
        <v>383</v>
      </c>
      <c r="N35" s="63" t="s">
        <v>379</v>
      </c>
      <c r="O35" s="63" t="s">
        <v>384</v>
      </c>
      <c r="P35" s="63" t="s">
        <v>378</v>
      </c>
      <c r="Q35" s="63"/>
      <c r="R35" s="63" t="s">
        <v>377</v>
      </c>
      <c r="S35" s="63"/>
    </row>
  </sheetData>
  <mergeCells count="1">
    <mergeCell ref="A1:C1"/>
  </mergeCells>
  <dataValidations count="5">
    <dataValidation allowBlank="1" showInputMessage="1" showErrorMessage="1" prompt="Saisir le Fabriquant_x000a_" sqref="B10" xr:uid="{C36C61DA-21C2-432E-B92D-957FF259B8A9}"/>
    <dataValidation allowBlank="1" showInputMessage="1" showErrorMessage="1" prompt="Saisir l'identifiant du nouveau équipement" sqref="B4" xr:uid="{12CAF76A-BA75-4D2E-A356-6EC2048FA57C}"/>
    <dataValidation type="list" allowBlank="1" showInputMessage="1" sqref="B16" xr:uid="{FCD6145E-B77B-446C-B38D-EACD5287D904}">
      <formula1>Pince</formula1>
    </dataValidation>
    <dataValidation type="list" allowBlank="1" showInputMessage="1" showErrorMessage="1" prompt="Valeur saisi automatiquement. En cas de nouvel équipement prévenir le pôle MIM pour connaitre la norme à associer" sqref="B19" xr:uid="{0E0E8F98-DB7A-44EC-83B7-0C88559ACAE5}">
      <formula1>Norme</formula1>
    </dataValidation>
    <dataValidation type="list" allowBlank="1" showInputMessage="1" showErrorMessage="1" prompt="Saisir la désignation/ _x000a_Pince a sertir_x000a_..." sqref="B7" xr:uid="{7197B226-D0F4-45C4-B9EB-ED82B9509CCD}">
      <formula1>Shunt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4768" r:id="rId3" name="Button 16">
              <controlPr defaultSize="0" print="0" autoFill="0" autoPict="0" macro="[0]!nouvel_equipement">
                <anchor moveWithCells="1" sizeWithCells="1">
                  <from>
                    <xdr:col>5</xdr:col>
                    <xdr:colOff>57150</xdr:colOff>
                    <xdr:row>2</xdr:row>
                    <xdr:rowOff>114300</xdr:rowOff>
                  </from>
                  <to>
                    <xdr:col>7</xdr:col>
                    <xdr:colOff>66675</xdr:colOff>
                    <xdr:row>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23403-2DF1-46EB-B73C-3092C6C6CD52}">
  <sheetPr codeName="Feuil9">
    <tabColor theme="9"/>
  </sheetPr>
  <dimension ref="A1:AF35"/>
  <sheetViews>
    <sheetView zoomScale="115" zoomScaleNormal="115" workbookViewId="0">
      <selection activeCell="B9" sqref="B9"/>
    </sheetView>
  </sheetViews>
  <sheetFormatPr baseColWidth="10" defaultRowHeight="15" x14ac:dyDescent="0.25"/>
  <cols>
    <col min="1" max="1" width="20.42578125" style="1" customWidth="1"/>
    <col min="2" max="2" width="15.42578125" style="1" bestFit="1" customWidth="1"/>
    <col min="3" max="3" width="14.5703125" style="1" bestFit="1" customWidth="1"/>
    <col min="4" max="4" width="14.5703125" style="1" customWidth="1"/>
    <col min="5" max="5" width="13.42578125" style="1" customWidth="1"/>
    <col min="6" max="6" width="22.5703125" customWidth="1"/>
    <col min="8" max="8" width="25.85546875" customWidth="1"/>
    <col min="9" max="9" width="19.5703125" bestFit="1" customWidth="1"/>
    <col min="10" max="10" width="12.7109375" customWidth="1"/>
    <col min="14" max="14" width="27.5703125" bestFit="1" customWidth="1"/>
    <col min="15" max="15" width="27.5703125" customWidth="1"/>
    <col min="16" max="16" width="21.5703125" customWidth="1"/>
    <col min="18" max="18" width="28" customWidth="1"/>
    <col min="19" max="19" width="19.5703125" bestFit="1" customWidth="1"/>
    <col min="20" max="20" width="12.7109375" customWidth="1"/>
    <col min="22" max="22" width="14.5703125" customWidth="1"/>
    <col min="24" max="24" width="34.28515625" customWidth="1"/>
    <col min="25" max="25" width="12" customWidth="1"/>
    <col min="29" max="29" width="38.7109375" customWidth="1"/>
    <col min="30" max="30" width="12" customWidth="1"/>
  </cols>
  <sheetData>
    <row r="1" spans="1:32" x14ac:dyDescent="0.25">
      <c r="A1" s="1" t="s">
        <v>5</v>
      </c>
      <c r="B1" s="1" t="s">
        <v>2</v>
      </c>
      <c r="C1" s="1" t="s">
        <v>114</v>
      </c>
      <c r="D1" s="1" t="s">
        <v>18</v>
      </c>
      <c r="E1" s="1" t="s">
        <v>30</v>
      </c>
      <c r="F1" s="1" t="s">
        <v>31</v>
      </c>
      <c r="H1" s="57" t="s">
        <v>162</v>
      </c>
      <c r="I1" s="56" t="s">
        <v>2</v>
      </c>
      <c r="J1" s="56" t="s">
        <v>114</v>
      </c>
      <c r="K1" s="56" t="s">
        <v>18</v>
      </c>
      <c r="L1" s="58" t="s">
        <v>30</v>
      </c>
      <c r="N1" s="44" t="s">
        <v>163</v>
      </c>
      <c r="O1" s="45" t="s">
        <v>2</v>
      </c>
      <c r="P1" s="45" t="s">
        <v>171</v>
      </c>
      <c r="R1" s="44" t="s">
        <v>182</v>
      </c>
      <c r="S1" s="45" t="s">
        <v>2</v>
      </c>
      <c r="T1" s="45" t="s">
        <v>114</v>
      </c>
      <c r="U1" s="45" t="s">
        <v>18</v>
      </c>
      <c r="V1" s="45" t="s">
        <v>30</v>
      </c>
      <c r="X1" s="44" t="s">
        <v>267</v>
      </c>
      <c r="Y1" s="45" t="s">
        <v>114</v>
      </c>
      <c r="Z1" s="45" t="s">
        <v>18</v>
      </c>
      <c r="AA1" s="153" t="s">
        <v>30</v>
      </c>
      <c r="AC1" s="44" t="s">
        <v>268</v>
      </c>
      <c r="AD1" s="45" t="s">
        <v>114</v>
      </c>
      <c r="AE1" s="45" t="s">
        <v>18</v>
      </c>
      <c r="AF1" s="153" t="s">
        <v>30</v>
      </c>
    </row>
    <row r="2" spans="1:32" x14ac:dyDescent="0.25">
      <c r="A2" s="1" t="s">
        <v>32</v>
      </c>
      <c r="B2" s="1" t="s">
        <v>113</v>
      </c>
      <c r="C2" s="16" t="s">
        <v>136</v>
      </c>
      <c r="D2" s="1" t="s">
        <v>33</v>
      </c>
      <c r="E2" s="1" t="s">
        <v>34</v>
      </c>
      <c r="F2" s="1" t="s">
        <v>35</v>
      </c>
      <c r="H2" s="56">
        <v>1</v>
      </c>
      <c r="I2" s="49" t="s">
        <v>170</v>
      </c>
      <c r="J2" s="56" t="s">
        <v>197</v>
      </c>
      <c r="K2" s="56" t="s">
        <v>198</v>
      </c>
      <c r="L2" s="56" t="s">
        <v>199</v>
      </c>
      <c r="N2" t="s">
        <v>172</v>
      </c>
      <c r="O2" t="s">
        <v>165</v>
      </c>
      <c r="P2">
        <v>16</v>
      </c>
      <c r="R2" t="s">
        <v>185</v>
      </c>
      <c r="S2" t="s">
        <v>187</v>
      </c>
      <c r="T2" t="s">
        <v>188</v>
      </c>
      <c r="U2" t="s">
        <v>189</v>
      </c>
      <c r="X2" t="s">
        <v>370</v>
      </c>
      <c r="Y2" t="s">
        <v>368</v>
      </c>
      <c r="Z2" t="s">
        <v>369</v>
      </c>
      <c r="AA2">
        <v>1</v>
      </c>
      <c r="AC2" t="s">
        <v>367</v>
      </c>
      <c r="AD2" t="s">
        <v>368</v>
      </c>
      <c r="AE2" t="s">
        <v>369</v>
      </c>
      <c r="AF2">
        <v>1</v>
      </c>
    </row>
    <row r="3" spans="1:32" x14ac:dyDescent="0.25">
      <c r="A3" s="1" t="s">
        <v>36</v>
      </c>
      <c r="B3" s="1" t="s">
        <v>113</v>
      </c>
      <c r="C3" s="16" t="s">
        <v>136</v>
      </c>
      <c r="D3" s="1" t="s">
        <v>37</v>
      </c>
      <c r="E3" s="1" t="s">
        <v>38</v>
      </c>
      <c r="F3" s="1" t="s">
        <v>35</v>
      </c>
      <c r="H3" s="56">
        <v>2</v>
      </c>
      <c r="I3" s="61" t="s">
        <v>205</v>
      </c>
      <c r="J3" s="56" t="s">
        <v>197</v>
      </c>
      <c r="K3" s="56" t="s">
        <v>198</v>
      </c>
      <c r="L3" s="56" t="s">
        <v>199</v>
      </c>
      <c r="N3" t="s">
        <v>173</v>
      </c>
      <c r="O3" t="s">
        <v>165</v>
      </c>
      <c r="P3">
        <v>32</v>
      </c>
      <c r="R3" t="s">
        <v>186</v>
      </c>
    </row>
    <row r="4" spans="1:32" x14ac:dyDescent="0.25">
      <c r="A4" s="1" t="s">
        <v>39</v>
      </c>
      <c r="B4" s="1" t="s">
        <v>113</v>
      </c>
      <c r="C4" s="1" t="s">
        <v>115</v>
      </c>
      <c r="D4" s="1" t="s">
        <v>40</v>
      </c>
      <c r="E4" s="1" t="s">
        <v>41</v>
      </c>
      <c r="F4" s="1" t="s">
        <v>35</v>
      </c>
      <c r="H4" s="56" t="s">
        <v>210</v>
      </c>
      <c r="I4" s="49" t="s">
        <v>167</v>
      </c>
      <c r="J4" s="56" t="s">
        <v>164</v>
      </c>
      <c r="K4" s="56" t="s">
        <v>164</v>
      </c>
      <c r="L4" s="56"/>
      <c r="N4" t="s">
        <v>174</v>
      </c>
      <c r="O4" t="s">
        <v>165</v>
      </c>
      <c r="P4">
        <v>18</v>
      </c>
    </row>
    <row r="5" spans="1:32" x14ac:dyDescent="0.25">
      <c r="A5" s="1" t="s">
        <v>42</v>
      </c>
      <c r="B5" s="1" t="s">
        <v>113</v>
      </c>
      <c r="C5" s="1" t="s">
        <v>115</v>
      </c>
      <c r="D5" s="1" t="s">
        <v>40</v>
      </c>
      <c r="E5" s="1" t="s">
        <v>43</v>
      </c>
      <c r="F5" s="1" t="s">
        <v>35</v>
      </c>
      <c r="N5" t="s">
        <v>175</v>
      </c>
      <c r="O5" t="s">
        <v>165</v>
      </c>
      <c r="P5">
        <v>24</v>
      </c>
    </row>
    <row r="6" spans="1:32" x14ac:dyDescent="0.25">
      <c r="A6" s="1" t="s">
        <v>44</v>
      </c>
      <c r="B6" s="1" t="s">
        <v>113</v>
      </c>
      <c r="C6" s="16" t="s">
        <v>136</v>
      </c>
      <c r="D6" s="1" t="s">
        <v>45</v>
      </c>
      <c r="E6" s="1" t="s">
        <v>46</v>
      </c>
      <c r="F6" s="1" t="s">
        <v>35</v>
      </c>
    </row>
    <row r="7" spans="1:32" x14ac:dyDescent="0.25">
      <c r="A7" s="1" t="s">
        <v>47</v>
      </c>
      <c r="B7" s="1" t="s">
        <v>113</v>
      </c>
      <c r="C7" s="16" t="s">
        <v>136</v>
      </c>
      <c r="D7" s="1" t="s">
        <v>45</v>
      </c>
      <c r="E7" s="1" t="s">
        <v>48</v>
      </c>
      <c r="F7" s="1" t="s">
        <v>35</v>
      </c>
    </row>
    <row r="8" spans="1:32" x14ac:dyDescent="0.25">
      <c r="A8" s="1" t="s">
        <v>49</v>
      </c>
      <c r="B8" s="1" t="s">
        <v>113</v>
      </c>
      <c r="C8" s="16" t="s">
        <v>136</v>
      </c>
      <c r="D8" s="1" t="s">
        <v>50</v>
      </c>
      <c r="E8" s="1" t="s">
        <v>51</v>
      </c>
      <c r="F8" s="1" t="s">
        <v>52</v>
      </c>
    </row>
    <row r="9" spans="1:32" x14ac:dyDescent="0.25">
      <c r="A9" s="1" t="s">
        <v>53</v>
      </c>
      <c r="B9" s="1" t="s">
        <v>113</v>
      </c>
      <c r="C9" s="16" t="s">
        <v>136</v>
      </c>
      <c r="D9" s="1" t="s">
        <v>50</v>
      </c>
      <c r="E9" s="1" t="s">
        <v>54</v>
      </c>
      <c r="F9" s="1" t="s">
        <v>52</v>
      </c>
    </row>
    <row r="10" spans="1:32" x14ac:dyDescent="0.25">
      <c r="A10" s="1" t="s">
        <v>55</v>
      </c>
      <c r="B10" s="1" t="s">
        <v>113</v>
      </c>
      <c r="C10" s="16" t="s">
        <v>136</v>
      </c>
      <c r="D10" s="1" t="s">
        <v>50</v>
      </c>
      <c r="E10" s="1" t="s">
        <v>56</v>
      </c>
      <c r="F10" s="1" t="s">
        <v>52</v>
      </c>
    </row>
    <row r="11" spans="1:32" x14ac:dyDescent="0.25">
      <c r="A11" s="1" t="s">
        <v>57</v>
      </c>
      <c r="B11" s="1" t="s">
        <v>113</v>
      </c>
      <c r="C11" s="16" t="s">
        <v>136</v>
      </c>
      <c r="D11" s="1" t="s">
        <v>58</v>
      </c>
      <c r="E11" s="1" t="s">
        <v>59</v>
      </c>
      <c r="F11" s="1" t="s">
        <v>52</v>
      </c>
    </row>
    <row r="12" spans="1:32" x14ac:dyDescent="0.25">
      <c r="A12" s="1" t="s">
        <v>60</v>
      </c>
      <c r="B12" s="1" t="s">
        <v>113</v>
      </c>
      <c r="C12" s="16" t="s">
        <v>136</v>
      </c>
      <c r="D12" s="1" t="s">
        <v>61</v>
      </c>
      <c r="E12" s="1">
        <v>116762</v>
      </c>
      <c r="F12" s="1" t="s">
        <v>35</v>
      </c>
    </row>
    <row r="13" spans="1:32" x14ac:dyDescent="0.25">
      <c r="A13" s="1" t="s">
        <v>62</v>
      </c>
      <c r="B13" s="1" t="s">
        <v>113</v>
      </c>
      <c r="C13" s="16" t="s">
        <v>136</v>
      </c>
      <c r="D13" s="1" t="s">
        <v>61</v>
      </c>
      <c r="E13" s="1">
        <v>116775</v>
      </c>
      <c r="F13" s="1" t="s">
        <v>35</v>
      </c>
    </row>
    <row r="14" spans="1:32" x14ac:dyDescent="0.25">
      <c r="A14" s="1" t="s">
        <v>63</v>
      </c>
      <c r="B14" s="1" t="s">
        <v>113</v>
      </c>
      <c r="C14" s="16" t="s">
        <v>136</v>
      </c>
      <c r="D14" s="1" t="s">
        <v>64</v>
      </c>
      <c r="E14" s="1">
        <v>415451</v>
      </c>
      <c r="F14" s="1" t="s">
        <v>35</v>
      </c>
    </row>
    <row r="15" spans="1:32" x14ac:dyDescent="0.25">
      <c r="A15" s="1" t="s">
        <v>65</v>
      </c>
      <c r="B15" s="1" t="s">
        <v>113</v>
      </c>
      <c r="C15" s="16" t="s">
        <v>136</v>
      </c>
      <c r="D15" s="1" t="s">
        <v>66</v>
      </c>
      <c r="E15" s="1">
        <v>415482</v>
      </c>
      <c r="F15" s="1" t="s">
        <v>35</v>
      </c>
    </row>
    <row r="16" spans="1:32" x14ac:dyDescent="0.25">
      <c r="A16" s="1" t="s">
        <v>67</v>
      </c>
      <c r="B16" s="1" t="s">
        <v>113</v>
      </c>
      <c r="C16" s="16" t="s">
        <v>136</v>
      </c>
      <c r="D16" s="1" t="s">
        <v>68</v>
      </c>
      <c r="E16" s="1" t="s">
        <v>69</v>
      </c>
      <c r="F16" s="1" t="s">
        <v>70</v>
      </c>
    </row>
    <row r="17" spans="1:6" x14ac:dyDescent="0.25">
      <c r="A17" s="1" t="s">
        <v>71</v>
      </c>
      <c r="B17" s="1" t="s">
        <v>113</v>
      </c>
      <c r="C17" s="16" t="s">
        <v>136</v>
      </c>
      <c r="D17" s="1" t="s">
        <v>68</v>
      </c>
      <c r="E17" s="1" t="s">
        <v>72</v>
      </c>
      <c r="F17" s="1" t="s">
        <v>70</v>
      </c>
    </row>
    <row r="18" spans="1:6" x14ac:dyDescent="0.25">
      <c r="A18" s="1" t="s">
        <v>73</v>
      </c>
      <c r="B18" s="1" t="s">
        <v>113</v>
      </c>
      <c r="C18" s="16" t="s">
        <v>136</v>
      </c>
      <c r="D18" s="1" t="s">
        <v>68</v>
      </c>
      <c r="E18" s="1" t="s">
        <v>74</v>
      </c>
      <c r="F18" s="1" t="s">
        <v>70</v>
      </c>
    </row>
    <row r="19" spans="1:6" x14ac:dyDescent="0.25">
      <c r="A19" s="1" t="s">
        <v>75</v>
      </c>
      <c r="B19" s="1" t="s">
        <v>113</v>
      </c>
      <c r="C19" s="16" t="s">
        <v>136</v>
      </c>
      <c r="D19" s="1" t="s">
        <v>68</v>
      </c>
      <c r="E19" s="1" t="s">
        <v>76</v>
      </c>
      <c r="F19" s="1" t="s">
        <v>70</v>
      </c>
    </row>
    <row r="20" spans="1:6" x14ac:dyDescent="0.25">
      <c r="A20" s="1" t="s">
        <v>77</v>
      </c>
      <c r="B20" s="1" t="s">
        <v>113</v>
      </c>
      <c r="C20" s="16" t="s">
        <v>136</v>
      </c>
      <c r="D20" s="1" t="s">
        <v>68</v>
      </c>
      <c r="E20" s="1" t="s">
        <v>78</v>
      </c>
      <c r="F20" s="1" t="s">
        <v>70</v>
      </c>
    </row>
    <row r="21" spans="1:6" x14ac:dyDescent="0.25">
      <c r="A21" s="1" t="s">
        <v>79</v>
      </c>
      <c r="B21" s="1" t="s">
        <v>113</v>
      </c>
      <c r="C21" s="16" t="s">
        <v>136</v>
      </c>
      <c r="D21" s="1" t="s">
        <v>68</v>
      </c>
      <c r="E21" s="1" t="s">
        <v>80</v>
      </c>
      <c r="F21" s="1" t="s">
        <v>70</v>
      </c>
    </row>
    <row r="22" spans="1:6" x14ac:dyDescent="0.25">
      <c r="A22" s="1" t="s">
        <v>81</v>
      </c>
      <c r="B22" s="1" t="s">
        <v>113</v>
      </c>
      <c r="C22" s="16" t="s">
        <v>136</v>
      </c>
      <c r="D22" s="1" t="s">
        <v>68</v>
      </c>
      <c r="E22" s="1" t="s">
        <v>82</v>
      </c>
      <c r="F22" s="1" t="s">
        <v>70</v>
      </c>
    </row>
    <row r="23" spans="1:6" x14ac:dyDescent="0.25">
      <c r="A23" s="1" t="s">
        <v>83</v>
      </c>
      <c r="B23" s="1" t="s">
        <v>113</v>
      </c>
      <c r="C23" s="16" t="s">
        <v>136</v>
      </c>
      <c r="D23" s="1" t="s">
        <v>68</v>
      </c>
      <c r="E23" s="1" t="s">
        <v>84</v>
      </c>
      <c r="F23" s="1" t="s">
        <v>70</v>
      </c>
    </row>
    <row r="24" spans="1:6" x14ac:dyDescent="0.25">
      <c r="A24" s="1" t="s">
        <v>85</v>
      </c>
      <c r="B24" s="1" t="s">
        <v>113</v>
      </c>
      <c r="C24" s="16" t="s">
        <v>136</v>
      </c>
      <c r="D24" s="1" t="s">
        <v>86</v>
      </c>
      <c r="E24" s="1" t="s">
        <v>87</v>
      </c>
      <c r="F24" s="1" t="s">
        <v>70</v>
      </c>
    </row>
    <row r="25" spans="1:6" x14ac:dyDescent="0.25">
      <c r="A25" s="1" t="s">
        <v>88</v>
      </c>
      <c r="B25" s="1" t="s">
        <v>113</v>
      </c>
      <c r="C25" s="16" t="s">
        <v>136</v>
      </c>
      <c r="D25" s="1" t="s">
        <v>86</v>
      </c>
      <c r="E25" s="1" t="s">
        <v>89</v>
      </c>
      <c r="F25" s="1" t="s">
        <v>70</v>
      </c>
    </row>
    <row r="26" spans="1:6" x14ac:dyDescent="0.25">
      <c r="A26" s="1" t="s">
        <v>90</v>
      </c>
      <c r="B26" s="1" t="s">
        <v>113</v>
      </c>
      <c r="C26" s="16" t="s">
        <v>136</v>
      </c>
      <c r="D26" s="1" t="s">
        <v>86</v>
      </c>
      <c r="E26" s="1" t="s">
        <v>91</v>
      </c>
      <c r="F26" s="1" t="s">
        <v>70</v>
      </c>
    </row>
    <row r="27" spans="1:6" x14ac:dyDescent="0.25">
      <c r="A27" s="1" t="s">
        <v>92</v>
      </c>
      <c r="B27" s="1" t="s">
        <v>113</v>
      </c>
      <c r="C27" s="16" t="s">
        <v>136</v>
      </c>
      <c r="D27" s="1" t="s">
        <v>86</v>
      </c>
      <c r="E27" s="1" t="s">
        <v>93</v>
      </c>
      <c r="F27" s="1" t="s">
        <v>70</v>
      </c>
    </row>
    <row r="28" spans="1:6" x14ac:dyDescent="0.25">
      <c r="A28" s="1" t="s">
        <v>94</v>
      </c>
      <c r="B28" s="1" t="s">
        <v>113</v>
      </c>
      <c r="C28" s="16" t="s">
        <v>136</v>
      </c>
      <c r="D28" s="1" t="s">
        <v>95</v>
      </c>
      <c r="E28" s="1" t="s">
        <v>96</v>
      </c>
      <c r="F28" s="1" t="s">
        <v>97</v>
      </c>
    </row>
    <row r="29" spans="1:6" x14ac:dyDescent="0.25">
      <c r="A29" s="1" t="s">
        <v>98</v>
      </c>
      <c r="B29" s="1" t="s">
        <v>113</v>
      </c>
      <c r="C29" s="16" t="s">
        <v>136</v>
      </c>
      <c r="D29" s="1" t="s">
        <v>95</v>
      </c>
      <c r="E29" s="1" t="s">
        <v>99</v>
      </c>
      <c r="F29" s="1" t="s">
        <v>97</v>
      </c>
    </row>
    <row r="30" spans="1:6" x14ac:dyDescent="0.25">
      <c r="A30" s="1" t="s">
        <v>100</v>
      </c>
      <c r="B30" s="1" t="s">
        <v>113</v>
      </c>
      <c r="C30" s="16" t="s">
        <v>136</v>
      </c>
      <c r="D30" s="1" t="s">
        <v>101</v>
      </c>
      <c r="E30" s="1">
        <v>155033</v>
      </c>
      <c r="F30" s="1" t="s">
        <v>97</v>
      </c>
    </row>
    <row r="31" spans="1:6" x14ac:dyDescent="0.25">
      <c r="A31" s="1" t="s">
        <v>102</v>
      </c>
      <c r="B31" s="1" t="s">
        <v>113</v>
      </c>
      <c r="C31" s="16" t="s">
        <v>136</v>
      </c>
      <c r="D31" s="1" t="s">
        <v>101</v>
      </c>
      <c r="E31" s="1">
        <v>155020</v>
      </c>
      <c r="F31" s="1" t="s">
        <v>97</v>
      </c>
    </row>
    <row r="32" spans="1:6" x14ac:dyDescent="0.25">
      <c r="A32" s="1" t="s">
        <v>103</v>
      </c>
      <c r="B32" s="1" t="s">
        <v>113</v>
      </c>
      <c r="C32" s="16" t="s">
        <v>136</v>
      </c>
      <c r="D32" s="1" t="s">
        <v>101</v>
      </c>
      <c r="E32" s="1">
        <v>219113</v>
      </c>
      <c r="F32" s="1" t="s">
        <v>97</v>
      </c>
    </row>
    <row r="33" spans="1:6" x14ac:dyDescent="0.25">
      <c r="A33" s="1" t="s">
        <v>104</v>
      </c>
      <c r="B33" s="1" t="s">
        <v>113</v>
      </c>
      <c r="C33" s="16" t="s">
        <v>136</v>
      </c>
      <c r="D33" s="1" t="s">
        <v>101</v>
      </c>
      <c r="E33" s="1">
        <v>155024</v>
      </c>
      <c r="F33" s="1" t="s">
        <v>97</v>
      </c>
    </row>
    <row r="34" spans="1:6" x14ac:dyDescent="0.25">
      <c r="A34" s="1" t="s">
        <v>105</v>
      </c>
      <c r="B34" s="1" t="s">
        <v>113</v>
      </c>
      <c r="C34" s="16" t="s">
        <v>136</v>
      </c>
      <c r="D34" s="1" t="s">
        <v>101</v>
      </c>
      <c r="E34" s="1">
        <v>155030</v>
      </c>
      <c r="F34" s="1" t="s">
        <v>97</v>
      </c>
    </row>
    <row r="35" spans="1:6" x14ac:dyDescent="0.25">
      <c r="A35" s="1" t="s">
        <v>106</v>
      </c>
      <c r="B35" s="1" t="s">
        <v>113</v>
      </c>
      <c r="C35" s="16" t="s">
        <v>136</v>
      </c>
      <c r="D35" s="1" t="s">
        <v>101</v>
      </c>
      <c r="E35" s="1">
        <v>219086</v>
      </c>
      <c r="F35" s="1" t="s">
        <v>70</v>
      </c>
    </row>
  </sheetData>
  <phoneticPr fontId="3" type="noConversion"/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ACD28-900C-4607-8B1E-49F88C03C9B1}">
  <sheetPr codeName="Feuil19"/>
  <dimension ref="A1:H45"/>
  <sheetViews>
    <sheetView zoomScale="85" zoomScaleNormal="85" workbookViewId="0">
      <selection activeCell="O32" sqref="O32"/>
    </sheetView>
  </sheetViews>
  <sheetFormatPr baseColWidth="10" defaultRowHeight="15" x14ac:dyDescent="0.25"/>
  <cols>
    <col min="1" max="1" width="18.85546875" customWidth="1"/>
    <col min="2" max="2" width="14.7109375" bestFit="1" customWidth="1"/>
    <col min="3" max="3" width="14.85546875" customWidth="1"/>
    <col min="4" max="4" width="26" customWidth="1"/>
    <col min="5" max="5" width="11.42578125" customWidth="1"/>
    <col min="7" max="7" width="11.5703125" customWidth="1"/>
    <col min="8" max="8" width="12" customWidth="1"/>
    <col min="9" max="9" width="10.28515625" customWidth="1"/>
  </cols>
  <sheetData>
    <row r="1" spans="1:8" ht="28.5" x14ac:dyDescent="0.25">
      <c r="A1" s="160" t="s">
        <v>0</v>
      </c>
      <c r="B1" s="161"/>
      <c r="C1" s="161"/>
      <c r="D1" s="161"/>
      <c r="E1" s="161"/>
      <c r="F1" s="161"/>
      <c r="G1" s="161"/>
      <c r="H1" s="162"/>
    </row>
    <row r="2" spans="1:8" ht="19.5" thickBot="1" x14ac:dyDescent="0.3">
      <c r="A2" s="163" t="str">
        <f ca="1">IF(OR(ISBLANK(G6),ISBLANK(G6)),"",TEXT(G38,"AAAA-MM-JJ")&amp;"-"&amp;G6)</f>
        <v>2025-04-17-2</v>
      </c>
      <c r="B2" s="164"/>
      <c r="C2" s="164"/>
      <c r="D2" s="164"/>
      <c r="E2" s="164"/>
      <c r="F2" s="164"/>
      <c r="G2" s="164"/>
      <c r="H2" s="165"/>
    </row>
    <row r="3" spans="1:8" ht="15.75" thickBot="1" x14ac:dyDescent="0.3"/>
    <row r="4" spans="1:8" ht="15.75" thickBot="1" x14ac:dyDescent="0.3">
      <c r="A4" s="166" t="s">
        <v>1</v>
      </c>
      <c r="B4" s="167"/>
      <c r="C4" s="167"/>
      <c r="D4" s="167"/>
      <c r="E4" s="167"/>
      <c r="F4" s="167"/>
      <c r="G4" s="167"/>
      <c r="H4" s="168"/>
    </row>
    <row r="6" spans="1:8" x14ac:dyDescent="0.25">
      <c r="A6" s="19" t="s">
        <v>216</v>
      </c>
      <c r="B6" s="137">
        <v>5</v>
      </c>
      <c r="C6" s="116"/>
      <c r="E6" s="158" t="s">
        <v>5</v>
      </c>
      <c r="F6" s="159"/>
      <c r="G6" s="117">
        <v>2</v>
      </c>
      <c r="H6" s="39"/>
    </row>
    <row r="8" spans="1:8" x14ac:dyDescent="0.25">
      <c r="A8" s="19" t="s">
        <v>2</v>
      </c>
      <c r="B8" s="38" t="str">
        <f>IF(ISBLANK(G6),"",VLOOKUP(G6,Tab_Base_Shunt[],2,0))</f>
        <v>Boite a résistance</v>
      </c>
      <c r="C8" s="39"/>
      <c r="D8" s="21"/>
      <c r="E8" s="169" t="s">
        <v>3</v>
      </c>
      <c r="F8" s="169"/>
      <c r="G8" s="38" t="str">
        <f>IF(ISBLANK(G6),"",VLOOKUP(G6,Tab_Base_Shunt[],3,0))</f>
        <v>fabriquant</v>
      </c>
      <c r="H8" s="39"/>
    </row>
    <row r="9" spans="1:8" x14ac:dyDescent="0.25">
      <c r="A9" s="21"/>
      <c r="B9" s="21"/>
      <c r="C9" s="21"/>
      <c r="D9" s="21"/>
      <c r="E9" s="21"/>
      <c r="F9" s="21"/>
      <c r="G9" s="21"/>
      <c r="H9" s="21"/>
    </row>
    <row r="10" spans="1:8" x14ac:dyDescent="0.25">
      <c r="A10" s="17" t="s">
        <v>4</v>
      </c>
      <c r="B10" s="60" t="str">
        <f>IF(ISBLANK(G6),"",VLOOKUP(G6,Tab_Base_Shunt[],5,0))</f>
        <v>serie</v>
      </c>
      <c r="C10" s="39"/>
      <c r="D10" s="21"/>
      <c r="E10" s="158" t="s">
        <v>190</v>
      </c>
      <c r="F10" s="159"/>
      <c r="G10" s="38" t="s">
        <v>211</v>
      </c>
      <c r="H10" s="20"/>
    </row>
    <row r="11" spans="1:8" ht="15.75" thickBot="1" x14ac:dyDescent="0.3">
      <c r="A11" s="21"/>
      <c r="B11" s="21"/>
      <c r="C11" s="21"/>
      <c r="D11" s="21"/>
      <c r="E11" s="21"/>
      <c r="F11" s="21"/>
      <c r="G11" s="21"/>
      <c r="H11" s="21"/>
    </row>
    <row r="12" spans="1:8" ht="15.75" thickBot="1" x14ac:dyDescent="0.3">
      <c r="A12" s="166" t="s">
        <v>17</v>
      </c>
      <c r="B12" s="167"/>
      <c r="C12" s="167"/>
      <c r="D12" s="167"/>
      <c r="E12" s="167"/>
      <c r="F12" s="167"/>
      <c r="G12" s="167"/>
      <c r="H12" s="168"/>
    </row>
    <row r="13" spans="1:8" x14ac:dyDescent="0.25">
      <c r="A13" s="21"/>
      <c r="B13" s="21"/>
      <c r="C13" s="21"/>
      <c r="D13" s="21"/>
      <c r="E13" s="21"/>
      <c r="F13" s="21"/>
      <c r="G13" s="21"/>
      <c r="H13" s="21"/>
    </row>
    <row r="14" spans="1:8" x14ac:dyDescent="0.25">
      <c r="A14" s="19" t="s">
        <v>8</v>
      </c>
      <c r="B14" s="89"/>
      <c r="C14" s="41"/>
      <c r="D14" s="21"/>
      <c r="E14" s="169" t="s">
        <v>9</v>
      </c>
      <c r="F14" s="158"/>
      <c r="G14" s="92"/>
      <c r="H14" s="42"/>
    </row>
    <row r="15" spans="1:8" x14ac:dyDescent="0.25">
      <c r="A15" s="21"/>
      <c r="B15" s="21"/>
      <c r="C15" s="21"/>
      <c r="D15" s="21"/>
      <c r="E15" s="2"/>
      <c r="F15" s="2"/>
      <c r="G15" s="2"/>
      <c r="H15" s="2"/>
    </row>
    <row r="16" spans="1:8" x14ac:dyDescent="0.25">
      <c r="A16" s="17" t="s">
        <v>24</v>
      </c>
      <c r="B16" s="187" t="s">
        <v>191</v>
      </c>
      <c r="C16" s="188"/>
      <c r="D16" s="21"/>
    </row>
    <row r="18" spans="1:8" x14ac:dyDescent="0.25">
      <c r="A18" s="17" t="s">
        <v>193</v>
      </c>
      <c r="B18" s="19"/>
      <c r="C18" s="91"/>
      <c r="D18" s="85"/>
      <c r="E18" s="59" t="s">
        <v>192</v>
      </c>
      <c r="F18" s="93"/>
      <c r="G18" s="86"/>
      <c r="H18" s="87"/>
    </row>
    <row r="19" spans="1:8" ht="15.75" thickBot="1" x14ac:dyDescent="0.3"/>
    <row r="20" spans="1:8" ht="15.75" thickBot="1" x14ac:dyDescent="0.3">
      <c r="A20" s="181" t="s">
        <v>20</v>
      </c>
      <c r="B20" s="182"/>
      <c r="C20" s="182"/>
      <c r="D20" s="182"/>
      <c r="E20" s="182"/>
      <c r="F20" s="182"/>
      <c r="G20" s="182"/>
      <c r="H20" s="183"/>
    </row>
    <row r="22" spans="1:8" ht="29.25" customHeight="1" x14ac:dyDescent="0.25">
      <c r="A22" s="2"/>
      <c r="B22" s="4" t="s">
        <v>166</v>
      </c>
      <c r="C22" s="4" t="s">
        <v>217</v>
      </c>
      <c r="D22" s="189" t="s">
        <v>218</v>
      </c>
      <c r="E22" s="190"/>
      <c r="F22" s="189" t="s">
        <v>194</v>
      </c>
      <c r="G22" s="190"/>
      <c r="H22" s="3" t="s">
        <v>15</v>
      </c>
    </row>
    <row r="23" spans="1:8" x14ac:dyDescent="0.25">
      <c r="A23" s="88">
        <v>0.15</v>
      </c>
      <c r="B23" s="114">
        <v>1</v>
      </c>
      <c r="C23" s="115"/>
      <c r="D23" s="191" t="str">
        <f>IF(ISBLANK(C18),"",IF(ISBLANK(F18),"",A23*(1+VLOOKUP(F18,Voltmetre[],2,0)+VLOOKUP(C18,Ampéremetre[],2,0))))</f>
        <v/>
      </c>
      <c r="E23" s="192"/>
      <c r="F23" s="193" t="str">
        <f t="shared" ref="F23:F28" si="0">IF(C23=0,"Test non effectué",C23/B23)</f>
        <v>Test non effectué</v>
      </c>
      <c r="G23" s="194"/>
      <c r="H23" s="9" t="str">
        <f>IF(ISBLANK(C23),"Non conforme",IF(OR(F23&gt;=D23,"NC"),"CONFORME","NON CONFORME"))</f>
        <v>Non conforme</v>
      </c>
    </row>
    <row r="24" spans="1:8" x14ac:dyDescent="0.25">
      <c r="A24" s="88">
        <v>0.25</v>
      </c>
      <c r="B24" s="114">
        <v>1</v>
      </c>
      <c r="C24" s="115"/>
      <c r="D24" s="191" t="str">
        <f>IF(ISBLANK(C18),"",IF(ISBLANK(F18),"",A24*(1+VLOOKUP(F18,Voltmetre[],2,0)+VLOOKUP(C18,Ampéremetre[],2,0))))</f>
        <v/>
      </c>
      <c r="E24" s="192"/>
      <c r="F24" s="193" t="str">
        <f t="shared" si="0"/>
        <v>Test non effectué</v>
      </c>
      <c r="G24" s="194"/>
      <c r="H24" s="9" t="str">
        <f>IF(ISBLANK(C24),"Non conforme",IF(OR(F24&gt;=D24,"NC"),"CONFORME","NON CONFORME"))</f>
        <v>Non conforme</v>
      </c>
    </row>
    <row r="25" spans="1:8" x14ac:dyDescent="0.25">
      <c r="A25" s="88">
        <v>0.5</v>
      </c>
      <c r="B25" s="114">
        <v>1</v>
      </c>
      <c r="C25" s="115"/>
      <c r="D25" s="191" t="str">
        <f>IF(ISBLANK(C18),"",IF(ISBLANK(F18),"",A25*(1+VLOOKUP(F18,Voltmetre[],2,0)+VLOOKUP(C18,Ampéremetre[],2,0))))</f>
        <v/>
      </c>
      <c r="E25" s="192"/>
      <c r="F25" s="193" t="str">
        <f t="shared" si="0"/>
        <v>Test non effectué</v>
      </c>
      <c r="G25" s="194"/>
      <c r="H25" s="9" t="str">
        <f>IF(ISBLANK(C25),"Non conforme",IF(OR(F25&gt;=D25,"NC"),"CONFORME","NON CONFORME"))</f>
        <v>Non conforme</v>
      </c>
    </row>
    <row r="26" spans="1:8" x14ac:dyDescent="0.25">
      <c r="A26" s="88">
        <v>5</v>
      </c>
      <c r="B26" s="114">
        <v>0.01</v>
      </c>
      <c r="C26" s="115"/>
      <c r="D26" s="112" t="str">
        <f>IF(ISBLANK(C18),"",IF(ISBLANK(F18),"",A26*0.9*(1+VLOOKUP(F18,Voltmetre[],2,0)+VLOOKUP(C18,Ampéremetre[],2,0))))</f>
        <v/>
      </c>
      <c r="E26" s="111" t="str">
        <f>IF(ISBLANK(C18),"",IF(ISBLANK(F18),"",A26*1.1*(1-VLOOKUP(F18,Voltmetre[],2,0)-VLOOKUP(C18,Ampéremetre[],2,0))))</f>
        <v/>
      </c>
      <c r="F26" s="193" t="str">
        <f t="shared" si="0"/>
        <v>Test non effectué</v>
      </c>
      <c r="G26" s="194"/>
      <c r="H26" s="9" t="str">
        <f>IF(OR(AND(F26&gt;D26,F26&lt;E26),"NC"),"Conforme","Non Conforme")</f>
        <v>Non Conforme</v>
      </c>
    </row>
    <row r="27" spans="1:8" ht="14.25" customHeight="1" x14ac:dyDescent="0.25">
      <c r="A27" s="88">
        <v>20</v>
      </c>
      <c r="B27" s="114">
        <v>0.01</v>
      </c>
      <c r="C27" s="115"/>
      <c r="D27" s="112" t="str">
        <f>IF(ISBLANK(C18),"",IF(ISBLANK(F18),"",A27*0.9*(1+VLOOKUP(F18,Voltmetre[],2,0)+VLOOKUP(C18,Ampéremetre[],2,0))))</f>
        <v/>
      </c>
      <c r="E27" s="111" t="str">
        <f>IF(ISBLANK(C18),"",IF(ISBLANK(F18),"",A27*1.1*(1-VLOOKUP(F18,Voltmetre[],2,0)-VLOOKUP(C18,Ampéremetre[],2,0))))</f>
        <v/>
      </c>
      <c r="F27" s="193" t="str">
        <f t="shared" si="0"/>
        <v>Test non effectué</v>
      </c>
      <c r="G27" s="194"/>
      <c r="H27" s="9" t="str">
        <f>IF(OR(AND(F27&gt;D27,F27&lt;E27),"NC"),"Conforme","Non Conforme")</f>
        <v>Non Conforme</v>
      </c>
    </row>
    <row r="28" spans="1:8" ht="14.25" customHeight="1" x14ac:dyDescent="0.25">
      <c r="A28" s="88">
        <v>60</v>
      </c>
      <c r="B28" s="114">
        <v>0.01</v>
      </c>
      <c r="C28" s="115"/>
      <c r="D28" s="112" t="str">
        <f>IF(ISBLANK(C18),"",IF(ISBLANK(F18),"",A28*0.9*(1+VLOOKUP(F18,Voltmetre[],2,0)+VLOOKUP(C18,Ampéremetre[],2,0))))</f>
        <v/>
      </c>
      <c r="E28" s="111" t="str">
        <f>IF(ISBLANK(C18),"",IF(ISBLANK(F18),"",A28*1.1*(1-VLOOKUP(F18,Voltmetre[],2,0)-VLOOKUP(C18,Ampéremetre[],2,0))))</f>
        <v/>
      </c>
      <c r="F28" s="193" t="str">
        <f t="shared" si="0"/>
        <v>Test non effectué</v>
      </c>
      <c r="G28" s="194"/>
      <c r="H28" s="9" t="str">
        <f>IF(OR(AND(F28&gt;D28,F28&lt;E28),"NC"),"Conforme","Non Conforme")</f>
        <v>Non Conforme</v>
      </c>
    </row>
    <row r="29" spans="1:8" ht="14.25" customHeight="1" x14ac:dyDescent="0.25">
      <c r="A29" s="88">
        <v>5000</v>
      </c>
      <c r="B29" s="118"/>
      <c r="C29" s="113"/>
      <c r="D29" s="112" t="str">
        <f>IF(ISBLANK(C18),"",IF(ISBLANK(F18),"",A29*0.9*(1+VLOOKUP(F18,Voltmetre[],2,0)+VLOOKUP(C18,Ampéremetre[],2,0))))</f>
        <v/>
      </c>
      <c r="E29" s="111" t="str">
        <f>IF(ISBLANK(C18),"",IF(ISBLANK(F18),"",A29*1.1*(1-VLOOKUP(F18,Voltmetre[],2,0)-VLOOKUP(C18,Ampéremetre[],2,0))))</f>
        <v/>
      </c>
      <c r="F29" s="94">
        <v>20</v>
      </c>
      <c r="G29" s="95"/>
      <c r="H29" s="9" t="str">
        <f>IF(OR(AND(F29&gt;D29,F29&lt;E29),"NC"),"Conforme","Non Conforme")</f>
        <v>Non Conforme</v>
      </c>
    </row>
    <row r="30" spans="1:8" ht="14.25" customHeight="1" x14ac:dyDescent="0.25">
      <c r="A30" s="88">
        <v>5000</v>
      </c>
      <c r="B30" s="118"/>
      <c r="C30" s="113"/>
      <c r="D30" s="112" t="str">
        <f>IF(ISBLANK(C18),"",IF(ISBLANK(F18),"",A30*0.9*(1+VLOOKUP(F18,Voltmetre[],2,0)+VLOOKUP(C18,Ampéremetre[],2,0))))</f>
        <v/>
      </c>
      <c r="E30" s="111" t="str">
        <f>IF(ISBLANK(C18),"",IF(ISBLANK(F18),"",A30*1.1*(1-VLOOKUP(F18,Voltmetre[],2,0)-VLOOKUP(C18,Ampéremetre[],2,0))))</f>
        <v/>
      </c>
      <c r="F30" s="94">
        <v>20</v>
      </c>
      <c r="G30" s="95"/>
      <c r="H30" s="9" t="str">
        <f>IF(OR(AND(F30&gt;D30,F30&lt;E30),"NC"),"Conforme","Non Conforme")</f>
        <v>Non Conforme</v>
      </c>
    </row>
    <row r="31" spans="1:8" ht="15.75" thickBot="1" x14ac:dyDescent="0.3"/>
    <row r="32" spans="1:8" ht="15.75" thickBot="1" x14ac:dyDescent="0.3">
      <c r="A32" s="170" t="s">
        <v>19</v>
      </c>
      <c r="B32" s="171"/>
      <c r="C32" s="171"/>
      <c r="D32" s="171"/>
      <c r="E32" s="171"/>
      <c r="F32" s="171"/>
      <c r="G32" s="171"/>
      <c r="H32" s="172"/>
    </row>
    <row r="33" spans="1:8" ht="15.75" thickBot="1" x14ac:dyDescent="0.3">
      <c r="A33" s="18">
        <v>2</v>
      </c>
      <c r="B33" s="13"/>
      <c r="C33" s="13"/>
      <c r="D33" s="13"/>
      <c r="E33" s="13"/>
      <c r="F33" s="13"/>
      <c r="G33" s="13"/>
      <c r="H33" s="14"/>
    </row>
    <row r="34" spans="1:8" ht="15.75" thickBot="1" x14ac:dyDescent="0.3"/>
    <row r="35" spans="1:8" ht="31.5" customHeight="1" thickBot="1" x14ac:dyDescent="0.3">
      <c r="A35" s="173" t="s">
        <v>26</v>
      </c>
      <c r="B35" s="174"/>
      <c r="C35" s="174"/>
      <c r="D35" s="174"/>
      <c r="E35" s="174"/>
      <c r="F35" s="174"/>
      <c r="G35" s="174"/>
      <c r="H35" s="175"/>
    </row>
    <row r="36" spans="1:8" x14ac:dyDescent="0.25">
      <c r="A36" s="176" t="s">
        <v>110</v>
      </c>
      <c r="B36" s="177"/>
      <c r="C36" s="36" t="str">
        <f>IF(B8="Barre d'essai à shunt",IF(AND(H25="conforme",H24="conforme",H23="conforme"),"Conforme","Non Conforme"),IF(AND($H$28="conforme",$H$29="conforme",$H$30="conforme",H27="conforme",H26="conforme",H25="conforme",H24="conforme",H23="conforme"),"Conforme","Non Conforme"))</f>
        <v>Non Conforme</v>
      </c>
      <c r="D36" s="67" t="s">
        <v>206</v>
      </c>
      <c r="E36" s="37" t="str">
        <f>G10</f>
        <v>A MP 02 F N°03</v>
      </c>
      <c r="F36" s="5"/>
      <c r="G36" s="5"/>
      <c r="H36" s="6"/>
    </row>
    <row r="38" spans="1:8" x14ac:dyDescent="0.25">
      <c r="E38" t="s">
        <v>6</v>
      </c>
      <c r="G38" s="12">
        <f ca="1">TODAY()</f>
        <v>45764</v>
      </c>
    </row>
    <row r="39" spans="1:8" x14ac:dyDescent="0.25">
      <c r="A39" s="8"/>
      <c r="E39" t="s">
        <v>133</v>
      </c>
      <c r="G39" s="148" t="e">
        <f>LEFT(NomUtilisateur(),FIND(" [",NomUtilisateur())-1)</f>
        <v>#VALUE!</v>
      </c>
    </row>
    <row r="40" spans="1:8" x14ac:dyDescent="0.25">
      <c r="A40" s="1"/>
      <c r="B40" s="1"/>
      <c r="C40" s="47"/>
      <c r="E40" s="90"/>
    </row>
    <row r="41" spans="1:8" x14ac:dyDescent="0.25">
      <c r="A41" s="1"/>
      <c r="B41" s="1"/>
      <c r="C41" s="62"/>
    </row>
    <row r="42" spans="1:8" x14ac:dyDescent="0.25">
      <c r="A42" s="1"/>
      <c r="B42" s="1"/>
      <c r="C42" s="62"/>
    </row>
    <row r="43" spans="1:8" x14ac:dyDescent="0.25">
      <c r="A43" s="1"/>
      <c r="B43" s="1"/>
      <c r="C43" s="62"/>
    </row>
    <row r="44" spans="1:8" x14ac:dyDescent="0.25">
      <c r="A44" s="1"/>
      <c r="B44" s="1"/>
      <c r="C44" s="62"/>
    </row>
    <row r="45" spans="1:8" x14ac:dyDescent="0.25">
      <c r="A45" s="1"/>
      <c r="B45" s="1"/>
      <c r="C45" s="62"/>
    </row>
  </sheetData>
  <mergeCells count="24">
    <mergeCell ref="A36:B36"/>
    <mergeCell ref="A32:H32"/>
    <mergeCell ref="A35:H35"/>
    <mergeCell ref="F26:G26"/>
    <mergeCell ref="F27:G27"/>
    <mergeCell ref="F28:G28"/>
    <mergeCell ref="D23:E23"/>
    <mergeCell ref="F23:G23"/>
    <mergeCell ref="D24:E24"/>
    <mergeCell ref="F24:G24"/>
    <mergeCell ref="D25:E25"/>
    <mergeCell ref="F25:G25"/>
    <mergeCell ref="A12:H12"/>
    <mergeCell ref="E14:F14"/>
    <mergeCell ref="B16:C16"/>
    <mergeCell ref="A20:H20"/>
    <mergeCell ref="D22:E22"/>
    <mergeCell ref="F22:G22"/>
    <mergeCell ref="E10:F10"/>
    <mergeCell ref="A1:H1"/>
    <mergeCell ref="A2:H2"/>
    <mergeCell ref="A4:H4"/>
    <mergeCell ref="E6:F6"/>
    <mergeCell ref="E8:F8"/>
  </mergeCells>
  <conditionalFormatting sqref="H23:H30">
    <cfRule type="containsText" dxfId="166" priority="5" operator="containsText" text="Non conforme">
      <formula>NOT(ISERROR(SEARCH("Non conforme",H23)))</formula>
    </cfRule>
    <cfRule type="beginsWith" dxfId="165" priority="6" operator="beginsWith" text="Conforme">
      <formula>LEFT(H23,LEN("Conforme"))="Conforme"</formula>
    </cfRule>
  </conditionalFormatting>
  <conditionalFormatting sqref="H23:H30">
    <cfRule type="containsText" dxfId="164" priority="7" operator="containsText" text="Non">
      <formula>NOT(ISERROR(SEARCH("Non",H23)))</formula>
    </cfRule>
    <cfRule type="containsText" dxfId="163" priority="8" operator="containsText" text="OUI">
      <formula>NOT(ISERROR(SEARCH("OUI",H23)))</formula>
    </cfRule>
  </conditionalFormatting>
  <conditionalFormatting sqref="C36">
    <cfRule type="cellIs" dxfId="162" priority="3" operator="equal">
      <formula>"Non conforme"</formula>
    </cfRule>
    <cfRule type="cellIs" dxfId="161" priority="4" operator="equal">
      <formula>"conforme"</formula>
    </cfRule>
  </conditionalFormatting>
  <conditionalFormatting sqref="D29:H30 B26:B30 D26:E28 H26:H30">
    <cfRule type="expression" dxfId="160" priority="2" stopIfTrue="1">
      <formula>$F$26="NC"</formula>
    </cfRule>
  </conditionalFormatting>
  <conditionalFormatting sqref="D29:H30 B26:B30 D26:E28 A29:A30 I28:XFD32 H26:H30">
    <cfRule type="expression" dxfId="159" priority="1" stopIfTrue="1">
      <formula>$B$8="Barre d'essai à shunt"</formula>
    </cfRule>
  </conditionalFormatting>
  <dataValidations count="6">
    <dataValidation type="decimal" allowBlank="1" showInputMessage="1" showErrorMessage="1" errorTitle="Valeur hors tolérence" error="La valeur doit être comprise entre 15°C et 35°C" prompt="Saisir la temprérature de la pièce._x000a_Elle doit être comprise entre 15 et 30°C" sqref="B14" xr:uid="{D6D43B6E-591E-4FB4-AB70-C766C323B675}">
      <formula1>15</formula1>
      <formula2>35</formula2>
    </dataValidation>
    <dataValidation type="decimal" allowBlank="1" showInputMessage="1" showErrorMessage="1" errorTitle="Valeur hors tolérence" error="La valeur doit être comprise entre 25% et 75%" prompt="Saisir l'hydrométrie de la pièce._x000a_Elle doit être comprise entre 25 et 75%" sqref="G14" xr:uid="{D63883EC-58D2-4734-8C2F-B346DC94AE7E}">
      <formula1>25</formula1>
      <formula2>75</formula2>
    </dataValidation>
    <dataValidation type="list" allowBlank="1" showInputMessage="1" showErrorMessage="1" sqref="G6" xr:uid="{EA50F6EE-BAA7-47CD-905D-56D630AA7508}">
      <formula1>INDIRECT("Tab_Base_Shunt[N°identification boite]")</formula1>
    </dataValidation>
    <dataValidation type="list" allowBlank="1" showInputMessage="1" showErrorMessage="1" sqref="C18" xr:uid="{079F51E0-3C4F-4A13-94BA-B199F843276E}">
      <formula1>INDIRECT("Ampéremetre[Numéro identification Ampéremetre]")</formula1>
    </dataValidation>
    <dataValidation type="list" allowBlank="1" showInputMessage="1" showErrorMessage="1" sqref="F18" xr:uid="{450F94DE-D42C-4975-A16F-52228EC29520}">
      <formula1>INDIRECT("Voltmetre[Numéro identification Voltmetre]")</formula1>
    </dataValidation>
    <dataValidation type="whole" allowBlank="1" showInputMessage="1" showErrorMessage="1" sqref="B6" xr:uid="{69F633BC-2C7A-4055-A12F-382A168F4153}">
      <formula1>0</formula1>
      <formula2>100000000000000000</formula2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7107" r:id="rId3" name="Button 3">
              <controlPr defaultSize="0" print="0" autoFill="0" autoPict="0" macro="[0]!Nouveau_resistance">
                <anchor moveWithCells="1" sizeWithCells="1">
                  <from>
                    <xdr:col>5</xdr:col>
                    <xdr:colOff>438150</xdr:colOff>
                    <xdr:row>40</xdr:row>
                    <xdr:rowOff>95250</xdr:rowOff>
                  </from>
                  <to>
                    <xdr:col>7</xdr:col>
                    <xdr:colOff>742950</xdr:colOff>
                    <xdr:row>42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10" r:id="rId4" name="Button 6">
              <controlPr defaultSize="0" print="0" autoFill="0" autoPict="0" macro="[0]!Acceuil_resistance">
                <anchor moveWithCells="1" sizeWithCells="1">
                  <from>
                    <xdr:col>0</xdr:col>
                    <xdr:colOff>152400</xdr:colOff>
                    <xdr:row>40</xdr:row>
                    <xdr:rowOff>28575</xdr:rowOff>
                  </from>
                  <to>
                    <xdr:col>2</xdr:col>
                    <xdr:colOff>447675</xdr:colOff>
                    <xdr:row>42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739EF-397E-45F6-876B-B9C14582B94F}">
  <sheetPr codeName="Feuil18"/>
  <dimension ref="A1:H40"/>
  <sheetViews>
    <sheetView zoomScale="130" zoomScaleNormal="130" workbookViewId="0">
      <selection sqref="A1:H1"/>
    </sheetView>
  </sheetViews>
  <sheetFormatPr baseColWidth="10" defaultRowHeight="15" x14ac:dyDescent="0.25"/>
  <cols>
    <col min="1" max="1" width="18.85546875" customWidth="1"/>
    <col min="2" max="2" width="14.7109375" bestFit="1" customWidth="1"/>
    <col min="3" max="3" width="14.85546875" customWidth="1"/>
    <col min="4" max="4" width="15.28515625" customWidth="1"/>
    <col min="5" max="5" width="9.140625" customWidth="1"/>
    <col min="7" max="7" width="11.5703125" customWidth="1"/>
    <col min="8" max="8" width="12" customWidth="1"/>
    <col min="9" max="9" width="10.28515625" customWidth="1"/>
  </cols>
  <sheetData>
    <row r="1" spans="1:8" ht="28.5" x14ac:dyDescent="0.25">
      <c r="A1" s="160" t="s">
        <v>0</v>
      </c>
      <c r="B1" s="161"/>
      <c r="C1" s="161"/>
      <c r="D1" s="161"/>
      <c r="E1" s="161"/>
      <c r="F1" s="161"/>
      <c r="G1" s="161"/>
      <c r="H1" s="162"/>
    </row>
    <row r="2" spans="1:8" ht="19.5" thickBot="1" x14ac:dyDescent="0.3">
      <c r="A2" s="163" t="str">
        <f>IF(OR(ISBLANK(G6),ISBLANK(G6)),"",TEXT(G33,"AAAA-MM-JJ")&amp;"-"&amp;G6)</f>
        <v/>
      </c>
      <c r="B2" s="164"/>
      <c r="C2" s="164"/>
      <c r="D2" s="164"/>
      <c r="E2" s="164"/>
      <c r="F2" s="164"/>
      <c r="G2" s="164"/>
      <c r="H2" s="165"/>
    </row>
    <row r="3" spans="1:8" ht="15.75" thickBot="1" x14ac:dyDescent="0.3"/>
    <row r="4" spans="1:8" ht="15.75" thickBot="1" x14ac:dyDescent="0.3">
      <c r="A4" s="166" t="s">
        <v>1</v>
      </c>
      <c r="B4" s="167"/>
      <c r="C4" s="167"/>
      <c r="D4" s="167"/>
      <c r="E4" s="167"/>
      <c r="F4" s="167"/>
      <c r="G4" s="167"/>
      <c r="H4" s="168"/>
    </row>
    <row r="6" spans="1:8" x14ac:dyDescent="0.25">
      <c r="A6" s="19" t="s">
        <v>216</v>
      </c>
      <c r="B6" s="120"/>
      <c r="C6" s="72"/>
      <c r="E6" s="158" t="s">
        <v>5</v>
      </c>
      <c r="F6" s="159"/>
      <c r="G6" s="75"/>
      <c r="H6" s="97"/>
    </row>
    <row r="8" spans="1:8" x14ac:dyDescent="0.25">
      <c r="A8" s="19" t="s">
        <v>2</v>
      </c>
      <c r="B8" s="73" t="str">
        <f>IF(ISBLANK(G6),"",VLOOKUP(G6,Tab_Base_Shunt[],2,0))</f>
        <v/>
      </c>
      <c r="C8" s="74"/>
      <c r="D8" s="21"/>
      <c r="E8" s="169" t="s">
        <v>3</v>
      </c>
      <c r="F8" s="169"/>
      <c r="G8" s="73" t="str">
        <f>IF(ISBLANK(G6),"",VLOOKUP(G6,Tab_Base_Shunt[],3,0))</f>
        <v/>
      </c>
      <c r="H8" s="74"/>
    </row>
    <row r="9" spans="1:8" x14ac:dyDescent="0.25">
      <c r="A9" s="21"/>
      <c r="B9" s="21"/>
      <c r="C9" s="21"/>
      <c r="D9" s="21"/>
      <c r="E9" s="21"/>
      <c r="F9" s="21"/>
      <c r="G9" s="21"/>
      <c r="H9" s="21"/>
    </row>
    <row r="10" spans="1:8" x14ac:dyDescent="0.25">
      <c r="A10" s="17" t="s">
        <v>4</v>
      </c>
      <c r="B10" s="73" t="str">
        <f>IF(ISBLANK(G6),"",VLOOKUP(G6,Tab_Base_Shunt[],5,0))</f>
        <v/>
      </c>
      <c r="C10" s="74"/>
      <c r="D10" s="21"/>
      <c r="E10" s="158" t="s">
        <v>190</v>
      </c>
      <c r="F10" s="159"/>
      <c r="G10" s="73" t="s">
        <v>211</v>
      </c>
      <c r="H10" s="97"/>
    </row>
    <row r="11" spans="1:8" ht="15.75" thickBot="1" x14ac:dyDescent="0.3">
      <c r="A11" s="21"/>
      <c r="B11" s="21"/>
      <c r="C11" s="21"/>
      <c r="D11" s="21"/>
      <c r="E11" s="21"/>
      <c r="F11" s="21"/>
      <c r="G11" s="21"/>
      <c r="H11" s="21"/>
    </row>
    <row r="12" spans="1:8" ht="15.75" thickBot="1" x14ac:dyDescent="0.3">
      <c r="A12" s="166" t="s">
        <v>17</v>
      </c>
      <c r="B12" s="167"/>
      <c r="C12" s="167"/>
      <c r="D12" s="167"/>
      <c r="E12" s="167"/>
      <c r="F12" s="167"/>
      <c r="G12" s="167"/>
      <c r="H12" s="168"/>
    </row>
    <row r="13" spans="1:8" x14ac:dyDescent="0.25">
      <c r="A13" s="21"/>
      <c r="B13" s="21"/>
      <c r="C13" s="21"/>
      <c r="D13" s="21"/>
      <c r="E13" s="21"/>
      <c r="F13" s="21"/>
      <c r="G13" s="21"/>
      <c r="H13" s="21"/>
    </row>
    <row r="14" spans="1:8" x14ac:dyDescent="0.25">
      <c r="A14" s="19" t="s">
        <v>8</v>
      </c>
      <c r="B14" s="98"/>
      <c r="C14" s="99"/>
      <c r="D14" s="21"/>
      <c r="E14" s="169" t="s">
        <v>9</v>
      </c>
      <c r="F14" s="158"/>
      <c r="G14" s="104"/>
      <c r="H14" s="105"/>
    </row>
    <row r="15" spans="1:8" x14ac:dyDescent="0.25">
      <c r="A15" s="21"/>
      <c r="B15" s="21"/>
      <c r="C15" s="21"/>
      <c r="D15" s="21"/>
      <c r="E15" s="2"/>
      <c r="F15" s="2"/>
      <c r="G15" s="2"/>
      <c r="H15" s="2"/>
    </row>
    <row r="16" spans="1:8" x14ac:dyDescent="0.25">
      <c r="A16" s="17" t="s">
        <v>24</v>
      </c>
      <c r="B16" s="178" t="s">
        <v>191</v>
      </c>
      <c r="C16" s="179"/>
      <c r="D16" s="21"/>
    </row>
    <row r="18" spans="1:8" x14ac:dyDescent="0.25">
      <c r="A18" s="158" t="s">
        <v>193</v>
      </c>
      <c r="B18" s="180"/>
      <c r="C18" s="106"/>
      <c r="D18" s="107"/>
      <c r="E18" s="59" t="s">
        <v>192</v>
      </c>
      <c r="F18" s="108"/>
      <c r="G18" s="109"/>
      <c r="H18" s="110"/>
    </row>
    <row r="19" spans="1:8" ht="15.75" thickBot="1" x14ac:dyDescent="0.3"/>
    <row r="20" spans="1:8" ht="15.75" thickBot="1" x14ac:dyDescent="0.3">
      <c r="A20" s="181" t="s">
        <v>20</v>
      </c>
      <c r="B20" s="182"/>
      <c r="C20" s="182"/>
      <c r="D20" s="182"/>
      <c r="E20" s="182"/>
      <c r="F20" s="182"/>
      <c r="G20" s="182"/>
      <c r="H20" s="183"/>
    </row>
    <row r="22" spans="1:8" ht="29.25" customHeight="1" x14ac:dyDescent="0.25">
      <c r="A22" s="2"/>
      <c r="B22" s="4" t="s">
        <v>166</v>
      </c>
      <c r="C22" s="4" t="s">
        <v>217</v>
      </c>
      <c r="D22" s="189" t="s">
        <v>218</v>
      </c>
      <c r="E22" s="190"/>
      <c r="F22" s="189" t="s">
        <v>194</v>
      </c>
      <c r="G22" s="190"/>
      <c r="H22" s="3" t="s">
        <v>15</v>
      </c>
    </row>
    <row r="23" spans="1:8" x14ac:dyDescent="0.25">
      <c r="A23" s="88">
        <v>0.15</v>
      </c>
      <c r="B23" s="100">
        <v>1</v>
      </c>
      <c r="C23" s="101"/>
      <c r="D23" s="195" t="str">
        <f>IF(ISBLANK(C18),"",IF(ISBLANK(F18),"",A23*(1+VLOOKUP(F18,Voltmetre[],2,0)+VLOOKUP(C18,Ampéremetre[],2,0))))</f>
        <v/>
      </c>
      <c r="E23" s="196"/>
      <c r="F23" s="102" t="str">
        <f>IF(ISBLANK(C23),"",C23/B23)</f>
        <v/>
      </c>
      <c r="G23" s="103"/>
      <c r="H23" s="77" t="str">
        <f>IF(ISBLANK(C23),"Non conforme",IF(OR(F23&gt;=D23,"NC"),"CONFORME","NON CONFORME"))</f>
        <v>Non conforme</v>
      </c>
    </row>
    <row r="24" spans="1:8" ht="30" customHeight="1" x14ac:dyDescent="0.25">
      <c r="A24" s="88">
        <v>0.25</v>
      </c>
      <c r="B24" s="100">
        <v>1</v>
      </c>
      <c r="C24" s="101"/>
      <c r="D24" s="195" t="str">
        <f>IF(ISBLANK(C18),"",IF(ISBLANK(F18),"",A24*(1+VLOOKUP(F18,Voltmetre[],2,0)+VLOOKUP(C18,Ampéremetre[],2,0))))</f>
        <v/>
      </c>
      <c r="E24" s="196"/>
      <c r="F24" s="102" t="str">
        <f>IF(ISBLANK(C24),"",C24/B24)</f>
        <v/>
      </c>
      <c r="G24" s="103"/>
      <c r="H24" s="77" t="str">
        <f>IF(ISBLANK(C24),"Non conforme",IF(OR(F24&gt;=D24,"NC"),"CONFORME","NON CONFORME"))</f>
        <v>Non conforme</v>
      </c>
    </row>
    <row r="25" spans="1:8" ht="15" customHeight="1" x14ac:dyDescent="0.25">
      <c r="A25" s="88">
        <v>0.5</v>
      </c>
      <c r="B25" s="100">
        <v>1</v>
      </c>
      <c r="C25" s="101"/>
      <c r="D25" s="195" t="str">
        <f>IF(ISBLANK(C18),"",IF(ISBLANK(F18),"",A25*(1+VLOOKUP(F18,Voltmetre[],2,0)+VLOOKUP(C18,Ampéremetre[],2,0))))</f>
        <v/>
      </c>
      <c r="E25" s="196"/>
      <c r="F25" s="102" t="str">
        <f>IF(ISBLANK(C25),"",C25/B25)</f>
        <v/>
      </c>
      <c r="G25" s="103"/>
      <c r="H25" s="77" t="str">
        <f>IF(ISBLANK(C25),"Non conforme",IF(OR(F25&gt;=D25,"NC"),"CONFORME","NON CONFORME"))</f>
        <v>Non conforme</v>
      </c>
    </row>
    <row r="26" spans="1:8" ht="15.75" thickBot="1" x14ac:dyDescent="0.3"/>
    <row r="27" spans="1:8" ht="15.75" thickBot="1" x14ac:dyDescent="0.3">
      <c r="A27" s="170" t="s">
        <v>19</v>
      </c>
      <c r="B27" s="171"/>
      <c r="C27" s="171"/>
      <c r="D27" s="171"/>
      <c r="E27" s="171"/>
      <c r="F27" s="171"/>
      <c r="G27" s="171"/>
      <c r="H27" s="172"/>
    </row>
    <row r="28" spans="1:8" ht="15.75" thickBot="1" x14ac:dyDescent="0.3">
      <c r="A28" s="18"/>
      <c r="B28" s="13"/>
      <c r="C28" s="13"/>
      <c r="D28" s="13"/>
      <c r="E28" s="13"/>
      <c r="F28" s="13"/>
      <c r="G28" s="13"/>
      <c r="H28" s="14"/>
    </row>
    <row r="29" spans="1:8" ht="15.75" thickBot="1" x14ac:dyDescent="0.3"/>
    <row r="30" spans="1:8" ht="31.5" customHeight="1" thickBot="1" x14ac:dyDescent="0.3">
      <c r="A30" s="173" t="s">
        <v>26</v>
      </c>
      <c r="B30" s="174"/>
      <c r="C30" s="174"/>
      <c r="D30" s="174"/>
      <c r="E30" s="174"/>
      <c r="F30" s="174"/>
      <c r="G30" s="174"/>
      <c r="H30" s="175"/>
    </row>
    <row r="31" spans="1:8" x14ac:dyDescent="0.25">
      <c r="A31" s="176" t="s">
        <v>110</v>
      </c>
      <c r="B31" s="177"/>
      <c r="C31" s="36" t="str">
        <f>IF(AND(H25="conforme",H24="conforme",H23="conforme"),"Conforme","Non Conforme")</f>
        <v>Non Conforme</v>
      </c>
      <c r="D31" s="5" t="s">
        <v>206</v>
      </c>
      <c r="E31" s="37" t="str">
        <f>G10</f>
        <v>A MP 02 F N°03</v>
      </c>
      <c r="F31" s="5"/>
      <c r="G31" s="5"/>
      <c r="H31" s="6"/>
    </row>
    <row r="33" spans="1:7" x14ac:dyDescent="0.25">
      <c r="E33" t="s">
        <v>6</v>
      </c>
      <c r="G33" s="12">
        <f ca="1">TODAY()</f>
        <v>45764</v>
      </c>
    </row>
    <row r="34" spans="1:7" x14ac:dyDescent="0.25">
      <c r="A34" s="8"/>
      <c r="E34" t="s">
        <v>133</v>
      </c>
      <c r="G34" s="148" t="e">
        <f>LEFT(NomUtilisateur(),FIND(" [",NomUtilisateur())-1)</f>
        <v>#VALUE!</v>
      </c>
    </row>
    <row r="35" spans="1:7" x14ac:dyDescent="0.25">
      <c r="A35" s="1"/>
      <c r="B35" s="1"/>
      <c r="C35" s="47"/>
      <c r="E35" s="90"/>
    </row>
    <row r="36" spans="1:7" x14ac:dyDescent="0.25">
      <c r="A36" s="1"/>
      <c r="B36" s="1"/>
      <c r="C36" s="62"/>
    </row>
    <row r="37" spans="1:7" x14ac:dyDescent="0.25">
      <c r="A37" s="1"/>
      <c r="B37" s="1"/>
      <c r="C37" s="62"/>
    </row>
    <row r="38" spans="1:7" x14ac:dyDescent="0.25">
      <c r="A38" s="1"/>
      <c r="B38" s="1"/>
      <c r="C38" s="62"/>
    </row>
    <row r="39" spans="1:7" x14ac:dyDescent="0.25">
      <c r="A39" s="1"/>
      <c r="B39" s="1"/>
      <c r="C39" s="62"/>
    </row>
    <row r="40" spans="1:7" x14ac:dyDescent="0.25">
      <c r="A40" s="1"/>
      <c r="B40" s="1"/>
      <c r="C40" s="62"/>
    </row>
  </sheetData>
  <mergeCells count="19">
    <mergeCell ref="A12:H12"/>
    <mergeCell ref="E14:F14"/>
    <mergeCell ref="B16:C16"/>
    <mergeCell ref="A20:H20"/>
    <mergeCell ref="D22:E22"/>
    <mergeCell ref="F22:G22"/>
    <mergeCell ref="A18:B18"/>
    <mergeCell ref="A27:H27"/>
    <mergeCell ref="A30:H30"/>
    <mergeCell ref="A31:B31"/>
    <mergeCell ref="D25:E25"/>
    <mergeCell ref="D23:E23"/>
    <mergeCell ref="D24:E24"/>
    <mergeCell ref="A1:H1"/>
    <mergeCell ref="A2:H2"/>
    <mergeCell ref="A4:H4"/>
    <mergeCell ref="E6:F6"/>
    <mergeCell ref="E10:F10"/>
    <mergeCell ref="E8:F8"/>
  </mergeCells>
  <conditionalFormatting sqref="H23:H25">
    <cfRule type="containsText" dxfId="158" priority="31" operator="containsText" text="Non conforme">
      <formula>NOT(ISERROR(SEARCH("Non conforme",H23)))</formula>
    </cfRule>
    <cfRule type="beginsWith" dxfId="157" priority="32" operator="beginsWith" text="Conforme">
      <formula>LEFT(H23,LEN("Conforme"))="Conforme"</formula>
    </cfRule>
  </conditionalFormatting>
  <conditionalFormatting sqref="H23:H25">
    <cfRule type="containsText" dxfId="156" priority="33" operator="containsText" text="Non">
      <formula>NOT(ISERROR(SEARCH("Non",H23)))</formula>
    </cfRule>
    <cfRule type="containsText" dxfId="155" priority="34" operator="containsText" text="OUI">
      <formula>NOT(ISERROR(SEARCH("OUI",H23)))</formula>
    </cfRule>
  </conditionalFormatting>
  <conditionalFormatting sqref="C31">
    <cfRule type="cellIs" dxfId="154" priority="29" operator="equal">
      <formula>"Non conforme"</formula>
    </cfRule>
    <cfRule type="cellIs" dxfId="153" priority="30" operator="equal">
      <formula>"conforme"</formula>
    </cfRule>
  </conditionalFormatting>
  <conditionalFormatting sqref="I26:XFD27">
    <cfRule type="expression" dxfId="152" priority="27" stopIfTrue="1">
      <formula>$B$8="Barre d'essai à shunt"</formula>
    </cfRule>
  </conditionalFormatting>
  <dataValidations count="6">
    <dataValidation type="whole" allowBlank="1" showInputMessage="1" showErrorMessage="1" sqref="B6" xr:uid="{9529A395-3E42-4A8F-A8AF-BD389D5D03B4}">
      <formula1>0</formula1>
      <formula2>100000000000000000</formula2>
    </dataValidation>
    <dataValidation type="list" allowBlank="1" showInputMessage="1" showErrorMessage="1" sqref="F18" xr:uid="{B167A74D-530B-4E78-9087-170ED7BBCC1F}">
      <formula1>INDIRECT("Voltmetre[Numéro identification Voltmetre]")</formula1>
    </dataValidation>
    <dataValidation type="list" allowBlank="1" showInputMessage="1" showErrorMessage="1" sqref="C18" xr:uid="{C3A48E74-AE55-4081-B001-39136C9FB9C5}">
      <formula1>INDIRECT("Ampéremetre[Numéro identification Ampéremetre]")</formula1>
    </dataValidation>
    <dataValidation type="list" allowBlank="1" showInputMessage="1" showErrorMessage="1" sqref="G6" xr:uid="{DE65D88D-421A-4D25-897F-96BC4FFD1785}">
      <formula1>INDIRECT("Tab_Base_Shunt[N°identification boite]")</formula1>
    </dataValidation>
    <dataValidation type="decimal" allowBlank="1" showInputMessage="1" showErrorMessage="1" errorTitle="Valeur hors tolérence" error="La valeur doit être comprise entre 25% et 75%" prompt="Saisir l'hydrométrie de la pièce._x000a_Elle doit être comprise entre 25 et 75%" sqref="G14" xr:uid="{AC006D38-0935-4334-B340-FCEDA0C49F64}">
      <formula1>25</formula1>
      <formula2>75</formula2>
    </dataValidation>
    <dataValidation type="decimal" allowBlank="1" showInputMessage="1" showErrorMessage="1" errorTitle="Valeur hors tolérence" error="La valeur doit être comprise entre 15°C et 35°C" prompt="Saisir la temprérature de la pièce._x000a_Elle doit être comprise entre 15 et 30°C" sqref="B14" xr:uid="{4C70572C-08C0-47A1-877A-860017D6B3E8}">
      <formula1>15</formula1>
      <formula2>35</formula2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3249" r:id="rId4" name="Button 1">
              <controlPr defaultSize="0" print="0" autoFill="0" autoPict="0" macro="[0]!Nouveau_barre">
                <anchor moveWithCells="1" sizeWithCells="1">
                  <from>
                    <xdr:col>5</xdr:col>
                    <xdr:colOff>76200</xdr:colOff>
                    <xdr:row>35</xdr:row>
                    <xdr:rowOff>19050</xdr:rowOff>
                  </from>
                  <to>
                    <xdr:col>8</xdr:col>
                    <xdr:colOff>28575</xdr:colOff>
                    <xdr:row>36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3253" r:id="rId5" name="Button 5">
              <controlPr defaultSize="0" print="0" autoFill="0" autoPict="0" macro="[0]!Acceuil_barre">
                <anchor moveWithCells="1" sizeWithCells="1">
                  <from>
                    <xdr:col>0</xdr:col>
                    <xdr:colOff>85725</xdr:colOff>
                    <xdr:row>35</xdr:row>
                    <xdr:rowOff>57150</xdr:rowOff>
                  </from>
                  <to>
                    <xdr:col>2</xdr:col>
                    <xdr:colOff>28575</xdr:colOff>
                    <xdr:row>36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5F85B-B415-4D26-8AE3-AA84F10564D9}">
  <sheetPr codeName="Feuil4"/>
  <dimension ref="A1:H42"/>
  <sheetViews>
    <sheetView workbookViewId="0">
      <selection activeCell="G6" sqref="G6"/>
    </sheetView>
  </sheetViews>
  <sheetFormatPr baseColWidth="10" defaultRowHeight="15" x14ac:dyDescent="0.25"/>
  <cols>
    <col min="3" max="3" width="15" customWidth="1"/>
  </cols>
  <sheetData>
    <row r="1" spans="1:8" ht="28.5" x14ac:dyDescent="0.25">
      <c r="A1" s="160" t="s">
        <v>0</v>
      </c>
      <c r="B1" s="161"/>
      <c r="C1" s="161"/>
      <c r="D1" s="161"/>
      <c r="E1" s="161"/>
      <c r="F1" s="161"/>
      <c r="G1" s="161"/>
      <c r="H1" s="162"/>
    </row>
    <row r="2" spans="1:8" ht="19.5" thickBot="1" x14ac:dyDescent="0.3">
      <c r="A2" s="163" t="str">
        <f ca="1">IF(OR(ISBLANK(G6),ISBLANK(G6)),"",TEXT(G38,"AAAA-MM-JJ")&amp;"-"&amp;G6)</f>
        <v>2025-04-17-n</v>
      </c>
      <c r="B2" s="164"/>
      <c r="C2" s="164"/>
      <c r="D2" s="164"/>
      <c r="E2" s="164"/>
      <c r="F2" s="164"/>
      <c r="G2" s="164"/>
      <c r="H2" s="165"/>
    </row>
    <row r="3" spans="1:8" ht="15.75" thickBot="1" x14ac:dyDescent="0.3"/>
    <row r="4" spans="1:8" ht="15.75" thickBot="1" x14ac:dyDescent="0.3">
      <c r="A4" s="166" t="s">
        <v>1</v>
      </c>
      <c r="B4" s="167"/>
      <c r="C4" s="167"/>
      <c r="D4" s="167"/>
      <c r="E4" s="167"/>
      <c r="F4" s="167"/>
      <c r="G4" s="167"/>
      <c r="H4" s="168"/>
    </row>
    <row r="6" spans="1:8" x14ac:dyDescent="0.25">
      <c r="A6" s="19" t="s">
        <v>216</v>
      </c>
      <c r="B6" s="120"/>
      <c r="C6" s="72"/>
      <c r="E6" s="158" t="s">
        <v>5</v>
      </c>
      <c r="F6" s="159"/>
      <c r="G6" s="75" t="s">
        <v>370</v>
      </c>
      <c r="H6" s="97"/>
    </row>
    <row r="8" spans="1:8" x14ac:dyDescent="0.25">
      <c r="A8" s="19" t="s">
        <v>18</v>
      </c>
      <c r="B8" s="73" t="str">
        <f>IF(ISBLANK(G6),"",VLOOKUP(G6,Tab_Base_source_chaude[],3,0))</f>
        <v>m</v>
      </c>
      <c r="C8" s="74"/>
      <c r="D8" s="21"/>
      <c r="E8" s="169" t="s">
        <v>3</v>
      </c>
      <c r="F8" s="169"/>
      <c r="G8" s="73" t="str">
        <f>IF(ISBLANK(G6),"",VLOOKUP(G6,Tab_Base_source_chaude[],2,0))</f>
        <v>f</v>
      </c>
      <c r="H8" s="74"/>
    </row>
    <row r="9" spans="1:8" x14ac:dyDescent="0.25">
      <c r="A9" s="21"/>
      <c r="B9" s="21"/>
      <c r="C9" s="21"/>
      <c r="D9" s="21"/>
      <c r="E9" s="21"/>
      <c r="F9" s="21"/>
      <c r="G9" s="21"/>
      <c r="H9" s="21"/>
    </row>
    <row r="10" spans="1:8" x14ac:dyDescent="0.25">
      <c r="A10" s="17" t="s">
        <v>4</v>
      </c>
      <c r="B10" s="73">
        <f>IF(ISBLANK(G6),"",VLOOKUP(G6,Tab_Base_source_chaude[],4,0))</f>
        <v>1</v>
      </c>
      <c r="C10" s="74"/>
      <c r="D10" s="21"/>
      <c r="E10" s="158" t="s">
        <v>190</v>
      </c>
      <c r="F10" s="159"/>
      <c r="G10" s="73"/>
      <c r="H10" s="97"/>
    </row>
    <row r="11" spans="1:8" ht="15.75" thickBot="1" x14ac:dyDescent="0.3">
      <c r="A11" s="21"/>
      <c r="B11" s="21"/>
      <c r="C11" s="21"/>
      <c r="D11" s="21"/>
      <c r="E11" s="21"/>
      <c r="F11" s="21"/>
      <c r="G11" s="21"/>
      <c r="H11" s="21"/>
    </row>
    <row r="12" spans="1:8" ht="15.75" thickBot="1" x14ac:dyDescent="0.3">
      <c r="A12" s="166" t="s">
        <v>17</v>
      </c>
      <c r="B12" s="167"/>
      <c r="C12" s="167"/>
      <c r="D12" s="167"/>
      <c r="E12" s="167"/>
      <c r="F12" s="167"/>
      <c r="G12" s="167"/>
      <c r="H12" s="168"/>
    </row>
    <row r="13" spans="1:8" x14ac:dyDescent="0.25">
      <c r="A13" s="21"/>
      <c r="B13" s="21"/>
      <c r="C13" s="21"/>
      <c r="D13" s="21"/>
      <c r="E13" s="21"/>
      <c r="F13" s="21"/>
      <c r="G13" s="21"/>
      <c r="H13" s="21"/>
    </row>
    <row r="14" spans="1:8" x14ac:dyDescent="0.25">
      <c r="A14" s="19" t="s">
        <v>8</v>
      </c>
      <c r="B14" s="98"/>
      <c r="C14" s="99"/>
      <c r="D14" s="21"/>
      <c r="E14" s="169" t="s">
        <v>9</v>
      </c>
      <c r="F14" s="158"/>
      <c r="G14" s="104"/>
      <c r="H14" s="105"/>
    </row>
    <row r="15" spans="1:8" x14ac:dyDescent="0.25">
      <c r="A15" s="21"/>
      <c r="B15" s="21"/>
      <c r="C15" s="21"/>
      <c r="D15" s="21"/>
      <c r="E15" s="2"/>
      <c r="F15" s="2"/>
      <c r="G15" s="2"/>
      <c r="H15" s="2"/>
    </row>
    <row r="16" spans="1:8" x14ac:dyDescent="0.25">
      <c r="A16" s="17" t="s">
        <v>24</v>
      </c>
      <c r="B16" s="178" t="s">
        <v>361</v>
      </c>
      <c r="C16" s="179"/>
      <c r="D16" s="21"/>
      <c r="E16" s="158" t="s">
        <v>365</v>
      </c>
      <c r="F16" s="180"/>
      <c r="G16" s="109"/>
      <c r="H16" s="110"/>
    </row>
    <row r="17" spans="1:8" ht="15.75" thickBot="1" x14ac:dyDescent="0.3"/>
    <row r="18" spans="1:8" ht="15.75" thickBot="1" x14ac:dyDescent="0.3">
      <c r="A18" s="181" t="s">
        <v>363</v>
      </c>
      <c r="B18" s="182"/>
      <c r="C18" s="182"/>
      <c r="D18" s="182"/>
      <c r="E18" s="182"/>
      <c r="F18" s="182"/>
      <c r="G18" s="182"/>
      <c r="H18" s="183"/>
    </row>
    <row r="20" spans="1:8" x14ac:dyDescent="0.25">
      <c r="A20" s="156">
        <v>70</v>
      </c>
      <c r="B20" s="154"/>
      <c r="C20" s="63"/>
      <c r="F20" s="156">
        <v>105</v>
      </c>
      <c r="G20" s="155"/>
      <c r="H20" s="63"/>
    </row>
    <row r="21" spans="1:8" x14ac:dyDescent="0.25">
      <c r="A21" s="156">
        <v>90</v>
      </c>
      <c r="B21" s="154"/>
      <c r="C21" s="63"/>
      <c r="F21" s="156">
        <v>140</v>
      </c>
      <c r="G21" s="154"/>
      <c r="H21" s="63"/>
    </row>
    <row r="22" spans="1:8" x14ac:dyDescent="0.25">
      <c r="A22" s="156">
        <v>100</v>
      </c>
      <c r="B22" s="154"/>
      <c r="C22" s="63"/>
    </row>
    <row r="24" spans="1:8" x14ac:dyDescent="0.25">
      <c r="A24" t="s">
        <v>364</v>
      </c>
      <c r="C24" s="1" t="str">
        <f>IF(ISBLANK(G6),"Non",IF(AND(C20="conforme",C21="conforme",H20="conforme",H21="conforme",H22="conforme"),"Non","Oui"))</f>
        <v>Oui</v>
      </c>
    </row>
    <row r="25" spans="1:8" ht="15.75" thickBot="1" x14ac:dyDescent="0.3"/>
    <row r="26" spans="1:8" ht="15.75" thickBot="1" x14ac:dyDescent="0.3">
      <c r="A26" s="181" t="s">
        <v>362</v>
      </c>
      <c r="B26" s="182"/>
      <c r="C26" s="182"/>
      <c r="D26" s="182"/>
      <c r="E26" s="182"/>
      <c r="F26" s="182"/>
      <c r="G26" s="182"/>
      <c r="H26" s="183"/>
    </row>
    <row r="28" spans="1:8" x14ac:dyDescent="0.25">
      <c r="A28" s="156">
        <f>+A20</f>
        <v>70</v>
      </c>
      <c r="B28" s="154"/>
      <c r="C28" s="63" t="str">
        <f>IF(C24="Non",C20,"définir la formule")</f>
        <v>définir la formule</v>
      </c>
      <c r="F28" s="156">
        <f>F20</f>
        <v>105</v>
      </c>
      <c r="G28" s="155"/>
      <c r="H28" s="63" t="str">
        <f>IF(C5="Non",H20,"définir la formule")</f>
        <v>définir la formule</v>
      </c>
    </row>
    <row r="29" spans="1:8" x14ac:dyDescent="0.25">
      <c r="A29" s="156">
        <f t="shared" ref="A29:A30" si="0">+A21</f>
        <v>90</v>
      </c>
      <c r="B29" s="154"/>
      <c r="C29" s="63" t="str">
        <f>IF(C24="Non",C21,"définir la formule")</f>
        <v>définir la formule</v>
      </c>
      <c r="F29" s="156">
        <f>F21</f>
        <v>140</v>
      </c>
      <c r="G29" s="154"/>
      <c r="H29" s="63" t="str">
        <f>IF(C24="Non",H21,"définir la formule")</f>
        <v>définir la formule</v>
      </c>
    </row>
    <row r="30" spans="1:8" x14ac:dyDescent="0.25">
      <c r="A30" s="156">
        <f t="shared" si="0"/>
        <v>100</v>
      </c>
      <c r="B30" s="154"/>
      <c r="C30" s="63" t="str">
        <f>IF(C25="Non",C22,"définir la formule")</f>
        <v>définir la formule</v>
      </c>
    </row>
    <row r="31" spans="1:8" ht="15.75" thickBot="1" x14ac:dyDescent="0.3"/>
    <row r="32" spans="1:8" ht="15.75" thickBot="1" x14ac:dyDescent="0.3">
      <c r="A32" s="170" t="s">
        <v>19</v>
      </c>
      <c r="B32" s="171"/>
      <c r="C32" s="171"/>
      <c r="D32" s="171"/>
      <c r="E32" s="171"/>
      <c r="F32" s="171"/>
      <c r="G32" s="171"/>
      <c r="H32" s="172"/>
    </row>
    <row r="33" spans="1:8" ht="15.75" thickBot="1" x14ac:dyDescent="0.3">
      <c r="A33" s="18"/>
      <c r="B33" s="13"/>
      <c r="C33" s="13"/>
      <c r="D33" s="13"/>
      <c r="E33" s="13"/>
      <c r="F33" s="13"/>
      <c r="G33" s="13"/>
      <c r="H33" s="14"/>
    </row>
    <row r="34" spans="1:8" ht="15.75" thickBot="1" x14ac:dyDescent="0.3"/>
    <row r="35" spans="1:8" ht="15.75" thickBot="1" x14ac:dyDescent="0.3">
      <c r="A35" s="173" t="s">
        <v>26</v>
      </c>
      <c r="B35" s="174"/>
      <c r="C35" s="174"/>
      <c r="D35" s="174"/>
      <c r="E35" s="174"/>
      <c r="F35" s="174"/>
      <c r="G35" s="174"/>
      <c r="H35" s="175"/>
    </row>
    <row r="36" spans="1:8" x14ac:dyDescent="0.25">
      <c r="A36" s="176" t="s">
        <v>110</v>
      </c>
      <c r="B36" s="177"/>
      <c r="C36" s="36" t="str">
        <f>IF(AND(C28="conforme",C29="conforme",H28="conforme",H29="conforme",C30="conforme"),"Conforme","Non Conforme")</f>
        <v>Non Conforme</v>
      </c>
      <c r="D36" s="5" t="s">
        <v>206</v>
      </c>
      <c r="E36" s="37">
        <f>G10</f>
        <v>0</v>
      </c>
      <c r="F36" s="5"/>
      <c r="G36" s="5"/>
      <c r="H36" s="6"/>
    </row>
    <row r="38" spans="1:8" x14ac:dyDescent="0.25">
      <c r="E38" t="s">
        <v>6</v>
      </c>
      <c r="G38" s="12">
        <f ca="1">TODAY()</f>
        <v>45764</v>
      </c>
    </row>
    <row r="39" spans="1:8" x14ac:dyDescent="0.25">
      <c r="A39" s="8"/>
      <c r="E39" t="s">
        <v>133</v>
      </c>
      <c r="G39" s="148" t="e">
        <f>LEFT(NomUtilisateur(),FIND(" [",NomUtilisateur())-1)</f>
        <v>#VALUE!</v>
      </c>
    </row>
    <row r="40" spans="1:8" x14ac:dyDescent="0.25">
      <c r="A40" s="1"/>
      <c r="B40" s="1"/>
      <c r="C40" s="47"/>
      <c r="E40" s="90"/>
    </row>
    <row r="41" spans="1:8" x14ac:dyDescent="0.25">
      <c r="A41" s="1"/>
      <c r="B41" s="1"/>
      <c r="C41" s="62"/>
    </row>
    <row r="42" spans="1:8" x14ac:dyDescent="0.25">
      <c r="A42" s="1"/>
      <c r="B42" s="1"/>
      <c r="C42" s="62"/>
    </row>
  </sheetData>
  <mergeCells count="15">
    <mergeCell ref="A26:H26"/>
    <mergeCell ref="A32:H32"/>
    <mergeCell ref="A35:H35"/>
    <mergeCell ref="A36:B36"/>
    <mergeCell ref="A12:H12"/>
    <mergeCell ref="E14:F14"/>
    <mergeCell ref="B16:C16"/>
    <mergeCell ref="E16:F16"/>
    <mergeCell ref="A18:H18"/>
    <mergeCell ref="E10:F10"/>
    <mergeCell ref="A1:H1"/>
    <mergeCell ref="A2:H2"/>
    <mergeCell ref="A4:H4"/>
    <mergeCell ref="E6:F6"/>
    <mergeCell ref="E8:F8"/>
  </mergeCells>
  <conditionalFormatting sqref="C36">
    <cfRule type="cellIs" dxfId="151" priority="10" operator="equal">
      <formula>"Non conforme"</formula>
    </cfRule>
    <cfRule type="cellIs" dxfId="150" priority="11" operator="equal">
      <formula>"conforme"</formula>
    </cfRule>
  </conditionalFormatting>
  <conditionalFormatting sqref="I24:XFD25 A26:XFD30">
    <cfRule type="expression" dxfId="149" priority="3">
      <formula>$C$24="non"</formula>
    </cfRule>
  </conditionalFormatting>
  <conditionalFormatting sqref="G20:G21 G28:G30 B28:B30 B20:B22">
    <cfRule type="containsBlanks" dxfId="148" priority="66">
      <formula>LEN(TRIM(B20))=0</formula>
    </cfRule>
    <cfRule type="cellIs" dxfId="147" priority="67" operator="greaterThan">
      <formula>$G$16</formula>
    </cfRule>
  </conditionalFormatting>
  <conditionalFormatting sqref="H20:H22 H28:H30 C28:C30 C20:C22 F30:G30 F22:G22">
    <cfRule type="beginsWith" dxfId="146" priority="2" operator="beginsWith" text="Conforme">
      <formula>LEFT(C20,LEN("Conforme"))="Conforme"</formula>
    </cfRule>
  </conditionalFormatting>
  <conditionalFormatting sqref="H20:H22 H28:H30 C28:C30 C20:C22 F30:G30 F22:G22">
    <cfRule type="cellIs" dxfId="145" priority="1" operator="equal">
      <formula>"Non conforme"</formula>
    </cfRule>
  </conditionalFormatting>
  <dataValidations count="3">
    <dataValidation type="decimal" allowBlank="1" showInputMessage="1" showErrorMessage="1" errorTitle="Valeur hors tolérence" error="La valeur doit être comprise entre 15°C et 35°C" prompt="Saisir la temprérature de la pièce._x000a_Elle doit être comprise entre 15 et 30°C" sqref="B14" xr:uid="{613DCF70-339B-45E2-83ED-2ED59C7050B7}">
      <formula1>15</formula1>
      <formula2>35</formula2>
    </dataValidation>
    <dataValidation type="decimal" allowBlank="1" showInputMessage="1" showErrorMessage="1" errorTitle="Valeur hors tolérence" error="La valeur doit être comprise entre 25% et 75%" prompt="Saisir l'hydrométrie de la pièce._x000a_Elle doit être comprise entre 25 et 75%" sqref="G14" xr:uid="{F25E5C5D-0A2B-4793-831F-F9363286E539}">
      <formula1>25</formula1>
      <formula2>75</formula2>
    </dataValidation>
    <dataValidation type="whole" allowBlank="1" showInputMessage="1" showErrorMessage="1" sqref="B6" xr:uid="{469C94AA-F1F6-4EFC-B6C0-794DAEBD4A11}">
      <formula1>0</formula1>
      <formula2>100000000000000000</formula2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5537" r:id="rId3" name="Button 1">
              <controlPr defaultSize="0" print="0" autoFill="0" autoPict="0" macro="[0]!Nouveau_barre">
                <anchor moveWithCells="1" sizeWithCells="1">
                  <from>
                    <xdr:col>5</xdr:col>
                    <xdr:colOff>76200</xdr:colOff>
                    <xdr:row>40</xdr:row>
                    <xdr:rowOff>19050</xdr:rowOff>
                  </from>
                  <to>
                    <xdr:col>8</xdr:col>
                    <xdr:colOff>28575</xdr:colOff>
                    <xdr:row>41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538" r:id="rId4" name="Button 2">
              <controlPr defaultSize="0" print="0" autoFill="0" autoPict="0" macro="[0]!Acceuil_barre">
                <anchor moveWithCells="1" sizeWithCells="1">
                  <from>
                    <xdr:col>0</xdr:col>
                    <xdr:colOff>85725</xdr:colOff>
                    <xdr:row>40</xdr:row>
                    <xdr:rowOff>57150</xdr:rowOff>
                  </from>
                  <to>
                    <xdr:col>2</xdr:col>
                    <xdr:colOff>28575</xdr:colOff>
                    <xdr:row>41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510F05B-3790-4CCA-B2B8-AB42D8790F91}">
          <x14:formula1>
            <xm:f>'Base de donnée'!$X:$X</xm:f>
          </x14:formula1>
          <xm:sqref>G6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57619-C5EB-4EF4-8699-7181AC2EB9FA}">
  <sheetPr codeName="Feuil14">
    <tabColor theme="9"/>
  </sheetPr>
  <dimension ref="A1:N53"/>
  <sheetViews>
    <sheetView zoomScaleNormal="100" workbookViewId="0">
      <selection activeCell="G6" sqref="G6"/>
    </sheetView>
  </sheetViews>
  <sheetFormatPr baseColWidth="10" defaultRowHeight="15" x14ac:dyDescent="0.25"/>
  <cols>
    <col min="1" max="1" width="20" customWidth="1"/>
    <col min="3" max="3" width="14.85546875" customWidth="1"/>
    <col min="4" max="4" width="15.28515625" customWidth="1"/>
    <col min="5" max="5" width="9.140625" customWidth="1"/>
    <col min="7" max="7" width="11.5703125" customWidth="1"/>
    <col min="8" max="8" width="12" customWidth="1"/>
    <col min="11" max="11" width="19.42578125" hidden="1" customWidth="1"/>
  </cols>
  <sheetData>
    <row r="1" spans="1:14" ht="28.5" x14ac:dyDescent="0.25">
      <c r="A1" s="160" t="s">
        <v>0</v>
      </c>
      <c r="B1" s="161"/>
      <c r="C1" s="161"/>
      <c r="D1" s="161"/>
      <c r="E1" s="161"/>
      <c r="F1" s="161"/>
      <c r="G1" s="161"/>
      <c r="H1" s="162"/>
    </row>
    <row r="2" spans="1:14" ht="19.5" thickBot="1" x14ac:dyDescent="0.3">
      <c r="A2" s="130" t="str">
        <f ca="1">IF(OR(ISBLANK(G6),ISBLANK(G6)),"",TEXT(G42,"AAAA-MM-JJ")&amp;"-"&amp;G6)</f>
        <v>2025-04-17-SIG-PIE-BMS-0201-16</v>
      </c>
      <c r="B2" s="131"/>
      <c r="C2" s="131"/>
      <c r="D2" s="131"/>
      <c r="E2" s="131"/>
      <c r="F2" s="131"/>
      <c r="G2" s="131"/>
      <c r="H2" s="132"/>
    </row>
    <row r="3" spans="1:14" ht="15.75" thickBot="1" x14ac:dyDescent="0.3"/>
    <row r="4" spans="1:14" ht="15.75" thickBot="1" x14ac:dyDescent="0.3">
      <c r="A4" s="166" t="s">
        <v>1</v>
      </c>
      <c r="B4" s="167"/>
      <c r="C4" s="167"/>
      <c r="D4" s="167"/>
      <c r="E4" s="167"/>
      <c r="F4" s="167"/>
      <c r="G4" s="167"/>
      <c r="H4" s="168"/>
    </row>
    <row r="6" spans="1:14" x14ac:dyDescent="0.25">
      <c r="A6" s="19" t="s">
        <v>216</v>
      </c>
      <c r="B6" s="120"/>
      <c r="C6" s="39"/>
      <c r="D6" s="21"/>
      <c r="E6" s="158" t="s">
        <v>5</v>
      </c>
      <c r="F6" s="159"/>
      <c r="G6" s="147" t="s">
        <v>172</v>
      </c>
      <c r="H6" s="20"/>
    </row>
    <row r="7" spans="1:14" x14ac:dyDescent="0.25">
      <c r="A7" s="21"/>
      <c r="B7" s="21"/>
      <c r="C7" s="21"/>
      <c r="D7" s="21"/>
      <c r="E7" s="21"/>
      <c r="F7" s="21"/>
      <c r="G7" s="21"/>
      <c r="H7" s="21"/>
    </row>
    <row r="8" spans="1:14" x14ac:dyDescent="0.25">
      <c r="A8" s="19" t="s">
        <v>2</v>
      </c>
      <c r="B8" s="38" t="s">
        <v>165</v>
      </c>
      <c r="C8" s="39"/>
      <c r="D8" s="21"/>
      <c r="E8" s="158" t="s">
        <v>190</v>
      </c>
      <c r="F8" s="159"/>
      <c r="G8" s="38" t="s">
        <v>219</v>
      </c>
      <c r="H8" s="20"/>
    </row>
    <row r="9" spans="1:14" x14ac:dyDescent="0.25">
      <c r="A9" s="119"/>
      <c r="B9" s="119"/>
      <c r="C9" s="119"/>
      <c r="D9" s="21"/>
      <c r="E9" s="96"/>
      <c r="F9" s="96"/>
      <c r="G9" s="96"/>
      <c r="H9" s="96"/>
    </row>
    <row r="10" spans="1:14" x14ac:dyDescent="0.25">
      <c r="A10" s="19" t="s">
        <v>220</v>
      </c>
      <c r="B10" s="38">
        <f>VLOOKUP($G6,Tab_Base_pieuvre[],3,0)</f>
        <v>16</v>
      </c>
      <c r="C10" s="39"/>
      <c r="D10" s="21"/>
      <c r="E10" s="96"/>
      <c r="F10" s="96"/>
      <c r="G10" s="96"/>
      <c r="H10" s="96"/>
    </row>
    <row r="11" spans="1:14" ht="15.75" thickBot="1" x14ac:dyDescent="0.3">
      <c r="A11" s="21"/>
      <c r="B11" s="21"/>
      <c r="C11" s="21"/>
      <c r="D11" s="21"/>
      <c r="E11" s="21"/>
      <c r="F11" s="21"/>
      <c r="G11" s="21"/>
      <c r="H11" s="21"/>
    </row>
    <row r="12" spans="1:14" ht="15.75" thickBot="1" x14ac:dyDescent="0.3">
      <c r="A12" s="166" t="s">
        <v>17</v>
      </c>
      <c r="B12" s="167"/>
      <c r="C12" s="167"/>
      <c r="D12" s="167"/>
      <c r="E12" s="167"/>
      <c r="F12" s="167"/>
      <c r="G12" s="167"/>
      <c r="H12" s="168"/>
    </row>
    <row r="13" spans="1:14" x14ac:dyDescent="0.25">
      <c r="A13" s="21"/>
      <c r="B13" s="21"/>
      <c r="C13" s="21"/>
      <c r="D13" s="21"/>
      <c r="E13" s="21"/>
      <c r="F13" s="21"/>
      <c r="G13" s="21"/>
      <c r="H13" s="21"/>
    </row>
    <row r="14" spans="1:14" x14ac:dyDescent="0.25">
      <c r="A14" s="68"/>
      <c r="B14" s="98">
        <v>30</v>
      </c>
      <c r="C14" s="99"/>
      <c r="D14" s="21"/>
      <c r="E14" s="169" t="s">
        <v>9</v>
      </c>
      <c r="F14" s="158"/>
      <c r="G14" s="104"/>
      <c r="H14" s="105"/>
    </row>
    <row r="15" spans="1:14" x14ac:dyDescent="0.25">
      <c r="A15" s="21"/>
      <c r="B15" s="21"/>
      <c r="C15" s="21"/>
      <c r="D15" s="21"/>
      <c r="E15" s="2"/>
      <c r="F15" s="2"/>
      <c r="G15" s="2"/>
      <c r="H15" s="2"/>
      <c r="N15" s="2"/>
    </row>
    <row r="16" spans="1:14" x14ac:dyDescent="0.25">
      <c r="A16" s="3" t="s">
        <v>24</v>
      </c>
      <c r="B16" s="187" t="s">
        <v>200</v>
      </c>
      <c r="C16" s="188"/>
      <c r="D16" s="21"/>
      <c r="E16" s="158" t="s">
        <v>193</v>
      </c>
      <c r="F16" s="159"/>
      <c r="G16" s="89"/>
      <c r="H16" s="121"/>
      <c r="N16" s="1"/>
    </row>
    <row r="17" spans="1:14" x14ac:dyDescent="0.25">
      <c r="N17" s="1"/>
    </row>
    <row r="18" spans="1:14" x14ac:dyDescent="0.25">
      <c r="A18" s="3" t="s">
        <v>180</v>
      </c>
      <c r="B18" s="199">
        <v>0.5</v>
      </c>
      <c r="C18" s="200"/>
      <c r="E18" s="158" t="s">
        <v>221</v>
      </c>
      <c r="F18" s="180"/>
      <c r="G18" s="127" t="str">
        <f>IF(ISBLANK(G16),"",B18*(1-VLOOKUP(G16,ohmetre[],2,0)))</f>
        <v/>
      </c>
      <c r="H18" s="128"/>
      <c r="N18" s="1"/>
    </row>
    <row r="19" spans="1:14" x14ac:dyDescent="0.25">
      <c r="N19" s="1"/>
    </row>
    <row r="20" spans="1:14" x14ac:dyDescent="0.25">
      <c r="A20" s="126">
        <v>2</v>
      </c>
      <c r="B20" s="124"/>
      <c r="C20" s="126">
        <v>3</v>
      </c>
      <c r="D20" s="124"/>
      <c r="E20" s="126">
        <v>4</v>
      </c>
      <c r="F20" s="125"/>
      <c r="G20" s="126">
        <v>5</v>
      </c>
      <c r="H20" s="124"/>
      <c r="N20" s="1"/>
    </row>
    <row r="21" spans="1:14" x14ac:dyDescent="0.25">
      <c r="A21" s="126">
        <v>6</v>
      </c>
      <c r="B21" s="124"/>
      <c r="C21" s="126">
        <v>7</v>
      </c>
      <c r="D21" s="69"/>
      <c r="E21" s="126">
        <v>8</v>
      </c>
      <c r="F21" s="124"/>
      <c r="G21" s="126">
        <v>9</v>
      </c>
      <c r="H21" s="124"/>
      <c r="J21" s="8"/>
      <c r="N21" s="1"/>
    </row>
    <row r="22" spans="1:14" x14ac:dyDescent="0.25">
      <c r="A22" s="126">
        <v>10</v>
      </c>
      <c r="B22" s="69"/>
      <c r="C22" s="126">
        <v>11</v>
      </c>
      <c r="D22" s="124"/>
      <c r="E22" s="126">
        <v>12</v>
      </c>
      <c r="F22" s="124"/>
      <c r="G22" s="126">
        <v>13</v>
      </c>
      <c r="H22" s="69"/>
      <c r="L22" s="157"/>
      <c r="N22" s="1"/>
    </row>
    <row r="23" spans="1:14" x14ac:dyDescent="0.25">
      <c r="A23" s="126">
        <v>14</v>
      </c>
      <c r="B23" s="124"/>
      <c r="C23" s="126">
        <v>15</v>
      </c>
      <c r="D23" s="69"/>
      <c r="E23" s="126">
        <v>16</v>
      </c>
      <c r="F23" s="124"/>
      <c r="G23" s="126">
        <v>17</v>
      </c>
      <c r="H23" s="124"/>
      <c r="N23" s="1"/>
    </row>
    <row r="24" spans="1:14" x14ac:dyDescent="0.25">
      <c r="A24" s="126">
        <v>18</v>
      </c>
      <c r="B24" s="124"/>
      <c r="C24" s="126">
        <v>19</v>
      </c>
      <c r="D24" s="69"/>
      <c r="E24" s="126">
        <v>20</v>
      </c>
      <c r="F24" s="124"/>
      <c r="G24" s="126">
        <v>21</v>
      </c>
      <c r="H24" s="124"/>
      <c r="N24" s="1"/>
    </row>
    <row r="25" spans="1:14" x14ac:dyDescent="0.25">
      <c r="A25" s="126">
        <v>22</v>
      </c>
      <c r="B25" s="69"/>
      <c r="C25" s="126">
        <v>23</v>
      </c>
      <c r="D25" s="124"/>
      <c r="E25" s="126">
        <v>24</v>
      </c>
      <c r="F25" s="124"/>
      <c r="G25" s="126">
        <v>25</v>
      </c>
      <c r="H25" s="124"/>
      <c r="N25" s="1"/>
    </row>
    <row r="26" spans="1:14" x14ac:dyDescent="0.25">
      <c r="A26" s="126">
        <v>26</v>
      </c>
      <c r="B26" s="124"/>
      <c r="C26" s="126">
        <v>27</v>
      </c>
      <c r="D26" s="124"/>
      <c r="E26" s="126">
        <f>C26+1</f>
        <v>28</v>
      </c>
      <c r="F26" s="124"/>
      <c r="G26" s="126">
        <v>29</v>
      </c>
      <c r="H26" s="124"/>
      <c r="N26" s="1"/>
    </row>
    <row r="27" spans="1:14" x14ac:dyDescent="0.25">
      <c r="A27" s="126">
        <v>30</v>
      </c>
      <c r="B27" s="124"/>
      <c r="C27" s="126">
        <v>31</v>
      </c>
      <c r="D27" s="124"/>
      <c r="E27" s="126">
        <v>32</v>
      </c>
      <c r="F27" s="124"/>
      <c r="N27" s="1"/>
    </row>
    <row r="28" spans="1:14" ht="15.75" thickBot="1" x14ac:dyDescent="0.3">
      <c r="N28" s="1"/>
    </row>
    <row r="29" spans="1:14" ht="15.75" thickBot="1" x14ac:dyDescent="0.3">
      <c r="A29" s="181" t="s">
        <v>20</v>
      </c>
      <c r="B29" s="182"/>
      <c r="C29" s="182"/>
      <c r="D29" s="182"/>
      <c r="E29" s="182"/>
      <c r="F29" s="182"/>
      <c r="G29" s="182"/>
      <c r="H29" s="183"/>
      <c r="N29" s="1"/>
    </row>
    <row r="30" spans="1:14" x14ac:dyDescent="0.25">
      <c r="N30" s="1"/>
    </row>
    <row r="31" spans="1:14" x14ac:dyDescent="0.25">
      <c r="A31" s="198" t="s">
        <v>204</v>
      </c>
      <c r="B31" s="198"/>
      <c r="C31" s="198"/>
      <c r="D31" s="169" t="s">
        <v>223</v>
      </c>
      <c r="E31" s="169"/>
      <c r="F31" s="169"/>
      <c r="G31" s="169" t="s">
        <v>15</v>
      </c>
      <c r="H31" s="169"/>
      <c r="K31" s="157">
        <f>32-(COUNTBLANK(B20:B27)+COUNTBLANK(D20:D27)+COUNTBLANK(F20:F27)+COUNTBLANK(H20:H26))</f>
        <v>1</v>
      </c>
      <c r="N31" s="1"/>
    </row>
    <row r="32" spans="1:14" x14ac:dyDescent="0.25">
      <c r="A32" s="146">
        <f>IF(ISBLANK(G6),"",B10)</f>
        <v>16</v>
      </c>
      <c r="B32" s="122"/>
      <c r="C32" s="123"/>
      <c r="D32" s="122">
        <f>IF(ISBLANK(G6),"",IF(K31=1,0,K31))</f>
        <v>0</v>
      </c>
      <c r="E32" s="122"/>
      <c r="F32" s="123"/>
      <c r="G32" s="197" t="e">
        <f>IF(OR(A32=D32,"NC"),"CONFORME","NON CONFORME")</f>
        <v>#VALUE!</v>
      </c>
      <c r="H32" s="197"/>
      <c r="N32" s="1"/>
    </row>
    <row r="33" spans="1:14" x14ac:dyDescent="0.25">
      <c r="N33" s="1"/>
    </row>
    <row r="34" spans="1:14" x14ac:dyDescent="0.25">
      <c r="A34" s="201" t="s">
        <v>222</v>
      </c>
      <c r="B34" s="201"/>
      <c r="C34" s="201"/>
      <c r="D34" s="202" t="str">
        <f>IF(L32=0,"",MAX(B20:B27,D20:D27,F20:F27,H20:H26))</f>
        <v/>
      </c>
      <c r="E34" s="201"/>
      <c r="F34" s="201"/>
      <c r="G34" s="197" t="str">
        <f>IF(OR(D34&lt;=G18,"NC"),"CONFORME","NON CONFORME")</f>
        <v>CONFORME</v>
      </c>
      <c r="H34" s="197"/>
      <c r="K34" s="15"/>
      <c r="N34" s="1"/>
    </row>
    <row r="35" spans="1:14" ht="15.75" thickBot="1" x14ac:dyDescent="0.3">
      <c r="N35" s="1"/>
    </row>
    <row r="36" spans="1:14" ht="15.75" thickBot="1" x14ac:dyDescent="0.3">
      <c r="A36" s="170" t="s">
        <v>19</v>
      </c>
      <c r="B36" s="171"/>
      <c r="C36" s="171"/>
      <c r="D36" s="171"/>
      <c r="E36" s="171"/>
      <c r="F36" s="171"/>
      <c r="G36" s="171"/>
      <c r="H36" s="172"/>
      <c r="N36" s="1"/>
    </row>
    <row r="37" spans="1:14" ht="15.75" thickBot="1" x14ac:dyDescent="0.3">
      <c r="A37" s="18" t="s">
        <v>272</v>
      </c>
      <c r="B37" s="13"/>
      <c r="C37" s="13"/>
      <c r="D37" s="13"/>
      <c r="E37" s="13"/>
      <c r="F37" s="13"/>
      <c r="G37" s="13"/>
      <c r="H37" s="14"/>
      <c r="N37" s="1"/>
    </row>
    <row r="38" spans="1:14" ht="15.75" thickBot="1" x14ac:dyDescent="0.3">
      <c r="N38" s="1"/>
    </row>
    <row r="39" spans="1:14" ht="15.75" thickBot="1" x14ac:dyDescent="0.3">
      <c r="A39" s="173" t="s">
        <v>26</v>
      </c>
      <c r="B39" s="174"/>
      <c r="C39" s="174"/>
      <c r="D39" s="174"/>
      <c r="E39" s="174"/>
      <c r="F39" s="174"/>
      <c r="G39" s="174"/>
      <c r="H39" s="175"/>
      <c r="N39" s="1"/>
    </row>
    <row r="40" spans="1:14" x14ac:dyDescent="0.25">
      <c r="A40" s="176" t="s">
        <v>110</v>
      </c>
      <c r="B40" s="177"/>
      <c r="C40" s="36" t="e">
        <f>IF(AND(G32="conforme",G34="conforme"),"Conforme","Non Conforme")</f>
        <v>#VALUE!</v>
      </c>
      <c r="D40" s="5" t="s">
        <v>206</v>
      </c>
      <c r="E40" s="37" t="str">
        <f>G8</f>
        <v>A définir</v>
      </c>
      <c r="F40" s="5"/>
      <c r="G40" s="5"/>
      <c r="H40" s="6"/>
      <c r="N40" s="1"/>
    </row>
    <row r="41" spans="1:14" x14ac:dyDescent="0.25">
      <c r="N41" s="1"/>
    </row>
    <row r="42" spans="1:14" x14ac:dyDescent="0.25">
      <c r="E42" t="s">
        <v>6</v>
      </c>
      <c r="G42" s="12">
        <f ca="1">TODAY()</f>
        <v>45764</v>
      </c>
      <c r="N42" s="1"/>
    </row>
    <row r="43" spans="1:14" x14ac:dyDescent="0.25">
      <c r="A43" s="8"/>
      <c r="E43" t="s">
        <v>133</v>
      </c>
      <c r="G43" s="148" t="e">
        <f>LEFT(NomUtilisateur(),FIND(" [",NomUtilisateur())-1)</f>
        <v>#VALUE!</v>
      </c>
      <c r="N43" s="1"/>
    </row>
    <row r="44" spans="1:14" x14ac:dyDescent="0.25">
      <c r="N44" s="1"/>
    </row>
    <row r="45" spans="1:14" x14ac:dyDescent="0.25">
      <c r="N45" s="1"/>
    </row>
    <row r="46" spans="1:14" x14ac:dyDescent="0.25">
      <c r="N46" s="1"/>
    </row>
    <row r="47" spans="1:14" x14ac:dyDescent="0.25">
      <c r="N47" s="1"/>
    </row>
    <row r="48" spans="1:14" x14ac:dyDescent="0.25">
      <c r="N48" s="1"/>
    </row>
    <row r="49" spans="14:14" x14ac:dyDescent="0.25">
      <c r="N49" s="1"/>
    </row>
    <row r="50" spans="14:14" x14ac:dyDescent="0.25">
      <c r="N50" s="1"/>
    </row>
    <row r="51" spans="14:14" x14ac:dyDescent="0.25">
      <c r="N51" s="1"/>
    </row>
    <row r="52" spans="14:14" x14ac:dyDescent="0.25">
      <c r="N52" s="1"/>
    </row>
    <row r="53" spans="14:14" x14ac:dyDescent="0.25">
      <c r="N53" s="1"/>
    </row>
  </sheetData>
  <mergeCells count="21">
    <mergeCell ref="E18:F18"/>
    <mergeCell ref="A36:H36"/>
    <mergeCell ref="A39:H39"/>
    <mergeCell ref="A34:C34"/>
    <mergeCell ref="D34:F34"/>
    <mergeCell ref="A40:B40"/>
    <mergeCell ref="G34:H34"/>
    <mergeCell ref="A12:H12"/>
    <mergeCell ref="A1:H1"/>
    <mergeCell ref="A4:H4"/>
    <mergeCell ref="E6:F6"/>
    <mergeCell ref="E8:F8"/>
    <mergeCell ref="E14:F14"/>
    <mergeCell ref="B16:C16"/>
    <mergeCell ref="E16:F16"/>
    <mergeCell ref="A29:H29"/>
    <mergeCell ref="G31:H31"/>
    <mergeCell ref="G32:H32"/>
    <mergeCell ref="D31:F31"/>
    <mergeCell ref="A31:C31"/>
    <mergeCell ref="B18:C18"/>
  </mergeCells>
  <phoneticPr fontId="3" type="noConversion"/>
  <conditionalFormatting sqref="C40">
    <cfRule type="cellIs" dxfId="144" priority="62" operator="equal">
      <formula>"Non conforme"</formula>
    </cfRule>
    <cfRule type="cellIs" dxfId="143" priority="63" operator="equal">
      <formula>"conforme"</formula>
    </cfRule>
  </conditionalFormatting>
  <conditionalFormatting sqref="G32">
    <cfRule type="containsText" dxfId="142" priority="57" operator="containsText" text="Non conforme">
      <formula>NOT(ISERROR(SEARCH("Non conforme",G32)))</formula>
    </cfRule>
    <cfRule type="beginsWith" dxfId="141" priority="58" operator="beginsWith" text="Conforme">
      <formula>LEFT(G32,LEN("Conforme"))="Conforme"</formula>
    </cfRule>
  </conditionalFormatting>
  <conditionalFormatting sqref="G32">
    <cfRule type="containsText" dxfId="140" priority="59" operator="containsText" text="Non">
      <formula>NOT(ISERROR(SEARCH("Non",G32)))</formula>
    </cfRule>
    <cfRule type="containsText" dxfId="139" priority="60" operator="containsText" text="OUI">
      <formula>NOT(ISERROR(SEARCH("OUI",G32)))</formula>
    </cfRule>
  </conditionalFormatting>
  <conditionalFormatting sqref="G34">
    <cfRule type="containsText" dxfId="138" priority="53" operator="containsText" text="Non conforme">
      <formula>NOT(ISERROR(SEARCH("Non conforme",G34)))</formula>
    </cfRule>
    <cfRule type="beginsWith" dxfId="137" priority="54" operator="beginsWith" text="Conforme">
      <formula>LEFT(G34,LEN("Conforme"))="Conforme"</formula>
    </cfRule>
  </conditionalFormatting>
  <conditionalFormatting sqref="G34">
    <cfRule type="containsText" dxfId="136" priority="55" operator="containsText" text="Non">
      <formula>NOT(ISERROR(SEARCH("Non",G34)))</formula>
    </cfRule>
    <cfRule type="containsText" dxfId="135" priority="56" operator="containsText" text="OUI">
      <formula>NOT(ISERROR(SEARCH("OUI",G34)))</formula>
    </cfRule>
  </conditionalFormatting>
  <conditionalFormatting sqref="H20:H26 F20:F27 D20:D27 B20:B27">
    <cfRule type="containsBlanks" dxfId="134" priority="3">
      <formula>LEN(TRIM(B20))=0</formula>
    </cfRule>
    <cfRule type="cellIs" dxfId="133" priority="4" operator="greaterThan">
      <formula>$G$18</formula>
    </cfRule>
  </conditionalFormatting>
  <conditionalFormatting sqref="A20:A27 C20:C27 E20:E27 G20:G26">
    <cfRule type="cellIs" dxfId="132" priority="2" operator="greaterThan">
      <formula>$B$10</formula>
    </cfRule>
    <cfRule type="cellIs" dxfId="131" priority="5" operator="lessThanOrEqual">
      <formula>$C$10</formula>
    </cfRule>
  </conditionalFormatting>
  <conditionalFormatting sqref="D20:D27">
    <cfRule type="expression" dxfId="130" priority="1">
      <formula>"C20&gt;$B$10"""</formula>
    </cfRule>
  </conditionalFormatting>
  <dataValidations count="5">
    <dataValidation type="list" allowBlank="1" showInputMessage="1" showErrorMessage="1" sqref="G6" xr:uid="{7A591324-C254-43D7-99AA-195B488BD238}">
      <formula1>INDIRECT("Tab_Base_pieuvre[N°identification Pieuvre]")</formula1>
    </dataValidation>
    <dataValidation type="whole" allowBlank="1" showInputMessage="1" showErrorMessage="1" sqref="B6" xr:uid="{47B39ABE-3462-434D-8B14-8E0F0C1616F4}">
      <formula1>0</formula1>
      <formula2>100000000000000000</formula2>
    </dataValidation>
    <dataValidation type="decimal" allowBlank="1" showInputMessage="1" showErrorMessage="1" errorTitle="Valeur hors tolérence" error="La valeur doit être comprise entre 15°C et 35°C" prompt="Saisir la temprérature de la pièce._x000a_Elle doit être comprise entre 15 et 30°C" sqref="B14" xr:uid="{18B11506-8F2C-4865-B802-4A56D5A3F0A5}">
      <formula1>15</formula1>
      <formula2>35</formula2>
    </dataValidation>
    <dataValidation type="decimal" allowBlank="1" showInputMessage="1" showErrorMessage="1" errorTitle="Valeur hors tolérence" error="La valeur doit être comprise entre 25% et 75%" prompt="Saisir l'hydrométrie de la pièce._x000a_Elle doit être comprise entre 25 et 75%" sqref="G14" xr:uid="{7AE34531-EC89-4DE8-89F0-8B97843A2DB5}">
      <formula1>25</formula1>
      <formula2>75</formula2>
    </dataValidation>
    <dataValidation type="list" allowBlank="1" showInputMessage="1" showErrorMessage="1" sqref="G16" xr:uid="{20E8A3E4-0724-4CB7-B860-E1901005DAE4}">
      <formula1>INDIRECT("Ohmetre[Numéro identification Ohmetre]")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4273" r:id="rId4" name="Button 1">
              <controlPr defaultSize="0" print="0" autoFill="0" autoPict="0" macro="[0]!acceuil_pieuvre">
                <anchor moveWithCells="1" sizeWithCells="1">
                  <from>
                    <xdr:col>0</xdr:col>
                    <xdr:colOff>133350</xdr:colOff>
                    <xdr:row>43</xdr:row>
                    <xdr:rowOff>171450</xdr:rowOff>
                  </from>
                  <to>
                    <xdr:col>2</xdr:col>
                    <xdr:colOff>323850</xdr:colOff>
                    <xdr:row>45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4274" r:id="rId5" name="Button 2">
              <controlPr defaultSize="0" print="0" autoFill="0" autoPict="0" macro="[0]!Nouveau_PIEUVRE">
                <anchor moveWithCells="1" sizeWithCells="1">
                  <from>
                    <xdr:col>6</xdr:col>
                    <xdr:colOff>304800</xdr:colOff>
                    <xdr:row>44</xdr:row>
                    <xdr:rowOff>9525</xdr:rowOff>
                  </from>
                  <to>
                    <xdr:col>7</xdr:col>
                    <xdr:colOff>790575</xdr:colOff>
                    <xdr:row>45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B70C84-E8EE-432C-AF07-9FB0A5D1A891}">
  <sheetPr codeName="Feuil15">
    <tabColor theme="9"/>
  </sheetPr>
  <dimension ref="A1"/>
  <sheetViews>
    <sheetView zoomScale="55" zoomScaleNormal="55" workbookViewId="0">
      <selection activeCell="M47" sqref="M47"/>
    </sheetView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F5F1B-F48A-4716-A3AA-3B6C73F154C8}">
  <sheetPr codeName="Feuil6">
    <tabColor theme="9"/>
  </sheetPr>
  <dimension ref="A1:AN78"/>
  <sheetViews>
    <sheetView topLeftCell="G1" zoomScale="85" zoomScaleNormal="85" workbookViewId="0">
      <selection activeCell="M47" sqref="M47"/>
    </sheetView>
  </sheetViews>
  <sheetFormatPr baseColWidth="10" defaultRowHeight="15" x14ac:dyDescent="0.25"/>
  <cols>
    <col min="1" max="1" width="11.85546875" bestFit="1" customWidth="1"/>
    <col min="2" max="2" width="23.7109375" bestFit="1" customWidth="1"/>
    <col min="3" max="3" width="16.140625" bestFit="1" customWidth="1"/>
    <col min="4" max="4" width="9.85546875" bestFit="1" customWidth="1"/>
    <col min="6" max="6" width="21.42578125" customWidth="1"/>
    <col min="7" max="7" width="54.140625" bestFit="1" customWidth="1"/>
    <col min="8" max="8" width="17.140625" bestFit="1" customWidth="1"/>
    <col min="9" max="9" width="29.42578125" bestFit="1" customWidth="1"/>
    <col min="11" max="11" width="25" bestFit="1" customWidth="1"/>
    <col min="12" max="12" width="10.42578125" bestFit="1" customWidth="1"/>
    <col min="13" max="13" width="10.85546875" bestFit="1" customWidth="1"/>
    <col min="14" max="14" width="12.42578125" bestFit="1" customWidth="1"/>
    <col min="16" max="16" width="10.42578125" bestFit="1" customWidth="1"/>
    <col min="17" max="17" width="11.85546875" bestFit="1" customWidth="1"/>
    <col min="18" max="18" width="10.42578125" bestFit="1" customWidth="1"/>
    <col min="19" max="19" width="10.7109375" bestFit="1" customWidth="1"/>
    <col min="20" max="20" width="23.5703125" bestFit="1" customWidth="1"/>
    <col min="40" max="40" width="23" customWidth="1"/>
  </cols>
  <sheetData>
    <row r="1" spans="1:40" s="7" customFormat="1" ht="45" x14ac:dyDescent="0.25">
      <c r="A1" t="s">
        <v>183</v>
      </c>
      <c r="B1" t="s">
        <v>28</v>
      </c>
      <c r="C1" t="s">
        <v>7</v>
      </c>
      <c r="D1" t="s">
        <v>29</v>
      </c>
      <c r="E1" t="s">
        <v>130</v>
      </c>
      <c r="F1" t="s">
        <v>2</v>
      </c>
      <c r="G1" t="s">
        <v>224</v>
      </c>
      <c r="H1" t="s">
        <v>4</v>
      </c>
      <c r="I1" t="s">
        <v>8</v>
      </c>
      <c r="J1" t="s">
        <v>131</v>
      </c>
      <c r="K1" t="s">
        <v>24</v>
      </c>
      <c r="L1" t="s">
        <v>225</v>
      </c>
      <c r="M1" t="s">
        <v>226</v>
      </c>
      <c r="N1" t="s">
        <v>227</v>
      </c>
      <c r="O1" t="s">
        <v>228</v>
      </c>
      <c r="P1" t="s">
        <v>229</v>
      </c>
      <c r="Q1" t="s">
        <v>230</v>
      </c>
      <c r="R1" t="s">
        <v>231</v>
      </c>
      <c r="S1" t="s">
        <v>232</v>
      </c>
      <c r="T1" t="s">
        <v>233</v>
      </c>
      <c r="U1" t="s">
        <v>234</v>
      </c>
      <c r="V1" t="s">
        <v>235</v>
      </c>
      <c r="W1" t="s">
        <v>236</v>
      </c>
      <c r="X1" t="s">
        <v>237</v>
      </c>
      <c r="Y1" t="s">
        <v>238</v>
      </c>
      <c r="Z1" t="s">
        <v>239</v>
      </c>
      <c r="AA1" t="s">
        <v>240</v>
      </c>
      <c r="AB1" t="s">
        <v>241</v>
      </c>
      <c r="AC1" t="s">
        <v>242</v>
      </c>
      <c r="AD1" t="s">
        <v>243</v>
      </c>
      <c r="AE1" t="s">
        <v>244</v>
      </c>
      <c r="AF1" t="s">
        <v>245</v>
      </c>
      <c r="AG1" t="s">
        <v>246</v>
      </c>
      <c r="AH1" t="s">
        <v>247</v>
      </c>
      <c r="AI1" t="s">
        <v>248</v>
      </c>
      <c r="AJ1" t="s">
        <v>251</v>
      </c>
      <c r="AK1" s="134" t="s">
        <v>252</v>
      </c>
      <c r="AL1" s="134" t="s">
        <v>253</v>
      </c>
      <c r="AM1" t="s">
        <v>15</v>
      </c>
      <c r="AN1" t="s">
        <v>250</v>
      </c>
    </row>
    <row r="2" spans="1:40" x14ac:dyDescent="0.25">
      <c r="A2" s="1" t="s">
        <v>215</v>
      </c>
      <c r="B2" t="s">
        <v>326</v>
      </c>
      <c r="C2" s="1" t="s">
        <v>118</v>
      </c>
      <c r="D2" s="1" t="s">
        <v>327</v>
      </c>
      <c r="E2">
        <v>2</v>
      </c>
      <c r="F2" t="s">
        <v>205</v>
      </c>
      <c r="G2" t="s">
        <v>197</v>
      </c>
      <c r="H2" t="s">
        <v>199</v>
      </c>
      <c r="I2" s="1" t="s">
        <v>196</v>
      </c>
      <c r="J2" s="135">
        <v>0.3</v>
      </c>
      <c r="K2" t="s">
        <v>191</v>
      </c>
      <c r="L2" t="s">
        <v>164</v>
      </c>
      <c r="M2" t="s">
        <v>159</v>
      </c>
      <c r="N2" s="136">
        <v>1</v>
      </c>
      <c r="O2">
        <v>10</v>
      </c>
      <c r="P2">
        <v>10</v>
      </c>
      <c r="Q2" s="136">
        <v>1</v>
      </c>
      <c r="R2">
        <v>10</v>
      </c>
      <c r="S2">
        <v>10</v>
      </c>
      <c r="T2" s="136">
        <v>1</v>
      </c>
      <c r="U2">
        <v>10</v>
      </c>
      <c r="V2">
        <v>10</v>
      </c>
      <c r="AK2" s="134"/>
      <c r="AL2" s="134"/>
      <c r="AM2" t="s">
        <v>134</v>
      </c>
      <c r="AN2" t="s">
        <v>325</v>
      </c>
    </row>
    <row r="3" spans="1:40" x14ac:dyDescent="0.25">
      <c r="A3" s="1" t="s">
        <v>215</v>
      </c>
      <c r="B3" t="s">
        <v>257</v>
      </c>
      <c r="C3" s="1" t="s">
        <v>116</v>
      </c>
      <c r="D3" s="1" t="s">
        <v>249</v>
      </c>
      <c r="E3">
        <v>2</v>
      </c>
      <c r="F3" t="s">
        <v>205</v>
      </c>
      <c r="G3" t="s">
        <v>197</v>
      </c>
      <c r="H3" t="s">
        <v>199</v>
      </c>
      <c r="I3" s="1" t="s">
        <v>195</v>
      </c>
      <c r="J3" s="135">
        <v>0.3</v>
      </c>
      <c r="K3" t="s">
        <v>191</v>
      </c>
      <c r="L3" t="s">
        <v>160</v>
      </c>
      <c r="M3" t="s">
        <v>160</v>
      </c>
      <c r="N3" s="136">
        <v>4.1666666666666664E-2</v>
      </c>
      <c r="O3" t="s">
        <v>259</v>
      </c>
      <c r="P3">
        <v>10</v>
      </c>
      <c r="Q3" s="136">
        <v>4.1666666666666664E-2</v>
      </c>
      <c r="R3" t="s">
        <v>259</v>
      </c>
      <c r="S3">
        <v>10</v>
      </c>
      <c r="T3" s="136">
        <v>4.1666666666666664E-2</v>
      </c>
      <c r="U3" t="s">
        <v>259</v>
      </c>
      <c r="V3">
        <v>10</v>
      </c>
      <c r="AK3" s="134"/>
      <c r="AL3" s="134"/>
      <c r="AM3" t="s">
        <v>214</v>
      </c>
      <c r="AN3">
        <v>2</v>
      </c>
    </row>
    <row r="4" spans="1:40" x14ac:dyDescent="0.25">
      <c r="A4" s="1" t="s">
        <v>215</v>
      </c>
      <c r="B4" t="s">
        <v>257</v>
      </c>
      <c r="C4" s="1" t="s">
        <v>116</v>
      </c>
      <c r="D4" s="1" t="s">
        <v>249</v>
      </c>
      <c r="E4">
        <v>2</v>
      </c>
      <c r="F4" t="s">
        <v>205</v>
      </c>
      <c r="G4" t="s">
        <v>197</v>
      </c>
      <c r="H4" t="s">
        <v>199</v>
      </c>
      <c r="I4" s="1" t="s">
        <v>195</v>
      </c>
      <c r="J4" s="135">
        <v>0.3</v>
      </c>
      <c r="K4" t="s">
        <v>191</v>
      </c>
      <c r="L4" t="s">
        <v>160</v>
      </c>
      <c r="M4" t="s">
        <v>160</v>
      </c>
      <c r="N4" s="136">
        <v>4.1666666666666664E-2</v>
      </c>
      <c r="O4" t="s">
        <v>259</v>
      </c>
      <c r="P4">
        <v>10</v>
      </c>
      <c r="Q4" s="136">
        <v>4.1666666666666664E-2</v>
      </c>
      <c r="R4" t="s">
        <v>259</v>
      </c>
      <c r="S4">
        <v>10</v>
      </c>
      <c r="T4" s="136">
        <v>4.1666666666666664E-2</v>
      </c>
      <c r="U4" t="s">
        <v>259</v>
      </c>
      <c r="V4">
        <v>10</v>
      </c>
      <c r="AK4" s="134"/>
      <c r="AL4" s="134"/>
      <c r="AM4" t="s">
        <v>214</v>
      </c>
      <c r="AN4">
        <v>2</v>
      </c>
    </row>
    <row r="5" spans="1:40" x14ac:dyDescent="0.25">
      <c r="A5" s="1" t="s">
        <v>215</v>
      </c>
      <c r="B5" t="s">
        <v>257</v>
      </c>
      <c r="C5" s="1" t="s">
        <v>116</v>
      </c>
      <c r="D5" s="1" t="s">
        <v>249</v>
      </c>
      <c r="E5">
        <v>2</v>
      </c>
      <c r="F5" t="s">
        <v>205</v>
      </c>
      <c r="G5" t="s">
        <v>197</v>
      </c>
      <c r="H5" t="s">
        <v>199</v>
      </c>
      <c r="I5" s="1" t="s">
        <v>195</v>
      </c>
      <c r="J5" s="135">
        <v>0.3</v>
      </c>
      <c r="K5" t="s">
        <v>191</v>
      </c>
      <c r="L5" t="s">
        <v>160</v>
      </c>
      <c r="M5" t="s">
        <v>160</v>
      </c>
      <c r="N5" s="136">
        <v>4.1666666666666664E-2</v>
      </c>
      <c r="O5" t="s">
        <v>259</v>
      </c>
      <c r="P5">
        <v>10</v>
      </c>
      <c r="Q5" s="136">
        <v>4.1666666666666664E-2</v>
      </c>
      <c r="R5" t="s">
        <v>259</v>
      </c>
      <c r="S5">
        <v>10</v>
      </c>
      <c r="T5" s="136">
        <v>4.1666666666666664E-2</v>
      </c>
      <c r="U5" t="s">
        <v>259</v>
      </c>
      <c r="V5">
        <v>10</v>
      </c>
      <c r="AK5" s="134"/>
      <c r="AL5" s="134"/>
      <c r="AM5" t="s">
        <v>214</v>
      </c>
      <c r="AN5">
        <v>2</v>
      </c>
    </row>
    <row r="6" spans="1:40" x14ac:dyDescent="0.25">
      <c r="A6" s="1" t="s">
        <v>215</v>
      </c>
      <c r="B6" t="s">
        <v>257</v>
      </c>
      <c r="C6" s="1" t="s">
        <v>116</v>
      </c>
      <c r="D6" s="1" t="s">
        <v>249</v>
      </c>
      <c r="E6">
        <v>2</v>
      </c>
      <c r="F6" t="s">
        <v>205</v>
      </c>
      <c r="G6" t="s">
        <v>197</v>
      </c>
      <c r="H6" t="s">
        <v>199</v>
      </c>
      <c r="I6" s="1" t="s">
        <v>195</v>
      </c>
      <c r="J6" s="135">
        <v>0.3</v>
      </c>
      <c r="K6" t="s">
        <v>191</v>
      </c>
      <c r="L6" t="s">
        <v>160</v>
      </c>
      <c r="M6" t="s">
        <v>160</v>
      </c>
      <c r="N6" s="136">
        <v>4.1666666666666664E-2</v>
      </c>
      <c r="O6" t="s">
        <v>259</v>
      </c>
      <c r="P6">
        <v>10</v>
      </c>
      <c r="Q6" s="136">
        <v>4.1666666666666664E-2</v>
      </c>
      <c r="R6" t="s">
        <v>259</v>
      </c>
      <c r="S6">
        <v>10</v>
      </c>
      <c r="T6" s="136">
        <v>4.1666666666666664E-2</v>
      </c>
      <c r="U6" t="s">
        <v>259</v>
      </c>
      <c r="V6">
        <v>10</v>
      </c>
      <c r="AK6" s="134"/>
      <c r="AL6" s="134"/>
      <c r="AN6" t="s">
        <v>260</v>
      </c>
    </row>
    <row r="7" spans="1:40" x14ac:dyDescent="0.25">
      <c r="A7" s="1" t="s">
        <v>258</v>
      </c>
      <c r="B7" t="s">
        <v>257</v>
      </c>
      <c r="C7" s="1" t="s">
        <v>120</v>
      </c>
      <c r="D7" s="1" t="s">
        <v>249</v>
      </c>
      <c r="E7">
        <v>2</v>
      </c>
      <c r="F7" t="s">
        <v>205</v>
      </c>
      <c r="G7" t="s">
        <v>197</v>
      </c>
      <c r="H7" t="s">
        <v>199</v>
      </c>
      <c r="I7" s="1" t="s">
        <v>196</v>
      </c>
      <c r="J7" s="135">
        <v>0.5</v>
      </c>
      <c r="K7" t="s">
        <v>191</v>
      </c>
      <c r="L7" t="s">
        <v>164</v>
      </c>
      <c r="M7" t="s">
        <v>159</v>
      </c>
      <c r="N7" s="136">
        <v>1</v>
      </c>
      <c r="O7">
        <v>0</v>
      </c>
      <c r="P7">
        <v>0</v>
      </c>
      <c r="Q7" s="136">
        <v>1</v>
      </c>
      <c r="R7">
        <v>1</v>
      </c>
      <c r="S7">
        <v>1</v>
      </c>
      <c r="T7" s="136">
        <v>1</v>
      </c>
      <c r="U7">
        <v>1</v>
      </c>
      <c r="V7">
        <v>1</v>
      </c>
      <c r="AK7" s="134"/>
      <c r="AL7" s="134"/>
      <c r="AM7" t="s">
        <v>214</v>
      </c>
      <c r="AN7" t="s">
        <v>254</v>
      </c>
    </row>
    <row r="8" spans="1:40" x14ac:dyDescent="0.25">
      <c r="A8" s="1" t="s">
        <v>215</v>
      </c>
      <c r="B8" t="s">
        <v>257</v>
      </c>
      <c r="C8" s="1" t="s">
        <v>164</v>
      </c>
      <c r="D8" s="1" t="s">
        <v>249</v>
      </c>
      <c r="E8">
        <v>2</v>
      </c>
      <c r="F8" t="s">
        <v>205</v>
      </c>
      <c r="G8" t="s">
        <v>197</v>
      </c>
      <c r="H8" t="s">
        <v>199</v>
      </c>
      <c r="I8" s="1" t="s">
        <v>256</v>
      </c>
      <c r="J8" s="135">
        <v>0.26</v>
      </c>
      <c r="K8" t="s">
        <v>191</v>
      </c>
      <c r="L8" t="s">
        <v>160</v>
      </c>
      <c r="M8" t="s">
        <v>160</v>
      </c>
      <c r="N8" s="136">
        <v>1</v>
      </c>
      <c r="O8">
        <v>1</v>
      </c>
      <c r="P8">
        <v>1</v>
      </c>
      <c r="Q8" s="136">
        <v>1</v>
      </c>
      <c r="R8">
        <v>1</v>
      </c>
      <c r="S8">
        <v>1</v>
      </c>
      <c r="T8" s="136">
        <v>1</v>
      </c>
      <c r="U8">
        <v>1</v>
      </c>
      <c r="V8">
        <v>1</v>
      </c>
      <c r="AK8" s="134"/>
      <c r="AL8" s="134"/>
      <c r="AM8">
        <v>0</v>
      </c>
      <c r="AN8" t="s">
        <v>254</v>
      </c>
    </row>
    <row r="9" spans="1:40" x14ac:dyDescent="0.25">
      <c r="A9" s="1" t="s">
        <v>215</v>
      </c>
      <c r="B9" t="s">
        <v>255</v>
      </c>
      <c r="C9" s="1" t="s">
        <v>164</v>
      </c>
      <c r="D9" s="1" t="s">
        <v>249</v>
      </c>
      <c r="E9">
        <v>1</v>
      </c>
      <c r="F9" t="s">
        <v>170</v>
      </c>
      <c r="G9" t="s">
        <v>197</v>
      </c>
      <c r="H9" t="s">
        <v>199</v>
      </c>
      <c r="I9" s="1" t="s">
        <v>256</v>
      </c>
      <c r="J9" s="135">
        <v>0.26</v>
      </c>
      <c r="K9" t="s">
        <v>191</v>
      </c>
      <c r="L9" t="s">
        <v>160</v>
      </c>
      <c r="M9" t="s">
        <v>160</v>
      </c>
      <c r="N9" s="136">
        <v>1</v>
      </c>
      <c r="O9">
        <v>1</v>
      </c>
      <c r="P9">
        <v>1</v>
      </c>
      <c r="Q9" s="136">
        <v>1</v>
      </c>
      <c r="R9">
        <v>1</v>
      </c>
      <c r="S9">
        <v>1</v>
      </c>
      <c r="T9" s="136">
        <v>1</v>
      </c>
      <c r="U9">
        <v>1</v>
      </c>
      <c r="V9">
        <v>1</v>
      </c>
      <c r="AK9" s="134"/>
      <c r="AL9" s="134"/>
      <c r="AM9" t="s">
        <v>134</v>
      </c>
      <c r="AN9" t="s">
        <v>254</v>
      </c>
    </row>
    <row r="10" spans="1:40" x14ac:dyDescent="0.25">
      <c r="A10" s="1" t="s">
        <v>215</v>
      </c>
      <c r="B10" t="s">
        <v>255</v>
      </c>
      <c r="C10" s="1" t="s">
        <v>164</v>
      </c>
      <c r="D10" s="1" t="s">
        <v>249</v>
      </c>
      <c r="E10">
        <v>1</v>
      </c>
      <c r="F10" t="s">
        <v>170</v>
      </c>
      <c r="G10" t="s">
        <v>197</v>
      </c>
      <c r="H10" t="s">
        <v>199</v>
      </c>
      <c r="I10" s="1" t="s">
        <v>256</v>
      </c>
      <c r="J10" s="135">
        <v>0.26</v>
      </c>
      <c r="K10" t="s">
        <v>191</v>
      </c>
      <c r="L10" t="s">
        <v>160</v>
      </c>
      <c r="M10" t="s">
        <v>160</v>
      </c>
      <c r="N10" s="136">
        <v>1</v>
      </c>
      <c r="O10">
        <v>1</v>
      </c>
      <c r="P10">
        <v>1</v>
      </c>
      <c r="Q10" s="136">
        <v>1</v>
      </c>
      <c r="R10">
        <v>1</v>
      </c>
      <c r="S10">
        <v>1</v>
      </c>
      <c r="T10" s="136">
        <v>1</v>
      </c>
      <c r="U10">
        <v>1</v>
      </c>
      <c r="V10">
        <v>1</v>
      </c>
      <c r="AK10" s="134"/>
      <c r="AL10" s="134"/>
      <c r="AM10" t="s">
        <v>134</v>
      </c>
      <c r="AN10" t="s">
        <v>254</v>
      </c>
    </row>
    <row r="11" spans="1:40" x14ac:dyDescent="0.25">
      <c r="A11" s="1" t="s">
        <v>215</v>
      </c>
      <c r="B11" t="s">
        <v>255</v>
      </c>
      <c r="C11" s="1" t="s">
        <v>164</v>
      </c>
      <c r="D11" s="1" t="s">
        <v>249</v>
      </c>
      <c r="E11">
        <v>1</v>
      </c>
      <c r="F11" t="s">
        <v>170</v>
      </c>
      <c r="G11" t="s">
        <v>197</v>
      </c>
      <c r="H11" t="s">
        <v>199</v>
      </c>
      <c r="I11" s="1" t="s">
        <v>256</v>
      </c>
      <c r="J11" s="135">
        <v>0.26</v>
      </c>
      <c r="K11" t="s">
        <v>191</v>
      </c>
      <c r="L11" t="s">
        <v>160</v>
      </c>
      <c r="M11" t="s">
        <v>160</v>
      </c>
      <c r="N11" s="136">
        <v>1</v>
      </c>
      <c r="O11">
        <v>1</v>
      </c>
      <c r="P11">
        <v>1</v>
      </c>
      <c r="Q11" s="136">
        <v>1</v>
      </c>
      <c r="R11">
        <v>1</v>
      </c>
      <c r="S11">
        <v>1</v>
      </c>
      <c r="T11" s="136">
        <v>1</v>
      </c>
      <c r="U11">
        <v>1</v>
      </c>
      <c r="V11">
        <v>1</v>
      </c>
      <c r="AK11" s="134"/>
      <c r="AL11" s="134"/>
      <c r="AM11" t="s">
        <v>134</v>
      </c>
      <c r="AN11" t="s">
        <v>254</v>
      </c>
    </row>
    <row r="12" spans="1:40" x14ac:dyDescent="0.25">
      <c r="A12" s="1" t="s">
        <v>215</v>
      </c>
      <c r="B12" t="s">
        <v>255</v>
      </c>
      <c r="C12" s="1" t="s">
        <v>164</v>
      </c>
      <c r="D12" s="1" t="s">
        <v>249</v>
      </c>
      <c r="E12">
        <v>1</v>
      </c>
      <c r="F12" t="s">
        <v>170</v>
      </c>
      <c r="G12" t="s">
        <v>197</v>
      </c>
      <c r="H12" t="s">
        <v>199</v>
      </c>
      <c r="I12" s="1" t="s">
        <v>256</v>
      </c>
      <c r="J12" s="135">
        <v>0.26</v>
      </c>
      <c r="K12" t="s">
        <v>191</v>
      </c>
      <c r="L12" t="s">
        <v>160</v>
      </c>
      <c r="M12" t="s">
        <v>160</v>
      </c>
      <c r="N12" s="136">
        <v>1</v>
      </c>
      <c r="O12">
        <v>1</v>
      </c>
      <c r="P12">
        <v>1</v>
      </c>
      <c r="Q12" s="136">
        <v>1</v>
      </c>
      <c r="R12">
        <v>1</v>
      </c>
      <c r="S12">
        <v>1</v>
      </c>
      <c r="T12" s="136">
        <v>1</v>
      </c>
      <c r="U12">
        <v>1</v>
      </c>
      <c r="V12">
        <v>1</v>
      </c>
      <c r="AK12" s="134"/>
      <c r="AL12" s="134"/>
      <c r="AM12" t="s">
        <v>134</v>
      </c>
      <c r="AN12" t="s">
        <v>254</v>
      </c>
    </row>
    <row r="13" spans="1:40" x14ac:dyDescent="0.25">
      <c r="A13" s="1" t="s">
        <v>215</v>
      </c>
      <c r="B13" t="s">
        <v>255</v>
      </c>
      <c r="C13" s="1" t="s">
        <v>164</v>
      </c>
      <c r="D13" s="1" t="s">
        <v>249</v>
      </c>
      <c r="E13">
        <v>1</v>
      </c>
      <c r="F13" t="s">
        <v>170</v>
      </c>
      <c r="G13" t="s">
        <v>197</v>
      </c>
      <c r="H13" t="s">
        <v>199</v>
      </c>
      <c r="I13" s="1" t="s">
        <v>256</v>
      </c>
      <c r="J13" s="135">
        <v>0.26</v>
      </c>
      <c r="K13" t="s">
        <v>191</v>
      </c>
      <c r="L13" t="s">
        <v>160</v>
      </c>
      <c r="M13" t="s">
        <v>160</v>
      </c>
      <c r="N13" s="136">
        <v>1</v>
      </c>
      <c r="O13">
        <v>1</v>
      </c>
      <c r="P13">
        <v>1</v>
      </c>
      <c r="Q13" s="136">
        <v>1</v>
      </c>
      <c r="R13">
        <v>1</v>
      </c>
      <c r="S13">
        <v>1</v>
      </c>
      <c r="T13" s="136">
        <v>1</v>
      </c>
      <c r="U13">
        <v>1</v>
      </c>
      <c r="V13">
        <v>1</v>
      </c>
      <c r="AK13" s="134"/>
      <c r="AL13" s="134"/>
      <c r="AM13" t="s">
        <v>134</v>
      </c>
      <c r="AN13" t="s">
        <v>254</v>
      </c>
    </row>
    <row r="14" spans="1:40" x14ac:dyDescent="0.25">
      <c r="A14" s="1" t="s">
        <v>215</v>
      </c>
      <c r="B14" t="s">
        <v>255</v>
      </c>
      <c r="C14" s="1" t="s">
        <v>164</v>
      </c>
      <c r="D14" s="1" t="s">
        <v>249</v>
      </c>
      <c r="E14">
        <v>1</v>
      </c>
      <c r="F14" t="s">
        <v>170</v>
      </c>
      <c r="G14" t="s">
        <v>197</v>
      </c>
      <c r="H14" t="s">
        <v>199</v>
      </c>
      <c r="I14" s="1" t="s">
        <v>256</v>
      </c>
      <c r="J14" s="135">
        <v>0.26</v>
      </c>
      <c r="K14" t="s">
        <v>191</v>
      </c>
      <c r="L14" t="s">
        <v>160</v>
      </c>
      <c r="M14" t="s">
        <v>160</v>
      </c>
      <c r="N14" s="136">
        <v>1</v>
      </c>
      <c r="O14">
        <v>1</v>
      </c>
      <c r="P14">
        <v>1</v>
      </c>
      <c r="Q14" s="136">
        <v>1</v>
      </c>
      <c r="R14">
        <v>1</v>
      </c>
      <c r="S14">
        <v>1</v>
      </c>
      <c r="T14" s="136">
        <v>1</v>
      </c>
      <c r="U14">
        <v>1</v>
      </c>
      <c r="V14">
        <v>1</v>
      </c>
      <c r="AK14" s="134"/>
      <c r="AL14" s="134"/>
      <c r="AM14" t="s">
        <v>134</v>
      </c>
      <c r="AN14" t="s">
        <v>254</v>
      </c>
    </row>
    <row r="15" spans="1:40" x14ac:dyDescent="0.25">
      <c r="A15" s="1" t="s">
        <v>215</v>
      </c>
      <c r="B15" t="s">
        <v>255</v>
      </c>
      <c r="C15" s="1" t="s">
        <v>164</v>
      </c>
      <c r="D15" s="1" t="s">
        <v>249</v>
      </c>
      <c r="E15">
        <v>1</v>
      </c>
      <c r="F15" t="s">
        <v>170</v>
      </c>
      <c r="G15" t="s">
        <v>197</v>
      </c>
      <c r="H15" t="s">
        <v>199</v>
      </c>
      <c r="I15" s="1" t="s">
        <v>256</v>
      </c>
      <c r="J15" s="135">
        <v>0.26</v>
      </c>
      <c r="K15" t="s">
        <v>191</v>
      </c>
      <c r="L15" t="s">
        <v>160</v>
      </c>
      <c r="M15" t="s">
        <v>160</v>
      </c>
      <c r="N15" s="136">
        <v>1</v>
      </c>
      <c r="O15">
        <v>1</v>
      </c>
      <c r="P15">
        <v>1</v>
      </c>
      <c r="Q15" s="136">
        <v>1</v>
      </c>
      <c r="R15">
        <v>1</v>
      </c>
      <c r="S15">
        <v>1</v>
      </c>
      <c r="T15" s="136">
        <v>1</v>
      </c>
      <c r="U15">
        <v>1</v>
      </c>
      <c r="V15">
        <v>1</v>
      </c>
      <c r="AK15" s="134"/>
      <c r="AL15" s="134"/>
      <c r="AM15" t="s">
        <v>134</v>
      </c>
      <c r="AN15" t="s">
        <v>254</v>
      </c>
    </row>
    <row r="16" spans="1:40" x14ac:dyDescent="0.25">
      <c r="A16" s="1" t="s">
        <v>215</v>
      </c>
      <c r="B16" t="s">
        <v>255</v>
      </c>
      <c r="C16" s="1" t="s">
        <v>164</v>
      </c>
      <c r="D16" s="1" t="s">
        <v>249</v>
      </c>
      <c r="E16">
        <v>1</v>
      </c>
      <c r="F16" t="s">
        <v>170</v>
      </c>
      <c r="G16" t="s">
        <v>197</v>
      </c>
      <c r="H16" t="s">
        <v>199</v>
      </c>
      <c r="I16" s="1" t="s">
        <v>256</v>
      </c>
      <c r="J16" s="135">
        <v>0.26</v>
      </c>
      <c r="K16" t="s">
        <v>191</v>
      </c>
      <c r="L16" t="s">
        <v>160</v>
      </c>
      <c r="M16" t="s">
        <v>160</v>
      </c>
      <c r="N16" s="136">
        <v>1</v>
      </c>
      <c r="O16">
        <v>1</v>
      </c>
      <c r="P16">
        <v>1</v>
      </c>
      <c r="Q16" s="136">
        <v>1</v>
      </c>
      <c r="R16">
        <v>1</v>
      </c>
      <c r="S16">
        <v>1</v>
      </c>
      <c r="T16" s="136">
        <v>1</v>
      </c>
      <c r="U16">
        <v>1</v>
      </c>
      <c r="V16">
        <v>1</v>
      </c>
      <c r="AK16" s="134"/>
      <c r="AL16" s="134"/>
      <c r="AM16" t="s">
        <v>134</v>
      </c>
      <c r="AN16" t="s">
        <v>254</v>
      </c>
    </row>
    <row r="17" spans="1:40" x14ac:dyDescent="0.25">
      <c r="A17" s="1" t="s">
        <v>215</v>
      </c>
      <c r="B17" t="s">
        <v>255</v>
      </c>
      <c r="C17" s="1" t="s">
        <v>164</v>
      </c>
      <c r="D17" s="1" t="s">
        <v>249</v>
      </c>
      <c r="E17">
        <v>1</v>
      </c>
      <c r="F17" t="s">
        <v>170</v>
      </c>
      <c r="G17" t="s">
        <v>197</v>
      </c>
      <c r="H17" t="s">
        <v>199</v>
      </c>
      <c r="I17" s="1" t="s">
        <v>256</v>
      </c>
      <c r="J17" s="135">
        <v>0.26</v>
      </c>
      <c r="K17" t="s">
        <v>191</v>
      </c>
      <c r="L17" t="s">
        <v>160</v>
      </c>
      <c r="M17" t="s">
        <v>160</v>
      </c>
      <c r="N17" s="136">
        <v>1</v>
      </c>
      <c r="O17">
        <v>1</v>
      </c>
      <c r="P17">
        <v>1</v>
      </c>
      <c r="Q17" s="136">
        <v>1</v>
      </c>
      <c r="R17">
        <v>1</v>
      </c>
      <c r="S17">
        <v>1</v>
      </c>
      <c r="T17" s="136">
        <v>1</v>
      </c>
      <c r="U17">
        <v>1</v>
      </c>
      <c r="V17">
        <v>1</v>
      </c>
      <c r="AK17" s="134"/>
      <c r="AL17" s="134"/>
      <c r="AM17" t="s">
        <v>134</v>
      </c>
      <c r="AN17" t="s">
        <v>254</v>
      </c>
    </row>
    <row r="18" spans="1:40" x14ac:dyDescent="0.25">
      <c r="A18" s="1" t="s">
        <v>215</v>
      </c>
      <c r="B18" t="s">
        <v>255</v>
      </c>
      <c r="C18" s="1" t="s">
        <v>164</v>
      </c>
      <c r="D18" s="1" t="s">
        <v>249</v>
      </c>
      <c r="E18">
        <v>1</v>
      </c>
      <c r="F18" t="s">
        <v>170</v>
      </c>
      <c r="G18" t="s">
        <v>197</v>
      </c>
      <c r="H18" t="s">
        <v>199</v>
      </c>
      <c r="I18" s="1" t="s">
        <v>256</v>
      </c>
      <c r="J18" s="135">
        <v>0.26</v>
      </c>
      <c r="K18" t="s">
        <v>191</v>
      </c>
      <c r="L18" t="s">
        <v>160</v>
      </c>
      <c r="M18" t="s">
        <v>160</v>
      </c>
      <c r="N18" s="136">
        <v>1</v>
      </c>
      <c r="O18">
        <v>1</v>
      </c>
      <c r="P18">
        <v>1</v>
      </c>
      <c r="Q18" s="136">
        <v>1</v>
      </c>
      <c r="R18">
        <v>1</v>
      </c>
      <c r="S18">
        <v>1</v>
      </c>
      <c r="T18" s="136">
        <v>1</v>
      </c>
      <c r="U18">
        <v>1</v>
      </c>
      <c r="V18">
        <v>1</v>
      </c>
      <c r="AK18" s="134"/>
      <c r="AL18" s="134"/>
      <c r="AM18" t="s">
        <v>134</v>
      </c>
      <c r="AN18" t="s">
        <v>254</v>
      </c>
    </row>
    <row r="77" spans="7:7" x14ac:dyDescent="0.25">
      <c r="G77" s="134"/>
    </row>
    <row r="78" spans="7:7" x14ac:dyDescent="0.25">
      <c r="G78" s="134"/>
    </row>
  </sheetData>
  <phoneticPr fontId="3" type="noConversion"/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D17A4-6398-4218-AAA3-4AE9D67492E6}">
  <sheetPr codeName="Feuil5"/>
  <dimension ref="A1:T19"/>
  <sheetViews>
    <sheetView topLeftCell="A27" zoomScale="280" zoomScaleNormal="280" workbookViewId="0">
      <selection activeCell="H30" sqref="H30"/>
    </sheetView>
  </sheetViews>
  <sheetFormatPr baseColWidth="10" defaultRowHeight="15" x14ac:dyDescent="0.25"/>
  <cols>
    <col min="1" max="1" width="3" bestFit="1" customWidth="1"/>
    <col min="2" max="6" width="2" bestFit="1" customWidth="1"/>
    <col min="8" max="8" width="3" bestFit="1" customWidth="1"/>
    <col min="9" max="13" width="2" bestFit="1" customWidth="1"/>
    <col min="15" max="15" width="3.7109375" bestFit="1" customWidth="1"/>
    <col min="16" max="20" width="2" bestFit="1" customWidth="1"/>
  </cols>
  <sheetData>
    <row r="1" spans="1:20" x14ac:dyDescent="0.25">
      <c r="B1" t="s">
        <v>200</v>
      </c>
      <c r="I1" t="s">
        <v>207</v>
      </c>
      <c r="O1" s="203" t="s">
        <v>208</v>
      </c>
      <c r="P1" s="203"/>
      <c r="Q1" s="203"/>
      <c r="R1" s="203"/>
      <c r="S1" s="203"/>
      <c r="T1" s="203"/>
    </row>
    <row r="3" spans="1:20" x14ac:dyDescent="0.25">
      <c r="B3" s="63">
        <v>1</v>
      </c>
      <c r="C3" s="63">
        <v>2</v>
      </c>
      <c r="D3" s="63">
        <v>3</v>
      </c>
      <c r="E3" s="63">
        <v>4</v>
      </c>
      <c r="F3" s="63">
        <v>5</v>
      </c>
      <c r="I3" s="63">
        <v>1</v>
      </c>
      <c r="J3" s="63">
        <v>2</v>
      </c>
      <c r="K3" s="63">
        <v>3</v>
      </c>
      <c r="L3" s="63">
        <v>4</v>
      </c>
      <c r="M3" s="63">
        <v>5</v>
      </c>
      <c r="P3" s="63">
        <v>1</v>
      </c>
      <c r="Q3" s="63">
        <v>2</v>
      </c>
      <c r="R3" s="63">
        <v>3</v>
      </c>
      <c r="S3" s="63">
        <v>4</v>
      </c>
      <c r="T3" s="63">
        <v>5</v>
      </c>
    </row>
    <row r="4" spans="1:20" x14ac:dyDescent="0.25">
      <c r="A4" s="63">
        <v>1</v>
      </c>
      <c r="B4" s="63"/>
      <c r="C4" s="63"/>
      <c r="D4" s="63"/>
      <c r="E4" s="63"/>
      <c r="F4" s="63"/>
      <c r="H4" s="63">
        <v>1</v>
      </c>
      <c r="I4" s="63"/>
      <c r="J4" s="63"/>
      <c r="K4" s="63"/>
      <c r="L4" s="63"/>
      <c r="M4" s="63"/>
      <c r="O4" s="63">
        <v>1</v>
      </c>
      <c r="P4" s="63"/>
      <c r="Q4" s="63"/>
      <c r="R4" s="63"/>
      <c r="S4" s="63"/>
      <c r="T4" s="63"/>
    </row>
    <row r="5" spans="1:20" x14ac:dyDescent="0.25">
      <c r="A5" s="63">
        <v>2</v>
      </c>
      <c r="B5" s="63"/>
      <c r="C5" s="63"/>
      <c r="D5" s="63"/>
      <c r="E5" s="63"/>
      <c r="F5" s="63"/>
      <c r="H5" s="63">
        <v>2</v>
      </c>
      <c r="I5" s="63"/>
      <c r="J5" s="63"/>
      <c r="K5" s="63"/>
      <c r="L5" s="63"/>
      <c r="M5" s="63"/>
      <c r="O5" s="63">
        <v>2</v>
      </c>
      <c r="P5" s="63"/>
      <c r="Q5" s="63"/>
      <c r="R5" s="63"/>
      <c r="S5" s="63"/>
      <c r="T5" s="63"/>
    </row>
    <row r="6" spans="1:20" x14ac:dyDescent="0.25">
      <c r="A6" s="63">
        <v>3</v>
      </c>
      <c r="B6" s="63"/>
      <c r="C6" s="63"/>
      <c r="D6" s="63"/>
      <c r="E6" s="63"/>
      <c r="F6" s="63"/>
      <c r="H6" s="63">
        <v>3</v>
      </c>
      <c r="I6" s="63"/>
      <c r="J6" s="63"/>
      <c r="K6" s="63"/>
      <c r="L6" s="63"/>
      <c r="M6" s="63"/>
      <c r="O6" s="63">
        <v>3</v>
      </c>
      <c r="P6" s="63"/>
      <c r="Q6" s="63"/>
      <c r="R6" s="63"/>
      <c r="S6" s="63"/>
      <c r="T6" s="63"/>
    </row>
    <row r="7" spans="1:20" x14ac:dyDescent="0.25">
      <c r="A7" s="63">
        <v>4</v>
      </c>
      <c r="B7" s="63"/>
      <c r="C7" s="63"/>
      <c r="D7" s="63"/>
      <c r="E7" s="63"/>
      <c r="F7" s="63"/>
      <c r="H7" s="63">
        <v>4</v>
      </c>
      <c r="I7" s="63"/>
      <c r="J7" s="63"/>
      <c r="K7" s="63"/>
      <c r="L7" s="63"/>
      <c r="M7" s="63"/>
      <c r="O7" s="63">
        <v>4</v>
      </c>
      <c r="P7" s="63"/>
      <c r="Q7" s="63"/>
      <c r="R7" s="63"/>
      <c r="S7" s="63"/>
      <c r="T7" s="63"/>
    </row>
    <row r="8" spans="1:20" x14ac:dyDescent="0.25">
      <c r="A8" s="63">
        <v>5</v>
      </c>
      <c r="B8" s="63"/>
      <c r="C8" s="63"/>
      <c r="D8" s="63"/>
      <c r="E8" s="63"/>
      <c r="F8" s="63"/>
      <c r="H8" s="63">
        <v>5</v>
      </c>
      <c r="I8" s="63"/>
      <c r="J8" s="63"/>
      <c r="K8" s="63"/>
      <c r="L8" s="63"/>
      <c r="M8" s="63"/>
      <c r="O8" s="63">
        <v>5</v>
      </c>
      <c r="P8" s="63"/>
      <c r="Q8" s="63"/>
      <c r="R8" s="63"/>
      <c r="S8" s="63"/>
      <c r="T8" s="63"/>
    </row>
    <row r="9" spans="1:20" x14ac:dyDescent="0.25">
      <c r="A9" s="63">
        <v>6</v>
      </c>
      <c r="B9" s="63"/>
      <c r="C9" s="63"/>
      <c r="D9" s="63"/>
      <c r="E9" s="63"/>
      <c r="F9" s="63"/>
      <c r="H9" s="63">
        <v>6</v>
      </c>
      <c r="I9" s="63"/>
      <c r="J9" s="63"/>
      <c r="K9" s="63"/>
      <c r="L9" s="63"/>
      <c r="M9" s="63"/>
      <c r="O9" s="63">
        <v>6</v>
      </c>
      <c r="P9" s="63"/>
      <c r="Q9" s="63"/>
      <c r="R9" s="63"/>
      <c r="S9" s="63"/>
      <c r="T9" s="63"/>
    </row>
    <row r="10" spans="1:20" x14ac:dyDescent="0.25">
      <c r="A10" s="63">
        <v>7</v>
      </c>
      <c r="B10" s="63"/>
      <c r="C10" s="63"/>
      <c r="D10" s="63"/>
      <c r="E10" s="63"/>
      <c r="F10" s="63"/>
      <c r="H10" s="63">
        <v>7</v>
      </c>
      <c r="I10" s="63"/>
      <c r="J10" s="63"/>
      <c r="K10" s="63"/>
      <c r="L10" s="63"/>
      <c r="M10" s="63"/>
      <c r="O10" s="63">
        <v>7</v>
      </c>
      <c r="P10" s="63"/>
      <c r="Q10" s="63"/>
      <c r="R10" s="63"/>
      <c r="S10" s="63"/>
      <c r="T10" s="63"/>
    </row>
    <row r="11" spans="1:20" x14ac:dyDescent="0.25">
      <c r="A11" s="63">
        <v>8</v>
      </c>
      <c r="B11" s="63"/>
      <c r="C11" s="63"/>
      <c r="D11" s="63"/>
      <c r="E11" s="63"/>
      <c r="F11" s="63"/>
      <c r="H11" s="63">
        <v>8</v>
      </c>
      <c r="I11" s="63"/>
      <c r="J11" s="63"/>
      <c r="K11" s="63"/>
      <c r="L11" s="63"/>
      <c r="M11" s="63"/>
      <c r="O11" s="63">
        <v>8</v>
      </c>
      <c r="P11" s="63"/>
      <c r="Q11" s="63"/>
      <c r="R11" s="63"/>
      <c r="S11" s="63"/>
      <c r="T11" s="63"/>
    </row>
    <row r="12" spans="1:20" x14ac:dyDescent="0.25">
      <c r="A12" s="63">
        <v>9</v>
      </c>
      <c r="B12" s="63"/>
      <c r="C12" s="63"/>
      <c r="D12" s="63"/>
      <c r="E12" s="63"/>
      <c r="F12" s="63"/>
      <c r="H12" s="63">
        <v>9</v>
      </c>
      <c r="I12" s="63"/>
      <c r="J12" s="63"/>
      <c r="K12" s="63"/>
      <c r="L12" s="63"/>
      <c r="M12" s="63"/>
      <c r="O12" s="63">
        <v>9</v>
      </c>
      <c r="P12" s="63"/>
      <c r="Q12" s="63"/>
      <c r="R12" s="63"/>
      <c r="S12" s="63"/>
      <c r="T12" s="63"/>
    </row>
    <row r="13" spans="1:20" x14ac:dyDescent="0.25">
      <c r="A13" s="63">
        <v>10</v>
      </c>
      <c r="B13" s="63"/>
      <c r="C13" s="63"/>
      <c r="D13" s="63"/>
      <c r="E13" s="63"/>
      <c r="F13" s="63"/>
      <c r="H13" s="63">
        <v>10</v>
      </c>
      <c r="I13" s="63"/>
      <c r="J13" s="63"/>
      <c r="K13" s="63"/>
      <c r="L13" s="63"/>
      <c r="M13" s="63"/>
      <c r="O13" s="63">
        <v>10</v>
      </c>
      <c r="P13" s="63"/>
      <c r="Q13" s="63"/>
      <c r="R13" s="63"/>
      <c r="S13" s="63"/>
      <c r="T13" s="63"/>
    </row>
    <row r="14" spans="1:20" x14ac:dyDescent="0.25">
      <c r="A14" s="63">
        <v>11</v>
      </c>
      <c r="B14" s="63"/>
      <c r="C14" s="63"/>
      <c r="D14" s="63"/>
      <c r="E14" s="63"/>
      <c r="F14" s="63"/>
      <c r="H14" s="63">
        <v>11</v>
      </c>
      <c r="I14" s="63"/>
      <c r="J14" s="63"/>
      <c r="K14" s="63"/>
      <c r="L14" s="63"/>
      <c r="M14" s="63"/>
      <c r="O14" s="63">
        <v>11</v>
      </c>
      <c r="P14" s="63"/>
      <c r="Q14" s="63"/>
      <c r="R14" s="63"/>
      <c r="S14" s="63"/>
      <c r="T14" s="63"/>
    </row>
    <row r="15" spans="1:20" x14ac:dyDescent="0.25">
      <c r="A15" s="63">
        <v>12</v>
      </c>
      <c r="B15" s="63"/>
      <c r="C15" s="63"/>
      <c r="D15" s="63"/>
      <c r="E15" s="63"/>
      <c r="F15" s="63"/>
      <c r="H15" s="63">
        <v>12</v>
      </c>
      <c r="I15" s="63"/>
      <c r="J15" s="63"/>
      <c r="K15" s="63"/>
      <c r="L15" s="63"/>
      <c r="M15" s="63"/>
      <c r="O15" s="63">
        <v>12</v>
      </c>
      <c r="P15" s="63"/>
      <c r="Q15" s="63"/>
      <c r="R15" s="63"/>
      <c r="S15" s="63"/>
      <c r="T15" s="63"/>
    </row>
    <row r="16" spans="1:20" x14ac:dyDescent="0.25">
      <c r="A16" s="63">
        <v>13</v>
      </c>
      <c r="B16" s="63"/>
      <c r="C16" s="63"/>
      <c r="D16" s="63"/>
      <c r="E16" s="63"/>
      <c r="F16" s="63"/>
      <c r="H16" s="63">
        <v>13</v>
      </c>
      <c r="I16" s="63"/>
      <c r="J16" s="63"/>
      <c r="K16" s="63"/>
      <c r="L16" s="63"/>
      <c r="M16" s="63"/>
      <c r="O16" s="63">
        <v>13</v>
      </c>
      <c r="P16" s="63"/>
      <c r="Q16" s="63"/>
      <c r="R16" s="63"/>
      <c r="S16" s="63"/>
      <c r="T16" s="63"/>
    </row>
    <row r="17" spans="1:20" x14ac:dyDescent="0.25">
      <c r="A17" s="63">
        <v>14</v>
      </c>
      <c r="B17" s="63"/>
      <c r="C17" s="63"/>
      <c r="D17" s="63"/>
      <c r="E17" s="63"/>
      <c r="F17" s="63"/>
      <c r="H17" s="63">
        <v>14</v>
      </c>
      <c r="I17" s="63"/>
      <c r="J17" s="63"/>
      <c r="K17" s="63"/>
      <c r="L17" s="63"/>
      <c r="M17" s="63"/>
      <c r="O17" s="63">
        <v>14</v>
      </c>
      <c r="P17" s="63"/>
      <c r="Q17" s="63"/>
      <c r="R17" s="63"/>
      <c r="S17" s="63"/>
      <c r="T17" s="63"/>
    </row>
    <row r="18" spans="1:20" x14ac:dyDescent="0.25">
      <c r="A18" s="63">
        <v>15</v>
      </c>
      <c r="B18" s="34"/>
      <c r="C18" s="34"/>
      <c r="D18" s="34"/>
      <c r="E18" s="34"/>
      <c r="F18" s="63"/>
      <c r="H18" s="63">
        <v>15</v>
      </c>
      <c r="I18" s="34"/>
      <c r="J18" s="34"/>
      <c r="K18" s="34"/>
      <c r="L18" s="34"/>
      <c r="M18" s="63"/>
      <c r="O18" s="63">
        <v>15</v>
      </c>
      <c r="P18" s="34"/>
      <c r="Q18" s="34"/>
      <c r="R18" s="34"/>
      <c r="S18" s="34"/>
      <c r="T18" s="63"/>
    </row>
    <row r="19" spans="1:20" x14ac:dyDescent="0.25">
      <c r="A19" s="63">
        <v>16</v>
      </c>
      <c r="B19" s="34"/>
      <c r="C19" s="34"/>
      <c r="D19" s="34"/>
      <c r="E19" s="34"/>
      <c r="F19" s="63"/>
      <c r="H19" s="63">
        <v>16</v>
      </c>
      <c r="I19" s="34"/>
      <c r="J19" s="34"/>
      <c r="K19" s="34"/>
      <c r="L19" s="34"/>
      <c r="M19" s="63"/>
      <c r="O19" s="63">
        <v>16</v>
      </c>
      <c r="P19" s="34"/>
      <c r="Q19" s="34"/>
      <c r="R19" s="34"/>
      <c r="S19" s="34"/>
      <c r="T19" s="63"/>
    </row>
  </sheetData>
  <mergeCells count="1">
    <mergeCell ref="O1:T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69" r:id="rId3" name="Button 1">
              <controlPr defaultSize="0" print="0" autoFill="0" autoPict="0" macro="[0]!Accueilvalise">
                <anchor moveWithCells="1" sizeWithCells="1">
                  <from>
                    <xdr:col>21</xdr:col>
                    <xdr:colOff>619125</xdr:colOff>
                    <xdr:row>8</xdr:row>
                    <xdr:rowOff>142875</xdr:rowOff>
                  </from>
                  <to>
                    <xdr:col>24</xdr:col>
                    <xdr:colOff>180975</xdr:colOff>
                    <xdr:row>10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AD164-C8B9-441A-BF23-CAB976D05B5B}">
  <sheetPr codeName="Feuil17">
    <tabColor theme="9"/>
  </sheetPr>
  <dimension ref="A1:L42"/>
  <sheetViews>
    <sheetView tabSelected="1" showWhiteSpace="0" zoomScaleNormal="100" workbookViewId="0">
      <pane ySplit="3" topLeftCell="A4" activePane="bottomLeft" state="frozen"/>
      <selection activeCell="M47" sqref="M47"/>
      <selection pane="bottomLeft" activeCell="B26" sqref="B26"/>
    </sheetView>
  </sheetViews>
  <sheetFormatPr baseColWidth="10" defaultRowHeight="15" x14ac:dyDescent="0.25"/>
  <cols>
    <col min="1" max="1" width="13.85546875" customWidth="1"/>
    <col min="2" max="2" width="11.85546875" customWidth="1"/>
    <col min="3" max="3" width="14.85546875" customWidth="1"/>
    <col min="4" max="4" width="15.28515625" customWidth="1"/>
    <col min="5" max="5" width="9.140625" customWidth="1"/>
    <col min="7" max="7" width="11.5703125" customWidth="1"/>
    <col min="8" max="8" width="9.5703125" customWidth="1"/>
    <col min="9" max="9" width="10.28515625" customWidth="1"/>
    <col min="10" max="10" width="1.5703125" customWidth="1"/>
    <col min="12" max="12" width="12.7109375" bestFit="1" customWidth="1"/>
  </cols>
  <sheetData>
    <row r="1" spans="1:10" ht="28.5" x14ac:dyDescent="0.25">
      <c r="A1" s="129"/>
      <c r="B1" s="161" t="s">
        <v>0</v>
      </c>
      <c r="C1" s="161"/>
      <c r="D1" s="161"/>
      <c r="E1" s="161"/>
      <c r="F1" s="161"/>
      <c r="G1" s="161"/>
      <c r="H1" s="162"/>
      <c r="J1" t="s">
        <v>179</v>
      </c>
    </row>
    <row r="2" spans="1:10" ht="19.5" thickBot="1" x14ac:dyDescent="0.3">
      <c r="A2" s="130" t="str">
        <f ca="1">IF(OR(ISBLANK(G6),ISBLANK(G6)),"",TEXT(G36,"AAAA-MM-JJ")&amp;"-"&amp;G6)</f>
        <v>2025-04-17-SIG-SER-BML-1801</v>
      </c>
      <c r="B2" s="131"/>
      <c r="C2" s="131"/>
      <c r="D2" s="131"/>
      <c r="E2" s="131"/>
      <c r="F2" s="131"/>
      <c r="G2" s="131"/>
      <c r="H2" s="132"/>
      <c r="J2" s="25"/>
    </row>
    <row r="3" spans="1:10" ht="15.75" thickBot="1" x14ac:dyDescent="0.3"/>
    <row r="4" spans="1:10" ht="15.75" thickBot="1" x14ac:dyDescent="0.3">
      <c r="A4" s="166" t="s">
        <v>1</v>
      </c>
      <c r="B4" s="167"/>
      <c r="C4" s="167"/>
      <c r="D4" s="167"/>
      <c r="E4" s="167"/>
      <c r="F4" s="167"/>
      <c r="G4" s="167"/>
      <c r="H4" s="168"/>
      <c r="J4" s="203"/>
    </row>
    <row r="5" spans="1:10" x14ac:dyDescent="0.25">
      <c r="J5" s="203"/>
    </row>
    <row r="6" spans="1:10" x14ac:dyDescent="0.25">
      <c r="A6" s="19" t="s">
        <v>216</v>
      </c>
      <c r="B6" s="120"/>
      <c r="C6" s="72"/>
      <c r="D6" s="21"/>
      <c r="E6" s="158" t="s">
        <v>5</v>
      </c>
      <c r="F6" s="159"/>
      <c r="G6" s="75" t="s">
        <v>39</v>
      </c>
      <c r="H6" s="70"/>
      <c r="J6" s="203"/>
    </row>
    <row r="7" spans="1:10" x14ac:dyDescent="0.25">
      <c r="D7" s="21"/>
      <c r="E7" s="21"/>
      <c r="F7" s="21"/>
      <c r="G7" s="21"/>
      <c r="H7" s="21"/>
      <c r="J7" s="203"/>
    </row>
    <row r="8" spans="1:10" x14ac:dyDescent="0.25">
      <c r="A8" s="19" t="s">
        <v>2</v>
      </c>
      <c r="B8" s="73" t="str">
        <f>IF(ISBLANK(G6),"",VLOOKUP(G6,Tab_Base[],2,0))</f>
        <v>Pince</v>
      </c>
      <c r="C8" s="74"/>
      <c r="D8" s="21"/>
      <c r="E8" s="158" t="s">
        <v>18</v>
      </c>
      <c r="F8" s="180"/>
      <c r="G8" s="73" t="str">
        <f>IF(ISBLANK(G6),"",VLOOKUP(G6,Tab_Base[],4,0))</f>
        <v>HT120</v>
      </c>
      <c r="H8" s="20"/>
      <c r="J8" s="203"/>
    </row>
    <row r="9" spans="1:10" x14ac:dyDescent="0.25">
      <c r="A9" s="21"/>
      <c r="B9" s="21"/>
      <c r="C9" s="21"/>
      <c r="D9" s="21"/>
      <c r="E9" s="21"/>
      <c r="F9" s="21"/>
      <c r="G9" s="21"/>
      <c r="H9" s="21"/>
      <c r="J9" s="203"/>
    </row>
    <row r="10" spans="1:10" x14ac:dyDescent="0.25">
      <c r="A10" s="17" t="s">
        <v>3</v>
      </c>
      <c r="B10" s="73" t="str">
        <f>IF(ISBLANK(G6),"",VLOOKUP(G6,Tab_Base[],3,0))</f>
        <v>Cembre</v>
      </c>
      <c r="C10" s="74"/>
      <c r="D10" s="21"/>
      <c r="E10" s="158" t="s">
        <v>137</v>
      </c>
      <c r="F10" s="159"/>
      <c r="G10" s="73" t="str">
        <f>IF(ISBLANK(G6),"",INDEX(Tab_Base[],MATCH(G6,Tab_Base[N°identification],),6))</f>
        <v>NF C 20-130</v>
      </c>
      <c r="H10" s="20"/>
      <c r="J10" s="203"/>
    </row>
    <row r="11" spans="1:10" x14ac:dyDescent="0.25">
      <c r="A11" s="21"/>
      <c r="B11" s="40"/>
      <c r="C11" s="40"/>
      <c r="D11" s="21"/>
      <c r="E11" s="21"/>
      <c r="F11" s="21"/>
      <c r="G11" s="21"/>
      <c r="H11" s="21"/>
      <c r="J11" s="203"/>
    </row>
    <row r="12" spans="1:10" x14ac:dyDescent="0.25">
      <c r="A12" s="17" t="s">
        <v>4</v>
      </c>
      <c r="B12" s="38" t="str">
        <f>IF(ISBLANK(G6),"",VLOOKUP(G6,Tab_Base[],5,0))</f>
        <v>15AM174</v>
      </c>
      <c r="C12" s="39"/>
      <c r="D12" s="21"/>
      <c r="E12" s="158" t="s">
        <v>137</v>
      </c>
      <c r="F12" s="159"/>
      <c r="G12" s="73"/>
      <c r="H12" s="20"/>
      <c r="J12" s="203"/>
    </row>
    <row r="13" spans="1:10" ht="15.75" thickBot="1" x14ac:dyDescent="0.3">
      <c r="A13" s="21"/>
      <c r="B13" s="21"/>
      <c r="C13" s="21"/>
      <c r="D13" s="21"/>
      <c r="E13" s="21"/>
      <c r="F13" s="21"/>
      <c r="G13" s="21"/>
      <c r="H13" s="21"/>
      <c r="J13" s="203"/>
    </row>
    <row r="14" spans="1:10" ht="15.75" thickBot="1" x14ac:dyDescent="0.3">
      <c r="A14" s="166" t="s">
        <v>17</v>
      </c>
      <c r="B14" s="167"/>
      <c r="C14" s="167"/>
      <c r="D14" s="167"/>
      <c r="E14" s="167"/>
      <c r="F14" s="167"/>
      <c r="G14" s="167"/>
      <c r="H14" s="168"/>
      <c r="J14" s="203"/>
    </row>
    <row r="15" spans="1:10" x14ac:dyDescent="0.25">
      <c r="A15" s="21"/>
      <c r="B15" s="21"/>
      <c r="C15" s="21"/>
      <c r="D15" s="21"/>
      <c r="E15" s="21"/>
      <c r="F15" s="21"/>
      <c r="G15" s="21"/>
      <c r="H15" s="21"/>
      <c r="J15" s="203"/>
    </row>
    <row r="16" spans="1:10" x14ac:dyDescent="0.25">
      <c r="A16" s="19" t="s">
        <v>8</v>
      </c>
      <c r="B16" s="98"/>
      <c r="C16" s="41"/>
      <c r="D16" s="21"/>
      <c r="E16" s="169" t="s">
        <v>9</v>
      </c>
      <c r="F16" s="158"/>
      <c r="G16" s="104"/>
      <c r="H16" s="42"/>
      <c r="J16" s="203"/>
    </row>
    <row r="17" spans="1:11" x14ac:dyDescent="0.25">
      <c r="A17" s="21"/>
      <c r="B17" s="21"/>
      <c r="C17" s="21"/>
      <c r="D17" s="21"/>
      <c r="E17" s="2"/>
      <c r="F17" s="2"/>
      <c r="G17" s="2"/>
      <c r="H17" s="2"/>
      <c r="J17" s="204"/>
    </row>
    <row r="18" spans="1:11" x14ac:dyDescent="0.25">
      <c r="A18" s="21"/>
      <c r="B18" s="21"/>
      <c r="C18" s="21"/>
      <c r="D18" s="21"/>
      <c r="E18" s="21"/>
      <c r="F18" s="21"/>
      <c r="G18" s="22" t="s">
        <v>22</v>
      </c>
      <c r="H18" s="22" t="s">
        <v>23</v>
      </c>
      <c r="J18" s="204"/>
    </row>
    <row r="19" spans="1:11" x14ac:dyDescent="0.25">
      <c r="A19" s="17" t="s">
        <v>24</v>
      </c>
      <c r="B19" s="178" t="s">
        <v>25</v>
      </c>
      <c r="C19" s="179"/>
      <c r="D19" s="21"/>
      <c r="E19" s="169" t="s">
        <v>21</v>
      </c>
      <c r="F19" s="169"/>
      <c r="G19" s="76">
        <f>IF(ISBLANK(G6),"",VLOOKUP($G$10,Tab_ConditionsAcces[],6,0))</f>
        <v>15</v>
      </c>
      <c r="H19" s="76">
        <f>IF(ISBLANK(G6),"",VLOOKUP($G$10,Tab_ConditionsAcces[],7,0))</f>
        <v>50</v>
      </c>
      <c r="J19" s="204"/>
    </row>
    <row r="20" spans="1:11" x14ac:dyDescent="0.25">
      <c r="A20" s="21"/>
      <c r="B20" s="21"/>
      <c r="C20" s="21"/>
      <c r="D20" s="21"/>
      <c r="E20" s="21"/>
      <c r="F20" s="21"/>
      <c r="G20" s="21"/>
      <c r="H20" s="21"/>
      <c r="J20" s="204"/>
    </row>
    <row r="21" spans="1:11" x14ac:dyDescent="0.25">
      <c r="A21" s="17" t="s">
        <v>10</v>
      </c>
      <c r="B21" s="17"/>
      <c r="C21" s="205" t="s">
        <v>126</v>
      </c>
      <c r="D21" s="206"/>
      <c r="E21" s="206"/>
      <c r="F21" s="206"/>
      <c r="G21" s="206"/>
      <c r="H21" s="207"/>
      <c r="J21" s="204"/>
    </row>
    <row r="22" spans="1:11" ht="15.75" thickBot="1" x14ac:dyDescent="0.3"/>
    <row r="23" spans="1:11" ht="15.75" thickBot="1" x14ac:dyDescent="0.3">
      <c r="A23" s="181" t="s">
        <v>20</v>
      </c>
      <c r="B23" s="182"/>
      <c r="C23" s="182"/>
      <c r="D23" s="182"/>
      <c r="E23" s="182"/>
      <c r="F23" s="182"/>
      <c r="G23" s="182"/>
      <c r="H23" s="183"/>
    </row>
    <row r="25" spans="1:11" ht="45" x14ac:dyDescent="0.25">
      <c r="A25" s="2"/>
      <c r="B25" s="82" t="s">
        <v>13</v>
      </c>
      <c r="C25" s="71" t="s">
        <v>27</v>
      </c>
      <c r="D25" s="71" t="s">
        <v>11</v>
      </c>
      <c r="E25" s="71" t="s">
        <v>12</v>
      </c>
      <c r="F25" s="71" t="s">
        <v>16</v>
      </c>
      <c r="G25" s="71" t="s">
        <v>14</v>
      </c>
      <c r="H25" s="82" t="s">
        <v>15</v>
      </c>
    </row>
    <row r="26" spans="1:11" ht="22.5" x14ac:dyDescent="0.25">
      <c r="A26" s="19" t="s">
        <v>107</v>
      </c>
      <c r="B26" s="83"/>
      <c r="C26" s="77"/>
      <c r="D26" s="77"/>
      <c r="E26" s="77"/>
      <c r="F26" s="81"/>
      <c r="G26" s="84"/>
      <c r="H26" s="77" t="str">
        <f>IF(AND($C26="conforme",$D26="conforme",$E26="conforme",$F26&lt;=$G26),"Conforme","Non Conforme")</f>
        <v>Non Conforme</v>
      </c>
    </row>
    <row r="27" spans="1:11" ht="22.5" x14ac:dyDescent="0.25">
      <c r="A27" s="19" t="s">
        <v>108</v>
      </c>
      <c r="B27" s="83"/>
      <c r="C27" s="77"/>
      <c r="D27" s="77"/>
      <c r="E27" s="77"/>
      <c r="F27" s="81"/>
      <c r="G27" s="84"/>
      <c r="H27" s="77" t="str">
        <f>IF(AND($C27="conforme",$D27="conforme",$E27="conforme",$F27&lt;=$G27),"Conforme","Non Conforme")</f>
        <v>Non Conforme</v>
      </c>
    </row>
    <row r="28" spans="1:11" ht="22.5" x14ac:dyDescent="0.25">
      <c r="A28" s="19" t="s">
        <v>109</v>
      </c>
      <c r="B28" s="83"/>
      <c r="C28" s="77"/>
      <c r="D28" s="77"/>
      <c r="E28" s="77"/>
      <c r="F28" s="81"/>
      <c r="G28" s="84"/>
      <c r="H28" s="77" t="str">
        <f>IF(AND($C28="conforme",$D28="conforme",$E28="conforme",$F28&lt;=$G28),"Conforme","Non Conforme")</f>
        <v>Non Conforme</v>
      </c>
      <c r="K28" s="15"/>
    </row>
    <row r="29" spans="1:11" ht="15.75" thickBot="1" x14ac:dyDescent="0.3"/>
    <row r="30" spans="1:11" ht="15.75" thickBot="1" x14ac:dyDescent="0.3">
      <c r="A30" s="170" t="s">
        <v>19</v>
      </c>
      <c r="B30" s="171"/>
      <c r="C30" s="171"/>
      <c r="D30" s="171"/>
      <c r="E30" s="171"/>
      <c r="F30" s="171"/>
      <c r="G30" s="171"/>
      <c r="H30" s="172"/>
    </row>
    <row r="31" spans="1:11" ht="31.5" customHeight="1" thickBot="1" x14ac:dyDescent="0.3">
      <c r="A31" s="78"/>
      <c r="B31" s="79"/>
      <c r="C31" s="79"/>
      <c r="D31" s="79"/>
      <c r="E31" s="79"/>
      <c r="F31" s="79"/>
      <c r="G31" s="79"/>
      <c r="H31" s="80"/>
    </row>
    <row r="32" spans="1:11" ht="15.75" thickBot="1" x14ac:dyDescent="0.3"/>
    <row r="33" spans="1:12" ht="15.75" thickBot="1" x14ac:dyDescent="0.3">
      <c r="A33" s="173" t="s">
        <v>26</v>
      </c>
      <c r="B33" s="174"/>
      <c r="C33" s="174"/>
      <c r="D33" s="174"/>
      <c r="E33" s="174"/>
      <c r="F33" s="174"/>
      <c r="G33" s="174"/>
      <c r="H33" s="175"/>
    </row>
    <row r="34" spans="1:12" x14ac:dyDescent="0.25">
      <c r="A34" s="176" t="s">
        <v>110</v>
      </c>
      <c r="B34" s="177"/>
      <c r="C34" s="36" t="str">
        <f>IF(AND($H$26="conforme",$H$27="conforme",$H$28="conforme"),"Conforme","Non Conforme")</f>
        <v>Non Conforme</v>
      </c>
      <c r="D34" s="5" t="s">
        <v>111</v>
      </c>
      <c r="E34" s="37" t="str">
        <f>G10</f>
        <v>NF C 20-130</v>
      </c>
      <c r="F34" s="5"/>
      <c r="G34" s="5"/>
      <c r="H34" s="6"/>
    </row>
    <row r="35" spans="1:12" x14ac:dyDescent="0.25">
      <c r="K35" s="15"/>
    </row>
    <row r="36" spans="1:12" x14ac:dyDescent="0.25">
      <c r="E36" t="s">
        <v>6</v>
      </c>
      <c r="G36" s="12">
        <f ca="1">TODAY()</f>
        <v>45764</v>
      </c>
      <c r="L36" s="148"/>
    </row>
    <row r="37" spans="1:12" ht="17.25" x14ac:dyDescent="0.3">
      <c r="E37" t="s">
        <v>133</v>
      </c>
      <c r="G37" s="148" t="e">
        <f>LEFT(NomUtilisateur(),FIND(" [",NomUtilisateur())-1)</f>
        <v>#VALUE!</v>
      </c>
      <c r="L37" s="149"/>
    </row>
    <row r="42" spans="1:12" x14ac:dyDescent="0.25">
      <c r="K42" s="15"/>
    </row>
  </sheetData>
  <mergeCells count="17">
    <mergeCell ref="A23:H23"/>
    <mergeCell ref="A30:H30"/>
    <mergeCell ref="A33:H33"/>
    <mergeCell ref="A34:B34"/>
    <mergeCell ref="B1:H1"/>
    <mergeCell ref="A4:H4"/>
    <mergeCell ref="E6:F6"/>
    <mergeCell ref="J4:J16"/>
    <mergeCell ref="J17:J21"/>
    <mergeCell ref="E10:F10"/>
    <mergeCell ref="A14:H14"/>
    <mergeCell ref="E16:F16"/>
    <mergeCell ref="B19:C19"/>
    <mergeCell ref="E19:F19"/>
    <mergeCell ref="C21:H21"/>
    <mergeCell ref="E8:F8"/>
    <mergeCell ref="E12:F12"/>
  </mergeCells>
  <conditionalFormatting sqref="C26:E28 H26:H28">
    <cfRule type="containsText" dxfId="121" priority="26" operator="containsText" text="Non conforme">
      <formula>NOT(ISERROR(SEARCH("Non conforme",C26)))</formula>
    </cfRule>
    <cfRule type="beginsWith" dxfId="120" priority="27" operator="beginsWith" text="Conforme">
      <formula>LEFT(C26,LEN("Conforme"))="Conforme"</formula>
    </cfRule>
  </conditionalFormatting>
  <conditionalFormatting sqref="E26:E28 H26:H28">
    <cfRule type="containsText" dxfId="119" priority="28" operator="containsText" text="Non">
      <formula>NOT(ISERROR(SEARCH("Non",E26)))</formula>
    </cfRule>
    <cfRule type="containsText" dxfId="118" priority="29" operator="containsText" text="OUI">
      <formula>NOT(ISERROR(SEARCH("OUI",E26)))</formula>
    </cfRule>
  </conditionalFormatting>
  <conditionalFormatting sqref="D27">
    <cfRule type="containsText" dxfId="117" priority="24" operator="containsText" text="Non">
      <formula>NOT(ISERROR(SEARCH("Non",D27)))</formula>
    </cfRule>
    <cfRule type="containsText" dxfId="116" priority="25" operator="containsText" text="OUI">
      <formula>NOT(ISERROR(SEARCH("OUI",D27)))</formula>
    </cfRule>
  </conditionalFormatting>
  <conditionalFormatting sqref="C34">
    <cfRule type="cellIs" dxfId="115" priority="22" operator="equal">
      <formula>"Non conforme"</formula>
    </cfRule>
    <cfRule type="cellIs" dxfId="114" priority="23" operator="equal">
      <formula>"conforme"</formula>
    </cfRule>
  </conditionalFormatting>
  <dataValidations count="7">
    <dataValidation type="whole" allowBlank="1" showInputMessage="1" showErrorMessage="1" sqref="B6" xr:uid="{DCE8FB8F-B77C-42C7-86BE-47A004D25C24}">
      <formula1>0</formula1>
      <formula2>100000000000000000</formula2>
    </dataValidation>
    <dataValidation allowBlank="1" showInputMessage="1" showErrorMessage="1" prompt="Valeur Automatique_x000a_Ne pas modifer_x000a_Définir selon la norme et la section" sqref="F26:F28" xr:uid="{D5678F03-9481-466E-8544-55A5016F2F8E}"/>
    <dataValidation type="decimal" allowBlank="1" showInputMessage="1" showErrorMessage="1" errorTitle="Valeur hors tolérence" error="La valeur doit être comprise entre 15°C et 35°C" prompt="Saisir la temprérature de la pièce._x000a_Elle doit être comprise entre 15 et 30°C" sqref="B16" xr:uid="{186DA93E-38FD-4E27-A2BF-EB2512D7E8A0}">
      <formula1>15</formula1>
      <formula2>35</formula2>
    </dataValidation>
    <dataValidation type="decimal" allowBlank="1" showInputMessage="1" showErrorMessage="1" errorTitle="Valeur hors tolérence" error="La valeur doit être comprise entre 25% et 75%" prompt="Saisir l'hydrométrie de la pièce._x000a_Elle doit être comprise entre 25 et 75%" sqref="G16" xr:uid="{8E04D182-3840-4E26-9FFD-5388074C21A7}">
      <formula1>25</formula1>
      <formula2>75</formula2>
    </dataValidation>
    <dataValidation type="list" allowBlank="1" showInputMessage="1" showErrorMessage="1" errorTitle="Equipement inexistant" error="L'équipement n'est pas référencé dans la base de donnée. _x000a_Utiliser le formulaire de &quot;Rajouter un équipement3 pour le créer" promptTitle="Choisir l'équipement" prompt="Choisir l'équipement" sqref="G6" xr:uid="{91B5D832-BE25-443E-8A03-41DD32C9D0D3}">
      <formula1>Num_Identification</formula1>
    </dataValidation>
    <dataValidation type="decimal" allowBlank="1" showInputMessage="1" showErrorMessage="1" sqref="G26:G28" xr:uid="{0D01A364-F4F9-4926-93BF-186CAB989286}">
      <formula1>0</formula1>
      <formula2>10000000</formula2>
    </dataValidation>
    <dataValidation type="list" allowBlank="1" showInputMessage="1" showErrorMessage="1" error="Veuillez choisir uniquement dans la liste !" sqref="B26:B28" xr:uid="{498E3B34-C7E7-4C23-AEC2-254E81FBC3DA}">
      <formula1>"1,1.5,2.5,4,6,10,16,25,35,50,70,95"</formula1>
    </dataValidation>
  </dataValidations>
  <pageMargins left="0.59055118110236227" right="0.35433070866141736" top="0.39370078740157483" bottom="0.74803149606299213" header="0.31496062992125984" footer="0.31496062992125984"/>
  <pageSetup paperSize="9" scale="9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02" r:id="rId4" name="Button 2">
              <controlPr defaultSize="0" print="0" autoFill="0" autoPict="0" macro="[0]!Nouveau_traction">
                <anchor moveWithCells="1" sizeWithCells="1">
                  <from>
                    <xdr:col>3</xdr:col>
                    <xdr:colOff>1000125</xdr:colOff>
                    <xdr:row>38</xdr:row>
                    <xdr:rowOff>28575</xdr:rowOff>
                  </from>
                  <to>
                    <xdr:col>7</xdr:col>
                    <xdr:colOff>561975</xdr:colOff>
                    <xdr:row>40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06" r:id="rId5" name="Button 6">
              <controlPr defaultSize="0" print="0" autoFill="0" autoPict="0" macro="[0]!Acceuil_Traction">
                <anchor moveWithCells="1" sizeWithCells="1">
                  <from>
                    <xdr:col>0</xdr:col>
                    <xdr:colOff>238125</xdr:colOff>
                    <xdr:row>38</xdr:row>
                    <xdr:rowOff>0</xdr:rowOff>
                  </from>
                  <to>
                    <xdr:col>1</xdr:col>
                    <xdr:colOff>762000</xdr:colOff>
                    <xdr:row>40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DB409F9-DF79-46CC-8EFB-85C5898F2462}">
          <x14:formula1>
            <xm:f>References!$C$2:$C$3</xm:f>
          </x14:formula1>
          <xm:sqref>C26:E28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81E830-62BF-4994-B2FD-74EF273EC50E}">
  <sheetPr codeName="Feuil8">
    <tabColor theme="9"/>
  </sheetPr>
  <dimension ref="A1:AA6"/>
  <sheetViews>
    <sheetView showWhiteSpace="0" zoomScale="55" zoomScaleNormal="55" workbookViewId="0">
      <pane ySplit="1" topLeftCell="A2" activePane="bottomLeft" state="frozen"/>
      <selection activeCell="M47" sqref="M47"/>
      <selection pane="bottomLeft" activeCell="B2" sqref="B2"/>
    </sheetView>
  </sheetViews>
  <sheetFormatPr baseColWidth="10" defaultRowHeight="15" x14ac:dyDescent="0.25"/>
  <cols>
    <col min="1" max="1" width="37.42578125" bestFit="1" customWidth="1"/>
    <col min="2" max="2" width="27.28515625" customWidth="1"/>
    <col min="3" max="3" width="27.28515625" bestFit="1" customWidth="1"/>
    <col min="4" max="4" width="16" customWidth="1"/>
    <col min="5" max="5" width="13.42578125" customWidth="1"/>
    <col min="6" max="6" width="17.140625" customWidth="1"/>
    <col min="7" max="7" width="27.85546875" customWidth="1"/>
    <col min="8" max="8" width="18.28515625" bestFit="1" customWidth="1"/>
    <col min="9" max="9" width="24.28515625" customWidth="1"/>
    <col min="10" max="10" width="23.5703125" bestFit="1" customWidth="1"/>
    <col min="11" max="11" width="28.140625" bestFit="1" customWidth="1"/>
    <col min="13" max="13" width="15.42578125" bestFit="1" customWidth="1"/>
    <col min="14" max="14" width="17.42578125" bestFit="1" customWidth="1"/>
    <col min="15" max="15" width="21.140625" customWidth="1"/>
    <col min="16" max="16" width="34.7109375" bestFit="1" customWidth="1"/>
    <col min="17" max="17" width="15.42578125" bestFit="1" customWidth="1"/>
    <col min="19" max="19" width="16.85546875" bestFit="1" customWidth="1"/>
    <col min="20" max="23" width="15.42578125" bestFit="1" customWidth="1"/>
    <col min="25" max="25" width="16" bestFit="1" customWidth="1"/>
    <col min="27" max="27" width="32.42578125" customWidth="1"/>
    <col min="28" max="28" width="16.7109375" bestFit="1" customWidth="1"/>
    <col min="30" max="30" width="12.42578125" customWidth="1"/>
  </cols>
  <sheetData>
    <row r="1" spans="1:27" s="54" customFormat="1" ht="75" x14ac:dyDescent="0.25">
      <c r="A1" s="52" t="s">
        <v>183</v>
      </c>
      <c r="B1" s="52" t="s">
        <v>28</v>
      </c>
      <c r="C1" s="52" t="s">
        <v>7</v>
      </c>
      <c r="D1" s="52" t="s">
        <v>29</v>
      </c>
      <c r="E1" s="52" t="s">
        <v>130</v>
      </c>
      <c r="F1" s="52" t="s">
        <v>8</v>
      </c>
      <c r="G1" s="52" t="s">
        <v>131</v>
      </c>
      <c r="H1" s="53" t="s">
        <v>141</v>
      </c>
      <c r="I1" s="53" t="s">
        <v>138</v>
      </c>
      <c r="J1" s="53" t="s">
        <v>139</v>
      </c>
      <c r="K1" s="53" t="s">
        <v>140</v>
      </c>
      <c r="L1" s="53" t="s">
        <v>142</v>
      </c>
      <c r="M1" s="53" t="s">
        <v>143</v>
      </c>
      <c r="N1" s="53" t="s">
        <v>146</v>
      </c>
      <c r="O1" s="53" t="s">
        <v>144</v>
      </c>
      <c r="P1" s="53" t="s">
        <v>147</v>
      </c>
      <c r="Q1" s="53" t="s">
        <v>145</v>
      </c>
      <c r="R1" s="53" t="s">
        <v>148</v>
      </c>
      <c r="S1" s="53" t="s">
        <v>149</v>
      </c>
      <c r="T1" s="53" t="s">
        <v>153</v>
      </c>
      <c r="U1" s="53" t="s">
        <v>150</v>
      </c>
      <c r="V1" s="53" t="s">
        <v>151</v>
      </c>
      <c r="W1" s="53" t="s">
        <v>152</v>
      </c>
      <c r="X1" s="53" t="s">
        <v>154</v>
      </c>
      <c r="Y1" s="53" t="s">
        <v>155</v>
      </c>
      <c r="Z1" s="52" t="s">
        <v>15</v>
      </c>
      <c r="AA1" s="52" t="s">
        <v>250</v>
      </c>
    </row>
    <row r="2" spans="1:27" s="54" customFormat="1" ht="19.5" thickBot="1" x14ac:dyDescent="0.3">
      <c r="A2" s="130" t="s">
        <v>215</v>
      </c>
      <c r="B2" s="130" t="s">
        <v>331</v>
      </c>
      <c r="C2" s="22" t="s">
        <v>119</v>
      </c>
      <c r="D2" s="138" t="s">
        <v>327</v>
      </c>
      <c r="E2" s="139" t="s">
        <v>36</v>
      </c>
      <c r="F2" s="22" t="s">
        <v>196</v>
      </c>
      <c r="G2" s="143">
        <v>0.5</v>
      </c>
      <c r="H2" s="133" t="s">
        <v>337</v>
      </c>
      <c r="I2" s="140" t="s">
        <v>134</v>
      </c>
      <c r="J2" s="140" t="s">
        <v>134</v>
      </c>
      <c r="K2" s="140" t="s">
        <v>134</v>
      </c>
      <c r="L2" s="140" t="s">
        <v>263</v>
      </c>
      <c r="M2" s="140" t="s">
        <v>329</v>
      </c>
      <c r="N2" s="83" t="s">
        <v>337</v>
      </c>
      <c r="O2" s="140" t="s">
        <v>134</v>
      </c>
      <c r="P2" s="140" t="s">
        <v>134</v>
      </c>
      <c r="Q2" s="140" t="s">
        <v>134</v>
      </c>
      <c r="R2" s="140" t="s">
        <v>263</v>
      </c>
      <c r="S2" s="140" t="s">
        <v>329</v>
      </c>
      <c r="T2" s="83" t="s">
        <v>337</v>
      </c>
      <c r="U2" s="140" t="s">
        <v>134</v>
      </c>
      <c r="V2" s="140" t="s">
        <v>134</v>
      </c>
      <c r="W2" s="140" t="s">
        <v>134</v>
      </c>
      <c r="X2" s="140" t="s">
        <v>263</v>
      </c>
      <c r="Y2" s="141" t="s">
        <v>329</v>
      </c>
      <c r="Z2" s="142" t="s">
        <v>134</v>
      </c>
      <c r="AA2" s="22" t="s">
        <v>336</v>
      </c>
    </row>
    <row r="3" spans="1:27" ht="30.75" thickBot="1" x14ac:dyDescent="0.3">
      <c r="A3" s="130" t="s">
        <v>215</v>
      </c>
      <c r="B3" s="130" t="s">
        <v>334</v>
      </c>
      <c r="C3" s="22" t="s">
        <v>117</v>
      </c>
      <c r="D3" s="138" t="s">
        <v>327</v>
      </c>
      <c r="E3" s="139" t="s">
        <v>39</v>
      </c>
      <c r="F3" s="22" t="s">
        <v>335</v>
      </c>
      <c r="G3" s="143">
        <v>0.3</v>
      </c>
      <c r="H3" s="133" t="s">
        <v>264</v>
      </c>
      <c r="I3" s="140" t="s">
        <v>135</v>
      </c>
      <c r="J3" s="140" t="s">
        <v>135</v>
      </c>
      <c r="K3" s="140" t="s">
        <v>135</v>
      </c>
      <c r="L3" s="140" t="s">
        <v>263</v>
      </c>
      <c r="M3" s="140" t="s">
        <v>263</v>
      </c>
      <c r="N3" s="83" t="s">
        <v>262</v>
      </c>
      <c r="O3" s="140" t="s">
        <v>135</v>
      </c>
      <c r="P3" s="140" t="s">
        <v>135</v>
      </c>
      <c r="Q3" s="140" t="s">
        <v>135</v>
      </c>
      <c r="R3" s="140" t="s">
        <v>263</v>
      </c>
      <c r="S3" s="140" t="s">
        <v>263</v>
      </c>
      <c r="T3" s="83" t="s">
        <v>264</v>
      </c>
      <c r="U3" s="140" t="s">
        <v>135</v>
      </c>
      <c r="V3" s="140" t="s">
        <v>135</v>
      </c>
      <c r="W3" s="140" t="s">
        <v>135</v>
      </c>
      <c r="X3" s="140" t="s">
        <v>263</v>
      </c>
      <c r="Y3" s="141" t="s">
        <v>263</v>
      </c>
      <c r="Z3" s="142" t="s">
        <v>214</v>
      </c>
      <c r="AA3" s="22" t="s">
        <v>333</v>
      </c>
    </row>
    <row r="4" spans="1:27" ht="30.75" thickBot="1" x14ac:dyDescent="0.3">
      <c r="A4" s="130" t="s">
        <v>215</v>
      </c>
      <c r="B4" s="130" t="s">
        <v>331</v>
      </c>
      <c r="C4" s="22" t="s">
        <v>117</v>
      </c>
      <c r="D4" s="138" t="s">
        <v>327</v>
      </c>
      <c r="E4" s="139" t="s">
        <v>36</v>
      </c>
      <c r="F4" s="22" t="s">
        <v>196</v>
      </c>
      <c r="G4" s="143">
        <v>0.5</v>
      </c>
      <c r="H4" s="133" t="s">
        <v>332</v>
      </c>
      <c r="I4" s="140" t="s">
        <v>135</v>
      </c>
      <c r="J4" s="140" t="s">
        <v>135</v>
      </c>
      <c r="K4" s="140" t="s">
        <v>135</v>
      </c>
      <c r="L4" s="140" t="s">
        <v>263</v>
      </c>
      <c r="M4" s="140" t="s">
        <v>265</v>
      </c>
      <c r="N4" s="83" t="s">
        <v>332</v>
      </c>
      <c r="O4" s="140" t="s">
        <v>135</v>
      </c>
      <c r="P4" s="140" t="s">
        <v>135</v>
      </c>
      <c r="Q4" s="140" t="s">
        <v>135</v>
      </c>
      <c r="R4" s="140" t="s">
        <v>263</v>
      </c>
      <c r="S4" s="140" t="s">
        <v>265</v>
      </c>
      <c r="T4" s="83" t="s">
        <v>332</v>
      </c>
      <c r="U4" s="140" t="s">
        <v>135</v>
      </c>
      <c r="V4" s="140" t="s">
        <v>135</v>
      </c>
      <c r="W4" s="140" t="s">
        <v>135</v>
      </c>
      <c r="X4" s="140" t="s">
        <v>263</v>
      </c>
      <c r="Y4" s="141" t="s">
        <v>265</v>
      </c>
      <c r="Z4" s="142" t="s">
        <v>214</v>
      </c>
      <c r="AA4" s="22" t="s">
        <v>330</v>
      </c>
    </row>
    <row r="5" spans="1:27" ht="30.75" thickBot="1" x14ac:dyDescent="0.3">
      <c r="A5" s="130" t="s">
        <v>215</v>
      </c>
      <c r="B5" s="130" t="s">
        <v>328</v>
      </c>
      <c r="C5" s="22" t="s">
        <v>118</v>
      </c>
      <c r="D5" s="138" t="s">
        <v>327</v>
      </c>
      <c r="E5" s="139" t="s">
        <v>32</v>
      </c>
      <c r="F5" s="22" t="s">
        <v>196</v>
      </c>
      <c r="G5" s="143">
        <v>0.5</v>
      </c>
      <c r="H5" s="133" t="s">
        <v>262</v>
      </c>
      <c r="I5" s="140" t="s">
        <v>135</v>
      </c>
      <c r="J5" s="140" t="s">
        <v>134</v>
      </c>
      <c r="K5" s="140" t="s">
        <v>135</v>
      </c>
      <c r="L5" s="140" t="s">
        <v>263</v>
      </c>
      <c r="M5" s="140" t="s">
        <v>329</v>
      </c>
      <c r="N5" s="83" t="s">
        <v>262</v>
      </c>
      <c r="O5" s="140" t="s">
        <v>135</v>
      </c>
      <c r="P5" s="140" t="s">
        <v>135</v>
      </c>
      <c r="Q5" s="140" t="s">
        <v>135</v>
      </c>
      <c r="R5" s="140" t="s">
        <v>263</v>
      </c>
      <c r="S5" s="140" t="s">
        <v>329</v>
      </c>
      <c r="T5" s="83" t="s">
        <v>262</v>
      </c>
      <c r="U5" s="140" t="s">
        <v>135</v>
      </c>
      <c r="V5" s="140" t="s">
        <v>135</v>
      </c>
      <c r="W5" s="140" t="s">
        <v>135</v>
      </c>
      <c r="X5" s="140" t="s">
        <v>263</v>
      </c>
      <c r="Y5" s="141" t="s">
        <v>329</v>
      </c>
      <c r="Z5" s="142" t="s">
        <v>214</v>
      </c>
      <c r="AA5" s="22"/>
    </row>
    <row r="6" spans="1:27" ht="30.75" thickBot="1" x14ac:dyDescent="0.3">
      <c r="A6" s="130" t="s">
        <v>215</v>
      </c>
      <c r="B6" s="130" t="s">
        <v>261</v>
      </c>
      <c r="C6" s="22" t="s">
        <v>117</v>
      </c>
      <c r="D6" s="138" t="s">
        <v>249</v>
      </c>
      <c r="E6" s="139" t="s">
        <v>36</v>
      </c>
      <c r="F6" s="22" t="s">
        <v>196</v>
      </c>
      <c r="G6" s="143">
        <v>0.3</v>
      </c>
      <c r="H6" s="133" t="s">
        <v>262</v>
      </c>
      <c r="I6" s="140" t="s">
        <v>135</v>
      </c>
      <c r="J6" s="140" t="s">
        <v>135</v>
      </c>
      <c r="K6" s="140" t="s">
        <v>135</v>
      </c>
      <c r="L6" s="140" t="s">
        <v>263</v>
      </c>
      <c r="M6" s="140" t="s">
        <v>263</v>
      </c>
      <c r="N6" s="83" t="s">
        <v>264</v>
      </c>
      <c r="O6" s="140" t="s">
        <v>135</v>
      </c>
      <c r="P6" s="140" t="s">
        <v>135</v>
      </c>
      <c r="Q6" s="140" t="s">
        <v>135</v>
      </c>
      <c r="R6" s="140" t="s">
        <v>263</v>
      </c>
      <c r="S6" s="140" t="s">
        <v>265</v>
      </c>
      <c r="T6" s="83" t="s">
        <v>266</v>
      </c>
      <c r="U6" s="140" t="s">
        <v>135</v>
      </c>
      <c r="V6" s="140" t="s">
        <v>135</v>
      </c>
      <c r="W6" s="140" t="s">
        <v>135</v>
      </c>
      <c r="X6" s="140" t="s">
        <v>263</v>
      </c>
      <c r="Y6" s="141" t="s">
        <v>263</v>
      </c>
      <c r="Z6" s="142" t="s">
        <v>214</v>
      </c>
      <c r="AA6" s="22"/>
    </row>
  </sheetData>
  <phoneticPr fontId="3" type="noConversion"/>
  <conditionalFormatting sqref="I2:K6">
    <cfRule type="containsText" dxfId="113" priority="13" operator="containsText" text="Non conforme">
      <formula>NOT(ISERROR(SEARCH("Non conforme",I2)))</formula>
    </cfRule>
    <cfRule type="beginsWith" dxfId="112" priority="14" operator="beginsWith" text="Conforme">
      <formula>LEFT(I2,LEN("Conforme"))="Conforme"</formula>
    </cfRule>
  </conditionalFormatting>
  <conditionalFormatting sqref="K2:K6">
    <cfRule type="containsText" dxfId="111" priority="15" operator="containsText" text="Non">
      <formula>NOT(ISERROR(SEARCH("Non",K2)))</formula>
    </cfRule>
    <cfRule type="containsText" dxfId="110" priority="16" operator="containsText" text="OUI">
      <formula>NOT(ISERROR(SEARCH("OUI",K2)))</formula>
    </cfRule>
  </conditionalFormatting>
  <conditionalFormatting sqref="O2:Q6">
    <cfRule type="containsText" dxfId="109" priority="9" operator="containsText" text="Non conforme">
      <formula>NOT(ISERROR(SEARCH("Non conforme",O2)))</formula>
    </cfRule>
    <cfRule type="beginsWith" dxfId="108" priority="10" operator="beginsWith" text="Conforme">
      <formula>LEFT(O2,LEN("Conforme"))="Conforme"</formula>
    </cfRule>
  </conditionalFormatting>
  <conditionalFormatting sqref="Q2:Q6">
    <cfRule type="containsText" dxfId="107" priority="11" operator="containsText" text="Non">
      <formula>NOT(ISERROR(SEARCH("Non",Q2)))</formula>
    </cfRule>
    <cfRule type="containsText" dxfId="106" priority="12" operator="containsText" text="OUI">
      <formula>NOT(ISERROR(SEARCH("OUI",Q2)))</formula>
    </cfRule>
  </conditionalFormatting>
  <conditionalFormatting sqref="P2:P6">
    <cfRule type="containsText" dxfId="105" priority="7" operator="containsText" text="Non">
      <formula>NOT(ISERROR(SEARCH("Non",P2)))</formula>
    </cfRule>
    <cfRule type="containsText" dxfId="104" priority="8" operator="containsText" text="OUI">
      <formula>NOT(ISERROR(SEARCH("OUI",P2)))</formula>
    </cfRule>
  </conditionalFormatting>
  <conditionalFormatting sqref="U2:W6">
    <cfRule type="containsText" dxfId="103" priority="3" operator="containsText" text="Non conforme">
      <formula>NOT(ISERROR(SEARCH("Non conforme",U2)))</formula>
    </cfRule>
    <cfRule type="beginsWith" dxfId="102" priority="4" operator="beginsWith" text="Conforme">
      <formula>LEFT(U2,LEN("Conforme"))="Conforme"</formula>
    </cfRule>
  </conditionalFormatting>
  <conditionalFormatting sqref="W2:W6">
    <cfRule type="containsText" dxfId="101" priority="5" operator="containsText" text="Non">
      <formula>NOT(ISERROR(SEARCH("Non",W2)))</formula>
    </cfRule>
    <cfRule type="containsText" dxfId="100" priority="6" operator="containsText" text="OUI">
      <formula>NOT(ISERROR(SEARCH("OUI",W2)))</formula>
    </cfRule>
  </conditionalFormatting>
  <conditionalFormatting sqref="Z2:Z6">
    <cfRule type="cellIs" dxfId="99" priority="1" operator="equal">
      <formula>"Non conforme"</formula>
    </cfRule>
    <cfRule type="cellIs" dxfId="98" priority="2" operator="equal">
      <formula>"conforme"</formula>
    </cfRule>
  </conditionalFormatting>
  <dataValidations count="7">
    <dataValidation allowBlank="1" showInputMessage="1" showErrorMessage="1" prompt="Valeur Automatique_x000a_Ne pas modifer_x000a_Définir selon la norme et la section" sqref="R2:R6 L2:L6 X2:X6" xr:uid="{E29A3007-6A40-4CD6-A742-15330A40A603}"/>
    <dataValidation type="list" allowBlank="1" showInputMessage="1" showErrorMessage="1" sqref="C2:C6" xr:uid="{A0D01FCD-8484-421E-9EAE-DC5E93B5CBA5}">
      <formula1>Verificateur</formula1>
    </dataValidation>
    <dataValidation type="list" allowBlank="1" showInputMessage="1" showErrorMessage="1" errorTitle="Equipement inexistant" error="L'équipement n'est pas référencé dans la base de donnée. _x000a_Utiliser le formulaire de &quot;Rajouter un équipement3 pour le créer" promptTitle="Choisir l'équipement" prompt="Choisir l'équipement" sqref="E2:E6" xr:uid="{16B65809-BFF0-4335-8C61-BDA3B8A51250}">
      <formula1>Num_Identification</formula1>
    </dataValidation>
    <dataValidation type="decimal" allowBlank="1" showInputMessage="1" showErrorMessage="1" errorTitle="Valeur hors tolérence" error="La valeur doit être comprise entre 15°C et 35°C" prompt="Saisir la temprérature de la pièce._x000a_Elle doit être comprise entre 15 et 30°C" sqref="F2:F6" xr:uid="{6779A7A2-312D-448F-8A81-AA47A26C3E45}">
      <formula1>15</formula1>
      <formula2>35</formula2>
    </dataValidation>
    <dataValidation type="whole" allowBlank="1" showInputMessage="1" showErrorMessage="1" sqref="A2:A6" xr:uid="{DD00022E-F025-4C94-B4CF-07EB6AFD63C8}">
      <formula1>0</formula1>
      <formula2>100000000000000000</formula2>
    </dataValidation>
    <dataValidation type="decimal" allowBlank="1" showInputMessage="1" showErrorMessage="1" errorTitle="Valeur hors tolérence" error="La valeur doit être comprise entre 25% et 75%" prompt="Saisir l'hydrométrie de la pièce._x000a_Elle doit être comprise entre 25 et 75%" sqref="G2:G6" xr:uid="{A4B3A8C9-3107-453B-9A43-B49DA7330E68}">
      <formula1>25</formula1>
      <formula2>75</formula2>
    </dataValidation>
    <dataValidation type="decimal" allowBlank="1" showInputMessage="1" showErrorMessage="1" sqref="M2:M6 S2:S6 Y2:Y6" xr:uid="{EBA608BC-BBBC-4365-A72D-90F56D8581A7}">
      <formula1>0</formula1>
      <formula2>10000000</formula2>
    </dataValidation>
  </dataValidations>
  <pageMargins left="0.51181102362204722" right="0.51181102362204722" top="0.74803149606299213" bottom="0.74803149606299213" header="0.31496062992125984" footer="0.31496062992125984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BAF1B443-E76B-418A-A618-4C6702E48EA5}">
          <x14:formula1>
            <xm:f>References!$C$2:$C$3</xm:f>
          </x14:formula1>
          <xm:sqref>O2:Q6 I2:K6 U2:W6</xm:sqref>
        </x14:dataValidation>
        <x14:dataValidation type="list" allowBlank="1" showInputMessage="1" showErrorMessage="1" error="Veuillez choisir uniquement dans la liste !" xr:uid="{7A86AD32-324A-4855-8D37-D5DAB062A4FC}">
          <x14:formula1>
            <xm:f>References!$I:$I</xm:f>
          </x14:formula1>
          <xm:sqref>H2:H6 N2:N6 T2:T6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FE7572-4A40-4A5D-BE4C-5AAAD8D8B60B}">
  <sheetPr codeName="Feuil11">
    <tabColor theme="9"/>
  </sheetPr>
  <dimension ref="A1:AN9"/>
  <sheetViews>
    <sheetView topLeftCell="K1" zoomScale="85" zoomScaleNormal="85" workbookViewId="0">
      <selection activeCell="M47" sqref="M47"/>
    </sheetView>
  </sheetViews>
  <sheetFormatPr baseColWidth="10" defaultRowHeight="15" x14ac:dyDescent="0.25"/>
  <cols>
    <col min="1" max="1" width="14.42578125" bestFit="1" customWidth="1"/>
    <col min="2" max="2" width="23.7109375" style="2" bestFit="1" customWidth="1"/>
    <col min="3" max="3" width="16.140625" style="2" bestFit="1" customWidth="1"/>
    <col min="4" max="4" width="9.85546875" style="2" bestFit="1" customWidth="1"/>
    <col min="5" max="5" width="27.28515625" style="2" bestFit="1" customWidth="1"/>
    <col min="6" max="6" width="17.140625" style="2" bestFit="1" customWidth="1"/>
    <col min="7" max="7" width="17" style="2" bestFit="1" customWidth="1"/>
    <col min="8" max="38" width="8.7109375" style="2" customWidth="1"/>
    <col min="39" max="39" width="16" style="2" bestFit="1" customWidth="1"/>
    <col min="40" max="40" width="23.140625" customWidth="1"/>
    <col min="41" max="41" width="23.140625" bestFit="1" customWidth="1"/>
    <col min="42" max="47" width="3.7109375" bestFit="1" customWidth="1"/>
    <col min="48" max="74" width="4.7109375" bestFit="1" customWidth="1"/>
  </cols>
  <sheetData>
    <row r="1" spans="1:40" s="55" customFormat="1" x14ac:dyDescent="0.25">
      <c r="A1" s="52" t="s">
        <v>216</v>
      </c>
      <c r="B1" s="52" t="s">
        <v>273</v>
      </c>
      <c r="C1" s="52" t="s">
        <v>274</v>
      </c>
      <c r="D1" s="52" t="s">
        <v>275</v>
      </c>
      <c r="E1" s="52" t="s">
        <v>7</v>
      </c>
      <c r="F1" s="52" t="s">
        <v>220</v>
      </c>
      <c r="G1" s="52" t="s">
        <v>277</v>
      </c>
      <c r="H1" s="2" t="s">
        <v>278</v>
      </c>
      <c r="I1" s="2" t="s">
        <v>279</v>
      </c>
      <c r="J1" s="2" t="s">
        <v>280</v>
      </c>
      <c r="K1" s="2" t="s">
        <v>281</v>
      </c>
      <c r="L1" s="2" t="s">
        <v>282</v>
      </c>
      <c r="M1" s="2" t="s">
        <v>283</v>
      </c>
      <c r="N1" s="2" t="s">
        <v>284</v>
      </c>
      <c r="O1" s="2" t="s">
        <v>285</v>
      </c>
      <c r="P1" s="2" t="s">
        <v>286</v>
      </c>
      <c r="Q1" s="2" t="s">
        <v>287</v>
      </c>
      <c r="R1" s="2" t="s">
        <v>288</v>
      </c>
      <c r="S1" s="2" t="s">
        <v>289</v>
      </c>
      <c r="T1" s="2" t="s">
        <v>290</v>
      </c>
      <c r="U1" s="2" t="s">
        <v>291</v>
      </c>
      <c r="V1" s="2" t="s">
        <v>292</v>
      </c>
      <c r="W1" s="2" t="s">
        <v>293</v>
      </c>
      <c r="X1" s="2" t="s">
        <v>294</v>
      </c>
      <c r="Y1" s="2" t="s">
        <v>295</v>
      </c>
      <c r="Z1" s="2" t="s">
        <v>296</v>
      </c>
      <c r="AA1" s="2" t="s">
        <v>297</v>
      </c>
      <c r="AB1" s="2" t="s">
        <v>298</v>
      </c>
      <c r="AC1" s="2" t="s">
        <v>299</v>
      </c>
      <c r="AD1" s="2" t="s">
        <v>300</v>
      </c>
      <c r="AE1" s="2" t="s">
        <v>301</v>
      </c>
      <c r="AF1" s="2" t="s">
        <v>302</v>
      </c>
      <c r="AG1" s="2" t="s">
        <v>303</v>
      </c>
      <c r="AH1" s="2" t="s">
        <v>304</v>
      </c>
      <c r="AI1" s="2" t="s">
        <v>305</v>
      </c>
      <c r="AJ1" s="2" t="s">
        <v>306</v>
      </c>
      <c r="AK1" s="2" t="s">
        <v>307</v>
      </c>
      <c r="AL1" s="2" t="s">
        <v>276</v>
      </c>
      <c r="AM1" s="52" t="s">
        <v>15</v>
      </c>
      <c r="AN1" s="52" t="s">
        <v>184</v>
      </c>
    </row>
    <row r="2" spans="1:40" x14ac:dyDescent="0.25">
      <c r="A2" s="2" t="s">
        <v>215</v>
      </c>
      <c r="B2" s="2" t="s">
        <v>173</v>
      </c>
      <c r="C2" s="2" t="s">
        <v>271</v>
      </c>
      <c r="D2" s="144">
        <v>0.3</v>
      </c>
      <c r="E2" s="2" t="s">
        <v>371</v>
      </c>
      <c r="F2" s="2">
        <v>32</v>
      </c>
      <c r="H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  <c r="Y2" s="145"/>
      <c r="Z2" s="145"/>
      <c r="AA2" s="145"/>
      <c r="AB2" s="145"/>
      <c r="AC2" s="145"/>
      <c r="AD2" s="145"/>
      <c r="AE2" s="145"/>
      <c r="AF2" s="145"/>
      <c r="AG2" s="145"/>
      <c r="AH2" s="145"/>
      <c r="AI2" s="145"/>
      <c r="AJ2" s="145"/>
      <c r="AK2" s="145"/>
      <c r="AL2" s="2" t="s">
        <v>272</v>
      </c>
      <c r="AM2" s="2" t="s">
        <v>214</v>
      </c>
      <c r="AN2" s="2" t="s">
        <v>178</v>
      </c>
    </row>
    <row r="3" spans="1:40" x14ac:dyDescent="0.25">
      <c r="A3" s="2" t="s">
        <v>215</v>
      </c>
      <c r="B3" s="2" t="s">
        <v>173</v>
      </c>
      <c r="C3" s="2" t="s">
        <v>271</v>
      </c>
      <c r="D3" s="144">
        <v>0.35</v>
      </c>
      <c r="E3" s="2" t="s">
        <v>209</v>
      </c>
      <c r="F3" s="2">
        <v>32</v>
      </c>
      <c r="H3" s="145"/>
      <c r="J3" s="145"/>
      <c r="K3" s="145"/>
      <c r="L3" s="145"/>
      <c r="M3" s="145"/>
      <c r="N3" s="145"/>
      <c r="O3" s="145"/>
      <c r="P3" s="145"/>
      <c r="Q3" s="145"/>
      <c r="R3" s="145"/>
      <c r="S3" s="145"/>
      <c r="T3" s="145"/>
      <c r="U3" s="145"/>
      <c r="V3" s="145"/>
      <c r="W3" s="145"/>
      <c r="X3" s="145"/>
      <c r="Y3" s="145"/>
      <c r="Z3" s="145"/>
      <c r="AA3" s="145"/>
      <c r="AB3" s="145"/>
      <c r="AC3" s="145"/>
      <c r="AD3" s="145"/>
      <c r="AE3" s="145"/>
      <c r="AF3" s="145"/>
      <c r="AG3" s="145"/>
      <c r="AH3" s="145"/>
      <c r="AI3" s="145"/>
      <c r="AJ3" s="145"/>
      <c r="AK3" s="145"/>
      <c r="AL3" s="2" t="s">
        <v>272</v>
      </c>
      <c r="AM3" s="2" t="s">
        <v>214</v>
      </c>
      <c r="AN3" s="2" t="s">
        <v>176</v>
      </c>
    </row>
    <row r="4" spans="1:40" x14ac:dyDescent="0.25">
      <c r="A4" s="2" t="s">
        <v>215</v>
      </c>
      <c r="B4" s="2" t="s">
        <v>173</v>
      </c>
      <c r="C4" s="2" t="s">
        <v>271</v>
      </c>
      <c r="D4" s="144">
        <v>0.5</v>
      </c>
      <c r="E4" s="2" t="s">
        <v>117</v>
      </c>
      <c r="F4" s="2">
        <v>32</v>
      </c>
      <c r="G4" s="2" t="s">
        <v>308</v>
      </c>
      <c r="H4" s="145" t="s">
        <v>309</v>
      </c>
      <c r="I4" s="2">
        <v>45661</v>
      </c>
      <c r="J4" s="145" t="s">
        <v>310</v>
      </c>
      <c r="K4" s="145" t="s">
        <v>311</v>
      </c>
      <c r="L4" s="145">
        <v>7</v>
      </c>
      <c r="M4" s="145">
        <v>45665</v>
      </c>
      <c r="N4" s="145" t="s">
        <v>312</v>
      </c>
      <c r="O4" s="145">
        <v>10</v>
      </c>
      <c r="P4" s="145" t="s">
        <v>313</v>
      </c>
      <c r="Q4" s="145">
        <v>45669</v>
      </c>
      <c r="R4" s="145">
        <v>13</v>
      </c>
      <c r="S4" s="145" t="s">
        <v>314</v>
      </c>
      <c r="T4" s="145">
        <v>15</v>
      </c>
      <c r="U4" s="145">
        <v>45673</v>
      </c>
      <c r="V4" s="145" t="s">
        <v>315</v>
      </c>
      <c r="W4" s="145" t="s">
        <v>316</v>
      </c>
      <c r="X4" s="145">
        <v>19</v>
      </c>
      <c r="Y4" s="145">
        <v>45677</v>
      </c>
      <c r="Z4" s="145" t="s">
        <v>317</v>
      </c>
      <c r="AA4" s="145">
        <v>22</v>
      </c>
      <c r="AB4" s="145" t="s">
        <v>318</v>
      </c>
      <c r="AC4" s="145">
        <v>45681</v>
      </c>
      <c r="AD4" s="145" t="s">
        <v>319</v>
      </c>
      <c r="AE4" s="145" t="s">
        <v>320</v>
      </c>
      <c r="AF4" s="145" t="s">
        <v>321</v>
      </c>
      <c r="AG4" s="145">
        <v>45685</v>
      </c>
      <c r="AH4" s="145" t="s">
        <v>322</v>
      </c>
      <c r="AI4" s="145" t="s">
        <v>323</v>
      </c>
      <c r="AJ4" s="145" t="s">
        <v>324</v>
      </c>
      <c r="AK4" s="145">
        <v>11689</v>
      </c>
      <c r="AL4" s="2" t="s">
        <v>272</v>
      </c>
      <c r="AM4" s="2" t="s">
        <v>214</v>
      </c>
      <c r="AN4" s="2"/>
    </row>
    <row r="5" spans="1:40" x14ac:dyDescent="0.25">
      <c r="A5" s="2" t="s">
        <v>215</v>
      </c>
      <c r="B5" s="2" t="s">
        <v>173</v>
      </c>
      <c r="C5" s="2" t="s">
        <v>271</v>
      </c>
      <c r="D5" s="144">
        <v>0.6</v>
      </c>
      <c r="E5" s="2" t="s">
        <v>119</v>
      </c>
      <c r="F5" s="2">
        <v>32</v>
      </c>
      <c r="H5" s="145"/>
      <c r="I5" s="2">
        <v>45661</v>
      </c>
      <c r="J5" s="145"/>
      <c r="K5" s="145"/>
      <c r="L5" s="145"/>
      <c r="M5" s="145">
        <v>45665</v>
      </c>
      <c r="N5" s="145"/>
      <c r="O5" s="145"/>
      <c r="P5" s="145"/>
      <c r="Q5" s="145">
        <v>45669</v>
      </c>
      <c r="R5" s="145"/>
      <c r="S5" s="145"/>
      <c r="T5" s="145"/>
      <c r="U5" s="145">
        <v>45673</v>
      </c>
      <c r="V5" s="145"/>
      <c r="W5" s="145"/>
      <c r="X5" s="145"/>
      <c r="Y5" s="145">
        <v>45677</v>
      </c>
      <c r="Z5" s="145"/>
      <c r="AA5" s="145"/>
      <c r="AB5" s="145"/>
      <c r="AC5" s="145">
        <v>45681</v>
      </c>
      <c r="AD5" s="145"/>
      <c r="AE5" s="145"/>
      <c r="AF5" s="145"/>
      <c r="AG5" s="145">
        <v>45685</v>
      </c>
      <c r="AH5" s="145"/>
      <c r="AI5" s="145"/>
      <c r="AJ5" s="145"/>
      <c r="AK5" s="145">
        <v>11689</v>
      </c>
      <c r="AL5" s="2" t="s">
        <v>272</v>
      </c>
      <c r="AM5" s="2" t="s">
        <v>214</v>
      </c>
      <c r="AN5" s="2"/>
    </row>
    <row r="6" spans="1:40" x14ac:dyDescent="0.25">
      <c r="A6" s="2" t="s">
        <v>270</v>
      </c>
      <c r="B6" s="2" t="s">
        <v>173</v>
      </c>
      <c r="C6" s="2" t="s">
        <v>271</v>
      </c>
      <c r="D6" s="144">
        <v>0.7</v>
      </c>
      <c r="E6" s="2" t="s">
        <v>117</v>
      </c>
      <c r="F6" s="2">
        <v>32</v>
      </c>
      <c r="H6" s="145"/>
      <c r="I6" s="2">
        <v>45661</v>
      </c>
      <c r="J6" s="145"/>
      <c r="K6" s="145"/>
      <c r="L6" s="145"/>
      <c r="M6" s="145">
        <v>45665</v>
      </c>
      <c r="N6" s="145"/>
      <c r="O6" s="145"/>
      <c r="P6" s="145"/>
      <c r="Q6" s="145">
        <v>45669</v>
      </c>
      <c r="R6" s="145"/>
      <c r="S6" s="145"/>
      <c r="T6" s="145"/>
      <c r="U6" s="145">
        <v>45673</v>
      </c>
      <c r="V6" s="145"/>
      <c r="W6" s="145"/>
      <c r="X6" s="145"/>
      <c r="Y6" s="145">
        <v>45677</v>
      </c>
      <c r="Z6" s="145"/>
      <c r="AA6" s="145"/>
      <c r="AB6" s="145"/>
      <c r="AC6" s="145">
        <v>45681</v>
      </c>
      <c r="AD6" s="145"/>
      <c r="AE6" s="145"/>
      <c r="AF6" s="145"/>
      <c r="AG6" s="145">
        <v>45685</v>
      </c>
      <c r="AH6" s="145"/>
      <c r="AI6" s="145"/>
      <c r="AJ6" s="145"/>
      <c r="AK6" s="145">
        <v>11689</v>
      </c>
      <c r="AL6" s="2" t="s">
        <v>269</v>
      </c>
      <c r="AM6" s="2" t="s">
        <v>214</v>
      </c>
      <c r="AN6" s="2"/>
    </row>
    <row r="7" spans="1:40" x14ac:dyDescent="0.25">
      <c r="A7" s="2"/>
      <c r="H7" s="145"/>
      <c r="J7" s="145"/>
      <c r="K7" s="145"/>
      <c r="L7" s="145"/>
      <c r="M7" s="145"/>
      <c r="N7" s="145"/>
      <c r="O7" s="145"/>
      <c r="P7" s="145"/>
      <c r="Q7" s="145"/>
      <c r="R7" s="145"/>
      <c r="S7" s="145"/>
      <c r="T7" s="145"/>
      <c r="U7" s="145"/>
      <c r="V7" s="145"/>
      <c r="W7" s="145"/>
      <c r="X7" s="145"/>
      <c r="Y7" s="145"/>
      <c r="Z7" s="145"/>
      <c r="AA7" s="145"/>
      <c r="AB7" s="145"/>
      <c r="AC7" s="145"/>
      <c r="AD7" s="145"/>
      <c r="AE7" s="145"/>
      <c r="AF7" s="145"/>
      <c r="AG7" s="145"/>
      <c r="AH7" s="145"/>
      <c r="AI7" s="145"/>
      <c r="AJ7" s="145"/>
      <c r="AK7" s="145"/>
      <c r="AN7" s="2"/>
    </row>
    <row r="9" spans="1:40" x14ac:dyDescent="0.25">
      <c r="A9">
        <v>1</v>
      </c>
      <c r="B9" s="2">
        <v>2</v>
      </c>
      <c r="C9">
        <v>3</v>
      </c>
      <c r="D9" s="2">
        <v>4</v>
      </c>
      <c r="E9">
        <v>5</v>
      </c>
      <c r="F9" s="2">
        <v>6</v>
      </c>
      <c r="G9">
        <v>7</v>
      </c>
      <c r="H9" s="2">
        <v>8</v>
      </c>
      <c r="I9">
        <v>9</v>
      </c>
      <c r="J9" s="2">
        <v>10</v>
      </c>
      <c r="K9">
        <v>11</v>
      </c>
      <c r="L9" s="2">
        <v>12</v>
      </c>
      <c r="M9">
        <v>13</v>
      </c>
      <c r="N9" s="2">
        <v>14</v>
      </c>
      <c r="O9">
        <v>15</v>
      </c>
      <c r="P9" s="2">
        <v>16</v>
      </c>
      <c r="Q9">
        <v>17</v>
      </c>
      <c r="R9" s="2">
        <v>18</v>
      </c>
      <c r="S9">
        <v>19</v>
      </c>
      <c r="T9" s="2">
        <v>20</v>
      </c>
      <c r="U9">
        <v>21</v>
      </c>
      <c r="V9" s="2">
        <v>22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09803-F133-4367-9C15-91F72946D0CB}">
  <sheetPr codeName="Feuil12"/>
  <dimension ref="A1"/>
  <sheetViews>
    <sheetView workbookViewId="0">
      <selection activeCell="H30" sqref="H30"/>
    </sheetView>
  </sheetViews>
  <sheetFormatPr baseColWidth="10" defaultRowHeight="1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7C1D2-AD74-4E18-8E32-2FB2ABC06B34}">
  <sheetPr codeName="Feuil10">
    <tabColor theme="9"/>
  </sheetPr>
  <dimension ref="C1:AI69"/>
  <sheetViews>
    <sheetView topLeftCell="L1" workbookViewId="0">
      <pane ySplit="1" topLeftCell="A2" activePane="bottomLeft" state="frozen"/>
      <selection activeCell="M47" sqref="M47"/>
      <selection pane="bottomLeft" activeCell="I4" sqref="I4"/>
    </sheetView>
  </sheetViews>
  <sheetFormatPr baseColWidth="10" defaultRowHeight="15" x14ac:dyDescent="0.25"/>
  <cols>
    <col min="1" max="1" width="18.140625" bestFit="1" customWidth="1"/>
    <col min="2" max="2" width="4" customWidth="1"/>
    <col min="3" max="3" width="13.5703125" customWidth="1"/>
    <col min="4" max="4" width="4.5703125" customWidth="1"/>
    <col min="5" max="5" width="16.85546875" customWidth="1"/>
    <col min="6" max="6" width="13.42578125" bestFit="1" customWidth="1"/>
    <col min="7" max="7" width="3.5703125" customWidth="1"/>
    <col min="8" max="8" width="15.140625" customWidth="1"/>
    <col min="9" max="9" width="13" style="1" customWidth="1"/>
    <col min="10" max="10" width="18.7109375" customWidth="1"/>
    <col min="11" max="11" width="3.7109375" customWidth="1"/>
    <col min="12" max="12" width="17.85546875" customWidth="1"/>
    <col min="13" max="13" width="19.28515625" customWidth="1"/>
    <col min="14" max="14" width="18.5703125" customWidth="1"/>
    <col min="15" max="15" width="21.85546875" customWidth="1"/>
    <col min="16" max="16" width="23.7109375" customWidth="1"/>
    <col min="17" max="17" width="13.140625" customWidth="1"/>
    <col min="18" max="18" width="13.5703125" customWidth="1"/>
    <col min="24" max="24" width="35.85546875" customWidth="1"/>
    <col min="25" max="25" width="33" bestFit="1" customWidth="1"/>
    <col min="27" max="27" width="36.5703125" bestFit="1" customWidth="1"/>
    <col min="30" max="30" width="46.7109375" bestFit="1" customWidth="1"/>
    <col min="32" max="32" width="33" bestFit="1" customWidth="1"/>
    <col min="35" max="35" width="12.85546875" customWidth="1"/>
  </cols>
  <sheetData>
    <row r="1" spans="3:35" x14ac:dyDescent="0.25">
      <c r="C1" t="s">
        <v>15</v>
      </c>
      <c r="E1" s="2" t="s">
        <v>132</v>
      </c>
      <c r="F1" s="1" t="s">
        <v>31</v>
      </c>
      <c r="H1" s="2" t="s">
        <v>31</v>
      </c>
      <c r="I1" s="1" t="s">
        <v>13</v>
      </c>
      <c r="J1" t="s">
        <v>127</v>
      </c>
      <c r="L1" s="2" t="s">
        <v>31</v>
      </c>
      <c r="M1" s="2" t="s">
        <v>121</v>
      </c>
      <c r="N1" s="2" t="s">
        <v>122</v>
      </c>
      <c r="O1" s="2" t="s">
        <v>124</v>
      </c>
      <c r="P1" s="2" t="s">
        <v>123</v>
      </c>
      <c r="Q1" s="2" t="s">
        <v>112</v>
      </c>
      <c r="R1" s="2" t="s">
        <v>125</v>
      </c>
      <c r="U1" t="s">
        <v>156</v>
      </c>
      <c r="V1">
        <v>1234</v>
      </c>
      <c r="X1" t="s">
        <v>158</v>
      </c>
      <c r="Y1" t="s">
        <v>157</v>
      </c>
      <c r="AA1" t="s">
        <v>161</v>
      </c>
      <c r="AB1" t="s">
        <v>157</v>
      </c>
      <c r="AD1" s="50" t="s">
        <v>340</v>
      </c>
      <c r="AF1" t="s">
        <v>177</v>
      </c>
      <c r="AG1" t="s">
        <v>157</v>
      </c>
      <c r="AI1" t="s">
        <v>200</v>
      </c>
    </row>
    <row r="2" spans="3:35" x14ac:dyDescent="0.25">
      <c r="C2" s="21" t="s">
        <v>134</v>
      </c>
      <c r="E2" s="1" t="s">
        <v>33</v>
      </c>
      <c r="F2" s="1" t="s">
        <v>35</v>
      </c>
      <c r="H2" s="10" t="s">
        <v>35</v>
      </c>
      <c r="I2" s="35">
        <v>1</v>
      </c>
      <c r="J2" s="2">
        <v>150</v>
      </c>
      <c r="L2" s="21" t="s">
        <v>35</v>
      </c>
      <c r="M2" s="2" t="s">
        <v>128</v>
      </c>
      <c r="N2" s="2" t="s">
        <v>129</v>
      </c>
      <c r="O2" s="23">
        <v>0.25</v>
      </c>
      <c r="P2" s="23">
        <v>0.75</v>
      </c>
      <c r="Q2" s="2">
        <v>15</v>
      </c>
      <c r="R2" s="2">
        <v>50</v>
      </c>
      <c r="X2" t="s">
        <v>164</v>
      </c>
      <c r="Y2" s="43">
        <v>0.1</v>
      </c>
      <c r="AA2" t="s">
        <v>159</v>
      </c>
      <c r="AB2" s="43">
        <v>0.02</v>
      </c>
      <c r="AD2" s="48" t="s">
        <v>167</v>
      </c>
      <c r="AF2" t="s">
        <v>176</v>
      </c>
      <c r="AG2" s="43">
        <v>0.03</v>
      </c>
      <c r="AI2" t="s">
        <v>201</v>
      </c>
    </row>
    <row r="3" spans="3:35" x14ac:dyDescent="0.25">
      <c r="C3" s="21" t="s">
        <v>135</v>
      </c>
      <c r="E3" s="1" t="s">
        <v>37</v>
      </c>
      <c r="F3" s="1" t="s">
        <v>35</v>
      </c>
      <c r="H3" s="10" t="s">
        <v>35</v>
      </c>
      <c r="I3" s="35">
        <v>1.5</v>
      </c>
      <c r="J3" s="2">
        <v>225</v>
      </c>
      <c r="L3" s="21" t="s">
        <v>52</v>
      </c>
      <c r="M3" s="2" t="s">
        <v>128</v>
      </c>
      <c r="N3" s="2" t="s">
        <v>129</v>
      </c>
      <c r="O3" s="23">
        <v>0.25</v>
      </c>
      <c r="P3" s="23">
        <v>0.75</v>
      </c>
      <c r="Q3" s="2">
        <v>25</v>
      </c>
      <c r="R3" s="2">
        <v>50</v>
      </c>
      <c r="X3" t="s">
        <v>160</v>
      </c>
      <c r="Y3" s="43">
        <v>0.02</v>
      </c>
      <c r="AA3" t="s">
        <v>160</v>
      </c>
      <c r="AB3" s="43">
        <v>7.0000000000000007E-2</v>
      </c>
      <c r="AD3" s="49" t="s">
        <v>168</v>
      </c>
      <c r="AF3" t="s">
        <v>178</v>
      </c>
      <c r="AG3" s="43">
        <v>7.0000000000000007E-2</v>
      </c>
      <c r="AI3" t="s">
        <v>200</v>
      </c>
    </row>
    <row r="4" spans="3:35" x14ac:dyDescent="0.25">
      <c r="E4" s="1" t="s">
        <v>40</v>
      </c>
      <c r="F4" s="1" t="s">
        <v>35</v>
      </c>
      <c r="H4" s="10" t="s">
        <v>35</v>
      </c>
      <c r="I4" s="35">
        <v>2.5</v>
      </c>
      <c r="J4" s="2">
        <v>375</v>
      </c>
      <c r="L4" s="21" t="s">
        <v>70</v>
      </c>
      <c r="M4" s="2" t="s">
        <v>128</v>
      </c>
      <c r="N4" s="2" t="s">
        <v>129</v>
      </c>
      <c r="O4" s="23">
        <v>0.25</v>
      </c>
      <c r="P4" s="23">
        <v>0.75</v>
      </c>
      <c r="Q4" s="2">
        <v>10</v>
      </c>
      <c r="R4" s="2">
        <v>50</v>
      </c>
      <c r="AD4" s="48" t="s">
        <v>169</v>
      </c>
    </row>
    <row r="5" spans="3:35" x14ac:dyDescent="0.25">
      <c r="E5" s="1" t="s">
        <v>45</v>
      </c>
      <c r="F5" s="1" t="s">
        <v>35</v>
      </c>
      <c r="H5" s="10" t="s">
        <v>35</v>
      </c>
      <c r="I5" s="1">
        <v>4</v>
      </c>
      <c r="J5" s="2">
        <v>600</v>
      </c>
      <c r="L5" s="21" t="s">
        <v>97</v>
      </c>
      <c r="M5" s="2" t="s">
        <v>128</v>
      </c>
      <c r="N5" s="2" t="s">
        <v>129</v>
      </c>
      <c r="O5" s="23">
        <v>0.25</v>
      </c>
      <c r="P5" s="23">
        <v>0.75</v>
      </c>
      <c r="Q5" s="2">
        <v>25</v>
      </c>
      <c r="R5" s="2">
        <v>50</v>
      </c>
      <c r="AD5" s="49" t="s">
        <v>170</v>
      </c>
    </row>
    <row r="6" spans="3:35" x14ac:dyDescent="0.25">
      <c r="E6" s="1" t="s">
        <v>50</v>
      </c>
      <c r="F6" s="1" t="s">
        <v>52</v>
      </c>
      <c r="H6" s="10" t="s">
        <v>35</v>
      </c>
      <c r="I6" s="1">
        <v>6</v>
      </c>
      <c r="J6" s="2">
        <v>816</v>
      </c>
      <c r="AD6" s="61" t="s">
        <v>113</v>
      </c>
    </row>
    <row r="7" spans="3:35" x14ac:dyDescent="0.25">
      <c r="E7" s="1" t="s">
        <v>61</v>
      </c>
      <c r="F7" s="1" t="s">
        <v>35</v>
      </c>
      <c r="H7" s="10" t="s">
        <v>35</v>
      </c>
      <c r="I7" s="1">
        <v>10</v>
      </c>
      <c r="J7" s="2">
        <v>1200</v>
      </c>
      <c r="AD7" s="61" t="s">
        <v>165</v>
      </c>
    </row>
    <row r="8" spans="3:35" x14ac:dyDescent="0.25">
      <c r="E8" s="1" t="s">
        <v>64</v>
      </c>
      <c r="F8" s="1" t="s">
        <v>35</v>
      </c>
      <c r="H8" s="10" t="s">
        <v>35</v>
      </c>
      <c r="I8" s="1">
        <v>16</v>
      </c>
      <c r="J8" s="2">
        <v>1632</v>
      </c>
      <c r="AD8" s="61" t="s">
        <v>341</v>
      </c>
    </row>
    <row r="9" spans="3:35" x14ac:dyDescent="0.25">
      <c r="E9" s="1" t="s">
        <v>66</v>
      </c>
      <c r="F9" s="1" t="s">
        <v>35</v>
      </c>
      <c r="H9" s="10" t="s">
        <v>35</v>
      </c>
      <c r="I9" s="1">
        <v>25</v>
      </c>
      <c r="J9" s="2">
        <v>2175</v>
      </c>
      <c r="AD9" s="61" t="s">
        <v>212</v>
      </c>
    </row>
    <row r="10" spans="3:35" x14ac:dyDescent="0.25">
      <c r="E10" s="1" t="s">
        <v>68</v>
      </c>
      <c r="F10" s="1" t="s">
        <v>70</v>
      </c>
      <c r="H10" s="10" t="s">
        <v>35</v>
      </c>
      <c r="I10" s="1">
        <v>35</v>
      </c>
      <c r="J10" s="2">
        <v>2660</v>
      </c>
      <c r="AD10" s="61" t="s">
        <v>213</v>
      </c>
    </row>
    <row r="11" spans="3:35" x14ac:dyDescent="0.25">
      <c r="E11" s="1" t="s">
        <v>86</v>
      </c>
      <c r="F11" s="1" t="s">
        <v>70</v>
      </c>
      <c r="H11" s="10" t="s">
        <v>35</v>
      </c>
      <c r="I11" s="1">
        <v>50</v>
      </c>
      <c r="J11" s="2">
        <v>3200</v>
      </c>
    </row>
    <row r="12" spans="3:35" x14ac:dyDescent="0.25">
      <c r="E12" s="1" t="s">
        <v>95</v>
      </c>
      <c r="F12" s="1" t="s">
        <v>97</v>
      </c>
      <c r="H12" s="10" t="s">
        <v>35</v>
      </c>
      <c r="I12" s="1">
        <v>70</v>
      </c>
      <c r="J12" s="2">
        <v>3640</v>
      </c>
    </row>
    <row r="13" spans="3:35" x14ac:dyDescent="0.25">
      <c r="E13" s="1" t="s">
        <v>101</v>
      </c>
      <c r="F13" s="1" t="s">
        <v>70</v>
      </c>
      <c r="H13" s="10" t="s">
        <v>35</v>
      </c>
      <c r="I13" s="1">
        <v>95</v>
      </c>
      <c r="J13" s="2">
        <v>3990</v>
      </c>
    </row>
    <row r="14" spans="3:35" x14ac:dyDescent="0.25">
      <c r="H14" s="10" t="s">
        <v>70</v>
      </c>
      <c r="I14" s="1">
        <v>0.34</v>
      </c>
      <c r="J14" s="2">
        <v>12</v>
      </c>
    </row>
    <row r="15" spans="3:35" x14ac:dyDescent="0.25">
      <c r="H15" s="10" t="s">
        <v>70</v>
      </c>
      <c r="I15" s="1">
        <v>0.5</v>
      </c>
      <c r="J15" s="2">
        <v>12</v>
      </c>
    </row>
    <row r="16" spans="3:35" x14ac:dyDescent="0.25">
      <c r="H16" s="10" t="s">
        <v>70</v>
      </c>
      <c r="I16" s="1">
        <v>0.75</v>
      </c>
      <c r="J16" s="2">
        <v>20</v>
      </c>
    </row>
    <row r="17" spans="8:10" x14ac:dyDescent="0.25">
      <c r="H17" s="10" t="s">
        <v>70</v>
      </c>
      <c r="I17" s="1">
        <v>1</v>
      </c>
      <c r="J17" s="2">
        <v>30</v>
      </c>
    </row>
    <row r="18" spans="8:10" x14ac:dyDescent="0.25">
      <c r="H18" s="10" t="s">
        <v>70</v>
      </c>
      <c r="I18" s="1">
        <v>1.5</v>
      </c>
      <c r="J18" s="2">
        <v>40</v>
      </c>
    </row>
    <row r="19" spans="8:10" x14ac:dyDescent="0.25">
      <c r="H19" s="10" t="s">
        <v>70</v>
      </c>
      <c r="I19" s="1">
        <v>2.5</v>
      </c>
      <c r="J19" s="2">
        <v>50</v>
      </c>
    </row>
    <row r="20" spans="8:10" x14ac:dyDescent="0.25">
      <c r="H20" s="10" t="s">
        <v>70</v>
      </c>
      <c r="I20" s="1">
        <v>4</v>
      </c>
      <c r="J20" s="2">
        <v>50</v>
      </c>
    </row>
    <row r="21" spans="8:10" x14ac:dyDescent="0.25">
      <c r="H21" s="10" t="s">
        <v>70</v>
      </c>
      <c r="I21" s="1">
        <v>6</v>
      </c>
      <c r="J21" s="2">
        <v>60</v>
      </c>
    </row>
    <row r="22" spans="8:10" x14ac:dyDescent="0.25">
      <c r="H22" s="10" t="s">
        <v>70</v>
      </c>
      <c r="I22" s="1">
        <v>10</v>
      </c>
      <c r="J22" s="2">
        <v>80</v>
      </c>
    </row>
    <row r="23" spans="8:10" x14ac:dyDescent="0.25">
      <c r="H23" s="11" t="s">
        <v>70</v>
      </c>
      <c r="I23" s="1">
        <v>16</v>
      </c>
      <c r="J23" s="2">
        <v>90</v>
      </c>
    </row>
    <row r="24" spans="8:10" x14ac:dyDescent="0.25">
      <c r="H24" s="11" t="s">
        <v>70</v>
      </c>
      <c r="I24" s="1">
        <v>25</v>
      </c>
      <c r="J24" s="2">
        <v>100</v>
      </c>
    </row>
    <row r="25" spans="8:10" x14ac:dyDescent="0.25">
      <c r="H25" s="11" t="s">
        <v>70</v>
      </c>
      <c r="I25" s="1">
        <v>35</v>
      </c>
      <c r="J25" s="2">
        <v>120</v>
      </c>
    </row>
    <row r="26" spans="8:10" x14ac:dyDescent="0.25">
      <c r="H26" s="11" t="s">
        <v>70</v>
      </c>
      <c r="I26" s="1">
        <v>50</v>
      </c>
      <c r="J26" s="2">
        <v>140</v>
      </c>
    </row>
    <row r="27" spans="8:10" x14ac:dyDescent="0.25">
      <c r="H27" s="11" t="s">
        <v>52</v>
      </c>
      <c r="I27" s="1">
        <v>0.05</v>
      </c>
      <c r="J27" s="2">
        <v>6</v>
      </c>
    </row>
    <row r="28" spans="8:10" x14ac:dyDescent="0.25">
      <c r="H28" s="11" t="s">
        <v>52</v>
      </c>
      <c r="I28" s="1">
        <v>0.08</v>
      </c>
      <c r="J28" s="2">
        <v>11</v>
      </c>
    </row>
    <row r="29" spans="8:10" x14ac:dyDescent="0.25">
      <c r="H29" s="11" t="s">
        <v>52</v>
      </c>
      <c r="I29" s="1">
        <v>0.12</v>
      </c>
      <c r="J29" s="2">
        <v>15</v>
      </c>
    </row>
    <row r="30" spans="8:10" x14ac:dyDescent="0.25">
      <c r="H30" s="11" t="s">
        <v>52</v>
      </c>
      <c r="I30" s="1">
        <v>0.14000000000000001</v>
      </c>
      <c r="J30" s="2">
        <v>18</v>
      </c>
    </row>
    <row r="31" spans="8:10" x14ac:dyDescent="0.25">
      <c r="H31" s="11" t="s">
        <v>52</v>
      </c>
      <c r="I31" s="1">
        <v>0.22</v>
      </c>
      <c r="J31" s="2">
        <v>28</v>
      </c>
    </row>
    <row r="32" spans="8:10" x14ac:dyDescent="0.25">
      <c r="H32" s="11" t="s">
        <v>52</v>
      </c>
      <c r="I32" s="1">
        <v>0.25</v>
      </c>
      <c r="J32" s="2">
        <v>32</v>
      </c>
    </row>
    <row r="33" spans="8:10" x14ac:dyDescent="0.25">
      <c r="H33" s="11" t="s">
        <v>52</v>
      </c>
      <c r="I33" s="1">
        <v>0.32</v>
      </c>
      <c r="J33" s="2">
        <v>40</v>
      </c>
    </row>
    <row r="34" spans="8:10" x14ac:dyDescent="0.25">
      <c r="H34" s="11" t="s">
        <v>52</v>
      </c>
      <c r="I34" s="1">
        <v>0.5</v>
      </c>
      <c r="J34" s="2">
        <v>60</v>
      </c>
    </row>
    <row r="35" spans="8:10" x14ac:dyDescent="0.25">
      <c r="H35" s="11" t="s">
        <v>52</v>
      </c>
      <c r="I35" s="1">
        <v>0.75</v>
      </c>
      <c r="J35" s="2">
        <v>85</v>
      </c>
    </row>
    <row r="36" spans="8:10" x14ac:dyDescent="0.25">
      <c r="H36" s="11" t="s">
        <v>52</v>
      </c>
      <c r="I36" s="1">
        <v>0.82</v>
      </c>
      <c r="J36" s="2">
        <v>90</v>
      </c>
    </row>
    <row r="37" spans="8:10" x14ac:dyDescent="0.25">
      <c r="H37" s="11" t="s">
        <v>52</v>
      </c>
      <c r="I37" s="1">
        <v>1</v>
      </c>
      <c r="J37" s="2">
        <v>108</v>
      </c>
    </row>
    <row r="38" spans="8:10" x14ac:dyDescent="0.25">
      <c r="H38" s="11" t="s">
        <v>52</v>
      </c>
      <c r="I38" s="1">
        <v>1.3</v>
      </c>
      <c r="J38" s="2">
        <v>135</v>
      </c>
    </row>
    <row r="39" spans="8:10" x14ac:dyDescent="0.25">
      <c r="H39" s="11" t="s">
        <v>52</v>
      </c>
      <c r="I39" s="1">
        <v>1.5</v>
      </c>
      <c r="J39" s="2">
        <v>150</v>
      </c>
    </row>
    <row r="40" spans="8:10" x14ac:dyDescent="0.25">
      <c r="H40" s="11" t="s">
        <v>52</v>
      </c>
      <c r="I40" s="1">
        <v>2.1</v>
      </c>
      <c r="J40" s="2">
        <v>200</v>
      </c>
    </row>
    <row r="41" spans="8:10" x14ac:dyDescent="0.25">
      <c r="H41" s="11" t="s">
        <v>52</v>
      </c>
      <c r="I41" s="1">
        <v>2.5</v>
      </c>
      <c r="J41" s="2">
        <v>230</v>
      </c>
    </row>
    <row r="42" spans="8:10" x14ac:dyDescent="0.25">
      <c r="H42" s="11" t="s">
        <v>52</v>
      </c>
      <c r="I42" s="1">
        <v>3.3</v>
      </c>
      <c r="J42" s="2">
        <v>275</v>
      </c>
    </row>
    <row r="43" spans="8:10" x14ac:dyDescent="0.25">
      <c r="H43" s="11" t="s">
        <v>52</v>
      </c>
      <c r="I43" s="1">
        <v>4</v>
      </c>
      <c r="J43" s="2">
        <v>310</v>
      </c>
    </row>
    <row r="44" spans="8:10" x14ac:dyDescent="0.25">
      <c r="H44" s="11" t="s">
        <v>52</v>
      </c>
      <c r="I44" s="1">
        <v>5.3</v>
      </c>
      <c r="J44" s="2">
        <v>355</v>
      </c>
    </row>
    <row r="45" spans="8:10" x14ac:dyDescent="0.25">
      <c r="H45" s="11" t="s">
        <v>52</v>
      </c>
      <c r="I45" s="1">
        <v>6</v>
      </c>
      <c r="J45" s="2">
        <v>360</v>
      </c>
    </row>
    <row r="46" spans="8:10" x14ac:dyDescent="0.25">
      <c r="H46" s="11" t="s">
        <v>52</v>
      </c>
      <c r="I46" s="1">
        <v>8.4</v>
      </c>
      <c r="J46" s="2">
        <v>370</v>
      </c>
    </row>
    <row r="47" spans="8:10" x14ac:dyDescent="0.25">
      <c r="H47" s="11" t="s">
        <v>52</v>
      </c>
      <c r="I47" s="1">
        <v>10</v>
      </c>
      <c r="J47" s="2">
        <v>380</v>
      </c>
    </row>
    <row r="48" spans="8:10" x14ac:dyDescent="0.25">
      <c r="H48" s="11" t="s">
        <v>97</v>
      </c>
      <c r="I48" s="1">
        <v>0.34</v>
      </c>
      <c r="J48" s="2">
        <v>50</v>
      </c>
    </row>
    <row r="49" spans="8:10" x14ac:dyDescent="0.25">
      <c r="H49" s="11" t="s">
        <v>97</v>
      </c>
      <c r="I49" s="1">
        <v>0.38</v>
      </c>
      <c r="J49" s="2">
        <v>60</v>
      </c>
    </row>
    <row r="50" spans="8:10" x14ac:dyDescent="0.25">
      <c r="H50" s="11" t="s">
        <v>97</v>
      </c>
      <c r="I50" s="1">
        <v>0.5</v>
      </c>
      <c r="J50" s="2">
        <v>80</v>
      </c>
    </row>
    <row r="51" spans="8:10" x14ac:dyDescent="0.25">
      <c r="H51" s="11" t="s">
        <v>97</v>
      </c>
      <c r="I51" s="1">
        <v>0.6</v>
      </c>
      <c r="J51" s="2">
        <v>100</v>
      </c>
    </row>
    <row r="52" spans="8:10" x14ac:dyDescent="0.25">
      <c r="H52" s="11" t="s">
        <v>97</v>
      </c>
      <c r="I52" s="1">
        <v>0.75</v>
      </c>
      <c r="J52" s="2">
        <v>120</v>
      </c>
    </row>
    <row r="53" spans="8:10" x14ac:dyDescent="0.25">
      <c r="H53" s="11" t="s">
        <v>97</v>
      </c>
      <c r="I53" s="1">
        <v>0.93</v>
      </c>
      <c r="J53" s="2">
        <v>150</v>
      </c>
    </row>
    <row r="54" spans="8:10" x14ac:dyDescent="0.25">
      <c r="H54" s="11" t="s">
        <v>97</v>
      </c>
      <c r="I54" s="1">
        <v>1</v>
      </c>
      <c r="J54" s="2">
        <v>160</v>
      </c>
    </row>
    <row r="55" spans="8:10" x14ac:dyDescent="0.25">
      <c r="H55" s="11" t="s">
        <v>97</v>
      </c>
      <c r="I55" s="1">
        <v>1.34</v>
      </c>
      <c r="J55" s="2">
        <v>210</v>
      </c>
    </row>
    <row r="56" spans="8:10" x14ac:dyDescent="0.25">
      <c r="H56" s="11" t="s">
        <v>97</v>
      </c>
      <c r="I56" s="1">
        <v>1.4</v>
      </c>
      <c r="J56" s="2">
        <v>220</v>
      </c>
    </row>
    <row r="57" spans="8:10" x14ac:dyDescent="0.25">
      <c r="H57" s="11" t="s">
        <v>97</v>
      </c>
      <c r="I57" s="1">
        <v>1.5</v>
      </c>
      <c r="J57" s="2">
        <v>240</v>
      </c>
    </row>
    <row r="58" spans="8:10" x14ac:dyDescent="0.25">
      <c r="H58" s="11" t="s">
        <v>97</v>
      </c>
      <c r="I58" s="1">
        <v>1.82</v>
      </c>
      <c r="J58" s="2">
        <v>290</v>
      </c>
    </row>
    <row r="59" spans="8:10" x14ac:dyDescent="0.25">
      <c r="H59" s="11" t="s">
        <v>97</v>
      </c>
      <c r="I59" s="1">
        <v>1.91</v>
      </c>
      <c r="J59" s="2">
        <v>300</v>
      </c>
    </row>
    <row r="60" spans="8:10" x14ac:dyDescent="0.25">
      <c r="H60" s="11" t="s">
        <v>97</v>
      </c>
      <c r="I60" s="1">
        <v>2</v>
      </c>
      <c r="J60" s="2">
        <v>320</v>
      </c>
    </row>
    <row r="61" spans="8:10" x14ac:dyDescent="0.25">
      <c r="H61" s="11" t="s">
        <v>97</v>
      </c>
      <c r="I61" s="1">
        <v>2.5</v>
      </c>
      <c r="J61" s="2">
        <v>400</v>
      </c>
    </row>
    <row r="62" spans="8:10" x14ac:dyDescent="0.25">
      <c r="H62" s="11" t="s">
        <v>97</v>
      </c>
      <c r="I62" s="1">
        <v>2.61</v>
      </c>
      <c r="J62" s="2">
        <v>430</v>
      </c>
    </row>
    <row r="63" spans="8:10" x14ac:dyDescent="0.25">
      <c r="H63" s="11" t="s">
        <v>97</v>
      </c>
      <c r="I63" s="1">
        <v>3.18</v>
      </c>
      <c r="J63" s="2">
        <v>500</v>
      </c>
    </row>
    <row r="64" spans="8:10" x14ac:dyDescent="0.25">
      <c r="H64" s="11" t="s">
        <v>97</v>
      </c>
      <c r="I64" s="1">
        <v>4</v>
      </c>
      <c r="J64" s="2">
        <v>620</v>
      </c>
    </row>
    <row r="65" spans="8:10" x14ac:dyDescent="0.25">
      <c r="H65" s="11" t="s">
        <v>97</v>
      </c>
      <c r="I65" s="1">
        <v>4.32</v>
      </c>
      <c r="J65" s="2">
        <v>660</v>
      </c>
    </row>
    <row r="66" spans="8:10" x14ac:dyDescent="0.25">
      <c r="H66" s="11" t="s">
        <v>97</v>
      </c>
      <c r="I66" s="1">
        <v>7.42</v>
      </c>
      <c r="J66" s="2">
        <v>840</v>
      </c>
    </row>
    <row r="67" spans="8:10" x14ac:dyDescent="0.25">
      <c r="H67" s="11" t="s">
        <v>97</v>
      </c>
      <c r="I67" s="1">
        <v>10</v>
      </c>
      <c r="J67" s="2">
        <v>1300</v>
      </c>
    </row>
    <row r="68" spans="8:10" x14ac:dyDescent="0.25">
      <c r="H68" s="11" t="s">
        <v>97</v>
      </c>
      <c r="I68" s="1">
        <v>16</v>
      </c>
      <c r="J68" s="2">
        <v>1650</v>
      </c>
    </row>
    <row r="69" spans="8:10" x14ac:dyDescent="0.25">
      <c r="H69" s="11" t="s">
        <v>97</v>
      </c>
      <c r="I69" s="1">
        <v>25</v>
      </c>
      <c r="J69" s="2">
        <v>2300</v>
      </c>
    </row>
  </sheetData>
  <phoneticPr fontId="3" type="noConversion"/>
  <pageMargins left="0.7" right="0.7" top="0.75" bottom="0.75" header="0.3" footer="0.3"/>
  <tableParts count="9">
    <tablePart r:id="rId1"/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26</vt:i4>
      </vt:variant>
    </vt:vector>
  </HeadingPairs>
  <TitlesOfParts>
    <vt:vector size="42" baseType="lpstr">
      <vt:lpstr>generateur de frequence</vt:lpstr>
      <vt:lpstr>Accueil</vt:lpstr>
      <vt:lpstr>Nouvel equipement</vt:lpstr>
      <vt:lpstr>Base de donnée</vt:lpstr>
      <vt:lpstr>Boite resistance</vt:lpstr>
      <vt:lpstr>Barre a shunt</vt:lpstr>
      <vt:lpstr>Source Chaude</vt:lpstr>
      <vt:lpstr>Pieuvre</vt:lpstr>
      <vt:lpstr>Valise</vt:lpstr>
      <vt:lpstr>Bilan Shunt</vt:lpstr>
      <vt:lpstr>Formulaire valise</vt:lpstr>
      <vt:lpstr>Traction</vt:lpstr>
      <vt:lpstr>Bilan Traction</vt:lpstr>
      <vt:lpstr>Bilan Pieuvre</vt:lpstr>
      <vt:lpstr>Bilan Valise</vt:lpstr>
      <vt:lpstr>References</vt:lpstr>
      <vt:lpstr>'Barre a shunt'!Conformite</vt:lpstr>
      <vt:lpstr>'Boite resistance'!Conformite</vt:lpstr>
      <vt:lpstr>'generateur de frequence'!Conformite</vt:lpstr>
      <vt:lpstr>Traction!Conformite</vt:lpstr>
      <vt:lpstr>Conformite</vt:lpstr>
      <vt:lpstr>'Barre a shunt'!Norme</vt:lpstr>
      <vt:lpstr>'Boite resistance'!Norme</vt:lpstr>
      <vt:lpstr>'generateur de frequence'!Norme</vt:lpstr>
      <vt:lpstr>Traction!Norme</vt:lpstr>
      <vt:lpstr>Norme</vt:lpstr>
      <vt:lpstr>'Barre a shunt'!Num_Identification</vt:lpstr>
      <vt:lpstr>'Boite resistance'!Num_Identification</vt:lpstr>
      <vt:lpstr>'generateur de frequence'!Num_Identification</vt:lpstr>
      <vt:lpstr>Traction!Num_Identification</vt:lpstr>
      <vt:lpstr>Num_Identification</vt:lpstr>
      <vt:lpstr>'Barre a shunt'!Pince</vt:lpstr>
      <vt:lpstr>'Boite resistance'!Pince</vt:lpstr>
      <vt:lpstr>'generateur de frequence'!Pince</vt:lpstr>
      <vt:lpstr>Traction!Pince</vt:lpstr>
      <vt:lpstr>Pince</vt:lpstr>
      <vt:lpstr>Shunt</vt:lpstr>
      <vt:lpstr>'Barre a shunt'!Verificateur</vt:lpstr>
      <vt:lpstr>'Boite resistance'!Verificateur</vt:lpstr>
      <vt:lpstr>Traction!Verificateur</vt:lpstr>
      <vt:lpstr>Verificateur</vt:lpstr>
      <vt:lpstr>Pieuvre!Zone_d_impression</vt:lpstr>
    </vt:vector>
  </TitlesOfParts>
  <Company>Eiffage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CORBIN Pierrick [EIFFAGE CONCESSIONS]</dc:creator>
  <cp:lastModifiedBy>Dany</cp:lastModifiedBy>
  <cp:lastPrinted>2025-04-17T08:11:11Z</cp:lastPrinted>
  <dcterms:created xsi:type="dcterms:W3CDTF">2025-01-20T08:01:03Z</dcterms:created>
  <dcterms:modified xsi:type="dcterms:W3CDTF">2025-04-17T12:18:57Z</dcterms:modified>
</cp:coreProperties>
</file>