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38800FA3-4CD5-4F2A-ACF3-71090A5F2B02}" xr6:coauthVersionLast="47" xr6:coauthVersionMax="47" xr10:uidLastSave="{00000000-0000-0000-0000-000000000000}"/>
  <bookViews>
    <workbookView xWindow="-120" yWindow="-120" windowWidth="20730" windowHeight="11160" tabRatio="648" xr2:uid="{00000000-000D-0000-FFFF-FFFF00000000}"/>
  </bookViews>
  <sheets>
    <sheet name="Accueil" sheetId="135" r:id="rId1"/>
    <sheet name="Notre contre étude" sheetId="126" r:id="rId2"/>
    <sheet name="Notes Gestion 1" sheetId="125" r:id="rId3"/>
    <sheet name="FV" sheetId="118" state="veryHidden" r:id="rId4"/>
    <sheet name="Notre Gestion 4 - 060924" sheetId="128" r:id="rId5"/>
    <sheet name="Evol générale" sheetId="108" r:id="rId6"/>
    <sheet name="FC" sheetId="121" r:id="rId7"/>
    <sheet name="Ratios" sheetId="84" r:id="rId8"/>
    <sheet name="Hono" sheetId="123" r:id="rId9"/>
    <sheet name="Février 2025" sheetId="134" r:id="rId10"/>
    <sheet name="THM" sheetId="10" r:id="rId11"/>
    <sheet name="Heures avec QMa" sheetId="127" r:id="rId12"/>
    <sheet name="Répartition Budget MO " sheetId="132" r:id="rId13"/>
    <sheet name="Béton" sheetId="75" r:id="rId14"/>
    <sheet name="PU béton" sheetId="12" r:id="rId15"/>
    <sheet name="Préfa CMEG-S2G" sheetId="124" r:id="rId16"/>
    <sheet name="Préfa externe" sheetId="71" r:id="rId17"/>
    <sheet name="Aciers HA" sheetId="88" r:id="rId18"/>
    <sheet name="Aciers TS" sheetId="104" r:id="rId19"/>
    <sheet name="PU aciers" sheetId="89" r:id="rId20"/>
    <sheet name="ST GO" sheetId="120" r:id="rId21"/>
    <sheet name="Affectations reporting" sheetId="110" r:id="rId22"/>
    <sheet name="Pour memoire - fourniture div " sheetId="133" r:id="rId23"/>
    <sheet name="octobre 2024" sheetId="106" r:id="rId24"/>
    <sheet name="Novembre 2024" sheetId="129" r:id="rId25"/>
    <sheet name="Décembre 2024" sheetId="130" r:id="rId26"/>
    <sheet name="Janvier 2025" sheetId="131" r:id="rId27"/>
  </sheets>
  <definedNames>
    <definedName name="_xlnm.Print_Titles" localSheetId="6">FC!$1:$11</definedName>
    <definedName name="_xlnm.Print_Titles" localSheetId="11">'Heures avec QMa'!$7:$9</definedName>
    <definedName name="_xlnm.Print_Titles" localSheetId="8">Hono!$1:$11</definedName>
    <definedName name="_xlnm.Print_Area" localSheetId="17">'Aciers HA'!$A$1:$O$61</definedName>
    <definedName name="_xlnm.Print_Area" localSheetId="18">'Aciers TS'!$A$1:$O$61</definedName>
    <definedName name="_xlnm.Print_Area" localSheetId="13">Béton!$A$1:$S$97</definedName>
    <definedName name="_xlnm.Print_Area" localSheetId="5">'Evol générale'!$A$1:$O$60</definedName>
    <definedName name="_xlnm.Print_Area" localSheetId="6">FC!$A$1:$AR$120</definedName>
    <definedName name="_xlnm.Print_Area" localSheetId="3">FV!$B$125:$J$126</definedName>
    <definedName name="_xlnm.Print_Area" localSheetId="11">'Heures avec QMa'!$B$1:$W$132</definedName>
    <definedName name="_xlnm.Print_Area" localSheetId="8">Hono!$A$1:$AR$32</definedName>
    <definedName name="_xlnm.Print_Area" localSheetId="2">'Notes Gestion 1'!$A$1:$I$70</definedName>
    <definedName name="_xlnm.Print_Area" localSheetId="4">'Notre Gestion 4 - 060924'!$A$1:$I$88</definedName>
    <definedName name="_xlnm.Print_Area" localSheetId="22">'Pour memoire - fourniture div '!$A$1:$J$62</definedName>
    <definedName name="_xlnm.Print_Area" localSheetId="15">'Préfa CMEG-S2G'!$A$1:$J$42</definedName>
    <definedName name="_xlnm.Print_Area" localSheetId="16">'Préfa externe'!$A$1:$J$62</definedName>
    <definedName name="_xlnm.Print_Area" localSheetId="19">'PU aciers'!$A$1:$O$29</definedName>
    <definedName name="_xlnm.Print_Area" localSheetId="14">'PU béton'!$A$1:$G$30</definedName>
    <definedName name="_xlnm.Print_Area" localSheetId="7">Ratios!$A$1:$AB$35</definedName>
    <definedName name="_xlnm.Print_Area" localSheetId="20">'ST GO'!$A$1:$J$41</definedName>
  </definedNames>
  <calcPr calcId="181029"/>
</workbook>
</file>

<file path=xl/calcChain.xml><?xml version="1.0" encoding="utf-8"?>
<calcChain xmlns="http://schemas.openxmlformats.org/spreadsheetml/2006/main">
  <c r="F28" i="108" l="1"/>
  <c r="F29" i="108"/>
  <c r="X17" i="121"/>
  <c r="Y17" i="121"/>
  <c r="Z17" i="121"/>
  <c r="AA17" i="121"/>
  <c r="AB17" i="121"/>
  <c r="AC17" i="121"/>
  <c r="W17" i="121"/>
  <c r="R21" i="121"/>
  <c r="Q21" i="121"/>
  <c r="S21" i="121"/>
  <c r="T21" i="121"/>
  <c r="U21" i="121"/>
  <c r="V21" i="121"/>
  <c r="W21" i="121"/>
  <c r="X21" i="121"/>
  <c r="Y21" i="121"/>
  <c r="Z21" i="121"/>
  <c r="AA21" i="121"/>
  <c r="AB21" i="121"/>
  <c r="AC21" i="121"/>
  <c r="M111" i="121" l="1"/>
  <c r="M62" i="121"/>
  <c r="M47" i="121"/>
  <c r="M52" i="121"/>
  <c r="J7" i="84"/>
  <c r="K7" i="84"/>
  <c r="K6" i="84"/>
  <c r="K5" i="84"/>
  <c r="K15" i="10"/>
  <c r="K14" i="10"/>
  <c r="K13" i="10"/>
  <c r="K12" i="10"/>
  <c r="K11" i="10"/>
  <c r="K10" i="10"/>
  <c r="K9" i="10"/>
  <c r="N83" i="121" l="1"/>
  <c r="O112" i="121"/>
  <c r="O52" i="121"/>
  <c r="N85" i="121" l="1"/>
  <c r="E18" i="127" l="1"/>
  <c r="E15" i="127"/>
  <c r="E14" i="127"/>
  <c r="E13" i="127"/>
  <c r="G68" i="127"/>
  <c r="G65" i="127"/>
  <c r="G64" i="127"/>
  <c r="G61" i="127"/>
  <c r="G56" i="127"/>
  <c r="G57" i="127"/>
  <c r="G52" i="127"/>
  <c r="G49" i="127"/>
  <c r="G44" i="127"/>
  <c r="G40" i="127"/>
  <c r="G37" i="127"/>
  <c r="G35" i="127"/>
  <c r="G31" i="127"/>
  <c r="G33" i="127"/>
  <c r="G28" i="127"/>
  <c r="G26" i="127"/>
  <c r="G15" i="127"/>
  <c r="L62" i="121" l="1"/>
  <c r="L86" i="121"/>
  <c r="L52" i="121"/>
  <c r="L85" i="121"/>
  <c r="K94" i="121"/>
  <c r="L75" i="121"/>
  <c r="J5" i="84"/>
  <c r="L12" i="123"/>
  <c r="J15" i="10"/>
  <c r="J14" i="10"/>
  <c r="J13" i="10"/>
  <c r="J12" i="10"/>
  <c r="J11" i="10"/>
  <c r="J10" i="10"/>
  <c r="J9" i="10"/>
  <c r="EP30" i="134"/>
  <c r="EO30" i="134"/>
  <c r="EN30" i="134"/>
  <c r="EM30" i="134"/>
  <c r="EL30" i="134"/>
  <c r="EK30" i="134"/>
  <c r="EJ30" i="134"/>
  <c r="EI30" i="134"/>
  <c r="EH30" i="134"/>
  <c r="EG30" i="134"/>
  <c r="EF30" i="134"/>
  <c r="EE30" i="134"/>
  <c r="ED30" i="134"/>
  <c r="EC30" i="134"/>
  <c r="EB30" i="134"/>
  <c r="EA30" i="134"/>
  <c r="DZ30" i="134"/>
  <c r="DY30" i="134"/>
  <c r="DX30" i="134"/>
  <c r="DW30" i="134"/>
  <c r="DV30" i="134"/>
  <c r="DU30" i="134"/>
  <c r="DT30" i="134"/>
  <c r="DS30" i="134"/>
  <c r="DR30" i="134"/>
  <c r="DQ30" i="134"/>
  <c r="DP30" i="134"/>
  <c r="DO30" i="134"/>
  <c r="DN30" i="134"/>
  <c r="DM30" i="134"/>
  <c r="DL30" i="134"/>
  <c r="DK30" i="134"/>
  <c r="DJ30" i="134"/>
  <c r="EP29" i="134"/>
  <c r="EO29" i="134"/>
  <c r="EN29" i="134"/>
  <c r="EM29" i="134"/>
  <c r="EL29" i="134"/>
  <c r="EK29" i="134"/>
  <c r="EJ29" i="134"/>
  <c r="EI29" i="134"/>
  <c r="EH29" i="134"/>
  <c r="EG29" i="134"/>
  <c r="EF29" i="134"/>
  <c r="EE29" i="134"/>
  <c r="ED29" i="134"/>
  <c r="EC29" i="134"/>
  <c r="EB29" i="134"/>
  <c r="EA29" i="134"/>
  <c r="DZ29" i="134"/>
  <c r="DY29" i="134"/>
  <c r="DX29" i="134"/>
  <c r="DW29" i="134"/>
  <c r="DV29" i="134"/>
  <c r="DU29" i="134"/>
  <c r="DT29" i="134"/>
  <c r="DS29" i="134"/>
  <c r="DR29" i="134"/>
  <c r="DQ29" i="134"/>
  <c r="DP29" i="134"/>
  <c r="DO29" i="134"/>
  <c r="DN29" i="134"/>
  <c r="DM29" i="134"/>
  <c r="DL29" i="134"/>
  <c r="DK29" i="134"/>
  <c r="DJ29" i="134"/>
  <c r="DI29" i="134"/>
  <c r="DH29" i="134"/>
  <c r="DG29" i="134"/>
  <c r="DF29" i="134"/>
  <c r="DE29" i="134"/>
  <c r="DD29" i="134"/>
  <c r="DC29" i="134"/>
  <c r="DB29" i="134"/>
  <c r="DA29" i="134"/>
  <c r="CZ29" i="134"/>
  <c r="CY29" i="134"/>
  <c r="CX29" i="134"/>
  <c r="CW29" i="134"/>
  <c r="CV29" i="134"/>
  <c r="CU29" i="134"/>
  <c r="CT29" i="134"/>
  <c r="CS29" i="134"/>
  <c r="CR29" i="134"/>
  <c r="CQ29" i="134"/>
  <c r="CP29" i="134"/>
  <c r="CO29" i="134"/>
  <c r="CN29" i="134"/>
  <c r="CM29" i="134"/>
  <c r="CL29" i="134"/>
  <c r="CK29" i="134"/>
  <c r="CJ29" i="134"/>
  <c r="CI29" i="134"/>
  <c r="CH29" i="134"/>
  <c r="CG29" i="134"/>
  <c r="CF29" i="134"/>
  <c r="CE29" i="134"/>
  <c r="CD29" i="134"/>
  <c r="CC29" i="134"/>
  <c r="CB29" i="134"/>
  <c r="CA29" i="134"/>
  <c r="BZ29" i="134"/>
  <c r="BY29" i="134"/>
  <c r="BX29" i="134"/>
  <c r="BW29" i="134"/>
  <c r="BV29" i="134"/>
  <c r="BU29" i="134"/>
  <c r="BT29" i="134"/>
  <c r="BS29" i="134"/>
  <c r="BR29" i="134"/>
  <c r="BQ29" i="134"/>
  <c r="BP29" i="134"/>
  <c r="BO29" i="134"/>
  <c r="BN29" i="134"/>
  <c r="BM29" i="134"/>
  <c r="BL29" i="134"/>
  <c r="BK29" i="134"/>
  <c r="BJ29" i="134"/>
  <c r="BI29" i="134"/>
  <c r="BH29" i="134"/>
  <c r="BG29" i="134"/>
  <c r="BF29" i="134"/>
  <c r="BE29" i="134"/>
  <c r="BD29" i="134"/>
  <c r="BC29" i="134"/>
  <c r="BB29" i="134"/>
  <c r="BA29" i="134"/>
  <c r="AZ29" i="134"/>
  <c r="AY29" i="134"/>
  <c r="AX29" i="134"/>
  <c r="AW29" i="134"/>
  <c r="AV29" i="134"/>
  <c r="AU29" i="134"/>
  <c r="AT29" i="134"/>
  <c r="AS29" i="134"/>
  <c r="AR29" i="134"/>
  <c r="AQ29" i="134"/>
  <c r="AP29" i="134"/>
  <c r="AO29" i="134"/>
  <c r="AN29" i="134"/>
  <c r="AM29" i="134"/>
  <c r="AL29" i="134"/>
  <c r="AK29" i="134"/>
  <c r="AJ29" i="134"/>
  <c r="AI29" i="134"/>
  <c r="AH29" i="134"/>
  <c r="AG29" i="134"/>
  <c r="AF29" i="134"/>
  <c r="AE29" i="134"/>
  <c r="AD29" i="134"/>
  <c r="AC29" i="134"/>
  <c r="AB29" i="134"/>
  <c r="AA29" i="134"/>
  <c r="Z29" i="134"/>
  <c r="Y29" i="134"/>
  <c r="X29" i="134"/>
  <c r="W29" i="134"/>
  <c r="V29" i="134"/>
  <c r="U29" i="134"/>
  <c r="T29" i="134"/>
  <c r="S29" i="134"/>
  <c r="R29" i="134"/>
  <c r="Q29" i="134"/>
  <c r="P29" i="134"/>
  <c r="O29" i="134"/>
  <c r="N29" i="134"/>
  <c r="M29" i="134"/>
  <c r="L29" i="134"/>
  <c r="K29" i="134"/>
  <c r="J29" i="134"/>
  <c r="I29" i="134"/>
  <c r="H29" i="134"/>
  <c r="G29" i="134"/>
  <c r="F29" i="134"/>
  <c r="E29" i="134"/>
  <c r="EP28" i="134"/>
  <c r="EO28" i="134"/>
  <c r="EN28" i="134"/>
  <c r="EM28" i="134"/>
  <c r="EL28" i="134"/>
  <c r="EK28" i="134"/>
  <c r="EJ28" i="134"/>
  <c r="EI28" i="134"/>
  <c r="EH28" i="134"/>
  <c r="EG28" i="134"/>
  <c r="EF28" i="134"/>
  <c r="EE28" i="134"/>
  <c r="ED28" i="134"/>
  <c r="EC28" i="134"/>
  <c r="EB28" i="134"/>
  <c r="EA28" i="134"/>
  <c r="DZ28" i="134"/>
  <c r="DY28" i="134"/>
  <c r="DX28" i="134"/>
  <c r="DW28" i="134"/>
  <c r="DV28" i="134"/>
  <c r="DU28" i="134"/>
  <c r="DT28" i="134"/>
  <c r="DS28" i="134"/>
  <c r="DR28" i="134"/>
  <c r="DQ28" i="134"/>
  <c r="DP28" i="134"/>
  <c r="DO28" i="134"/>
  <c r="DN28" i="134"/>
  <c r="DM28" i="134"/>
  <c r="DL28" i="134"/>
  <c r="DK28" i="134"/>
  <c r="DJ28" i="134"/>
  <c r="DI28" i="134"/>
  <c r="DH28" i="134"/>
  <c r="DG28" i="134"/>
  <c r="DF28" i="134"/>
  <c r="DE28" i="134"/>
  <c r="DD28" i="134"/>
  <c r="DC28" i="134"/>
  <c r="DB28" i="134"/>
  <c r="DA28" i="134"/>
  <c r="CZ28" i="134"/>
  <c r="CY28" i="134"/>
  <c r="CX28" i="134"/>
  <c r="CW28" i="134"/>
  <c r="CV28" i="134"/>
  <c r="CU28" i="134"/>
  <c r="CT28" i="134"/>
  <c r="CS28" i="134"/>
  <c r="CR28" i="134"/>
  <c r="CQ28" i="134"/>
  <c r="CP28" i="134"/>
  <c r="CO28" i="134"/>
  <c r="CN28" i="134"/>
  <c r="CM28" i="134"/>
  <c r="CL28" i="134"/>
  <c r="CK28" i="134"/>
  <c r="CJ28" i="134"/>
  <c r="CI28" i="134"/>
  <c r="CH28" i="134"/>
  <c r="CG28" i="134"/>
  <c r="CF28" i="134"/>
  <c r="CE28" i="134"/>
  <c r="CD28" i="134"/>
  <c r="CC28" i="134"/>
  <c r="CB28" i="134"/>
  <c r="CA28" i="134"/>
  <c r="BZ28" i="134"/>
  <c r="BY28" i="134"/>
  <c r="BX28" i="134"/>
  <c r="BW28" i="134"/>
  <c r="BV28" i="134"/>
  <c r="BU28" i="134"/>
  <c r="BT28" i="134"/>
  <c r="BS28" i="134"/>
  <c r="BR28" i="134"/>
  <c r="BQ28" i="134"/>
  <c r="BP28" i="134"/>
  <c r="BO28" i="134"/>
  <c r="BN28" i="134"/>
  <c r="BM28" i="134"/>
  <c r="BL28" i="134"/>
  <c r="BK28" i="134"/>
  <c r="BJ28" i="134"/>
  <c r="BI28" i="134"/>
  <c r="BH28" i="134"/>
  <c r="BG28" i="134"/>
  <c r="BF28" i="134"/>
  <c r="BE28" i="134"/>
  <c r="BD28" i="134"/>
  <c r="BC28" i="134"/>
  <c r="BB28" i="134"/>
  <c r="BA28" i="134"/>
  <c r="AZ28" i="134"/>
  <c r="AY28" i="134"/>
  <c r="AX28" i="134"/>
  <c r="AW28" i="134"/>
  <c r="AV28" i="134"/>
  <c r="AU28" i="134"/>
  <c r="AT28" i="134"/>
  <c r="AS28" i="134"/>
  <c r="AR28" i="134"/>
  <c r="AQ28" i="134"/>
  <c r="AP28" i="134"/>
  <c r="AO28" i="134"/>
  <c r="AN28" i="134"/>
  <c r="AM28" i="134"/>
  <c r="AL28" i="134"/>
  <c r="AK28" i="134"/>
  <c r="AJ28" i="134"/>
  <c r="AI28" i="134"/>
  <c r="AH28" i="134"/>
  <c r="AG28" i="134"/>
  <c r="AF28" i="134"/>
  <c r="AE28" i="134"/>
  <c r="AD28" i="134"/>
  <c r="AC28" i="134"/>
  <c r="AB28" i="134"/>
  <c r="AA28" i="134"/>
  <c r="Z28" i="134"/>
  <c r="Y28" i="134"/>
  <c r="X28" i="134"/>
  <c r="W28" i="134"/>
  <c r="V28" i="134"/>
  <c r="U28" i="134"/>
  <c r="T28" i="134"/>
  <c r="S28" i="134"/>
  <c r="R28" i="134"/>
  <c r="Q28" i="134"/>
  <c r="P28" i="134"/>
  <c r="O28" i="134"/>
  <c r="N28" i="134"/>
  <c r="M28" i="134"/>
  <c r="L28" i="134"/>
  <c r="K28" i="134"/>
  <c r="J28" i="134"/>
  <c r="I28" i="134"/>
  <c r="H28" i="134"/>
  <c r="G28" i="134"/>
  <c r="F28" i="134"/>
  <c r="E28" i="134"/>
  <c r="DI27" i="134"/>
  <c r="DH27" i="134"/>
  <c r="DG27" i="134"/>
  <c r="DF27" i="134"/>
  <c r="DE27" i="134"/>
  <c r="DD27" i="134"/>
  <c r="DC27" i="134"/>
  <c r="DB27" i="134"/>
  <c r="DA27" i="134"/>
  <c r="CZ27" i="134"/>
  <c r="CY27" i="134"/>
  <c r="CX27" i="134"/>
  <c r="CW27" i="134"/>
  <c r="CV27" i="134"/>
  <c r="CU27" i="134"/>
  <c r="CT27" i="134"/>
  <c r="CS27" i="134"/>
  <c r="CR27" i="134"/>
  <c r="CQ27" i="134"/>
  <c r="CP27" i="134"/>
  <c r="CO27" i="134"/>
  <c r="CN27" i="134"/>
  <c r="CM27" i="134"/>
  <c r="CL27" i="134"/>
  <c r="CK27" i="134"/>
  <c r="CJ27" i="134"/>
  <c r="CI27" i="134"/>
  <c r="CH27" i="134"/>
  <c r="CG27" i="134"/>
  <c r="CF27" i="134"/>
  <c r="CE27" i="134"/>
  <c r="CD27" i="134"/>
  <c r="CC27" i="134"/>
  <c r="CB27" i="134"/>
  <c r="CA27" i="134"/>
  <c r="BZ27" i="134"/>
  <c r="BY27" i="134"/>
  <c r="BX27" i="134"/>
  <c r="BW27" i="134"/>
  <c r="BV27" i="134"/>
  <c r="BU27" i="134"/>
  <c r="BT27" i="134"/>
  <c r="BS27" i="134"/>
  <c r="BR27" i="134"/>
  <c r="BQ27" i="134"/>
  <c r="BP27" i="134"/>
  <c r="BO27" i="134"/>
  <c r="BN27" i="134"/>
  <c r="BM27" i="134"/>
  <c r="BL27" i="134"/>
  <c r="BK27" i="134"/>
  <c r="BJ27" i="134"/>
  <c r="BI27" i="134"/>
  <c r="BH27" i="134"/>
  <c r="BG27" i="134"/>
  <c r="BF27" i="134"/>
  <c r="BE27" i="134"/>
  <c r="BD27" i="134"/>
  <c r="BC27" i="134"/>
  <c r="BB27" i="134"/>
  <c r="BA27" i="134"/>
  <c r="AZ27" i="134"/>
  <c r="AY27" i="134"/>
  <c r="AX27" i="134"/>
  <c r="AW27" i="134"/>
  <c r="AV27" i="134"/>
  <c r="AU27" i="134"/>
  <c r="AT27" i="134"/>
  <c r="AS27" i="134"/>
  <c r="AR27" i="134"/>
  <c r="AQ27" i="134"/>
  <c r="AP27" i="134"/>
  <c r="AO27" i="134"/>
  <c r="AN27" i="134"/>
  <c r="AM27" i="134"/>
  <c r="AL27" i="134"/>
  <c r="AK27" i="134"/>
  <c r="AJ27" i="134"/>
  <c r="AI27" i="134"/>
  <c r="AH27" i="134"/>
  <c r="AG27" i="134"/>
  <c r="AF27" i="134"/>
  <c r="AE27" i="134"/>
  <c r="AD27" i="134"/>
  <c r="AC27" i="134"/>
  <c r="AB27" i="134"/>
  <c r="AA27" i="134"/>
  <c r="Z27" i="134"/>
  <c r="Y27" i="134"/>
  <c r="X27" i="134"/>
  <c r="W27" i="134"/>
  <c r="V27" i="134"/>
  <c r="U27" i="134"/>
  <c r="T27" i="134"/>
  <c r="S27" i="134"/>
  <c r="R27" i="134"/>
  <c r="Q27" i="134"/>
  <c r="P27" i="134"/>
  <c r="O27" i="134"/>
  <c r="N27" i="134"/>
  <c r="M27" i="134"/>
  <c r="L27" i="134"/>
  <c r="K27" i="134"/>
  <c r="J27" i="134"/>
  <c r="I27" i="134"/>
  <c r="H27" i="134"/>
  <c r="G27" i="134"/>
  <c r="F27" i="134"/>
  <c r="E27" i="134"/>
  <c r="DI23" i="134"/>
  <c r="DH23" i="134"/>
  <c r="DG23" i="134"/>
  <c r="DF23" i="134"/>
  <c r="DE23" i="134"/>
  <c r="DD23" i="134"/>
  <c r="DC23" i="134"/>
  <c r="DB23" i="134"/>
  <c r="DA23" i="134"/>
  <c r="CZ23" i="134"/>
  <c r="CY23" i="134"/>
  <c r="CX23" i="134"/>
  <c r="CW23" i="134"/>
  <c r="CV23" i="134"/>
  <c r="CU23" i="134"/>
  <c r="CT23" i="134"/>
  <c r="CS23" i="134"/>
  <c r="CR23" i="134"/>
  <c r="CQ23" i="134"/>
  <c r="CP23" i="134"/>
  <c r="CO23" i="134"/>
  <c r="CN23" i="134"/>
  <c r="CM23" i="134"/>
  <c r="CL23" i="134"/>
  <c r="CK23" i="134"/>
  <c r="CJ23" i="134"/>
  <c r="CI23" i="134"/>
  <c r="CH23" i="134"/>
  <c r="CG23" i="134"/>
  <c r="CF23" i="134"/>
  <c r="CE23" i="134"/>
  <c r="CD23" i="134"/>
  <c r="CC23" i="134"/>
  <c r="CB23" i="134"/>
  <c r="CA23" i="134"/>
  <c r="BZ23" i="134"/>
  <c r="BY23" i="134"/>
  <c r="BX23" i="134"/>
  <c r="BW23" i="134"/>
  <c r="BV23" i="134"/>
  <c r="BU23" i="134"/>
  <c r="BT23" i="134"/>
  <c r="BS23" i="134"/>
  <c r="BR23" i="134"/>
  <c r="BQ23" i="134"/>
  <c r="BP23" i="134"/>
  <c r="BO23" i="134"/>
  <c r="BN23" i="134"/>
  <c r="BM23" i="134"/>
  <c r="BL23" i="134"/>
  <c r="BK23" i="134"/>
  <c r="BJ23" i="134"/>
  <c r="BI23" i="134"/>
  <c r="BH23" i="134"/>
  <c r="BG23" i="134"/>
  <c r="BF23" i="134"/>
  <c r="BE23" i="134"/>
  <c r="BD23" i="134"/>
  <c r="BC23" i="134"/>
  <c r="BB23" i="134"/>
  <c r="BA23" i="134"/>
  <c r="AZ23" i="134"/>
  <c r="AY23" i="134"/>
  <c r="AX23" i="134"/>
  <c r="AW23" i="134"/>
  <c r="AV23" i="134"/>
  <c r="AU23" i="134"/>
  <c r="AT23" i="134"/>
  <c r="AS23" i="134"/>
  <c r="AR23" i="134"/>
  <c r="AQ23" i="134"/>
  <c r="AP23" i="134"/>
  <c r="AO23" i="134"/>
  <c r="AN23" i="134"/>
  <c r="AM23" i="134"/>
  <c r="AL23" i="134"/>
  <c r="AK23" i="134"/>
  <c r="AJ23" i="134"/>
  <c r="AI23" i="134"/>
  <c r="AH23" i="134"/>
  <c r="AG23" i="134"/>
  <c r="AF23" i="134"/>
  <c r="AE23" i="134"/>
  <c r="AD23" i="134"/>
  <c r="AC23" i="134"/>
  <c r="AB23" i="134"/>
  <c r="AA23" i="134"/>
  <c r="Z23" i="134"/>
  <c r="Y23" i="134"/>
  <c r="X23" i="134"/>
  <c r="W23" i="134"/>
  <c r="V23" i="134"/>
  <c r="U23" i="134"/>
  <c r="T23" i="134"/>
  <c r="S23" i="134"/>
  <c r="R23" i="134"/>
  <c r="Q23" i="134"/>
  <c r="P23" i="134"/>
  <c r="O23" i="134"/>
  <c r="N23" i="134"/>
  <c r="M23" i="134"/>
  <c r="L23" i="134"/>
  <c r="K23" i="134"/>
  <c r="J23" i="134"/>
  <c r="I23" i="134"/>
  <c r="H23" i="134"/>
  <c r="G23" i="134"/>
  <c r="F23" i="134"/>
  <c r="E23" i="134"/>
  <c r="DI19" i="134"/>
  <c r="DH19" i="134"/>
  <c r="DG19" i="134"/>
  <c r="DF19" i="134"/>
  <c r="DE19" i="134"/>
  <c r="DD19" i="134"/>
  <c r="DC19" i="134"/>
  <c r="DB19" i="134"/>
  <c r="DA19" i="134"/>
  <c r="CZ19" i="134"/>
  <c r="CY19" i="134"/>
  <c r="CX19" i="134"/>
  <c r="CW19" i="134"/>
  <c r="CV19" i="134"/>
  <c r="CU19" i="134"/>
  <c r="CT19" i="134"/>
  <c r="CS19" i="134"/>
  <c r="CR19" i="134"/>
  <c r="CQ19" i="134"/>
  <c r="CP19" i="134"/>
  <c r="CO19" i="134"/>
  <c r="CN19" i="134"/>
  <c r="CM19" i="134"/>
  <c r="CL19" i="134"/>
  <c r="CK19" i="134"/>
  <c r="CJ19" i="134"/>
  <c r="CI19" i="134"/>
  <c r="CH19" i="134"/>
  <c r="CG19" i="134"/>
  <c r="CF19" i="134"/>
  <c r="CE19" i="134"/>
  <c r="CD19" i="134"/>
  <c r="CC19" i="134"/>
  <c r="CB19" i="134"/>
  <c r="CA19" i="134"/>
  <c r="BZ19" i="134"/>
  <c r="BY19" i="134"/>
  <c r="BX19" i="134"/>
  <c r="BW19" i="134"/>
  <c r="BV19" i="134"/>
  <c r="BU19" i="134"/>
  <c r="BT19" i="134"/>
  <c r="BS19" i="134"/>
  <c r="BR19" i="134"/>
  <c r="BQ19" i="134"/>
  <c r="BP19" i="134"/>
  <c r="BO19" i="134"/>
  <c r="BN19" i="134"/>
  <c r="BM19" i="134"/>
  <c r="BL19" i="134"/>
  <c r="BK19" i="134"/>
  <c r="BJ19" i="134"/>
  <c r="BI19" i="134"/>
  <c r="BH19" i="134"/>
  <c r="BG19" i="134"/>
  <c r="BF19" i="134"/>
  <c r="BE19" i="134"/>
  <c r="BD19" i="134"/>
  <c r="BC19" i="134"/>
  <c r="BB19" i="134"/>
  <c r="BA19" i="134"/>
  <c r="AZ19" i="134"/>
  <c r="AY19" i="134"/>
  <c r="AX19" i="134"/>
  <c r="AW19" i="134"/>
  <c r="AV19" i="134"/>
  <c r="AU19" i="134"/>
  <c r="AT19" i="134"/>
  <c r="AS19" i="134"/>
  <c r="AR19" i="134"/>
  <c r="AQ19" i="134"/>
  <c r="AP19" i="134"/>
  <c r="AO19" i="134"/>
  <c r="AN19" i="134"/>
  <c r="AM19" i="134"/>
  <c r="AL19" i="134"/>
  <c r="AK19" i="134"/>
  <c r="AJ19" i="134"/>
  <c r="AI19" i="134"/>
  <c r="AH19" i="134"/>
  <c r="AG19" i="134"/>
  <c r="AF19" i="134"/>
  <c r="AE19" i="134"/>
  <c r="AD19" i="134"/>
  <c r="AC19" i="134"/>
  <c r="AB19" i="134"/>
  <c r="AA19" i="134"/>
  <c r="Z19" i="134"/>
  <c r="Y19" i="134"/>
  <c r="X19" i="134"/>
  <c r="W19" i="134"/>
  <c r="V19" i="134"/>
  <c r="U19" i="134"/>
  <c r="T19" i="134"/>
  <c r="S19" i="134"/>
  <c r="R19" i="134"/>
  <c r="Q19" i="134"/>
  <c r="P19" i="134"/>
  <c r="O19" i="134"/>
  <c r="N19" i="134"/>
  <c r="M19" i="134"/>
  <c r="L19" i="134"/>
  <c r="K19" i="134"/>
  <c r="J19" i="134"/>
  <c r="I19" i="134"/>
  <c r="H19" i="134"/>
  <c r="G19" i="134"/>
  <c r="F19" i="134"/>
  <c r="E19" i="134"/>
  <c r="DI15" i="134"/>
  <c r="DH15" i="134"/>
  <c r="DG15" i="134"/>
  <c r="DF15" i="134"/>
  <c r="DE15" i="134"/>
  <c r="DD15" i="134"/>
  <c r="DC15" i="134"/>
  <c r="DB15" i="134"/>
  <c r="DA15" i="134"/>
  <c r="CZ15" i="134"/>
  <c r="CY15" i="134"/>
  <c r="CX15" i="134"/>
  <c r="CW15" i="134"/>
  <c r="CV15" i="134"/>
  <c r="CU15" i="134"/>
  <c r="CT15" i="134"/>
  <c r="CT30" i="134" s="1"/>
  <c r="CS15" i="134"/>
  <c r="CR15" i="134"/>
  <c r="CQ15" i="134"/>
  <c r="CP15" i="134"/>
  <c r="CO15" i="134"/>
  <c r="CN15" i="134"/>
  <c r="CM15" i="134"/>
  <c r="CL15" i="134"/>
  <c r="CK15" i="134"/>
  <c r="CJ15" i="134"/>
  <c r="CI15" i="134"/>
  <c r="CH15" i="134"/>
  <c r="CH30" i="134" s="1"/>
  <c r="CG15" i="134"/>
  <c r="CF15" i="134"/>
  <c r="CE15" i="134"/>
  <c r="CD15" i="134"/>
  <c r="CC15" i="134"/>
  <c r="CB15" i="134"/>
  <c r="CA15" i="134"/>
  <c r="BZ15" i="134"/>
  <c r="BY15" i="134"/>
  <c r="BX15" i="134"/>
  <c r="BW15" i="134"/>
  <c r="BV15" i="134"/>
  <c r="BV30" i="134" s="1"/>
  <c r="BU15" i="134"/>
  <c r="BT15" i="134"/>
  <c r="BS15" i="134"/>
  <c r="BR15" i="134"/>
  <c r="BQ15" i="134"/>
  <c r="BP15" i="134"/>
  <c r="BO15" i="134"/>
  <c r="BN15" i="134"/>
  <c r="BM15" i="134"/>
  <c r="BL15" i="134"/>
  <c r="BK15" i="134"/>
  <c r="BJ15" i="134"/>
  <c r="BJ30" i="134" s="1"/>
  <c r="BI15" i="134"/>
  <c r="BH15" i="134"/>
  <c r="BG15" i="134"/>
  <c r="BF15" i="134"/>
  <c r="BE15" i="134"/>
  <c r="BD15" i="134"/>
  <c r="BC15" i="134"/>
  <c r="BB15" i="134"/>
  <c r="BA15" i="134"/>
  <c r="AZ15" i="134"/>
  <c r="AY15" i="134"/>
  <c r="AX15" i="134"/>
  <c r="AX30" i="134" s="1"/>
  <c r="AW15" i="134"/>
  <c r="AV15" i="134"/>
  <c r="AU15" i="134"/>
  <c r="AT15" i="134"/>
  <c r="AS15" i="134"/>
  <c r="AR15" i="134"/>
  <c r="AQ15" i="134"/>
  <c r="AP15" i="134"/>
  <c r="AO15" i="134"/>
  <c r="AN15" i="134"/>
  <c r="AM15" i="134"/>
  <c r="AL15" i="134"/>
  <c r="AL30" i="134" s="1"/>
  <c r="AK15" i="134"/>
  <c r="AJ15" i="134"/>
  <c r="AI15" i="134"/>
  <c r="AH15" i="134"/>
  <c r="AG15" i="134"/>
  <c r="AF15" i="134"/>
  <c r="AE15" i="134"/>
  <c r="AD15" i="134"/>
  <c r="AC15" i="134"/>
  <c r="AB15" i="134"/>
  <c r="AA15" i="134"/>
  <c r="Z15" i="134"/>
  <c r="Z30" i="134" s="1"/>
  <c r="Y15" i="134"/>
  <c r="X15" i="134"/>
  <c r="W15" i="134"/>
  <c r="V15" i="134"/>
  <c r="U15" i="134"/>
  <c r="T15" i="134"/>
  <c r="S15" i="134"/>
  <c r="R15" i="134"/>
  <c r="Q15" i="134"/>
  <c r="P15" i="134"/>
  <c r="O15" i="134"/>
  <c r="N15" i="134"/>
  <c r="N30" i="134" s="1"/>
  <c r="M15" i="134"/>
  <c r="L15" i="134"/>
  <c r="K15" i="134"/>
  <c r="J15" i="134"/>
  <c r="I15" i="134"/>
  <c r="H15" i="134"/>
  <c r="G15" i="134"/>
  <c r="F15" i="134"/>
  <c r="E15" i="134"/>
  <c r="DI11" i="134"/>
  <c r="DI30" i="134" s="1"/>
  <c r="DH11" i="134"/>
  <c r="DG11" i="134"/>
  <c r="DF11" i="134"/>
  <c r="DE11" i="134"/>
  <c r="DD11" i="134"/>
  <c r="DC11" i="134"/>
  <c r="DB11" i="134"/>
  <c r="DA11" i="134"/>
  <c r="CZ11" i="134"/>
  <c r="CY11" i="134"/>
  <c r="CX11" i="134"/>
  <c r="CW11" i="134"/>
  <c r="CV11" i="134"/>
  <c r="CU11" i="134"/>
  <c r="CT11" i="134"/>
  <c r="CS11" i="134"/>
  <c r="CR11" i="134"/>
  <c r="CQ11" i="134"/>
  <c r="CP11" i="134"/>
  <c r="CO11" i="134"/>
  <c r="CN11" i="134"/>
  <c r="CM11" i="134"/>
  <c r="CL11" i="134"/>
  <c r="CK11" i="134"/>
  <c r="CK30" i="134" s="1"/>
  <c r="CJ11" i="134"/>
  <c r="CI11" i="134"/>
  <c r="CH11" i="134"/>
  <c r="CG11" i="134"/>
  <c r="CF11" i="134"/>
  <c r="CE11" i="134"/>
  <c r="CD11" i="134"/>
  <c r="CC11" i="134"/>
  <c r="CB11" i="134"/>
  <c r="CA11" i="134"/>
  <c r="BZ11" i="134"/>
  <c r="BY11" i="134"/>
  <c r="BY30" i="134" s="1"/>
  <c r="BX11" i="134"/>
  <c r="BW11" i="134"/>
  <c r="BV11" i="134"/>
  <c r="BU11" i="134"/>
  <c r="BT11" i="134"/>
  <c r="BS11" i="134"/>
  <c r="BR11" i="134"/>
  <c r="BQ11" i="134"/>
  <c r="BP11" i="134"/>
  <c r="BO11" i="134"/>
  <c r="BN11" i="134"/>
  <c r="BM11" i="134"/>
  <c r="BM30" i="134" s="1"/>
  <c r="BL11" i="134"/>
  <c r="BK11" i="134"/>
  <c r="BJ11" i="134"/>
  <c r="BI11" i="134"/>
  <c r="BH11" i="134"/>
  <c r="BG11" i="134"/>
  <c r="BF11" i="134"/>
  <c r="BE11" i="134"/>
  <c r="BD11" i="134"/>
  <c r="BC11" i="134"/>
  <c r="BB11" i="134"/>
  <c r="BA11" i="134"/>
  <c r="BA30" i="134" s="1"/>
  <c r="AZ11" i="134"/>
  <c r="AY11" i="134"/>
  <c r="AX11" i="134"/>
  <c r="AW11" i="134"/>
  <c r="AV11" i="134"/>
  <c r="AU11" i="134"/>
  <c r="AT11" i="134"/>
  <c r="AS11" i="134"/>
  <c r="AR11" i="134"/>
  <c r="AQ11" i="134"/>
  <c r="AP11" i="134"/>
  <c r="AO11" i="134"/>
  <c r="AO30" i="134" s="1"/>
  <c r="AN11" i="134"/>
  <c r="AM11" i="134"/>
  <c r="AL11" i="134"/>
  <c r="AK11" i="134"/>
  <c r="AJ11" i="134"/>
  <c r="AI11" i="134"/>
  <c r="AH11" i="134"/>
  <c r="AH30" i="134" s="1"/>
  <c r="AG11" i="134"/>
  <c r="AF11" i="134"/>
  <c r="AE11" i="134"/>
  <c r="AD11" i="134"/>
  <c r="AC11" i="134"/>
  <c r="AC30" i="134" s="1"/>
  <c r="AB11" i="134"/>
  <c r="AA11" i="134"/>
  <c r="Z11" i="134"/>
  <c r="Y11" i="134"/>
  <c r="X11" i="134"/>
  <c r="W11" i="134"/>
  <c r="V11" i="134"/>
  <c r="U11" i="134"/>
  <c r="T11" i="134"/>
  <c r="S11" i="134"/>
  <c r="R11" i="134"/>
  <c r="Q11" i="134"/>
  <c r="Q30" i="134" s="1"/>
  <c r="P11" i="134"/>
  <c r="O11" i="134"/>
  <c r="N11" i="134"/>
  <c r="M11" i="134"/>
  <c r="L11" i="134"/>
  <c r="K11" i="134"/>
  <c r="J11" i="134"/>
  <c r="I11" i="134"/>
  <c r="H11" i="134"/>
  <c r="G11" i="134"/>
  <c r="F11" i="134"/>
  <c r="E11" i="134"/>
  <c r="B8" i="134"/>
  <c r="B12" i="134" s="1"/>
  <c r="B16" i="134" s="1"/>
  <c r="B20" i="134" s="1"/>
  <c r="J30" i="134" l="1"/>
  <c r="V30" i="134"/>
  <c r="BF30" i="134"/>
  <c r="CP30" i="134"/>
  <c r="I30" i="134"/>
  <c r="U30" i="134"/>
  <c r="AG30" i="134"/>
  <c r="AS30" i="134"/>
  <c r="BE30" i="134"/>
  <c r="BQ30" i="134"/>
  <c r="CC30" i="134"/>
  <c r="CO30" i="134"/>
  <c r="DA30" i="134"/>
  <c r="AT30" i="134"/>
  <c r="H30" i="134"/>
  <c r="T30" i="134"/>
  <c r="AR30" i="134"/>
  <c r="BD30" i="134"/>
  <c r="BP30" i="134"/>
  <c r="CB30" i="134"/>
  <c r="CN30" i="134"/>
  <c r="CZ30" i="134"/>
  <c r="AF30" i="134"/>
  <c r="CW30" i="134"/>
  <c r="BR30" i="134"/>
  <c r="DB30" i="134"/>
  <c r="CD30" i="134"/>
  <c r="DF30" i="134"/>
  <c r="E30" i="134"/>
  <c r="P30" i="134"/>
  <c r="AB30" i="134"/>
  <c r="AN30" i="134"/>
  <c r="AZ30" i="134"/>
  <c r="BL30" i="134"/>
  <c r="BX30" i="134"/>
  <c r="CJ30" i="134"/>
  <c r="CV30" i="134"/>
  <c r="DH30" i="134"/>
  <c r="O30" i="134"/>
  <c r="AA30" i="134"/>
  <c r="AM30" i="134"/>
  <c r="AY30" i="134"/>
  <c r="BK30" i="134"/>
  <c r="BW30" i="134"/>
  <c r="CI30" i="134"/>
  <c r="CU30" i="134"/>
  <c r="DG30" i="134"/>
  <c r="G30" i="134"/>
  <c r="S30" i="134"/>
  <c r="AE30" i="134"/>
  <c r="AQ30" i="134"/>
  <c r="BC30" i="134"/>
  <c r="BO30" i="134"/>
  <c r="CA30" i="134"/>
  <c r="CM30" i="134"/>
  <c r="CY30" i="134"/>
  <c r="K30" i="134"/>
  <c r="CE30" i="134"/>
  <c r="L30" i="134"/>
  <c r="X30" i="134"/>
  <c r="AJ30" i="134"/>
  <c r="AV30" i="134"/>
  <c r="BH30" i="134"/>
  <c r="BT30" i="134"/>
  <c r="CF30" i="134"/>
  <c r="CR30" i="134"/>
  <c r="DD30" i="134"/>
  <c r="W30" i="134"/>
  <c r="AU30" i="134"/>
  <c r="DC30" i="134"/>
  <c r="Y30" i="134"/>
  <c r="AK30" i="134"/>
  <c r="AW30" i="134"/>
  <c r="BI30" i="134"/>
  <c r="BU30" i="134"/>
  <c r="CG30" i="134"/>
  <c r="CS30" i="134"/>
  <c r="DE30" i="134"/>
  <c r="BG30" i="134"/>
  <c r="M30" i="134"/>
  <c r="CQ30" i="134"/>
  <c r="AI30" i="134"/>
  <c r="BS30" i="134"/>
  <c r="F30" i="134"/>
  <c r="E31" i="134" s="1"/>
  <c r="R30" i="134"/>
  <c r="AD30" i="134"/>
  <c r="AP30" i="134"/>
  <c r="BB30" i="134"/>
  <c r="BN30" i="134"/>
  <c r="BZ30" i="134"/>
  <c r="CL30" i="134"/>
  <c r="CX30" i="134"/>
  <c r="D8" i="134"/>
  <c r="D12" i="134" s="1"/>
  <c r="D16" i="134" s="1"/>
  <c r="D20" i="134" s="1"/>
  <c r="E29" i="71"/>
  <c r="E28" i="71"/>
  <c r="E27" i="71"/>
  <c r="E26" i="71"/>
  <c r="E29" i="108"/>
  <c r="EQ30" i="134" l="1"/>
  <c r="D61" i="133"/>
  <c r="E60" i="133"/>
  <c r="E59" i="133"/>
  <c r="E58" i="133"/>
  <c r="D57" i="133"/>
  <c r="F56" i="133" s="1"/>
  <c r="E56" i="133"/>
  <c r="E55" i="133"/>
  <c r="E54" i="133"/>
  <c r="E53" i="133"/>
  <c r="E52" i="133"/>
  <c r="F51" i="133"/>
  <c r="E51" i="133"/>
  <c r="E50" i="133"/>
  <c r="H49" i="133"/>
  <c r="E49" i="133"/>
  <c r="E48" i="133"/>
  <c r="E47" i="133"/>
  <c r="F46" i="133"/>
  <c r="J50" i="133" s="1"/>
  <c r="E46" i="133"/>
  <c r="E45" i="133"/>
  <c r="E44" i="133"/>
  <c r="E43" i="133"/>
  <c r="E42" i="133"/>
  <c r="F41" i="133"/>
  <c r="E41" i="133"/>
  <c r="E40" i="133"/>
  <c r="E39" i="133"/>
  <c r="E38" i="133"/>
  <c r="E37" i="133"/>
  <c r="F36" i="133"/>
  <c r="E36" i="133"/>
  <c r="E35" i="133"/>
  <c r="H34" i="133"/>
  <c r="J35" i="133" s="1"/>
  <c r="E34" i="133"/>
  <c r="E33" i="133"/>
  <c r="E32" i="133"/>
  <c r="F31" i="133"/>
  <c r="E31" i="133"/>
  <c r="E30" i="133"/>
  <c r="E29" i="133"/>
  <c r="E28" i="133"/>
  <c r="B27" i="133"/>
  <c r="E27" i="133" s="1"/>
  <c r="E26" i="133"/>
  <c r="E25" i="133"/>
  <c r="E24" i="133"/>
  <c r="D23" i="133"/>
  <c r="E23" i="133" s="1"/>
  <c r="B23" i="133"/>
  <c r="B22" i="133"/>
  <c r="H24" i="133" s="1"/>
  <c r="E21" i="133"/>
  <c r="J20" i="133"/>
  <c r="E20" i="133"/>
  <c r="E19" i="133"/>
  <c r="E18" i="133"/>
  <c r="E17" i="133"/>
  <c r="F16" i="133"/>
  <c r="E16" i="133"/>
  <c r="E15" i="133"/>
  <c r="H14" i="133"/>
  <c r="E14" i="133"/>
  <c r="E13" i="133"/>
  <c r="E12" i="133"/>
  <c r="F11" i="133"/>
  <c r="E11" i="133"/>
  <c r="E10" i="133"/>
  <c r="E9" i="133"/>
  <c r="E8" i="133"/>
  <c r="E7" i="133"/>
  <c r="D6" i="133"/>
  <c r="F5" i="133"/>
  <c r="E5" i="133"/>
  <c r="F26" i="133" l="1"/>
  <c r="E22" i="133"/>
  <c r="J25" i="133" s="1"/>
  <c r="N13" i="123" l="1"/>
  <c r="O13" i="123"/>
  <c r="P13" i="123"/>
  <c r="Q13" i="123"/>
  <c r="R13" i="123"/>
  <c r="S13" i="123"/>
  <c r="T13" i="123"/>
  <c r="V13" i="123"/>
  <c r="W13" i="123"/>
  <c r="X13" i="123"/>
  <c r="Z13" i="123"/>
  <c r="AA13" i="123"/>
  <c r="AB13" i="123"/>
  <c r="AC13" i="123"/>
  <c r="E28" i="108" l="1"/>
  <c r="G66" i="127" l="1"/>
  <c r="G62" i="127"/>
  <c r="G60" i="127"/>
  <c r="G48" i="127"/>
  <c r="G36" i="127"/>
  <c r="G34" i="127"/>
  <c r="G22" i="127"/>
  <c r="G21" i="127"/>
  <c r="G20" i="127"/>
  <c r="G18" i="127"/>
  <c r="G14" i="127"/>
  <c r="K109" i="121" l="1"/>
  <c r="K108" i="121"/>
  <c r="K62" i="121"/>
  <c r="K70" i="121"/>
  <c r="I7" i="84"/>
  <c r="I6" i="84"/>
  <c r="I5" i="84"/>
  <c r="I15" i="10"/>
  <c r="I14" i="10"/>
  <c r="I13" i="10"/>
  <c r="I12" i="10"/>
  <c r="I11" i="10"/>
  <c r="I10" i="10"/>
  <c r="I9" i="10"/>
  <c r="N59" i="121"/>
  <c r="B6" i="120"/>
  <c r="F13" i="75"/>
  <c r="M64" i="75"/>
  <c r="O64" i="75" s="1"/>
  <c r="F64" i="75"/>
  <c r="D64" i="75"/>
  <c r="E64" i="75" s="1"/>
  <c r="G64" i="75" s="1"/>
  <c r="M51" i="75"/>
  <c r="O51" i="75" s="1"/>
  <c r="F51" i="75"/>
  <c r="D51" i="75"/>
  <c r="E51" i="75" s="1"/>
  <c r="G51" i="75" s="1"/>
  <c r="G14" i="10" l="1"/>
  <c r="J91" i="121"/>
  <c r="I111" i="121"/>
  <c r="J63" i="121"/>
  <c r="J62" i="121"/>
  <c r="I62" i="121"/>
  <c r="J94" i="121"/>
  <c r="J106" i="121"/>
  <c r="I94" i="121"/>
  <c r="I104" i="121"/>
  <c r="H7" i="84"/>
  <c r="J71" i="121"/>
  <c r="G7" i="84"/>
  <c r="H5" i="84"/>
  <c r="H15" i="10"/>
  <c r="H14" i="10"/>
  <c r="H13" i="10"/>
  <c r="H12" i="10"/>
  <c r="H11" i="10"/>
  <c r="H10" i="10"/>
  <c r="H9" i="10"/>
  <c r="G13" i="10"/>
  <c r="G12" i="10"/>
  <c r="G11" i="10"/>
  <c r="G10" i="10"/>
  <c r="G9" i="10"/>
  <c r="G15" i="10"/>
  <c r="G5" i="132" l="1"/>
  <c r="G29" i="132" s="1"/>
  <c r="G6" i="132"/>
  <c r="G7" i="132"/>
  <c r="G8" i="132"/>
  <c r="G9" i="132"/>
  <c r="G10" i="132"/>
  <c r="G11" i="132"/>
  <c r="G12" i="132"/>
  <c r="G14" i="132"/>
  <c r="G15" i="132"/>
  <c r="G16" i="132"/>
  <c r="G17" i="132"/>
  <c r="G18" i="132"/>
  <c r="G19" i="132"/>
  <c r="G20" i="132"/>
  <c r="G21" i="132"/>
  <c r="G23" i="132"/>
  <c r="G24" i="132"/>
  <c r="G25" i="132"/>
  <c r="G26" i="132"/>
  <c r="G27" i="132"/>
  <c r="AB56" i="127" l="1"/>
  <c r="G59" i="127"/>
  <c r="G55" i="127"/>
  <c r="G53" i="127"/>
  <c r="G38" i="127"/>
  <c r="EP30" i="131" l="1"/>
  <c r="EO30" i="131"/>
  <c r="EN30" i="131"/>
  <c r="EM30" i="131"/>
  <c r="EL30" i="131"/>
  <c r="EK30" i="131"/>
  <c r="EJ30" i="131"/>
  <c r="EI30" i="131"/>
  <c r="EH30" i="131"/>
  <c r="EG30" i="131"/>
  <c r="EF30" i="131"/>
  <c r="EE30" i="131"/>
  <c r="ED30" i="131"/>
  <c r="EC30" i="131"/>
  <c r="EB30" i="131"/>
  <c r="EA30" i="131"/>
  <c r="DZ30" i="131"/>
  <c r="DY30" i="131"/>
  <c r="DX30" i="131"/>
  <c r="DW30" i="131"/>
  <c r="DV30" i="131"/>
  <c r="DU30" i="131"/>
  <c r="DT30" i="131"/>
  <c r="DS30" i="131"/>
  <c r="DR30" i="131"/>
  <c r="DQ30" i="131"/>
  <c r="DP30" i="131"/>
  <c r="DO30" i="131"/>
  <c r="DN30" i="131"/>
  <c r="DM30" i="131"/>
  <c r="DL30" i="131"/>
  <c r="DK30" i="131"/>
  <c r="DJ30" i="131"/>
  <c r="EP29" i="131"/>
  <c r="EO29" i="131"/>
  <c r="EN29" i="131"/>
  <c r="EM29" i="131"/>
  <c r="EL29" i="131"/>
  <c r="EK29" i="131"/>
  <c r="EJ29" i="131"/>
  <c r="EI29" i="131"/>
  <c r="EH29" i="131"/>
  <c r="EG29" i="131"/>
  <c r="EF29" i="131"/>
  <c r="EE29" i="131"/>
  <c r="ED29" i="131"/>
  <c r="EC29" i="131"/>
  <c r="EB29" i="131"/>
  <c r="EA29" i="131"/>
  <c r="DZ29" i="131"/>
  <c r="DY29" i="131"/>
  <c r="DX29" i="131"/>
  <c r="DW29" i="131"/>
  <c r="DV29" i="131"/>
  <c r="DU29" i="131"/>
  <c r="DT29" i="131"/>
  <c r="DS29" i="131"/>
  <c r="DR29" i="131"/>
  <c r="DQ29" i="131"/>
  <c r="DP29" i="131"/>
  <c r="DO29" i="131"/>
  <c r="DN29" i="131"/>
  <c r="DM29" i="131"/>
  <c r="DL29" i="131"/>
  <c r="DK29" i="131"/>
  <c r="DJ29" i="131"/>
  <c r="DI29" i="131"/>
  <c r="DH29" i="131"/>
  <c r="DG29" i="131"/>
  <c r="DF29" i="131"/>
  <c r="DE29" i="131"/>
  <c r="DD29" i="131"/>
  <c r="DC29" i="131"/>
  <c r="DB29" i="131"/>
  <c r="DA29" i="131"/>
  <c r="CZ29" i="131"/>
  <c r="CY29" i="131"/>
  <c r="CX29" i="131"/>
  <c r="CW29" i="131"/>
  <c r="CV29" i="131"/>
  <c r="CU29" i="131"/>
  <c r="CT29" i="131"/>
  <c r="CS29" i="131"/>
  <c r="CR29" i="131"/>
  <c r="CQ29" i="131"/>
  <c r="CP29" i="131"/>
  <c r="CO29" i="131"/>
  <c r="CN29" i="131"/>
  <c r="CM29" i="131"/>
  <c r="CL29" i="131"/>
  <c r="CK29" i="131"/>
  <c r="CJ29" i="131"/>
  <c r="CI29" i="131"/>
  <c r="CH29" i="131"/>
  <c r="CG29" i="131"/>
  <c r="CF29" i="131"/>
  <c r="CE29" i="131"/>
  <c r="CD29" i="131"/>
  <c r="CC29" i="131"/>
  <c r="CB29" i="131"/>
  <c r="CA29" i="131"/>
  <c r="BZ29" i="131"/>
  <c r="BY29" i="131"/>
  <c r="BX29" i="131"/>
  <c r="BW29" i="131"/>
  <c r="BV29" i="131"/>
  <c r="BU29" i="131"/>
  <c r="BT29" i="131"/>
  <c r="BS29" i="131"/>
  <c r="BR29" i="131"/>
  <c r="BQ29" i="131"/>
  <c r="BP29" i="131"/>
  <c r="BO29" i="131"/>
  <c r="BN29" i="131"/>
  <c r="BM29" i="131"/>
  <c r="BL29" i="131"/>
  <c r="BK29" i="131"/>
  <c r="BJ29" i="131"/>
  <c r="BI29" i="131"/>
  <c r="BH29" i="131"/>
  <c r="BG29" i="131"/>
  <c r="BF29" i="131"/>
  <c r="BE29" i="131"/>
  <c r="BD29" i="131"/>
  <c r="BC29" i="131"/>
  <c r="BB29" i="131"/>
  <c r="BA29" i="131"/>
  <c r="AZ29" i="131"/>
  <c r="AY29" i="131"/>
  <c r="AX29" i="131"/>
  <c r="AW29" i="131"/>
  <c r="AV29" i="131"/>
  <c r="AU29" i="131"/>
  <c r="AT29" i="131"/>
  <c r="AS29" i="131"/>
  <c r="AR29" i="131"/>
  <c r="AQ29" i="131"/>
  <c r="AP29" i="131"/>
  <c r="AO29" i="131"/>
  <c r="AN29" i="131"/>
  <c r="AM29" i="131"/>
  <c r="AL29" i="131"/>
  <c r="AK29" i="131"/>
  <c r="AJ29" i="131"/>
  <c r="AI29" i="131"/>
  <c r="AH29" i="131"/>
  <c r="AG29" i="131"/>
  <c r="AF29" i="131"/>
  <c r="AE29" i="131"/>
  <c r="AD29" i="131"/>
  <c r="AC29" i="131"/>
  <c r="AB29" i="131"/>
  <c r="AA29" i="131"/>
  <c r="Z29" i="131"/>
  <c r="Y29" i="131"/>
  <c r="X29" i="131"/>
  <c r="W29" i="131"/>
  <c r="V29" i="131"/>
  <c r="U29" i="131"/>
  <c r="T29" i="131"/>
  <c r="S29" i="131"/>
  <c r="R29" i="131"/>
  <c r="Q29" i="131"/>
  <c r="P29" i="131"/>
  <c r="O29" i="131"/>
  <c r="N29" i="131"/>
  <c r="M29" i="131"/>
  <c r="L29" i="131"/>
  <c r="K29" i="131"/>
  <c r="J29" i="131"/>
  <c r="I29" i="131"/>
  <c r="H29" i="131"/>
  <c r="G29" i="131"/>
  <c r="F29" i="131"/>
  <c r="E29" i="131"/>
  <c r="EP28" i="131"/>
  <c r="EO28" i="131"/>
  <c r="EN28" i="131"/>
  <c r="EM28" i="131"/>
  <c r="EL28" i="131"/>
  <c r="EK28" i="131"/>
  <c r="EJ28" i="131"/>
  <c r="EI28" i="131"/>
  <c r="EH28" i="131"/>
  <c r="EG28" i="131"/>
  <c r="EF28" i="131"/>
  <c r="EE28" i="131"/>
  <c r="ED28" i="131"/>
  <c r="EC28" i="131"/>
  <c r="EB28" i="131"/>
  <c r="EA28" i="131"/>
  <c r="DZ28" i="131"/>
  <c r="DY28" i="131"/>
  <c r="DX28" i="131"/>
  <c r="DW28" i="131"/>
  <c r="DV28" i="131"/>
  <c r="DU28" i="131"/>
  <c r="DT28" i="131"/>
  <c r="DS28" i="131"/>
  <c r="DR28" i="131"/>
  <c r="DQ28" i="131"/>
  <c r="DP28" i="131"/>
  <c r="DO28" i="131"/>
  <c r="DN28" i="131"/>
  <c r="DM28" i="131"/>
  <c r="DL28" i="131"/>
  <c r="DK28" i="131"/>
  <c r="DJ28" i="131"/>
  <c r="DI28" i="131"/>
  <c r="DH28" i="131"/>
  <c r="DG28" i="131"/>
  <c r="DF28" i="131"/>
  <c r="DE28" i="131"/>
  <c r="DD28" i="131"/>
  <c r="DC28" i="131"/>
  <c r="DB28" i="131"/>
  <c r="DA28" i="131"/>
  <c r="CZ28" i="131"/>
  <c r="CY28" i="131"/>
  <c r="CX28" i="131"/>
  <c r="CW28" i="131"/>
  <c r="CV28" i="131"/>
  <c r="CU28" i="131"/>
  <c r="CT28" i="131"/>
  <c r="CS28" i="131"/>
  <c r="CR28" i="131"/>
  <c r="CQ28" i="131"/>
  <c r="CP28" i="131"/>
  <c r="CO28" i="131"/>
  <c r="CN28" i="131"/>
  <c r="CM28" i="131"/>
  <c r="CL28" i="131"/>
  <c r="CK28" i="131"/>
  <c r="CJ28" i="131"/>
  <c r="CI28" i="131"/>
  <c r="CH28" i="131"/>
  <c r="CG28" i="131"/>
  <c r="CF28" i="131"/>
  <c r="CE28" i="131"/>
  <c r="CD28" i="131"/>
  <c r="CC28" i="131"/>
  <c r="CB28" i="131"/>
  <c r="CA28" i="131"/>
  <c r="BZ28" i="131"/>
  <c r="BY28" i="131"/>
  <c r="BX28" i="131"/>
  <c r="BW28" i="131"/>
  <c r="BV28" i="131"/>
  <c r="BU28" i="131"/>
  <c r="BT28" i="131"/>
  <c r="BS28" i="131"/>
  <c r="BR28" i="131"/>
  <c r="BQ28" i="131"/>
  <c r="BP28" i="131"/>
  <c r="BO28" i="131"/>
  <c r="BN28" i="131"/>
  <c r="BM28" i="131"/>
  <c r="BL28" i="131"/>
  <c r="BK28" i="131"/>
  <c r="BJ28" i="131"/>
  <c r="BI28" i="131"/>
  <c r="BH28" i="131"/>
  <c r="BG28" i="131"/>
  <c r="BF28" i="131"/>
  <c r="BE28" i="131"/>
  <c r="BD28" i="131"/>
  <c r="BC28" i="131"/>
  <c r="BB28" i="131"/>
  <c r="BA28" i="131"/>
  <c r="AZ28" i="131"/>
  <c r="AY28" i="131"/>
  <c r="AX28" i="131"/>
  <c r="AW28" i="131"/>
  <c r="AV28" i="131"/>
  <c r="AU28" i="131"/>
  <c r="AT28" i="131"/>
  <c r="AS28" i="131"/>
  <c r="AR28" i="131"/>
  <c r="AQ28" i="131"/>
  <c r="AP28" i="131"/>
  <c r="AO28" i="131"/>
  <c r="AN28" i="131"/>
  <c r="AM28" i="131"/>
  <c r="AL28" i="131"/>
  <c r="AK28" i="131"/>
  <c r="AJ28" i="131"/>
  <c r="AI28" i="131"/>
  <c r="AH28" i="131"/>
  <c r="AG28" i="131"/>
  <c r="AF28" i="131"/>
  <c r="AE28" i="131"/>
  <c r="AD28" i="131"/>
  <c r="AC28" i="131"/>
  <c r="AB28" i="131"/>
  <c r="AA28" i="131"/>
  <c r="Z28" i="131"/>
  <c r="Y28" i="131"/>
  <c r="X28" i="131"/>
  <c r="W28" i="131"/>
  <c r="V28" i="131"/>
  <c r="U28" i="131"/>
  <c r="T28" i="131"/>
  <c r="S28" i="131"/>
  <c r="R28" i="131"/>
  <c r="Q28" i="131"/>
  <c r="P28" i="131"/>
  <c r="O28" i="131"/>
  <c r="N28" i="131"/>
  <c r="M28" i="131"/>
  <c r="L28" i="131"/>
  <c r="K28" i="131"/>
  <c r="J28" i="131"/>
  <c r="I28" i="131"/>
  <c r="H28" i="131"/>
  <c r="G28" i="131"/>
  <c r="F28" i="131"/>
  <c r="E28" i="131"/>
  <c r="DI27" i="131"/>
  <c r="DH27" i="131"/>
  <c r="DG27" i="131"/>
  <c r="DF27" i="131"/>
  <c r="DE27" i="131"/>
  <c r="DD27" i="131"/>
  <c r="DC27" i="131"/>
  <c r="DB27" i="131"/>
  <c r="DA27" i="131"/>
  <c r="CZ27" i="131"/>
  <c r="CY27" i="131"/>
  <c r="CX27" i="131"/>
  <c r="CW27" i="131"/>
  <c r="CV27" i="131"/>
  <c r="CU27" i="131"/>
  <c r="CT27" i="131"/>
  <c r="CS27" i="131"/>
  <c r="CR27" i="131"/>
  <c r="CQ27" i="131"/>
  <c r="CP27" i="131"/>
  <c r="CO27" i="131"/>
  <c r="CN27" i="131"/>
  <c r="CM27" i="131"/>
  <c r="CL27" i="131"/>
  <c r="CK27" i="131"/>
  <c r="CJ27" i="131"/>
  <c r="CI27" i="131"/>
  <c r="CH27" i="131"/>
  <c r="CG27" i="131"/>
  <c r="CF27" i="131"/>
  <c r="CE27" i="131"/>
  <c r="CD27" i="131"/>
  <c r="CC27" i="131"/>
  <c r="CB27" i="131"/>
  <c r="CA27" i="131"/>
  <c r="BZ27" i="131"/>
  <c r="BY27" i="131"/>
  <c r="BX27" i="131"/>
  <c r="BW27" i="131"/>
  <c r="BV27" i="131"/>
  <c r="BU27" i="131"/>
  <c r="BT27" i="131"/>
  <c r="BS27" i="131"/>
  <c r="BR27" i="131"/>
  <c r="BQ27" i="131"/>
  <c r="BP27" i="131"/>
  <c r="BO27" i="131"/>
  <c r="BN27" i="131"/>
  <c r="BM27" i="131"/>
  <c r="BL27" i="131"/>
  <c r="BK27" i="131"/>
  <c r="BJ27" i="131"/>
  <c r="BI27" i="131"/>
  <c r="BH27" i="131"/>
  <c r="BG27" i="131"/>
  <c r="BF27" i="131"/>
  <c r="BE27" i="131"/>
  <c r="BD27" i="131"/>
  <c r="BC27" i="131"/>
  <c r="BB27" i="131"/>
  <c r="BA27" i="131"/>
  <c r="AZ27" i="131"/>
  <c r="AY27" i="131"/>
  <c r="AX27" i="131"/>
  <c r="AW27" i="131"/>
  <c r="AV27" i="131"/>
  <c r="AU27" i="131"/>
  <c r="AT27" i="131"/>
  <c r="AS27" i="131"/>
  <c r="AR27" i="131"/>
  <c r="AQ27" i="131"/>
  <c r="AP27" i="131"/>
  <c r="AO27" i="131"/>
  <c r="AN27" i="131"/>
  <c r="AM27" i="131"/>
  <c r="AL27" i="131"/>
  <c r="AK27" i="131"/>
  <c r="AJ27" i="131"/>
  <c r="AI27" i="131"/>
  <c r="AH27" i="131"/>
  <c r="AG27" i="131"/>
  <c r="AF27" i="131"/>
  <c r="AE27" i="131"/>
  <c r="AD27" i="131"/>
  <c r="AC27" i="131"/>
  <c r="AB27" i="131"/>
  <c r="AA27" i="131"/>
  <c r="Z27" i="131"/>
  <c r="Y27" i="131"/>
  <c r="X27" i="131"/>
  <c r="W27" i="131"/>
  <c r="V27" i="131"/>
  <c r="U27" i="131"/>
  <c r="T27" i="131"/>
  <c r="S27" i="131"/>
  <c r="R27" i="131"/>
  <c r="Q27" i="131"/>
  <c r="P27" i="131"/>
  <c r="O27" i="131"/>
  <c r="N27" i="131"/>
  <c r="M27" i="131"/>
  <c r="L27" i="131"/>
  <c r="K27" i="131"/>
  <c r="J27" i="131"/>
  <c r="I27" i="131"/>
  <c r="H27" i="131"/>
  <c r="G27" i="131"/>
  <c r="F27" i="131"/>
  <c r="E27" i="131"/>
  <c r="DI23" i="131"/>
  <c r="DH23" i="131"/>
  <c r="DG23" i="131"/>
  <c r="DF23" i="131"/>
  <c r="DE23" i="131"/>
  <c r="DD23" i="131"/>
  <c r="DC23" i="131"/>
  <c r="DB23" i="131"/>
  <c r="DA23" i="131"/>
  <c r="CZ23" i="131"/>
  <c r="CY23" i="131"/>
  <c r="CX23" i="131"/>
  <c r="CW23" i="131"/>
  <c r="CV23" i="131"/>
  <c r="CU23" i="131"/>
  <c r="CT23" i="131"/>
  <c r="CS23" i="131"/>
  <c r="CR23" i="131"/>
  <c r="CQ23" i="131"/>
  <c r="CP23" i="131"/>
  <c r="CO23" i="131"/>
  <c r="CN23" i="131"/>
  <c r="CM23" i="131"/>
  <c r="CL23" i="131"/>
  <c r="CK23" i="131"/>
  <c r="CJ23" i="131"/>
  <c r="CI23" i="131"/>
  <c r="CH23" i="131"/>
  <c r="CG23" i="131"/>
  <c r="CF23" i="131"/>
  <c r="CE23" i="131"/>
  <c r="CD23" i="131"/>
  <c r="CC23" i="131"/>
  <c r="CB23" i="131"/>
  <c r="CA23" i="131"/>
  <c r="BZ23" i="131"/>
  <c r="BY23" i="131"/>
  <c r="BX23" i="131"/>
  <c r="BW23" i="131"/>
  <c r="BV23" i="131"/>
  <c r="BU23" i="131"/>
  <c r="BT23" i="131"/>
  <c r="BS23" i="131"/>
  <c r="BR23" i="131"/>
  <c r="BQ23" i="131"/>
  <c r="BP23" i="131"/>
  <c r="BO23" i="131"/>
  <c r="BN23" i="131"/>
  <c r="BM23" i="131"/>
  <c r="BL23" i="131"/>
  <c r="BK23" i="131"/>
  <c r="BJ23" i="131"/>
  <c r="BI23" i="131"/>
  <c r="BH23" i="131"/>
  <c r="BG23" i="131"/>
  <c r="BF23" i="131"/>
  <c r="BE23" i="131"/>
  <c r="BD23" i="131"/>
  <c r="BC23" i="131"/>
  <c r="BB23" i="131"/>
  <c r="BA23" i="131"/>
  <c r="AZ23" i="131"/>
  <c r="AY23" i="131"/>
  <c r="AX23" i="131"/>
  <c r="AW23" i="131"/>
  <c r="AV23" i="131"/>
  <c r="AU23" i="131"/>
  <c r="AT23" i="131"/>
  <c r="AS23" i="131"/>
  <c r="AR23" i="131"/>
  <c r="AQ23" i="131"/>
  <c r="AP23" i="131"/>
  <c r="AO23" i="131"/>
  <c r="AN23" i="131"/>
  <c r="AM23" i="131"/>
  <c r="AL23" i="131"/>
  <c r="AK23" i="131"/>
  <c r="AJ23" i="131"/>
  <c r="AI23" i="131"/>
  <c r="AH23" i="131"/>
  <c r="AG23" i="131"/>
  <c r="AF23" i="131"/>
  <c r="AE23" i="131"/>
  <c r="AD23" i="131"/>
  <c r="AC23" i="131"/>
  <c r="AB23" i="131"/>
  <c r="AA23" i="131"/>
  <c r="Z23" i="131"/>
  <c r="Y23" i="131"/>
  <c r="X23" i="131"/>
  <c r="W23" i="131"/>
  <c r="V23" i="131"/>
  <c r="U23" i="131"/>
  <c r="T23" i="131"/>
  <c r="S23" i="131"/>
  <c r="R23" i="131"/>
  <c r="Q23" i="131"/>
  <c r="P23" i="131"/>
  <c r="O23" i="131"/>
  <c r="N23" i="131"/>
  <c r="M23" i="131"/>
  <c r="L23" i="131"/>
  <c r="K23" i="131"/>
  <c r="J23" i="131"/>
  <c r="I23" i="131"/>
  <c r="H23" i="131"/>
  <c r="G23" i="131"/>
  <c r="F23" i="131"/>
  <c r="E23" i="131"/>
  <c r="DI19" i="131"/>
  <c r="DH19" i="131"/>
  <c r="DG19" i="131"/>
  <c r="DF19" i="131"/>
  <c r="DE19" i="131"/>
  <c r="DD19" i="131"/>
  <c r="DC19" i="131"/>
  <c r="DB19" i="131"/>
  <c r="DA19" i="131"/>
  <c r="CZ19" i="131"/>
  <c r="CY19" i="131"/>
  <c r="CX19" i="131"/>
  <c r="CW19" i="131"/>
  <c r="CV19" i="131"/>
  <c r="CU19" i="131"/>
  <c r="CT19" i="131"/>
  <c r="CS19" i="131"/>
  <c r="CR19" i="131"/>
  <c r="CQ19" i="131"/>
  <c r="CP19" i="131"/>
  <c r="CO19" i="131"/>
  <c r="CN19" i="131"/>
  <c r="CM19" i="131"/>
  <c r="CL19" i="131"/>
  <c r="CK19" i="131"/>
  <c r="CJ19" i="131"/>
  <c r="CI19" i="131"/>
  <c r="CI30" i="131" s="1"/>
  <c r="CH19" i="131"/>
  <c r="CG19" i="131"/>
  <c r="CF19" i="131"/>
  <c r="CE19" i="131"/>
  <c r="CD19" i="131"/>
  <c r="CC19" i="131"/>
  <c r="CB19" i="131"/>
  <c r="CA19" i="131"/>
  <c r="BZ19" i="131"/>
  <c r="BY19" i="131"/>
  <c r="BX19" i="131"/>
  <c r="BW19" i="131"/>
  <c r="BV19" i="131"/>
  <c r="BU19" i="131"/>
  <c r="BT19" i="131"/>
  <c r="BS19" i="131"/>
  <c r="BR19" i="131"/>
  <c r="BQ19" i="131"/>
  <c r="BP19" i="131"/>
  <c r="BO19" i="131"/>
  <c r="BN19" i="131"/>
  <c r="BM19" i="131"/>
  <c r="BL19" i="131"/>
  <c r="BK19" i="131"/>
  <c r="BJ19" i="131"/>
  <c r="BI19" i="131"/>
  <c r="BH19" i="131"/>
  <c r="BG19" i="131"/>
  <c r="BF19" i="131"/>
  <c r="BE19" i="131"/>
  <c r="BD19" i="131"/>
  <c r="BC19" i="131"/>
  <c r="BB19" i="131"/>
  <c r="BA19" i="131"/>
  <c r="AZ19" i="131"/>
  <c r="AY19" i="131"/>
  <c r="AX19" i="131"/>
  <c r="AW19" i="131"/>
  <c r="AV19" i="131"/>
  <c r="AU19" i="131"/>
  <c r="AT19" i="131"/>
  <c r="AS19" i="131"/>
  <c r="AR19" i="131"/>
  <c r="AQ19" i="131"/>
  <c r="AP19" i="131"/>
  <c r="AO19" i="131"/>
  <c r="AN19" i="131"/>
  <c r="AM19" i="131"/>
  <c r="AL19" i="131"/>
  <c r="AK19" i="131"/>
  <c r="AJ19" i="131"/>
  <c r="AI19" i="131"/>
  <c r="AH19" i="131"/>
  <c r="AG19" i="131"/>
  <c r="AF19" i="131"/>
  <c r="AE19" i="131"/>
  <c r="AD19" i="131"/>
  <c r="AC19" i="131"/>
  <c r="AB19" i="131"/>
  <c r="AA19" i="131"/>
  <c r="Z19" i="131"/>
  <c r="Y19" i="131"/>
  <c r="X19" i="131"/>
  <c r="W19" i="131"/>
  <c r="V19" i="131"/>
  <c r="U19" i="131"/>
  <c r="T19" i="131"/>
  <c r="S19" i="131"/>
  <c r="R19" i="131"/>
  <c r="Q19" i="131"/>
  <c r="P19" i="131"/>
  <c r="O19" i="131"/>
  <c r="N19" i="131"/>
  <c r="M19" i="131"/>
  <c r="L19" i="131"/>
  <c r="K19" i="131"/>
  <c r="J19" i="131"/>
  <c r="I19" i="131"/>
  <c r="H19" i="131"/>
  <c r="G19" i="131"/>
  <c r="F19" i="131"/>
  <c r="E19" i="131"/>
  <c r="DI15" i="131"/>
  <c r="DH15" i="131"/>
  <c r="DG15" i="131"/>
  <c r="DF15" i="131"/>
  <c r="DE15" i="131"/>
  <c r="DD15" i="131"/>
  <c r="DC15" i="131"/>
  <c r="DB15" i="131"/>
  <c r="DA15" i="131"/>
  <c r="CZ15" i="131"/>
  <c r="CY15" i="131"/>
  <c r="CX15" i="131"/>
  <c r="CW15" i="131"/>
  <c r="CV15" i="131"/>
  <c r="CU15" i="131"/>
  <c r="CT15" i="131"/>
  <c r="CS15" i="131"/>
  <c r="CR15" i="131"/>
  <c r="CQ15" i="131"/>
  <c r="CP15" i="131"/>
  <c r="CO15" i="131"/>
  <c r="CN15" i="131"/>
  <c r="CM15" i="131"/>
  <c r="CL15" i="131"/>
  <c r="CK15" i="131"/>
  <c r="CJ15" i="131"/>
  <c r="CI15" i="131"/>
  <c r="CH15" i="131"/>
  <c r="CG15" i="131"/>
  <c r="CF15" i="131"/>
  <c r="CE15" i="131"/>
  <c r="CD15" i="131"/>
  <c r="CC15" i="131"/>
  <c r="CB15" i="131"/>
  <c r="CA15" i="131"/>
  <c r="BZ15" i="131"/>
  <c r="BY15" i="131"/>
  <c r="BX15" i="131"/>
  <c r="BW15" i="131"/>
  <c r="BV15" i="131"/>
  <c r="BU15" i="131"/>
  <c r="BT15" i="131"/>
  <c r="BS15" i="131"/>
  <c r="BR15" i="131"/>
  <c r="BQ15" i="131"/>
  <c r="BP15" i="131"/>
  <c r="BO15" i="131"/>
  <c r="BN15" i="131"/>
  <c r="BM15" i="131"/>
  <c r="BL15" i="131"/>
  <c r="BK15" i="131"/>
  <c r="BJ15" i="131"/>
  <c r="BI15" i="131"/>
  <c r="BH15" i="131"/>
  <c r="BG15" i="131"/>
  <c r="BF15" i="131"/>
  <c r="BE15" i="131"/>
  <c r="BD15" i="131"/>
  <c r="BC15" i="131"/>
  <c r="BB15" i="131"/>
  <c r="BA15" i="131"/>
  <c r="AZ15" i="131"/>
  <c r="AY15" i="131"/>
  <c r="AX15" i="131"/>
  <c r="AW15" i="131"/>
  <c r="AV15" i="131"/>
  <c r="AU15" i="131"/>
  <c r="AT15" i="131"/>
  <c r="AS15" i="131"/>
  <c r="AR15" i="131"/>
  <c r="AQ15" i="131"/>
  <c r="AP15" i="131"/>
  <c r="AO15" i="131"/>
  <c r="AN15" i="131"/>
  <c r="AM15" i="131"/>
  <c r="AL15" i="131"/>
  <c r="AK15" i="131"/>
  <c r="AJ15" i="131"/>
  <c r="AI15" i="131"/>
  <c r="AH15" i="131"/>
  <c r="AG15" i="131"/>
  <c r="AF15" i="131"/>
  <c r="AE15" i="131"/>
  <c r="AD15" i="131"/>
  <c r="AC15" i="131"/>
  <c r="AB15" i="131"/>
  <c r="AA15" i="131"/>
  <c r="Z15" i="131"/>
  <c r="Y15" i="131"/>
  <c r="X15" i="131"/>
  <c r="W15" i="131"/>
  <c r="V15" i="131"/>
  <c r="U15" i="131"/>
  <c r="T15" i="131"/>
  <c r="S15" i="131"/>
  <c r="R15" i="131"/>
  <c r="Q15" i="131"/>
  <c r="P15" i="131"/>
  <c r="O15" i="131"/>
  <c r="N15" i="131"/>
  <c r="M15" i="131"/>
  <c r="L15" i="131"/>
  <c r="K15" i="131"/>
  <c r="J15" i="131"/>
  <c r="I15" i="131"/>
  <c r="H15" i="131"/>
  <c r="G15" i="131"/>
  <c r="F15" i="131"/>
  <c r="E15" i="131"/>
  <c r="DI11" i="131"/>
  <c r="DH11" i="131"/>
  <c r="DG11" i="131"/>
  <c r="DF11" i="131"/>
  <c r="DE11" i="131"/>
  <c r="DD11" i="131"/>
  <c r="DC11" i="131"/>
  <c r="DC30" i="131" s="1"/>
  <c r="DB11" i="131"/>
  <c r="DA11" i="131"/>
  <c r="CZ11" i="131"/>
  <c r="CY11" i="131"/>
  <c r="CX11" i="131"/>
  <c r="CW11" i="131"/>
  <c r="CV11" i="131"/>
  <c r="CU11" i="131"/>
  <c r="CT11" i="131"/>
  <c r="CS11" i="131"/>
  <c r="CR11" i="131"/>
  <c r="CQ11" i="131"/>
  <c r="CQ30" i="131" s="1"/>
  <c r="CP11" i="131"/>
  <c r="CO11" i="131"/>
  <c r="CN11" i="131"/>
  <c r="CM11" i="131"/>
  <c r="CL11" i="131"/>
  <c r="CK11" i="131"/>
  <c r="CJ11" i="131"/>
  <c r="CI11" i="131"/>
  <c r="CH11" i="131"/>
  <c r="CG11" i="131"/>
  <c r="CF11" i="131"/>
  <c r="CE11" i="131"/>
  <c r="CE30" i="131" s="1"/>
  <c r="CD11" i="131"/>
  <c r="CC11" i="131"/>
  <c r="CB11" i="131"/>
  <c r="CA11" i="131"/>
  <c r="BZ11" i="131"/>
  <c r="BY11" i="131"/>
  <c r="BX11" i="131"/>
  <c r="BW11" i="131"/>
  <c r="BV11" i="131"/>
  <c r="BU11" i="131"/>
  <c r="BT11" i="131"/>
  <c r="BS11" i="131"/>
  <c r="BS30" i="131" s="1"/>
  <c r="BR11" i="131"/>
  <c r="BQ11" i="131"/>
  <c r="BP11" i="131"/>
  <c r="BO11" i="131"/>
  <c r="BN11" i="131"/>
  <c r="BM11" i="131"/>
  <c r="BL11" i="131"/>
  <c r="BK11" i="131"/>
  <c r="BJ11" i="131"/>
  <c r="BI11" i="131"/>
  <c r="BH11" i="131"/>
  <c r="BG11" i="131"/>
  <c r="BG30" i="131" s="1"/>
  <c r="BF11" i="131"/>
  <c r="BE11" i="131"/>
  <c r="BD11" i="131"/>
  <c r="BC11" i="131"/>
  <c r="BB11" i="131"/>
  <c r="BA11" i="131"/>
  <c r="AZ11" i="131"/>
  <c r="AY11" i="131"/>
  <c r="AX11" i="131"/>
  <c r="AW11" i="131"/>
  <c r="AV11" i="131"/>
  <c r="AU11" i="131"/>
  <c r="AU30" i="131" s="1"/>
  <c r="AT11" i="131"/>
  <c r="AS11" i="131"/>
  <c r="AR11" i="131"/>
  <c r="AQ11" i="131"/>
  <c r="AP11" i="131"/>
  <c r="AO11" i="131"/>
  <c r="AN11" i="131"/>
  <c r="AM11" i="131"/>
  <c r="AL11" i="131"/>
  <c r="AK11" i="131"/>
  <c r="AJ11" i="131"/>
  <c r="AI11" i="131"/>
  <c r="AI30" i="131" s="1"/>
  <c r="AH11" i="131"/>
  <c r="AG11" i="131"/>
  <c r="AF11" i="131"/>
  <c r="AE11" i="131"/>
  <c r="AD11" i="131"/>
  <c r="AC11" i="131"/>
  <c r="AB11" i="131"/>
  <c r="AA11" i="131"/>
  <c r="Z11" i="131"/>
  <c r="Y11" i="131"/>
  <c r="X11" i="131"/>
  <c r="W11" i="131"/>
  <c r="W30" i="131" s="1"/>
  <c r="V11" i="131"/>
  <c r="U11" i="131"/>
  <c r="T11" i="131"/>
  <c r="S11" i="131"/>
  <c r="R11" i="131"/>
  <c r="Q11" i="131"/>
  <c r="P11" i="131"/>
  <c r="O11" i="131"/>
  <c r="N11" i="131"/>
  <c r="M11" i="131"/>
  <c r="L11" i="131"/>
  <c r="K11" i="131"/>
  <c r="K30" i="131" s="1"/>
  <c r="J11" i="131"/>
  <c r="I11" i="131"/>
  <c r="H11" i="131"/>
  <c r="G11" i="131"/>
  <c r="F11" i="131"/>
  <c r="E11" i="131"/>
  <c r="B8" i="131"/>
  <c r="B12" i="131" s="1"/>
  <c r="B16" i="131" s="1"/>
  <c r="B20" i="131" s="1"/>
  <c r="CU30" i="131" l="1"/>
  <c r="J30" i="131"/>
  <c r="V30" i="131"/>
  <c r="AH30" i="131"/>
  <c r="AT30" i="131"/>
  <c r="BF30" i="131"/>
  <c r="BR30" i="131"/>
  <c r="CD30" i="131"/>
  <c r="CP30" i="131"/>
  <c r="DB30" i="131"/>
  <c r="DG30" i="131"/>
  <c r="AA30" i="131"/>
  <c r="AY30" i="131"/>
  <c r="BW30" i="131"/>
  <c r="O30" i="131"/>
  <c r="AM30" i="131"/>
  <c r="BK30" i="131"/>
  <c r="X30" i="131"/>
  <c r="BH30" i="131"/>
  <c r="DD30" i="131"/>
  <c r="AJ30" i="131"/>
  <c r="BT30" i="131"/>
  <c r="CR30" i="131"/>
  <c r="L30" i="131"/>
  <c r="AV30" i="131"/>
  <c r="CF30" i="131"/>
  <c r="M30" i="131"/>
  <c r="Y30" i="131"/>
  <c r="AK30" i="131"/>
  <c r="AW30" i="131"/>
  <c r="BI30" i="131"/>
  <c r="BU30" i="131"/>
  <c r="CG30" i="131"/>
  <c r="CS30" i="131"/>
  <c r="DE30" i="131"/>
  <c r="N30" i="131"/>
  <c r="Z30" i="131"/>
  <c r="AL30" i="131"/>
  <c r="AX30" i="131"/>
  <c r="BJ30" i="131"/>
  <c r="BV30" i="131"/>
  <c r="CH30" i="131"/>
  <c r="CT30" i="131"/>
  <c r="DF30" i="131"/>
  <c r="T30" i="131"/>
  <c r="AR30" i="131"/>
  <c r="BP30" i="131"/>
  <c r="CZ30" i="131"/>
  <c r="H30" i="131"/>
  <c r="AF30" i="131"/>
  <c r="BD30" i="131"/>
  <c r="CB30" i="131"/>
  <c r="CN30" i="131"/>
  <c r="AB30" i="131"/>
  <c r="AZ30" i="131"/>
  <c r="BX30" i="131"/>
  <c r="CV30" i="131"/>
  <c r="E30" i="131"/>
  <c r="Q30" i="131"/>
  <c r="AC30" i="131"/>
  <c r="AO30" i="131"/>
  <c r="BA30" i="131"/>
  <c r="BM30" i="131"/>
  <c r="BY30" i="131"/>
  <c r="CK30" i="131"/>
  <c r="CW30" i="131"/>
  <c r="DI30" i="131"/>
  <c r="P30" i="131"/>
  <c r="AN30" i="131"/>
  <c r="BL30" i="131"/>
  <c r="CJ30" i="131"/>
  <c r="DH30" i="131"/>
  <c r="G30" i="131"/>
  <c r="S30" i="131"/>
  <c r="AE30" i="131"/>
  <c r="AQ30" i="131"/>
  <c r="BC30" i="131"/>
  <c r="BO30" i="131"/>
  <c r="CA30" i="131"/>
  <c r="CM30" i="131"/>
  <c r="CY30" i="131"/>
  <c r="F30" i="131"/>
  <c r="R30" i="131"/>
  <c r="AD30" i="131"/>
  <c r="AP30" i="131"/>
  <c r="BB30" i="131"/>
  <c r="BN30" i="131"/>
  <c r="BZ30" i="131"/>
  <c r="CL30" i="131"/>
  <c r="CX30" i="131"/>
  <c r="I30" i="131"/>
  <c r="U30" i="131"/>
  <c r="AG30" i="131"/>
  <c r="AS30" i="131"/>
  <c r="BE30" i="131"/>
  <c r="BQ30" i="131"/>
  <c r="CC30" i="131"/>
  <c r="CO30" i="131"/>
  <c r="DA30" i="131"/>
  <c r="D8" i="131"/>
  <c r="D12" i="131" s="1"/>
  <c r="D16" i="131" s="1"/>
  <c r="D20" i="131" s="1"/>
  <c r="EQ30" i="131" l="1"/>
  <c r="E31" i="131"/>
  <c r="M46" i="121" l="1"/>
  <c r="AQ46" i="121"/>
  <c r="D15" i="12"/>
  <c r="D16" i="12"/>
  <c r="D17" i="12" s="1"/>
  <c r="D18" i="12" s="1"/>
  <c r="D19" i="12" s="1"/>
  <c r="D20" i="12" s="1"/>
  <c r="D21" i="12" s="1"/>
  <c r="D22" i="12" s="1"/>
  <c r="D23" i="12" s="1"/>
  <c r="D24" i="12" s="1"/>
  <c r="D25" i="12" s="1"/>
  <c r="D26" i="12" s="1"/>
  <c r="D27" i="12" s="1"/>
  <c r="C11" i="89" l="1"/>
  <c r="M85" i="121" l="1"/>
  <c r="F20" i="12" l="1"/>
  <c r="F19" i="12"/>
  <c r="F18" i="12"/>
  <c r="F17" i="12"/>
  <c r="F16" i="12"/>
  <c r="F15" i="12"/>
  <c r="F23" i="12"/>
  <c r="F22" i="12"/>
  <c r="F21" i="12"/>
  <c r="F14" i="12"/>
  <c r="F13" i="12"/>
  <c r="AQ101" i="121" l="1"/>
  <c r="L10" i="124" l="1"/>
  <c r="D53" i="127" l="1"/>
  <c r="F28" i="127"/>
  <c r="H28" i="127" s="1"/>
  <c r="G13" i="127"/>
  <c r="K75" i="121" l="1"/>
  <c r="K61" i="121"/>
  <c r="D46" i="127" l="1"/>
  <c r="K85" i="121"/>
  <c r="Y27" i="130"/>
  <c r="Z27" i="130"/>
  <c r="AA27" i="130"/>
  <c r="AB27" i="130"/>
  <c r="Z11" i="130"/>
  <c r="Z15" i="130"/>
  <c r="Z19" i="130"/>
  <c r="Z23" i="130"/>
  <c r="Z28" i="130"/>
  <c r="Z29" i="130"/>
  <c r="EP30" i="130"/>
  <c r="EO30" i="130"/>
  <c r="EN30" i="130"/>
  <c r="EM30" i="130"/>
  <c r="EL30" i="130"/>
  <c r="EK30" i="130"/>
  <c r="EJ30" i="130"/>
  <c r="EI30" i="130"/>
  <c r="EH30" i="130"/>
  <c r="EG30" i="130"/>
  <c r="EF30" i="130"/>
  <c r="EE30" i="130"/>
  <c r="ED30" i="130"/>
  <c r="EC30" i="130"/>
  <c r="EB30" i="130"/>
  <c r="EA30" i="130"/>
  <c r="DZ30" i="130"/>
  <c r="DY30" i="130"/>
  <c r="DX30" i="130"/>
  <c r="DW30" i="130"/>
  <c r="DV30" i="130"/>
  <c r="DU30" i="130"/>
  <c r="DT30" i="130"/>
  <c r="DS30" i="130"/>
  <c r="DR30" i="130"/>
  <c r="DQ30" i="130"/>
  <c r="DP30" i="130"/>
  <c r="DO30" i="130"/>
  <c r="DN30" i="130"/>
  <c r="DM30" i="130"/>
  <c r="DL30" i="130"/>
  <c r="DK30" i="130"/>
  <c r="DJ30" i="130"/>
  <c r="EP29" i="130"/>
  <c r="EO29" i="130"/>
  <c r="EN29" i="130"/>
  <c r="EM29" i="130"/>
  <c r="EL29" i="130"/>
  <c r="EK29" i="130"/>
  <c r="EJ29" i="130"/>
  <c r="EI29" i="130"/>
  <c r="EH29" i="130"/>
  <c r="EG29" i="130"/>
  <c r="EF29" i="130"/>
  <c r="EE29" i="130"/>
  <c r="ED29" i="130"/>
  <c r="EC29" i="130"/>
  <c r="EB29" i="130"/>
  <c r="EA29" i="130"/>
  <c r="DZ29" i="130"/>
  <c r="DY29" i="130"/>
  <c r="DX29" i="130"/>
  <c r="DW29" i="130"/>
  <c r="DV29" i="130"/>
  <c r="DU29" i="130"/>
  <c r="DT29" i="130"/>
  <c r="DS29" i="130"/>
  <c r="DR29" i="130"/>
  <c r="DQ29" i="130"/>
  <c r="DP29" i="130"/>
  <c r="DO29" i="130"/>
  <c r="DN29" i="130"/>
  <c r="DM29" i="130"/>
  <c r="DL29" i="130"/>
  <c r="DK29" i="130"/>
  <c r="DJ29" i="130"/>
  <c r="DI29" i="130"/>
  <c r="DH29" i="130"/>
  <c r="DG29" i="130"/>
  <c r="DF29" i="130"/>
  <c r="DE29" i="130"/>
  <c r="DD29" i="130"/>
  <c r="DC29" i="130"/>
  <c r="DB29" i="130"/>
  <c r="DA29" i="130"/>
  <c r="CZ29" i="130"/>
  <c r="CY29" i="130"/>
  <c r="CX29" i="130"/>
  <c r="CW29" i="130"/>
  <c r="CV29" i="130"/>
  <c r="CU29" i="130"/>
  <c r="CT29" i="130"/>
  <c r="CS29" i="130"/>
  <c r="CR29" i="130"/>
  <c r="CQ29" i="130"/>
  <c r="CP29" i="130"/>
  <c r="CO29" i="130"/>
  <c r="CN29" i="130"/>
  <c r="CM29" i="130"/>
  <c r="CL29" i="130"/>
  <c r="CK29" i="130"/>
  <c r="CJ29" i="130"/>
  <c r="CI29" i="130"/>
  <c r="CH29" i="130"/>
  <c r="CG29" i="130"/>
  <c r="CF29" i="130"/>
  <c r="CE29" i="130"/>
  <c r="CD29" i="130"/>
  <c r="CC29" i="130"/>
  <c r="CB29" i="130"/>
  <c r="CA29" i="130"/>
  <c r="BZ29" i="130"/>
  <c r="BY29" i="130"/>
  <c r="BX29" i="130"/>
  <c r="BW29" i="130"/>
  <c r="BV29" i="130"/>
  <c r="BU29" i="130"/>
  <c r="BT29" i="130"/>
  <c r="BS29" i="130"/>
  <c r="BR29" i="130"/>
  <c r="BQ29" i="130"/>
  <c r="BP29" i="130"/>
  <c r="BO29" i="130"/>
  <c r="BN29" i="130"/>
  <c r="BM29" i="130"/>
  <c r="BL29" i="130"/>
  <c r="BK29" i="130"/>
  <c r="BJ29" i="130"/>
  <c r="BI29" i="130"/>
  <c r="BH29" i="130"/>
  <c r="BG29" i="130"/>
  <c r="BF29" i="130"/>
  <c r="BE29" i="130"/>
  <c r="BD29" i="130"/>
  <c r="BC29" i="130"/>
  <c r="BB29" i="130"/>
  <c r="BA29" i="130"/>
  <c r="AZ29" i="130"/>
  <c r="AY29" i="130"/>
  <c r="AX29" i="130"/>
  <c r="AW29" i="130"/>
  <c r="AV29" i="130"/>
  <c r="AU29" i="130"/>
  <c r="AT29" i="130"/>
  <c r="AS29" i="130"/>
  <c r="AR29" i="130"/>
  <c r="AQ29" i="130"/>
  <c r="AP29" i="130"/>
  <c r="AO29" i="130"/>
  <c r="AN29" i="130"/>
  <c r="AM29" i="130"/>
  <c r="AL29" i="130"/>
  <c r="AK29" i="130"/>
  <c r="AJ29" i="130"/>
  <c r="AI29" i="130"/>
  <c r="AH29" i="130"/>
  <c r="AG29" i="130"/>
  <c r="AF29" i="130"/>
  <c r="AE29" i="130"/>
  <c r="AD29" i="130"/>
  <c r="AC29" i="130"/>
  <c r="AB29" i="130"/>
  <c r="AA29" i="130"/>
  <c r="Y29" i="130"/>
  <c r="X29" i="130"/>
  <c r="W29" i="130"/>
  <c r="V29" i="130"/>
  <c r="U29" i="130"/>
  <c r="T29" i="130"/>
  <c r="S29" i="130"/>
  <c r="R29" i="130"/>
  <c r="Q29" i="130"/>
  <c r="P29" i="130"/>
  <c r="O29" i="130"/>
  <c r="N29" i="130"/>
  <c r="M29" i="130"/>
  <c r="L29" i="130"/>
  <c r="K29" i="130"/>
  <c r="J29" i="130"/>
  <c r="I29" i="130"/>
  <c r="H29" i="130"/>
  <c r="G29" i="130"/>
  <c r="F29" i="130"/>
  <c r="E29" i="130"/>
  <c r="EP28" i="130"/>
  <c r="EO28" i="130"/>
  <c r="EN28" i="130"/>
  <c r="EM28" i="130"/>
  <c r="EL28" i="130"/>
  <c r="EK28" i="130"/>
  <c r="EJ28" i="130"/>
  <c r="EI28" i="130"/>
  <c r="EH28" i="130"/>
  <c r="EG28" i="130"/>
  <c r="EF28" i="130"/>
  <c r="EE28" i="130"/>
  <c r="ED28" i="130"/>
  <c r="EC28" i="130"/>
  <c r="EB28" i="130"/>
  <c r="EA28" i="130"/>
  <c r="DZ28" i="130"/>
  <c r="DY28" i="130"/>
  <c r="DX28" i="130"/>
  <c r="DW28" i="130"/>
  <c r="DV28" i="130"/>
  <c r="DU28" i="130"/>
  <c r="DT28" i="130"/>
  <c r="DS28" i="130"/>
  <c r="DR28" i="130"/>
  <c r="DQ28" i="130"/>
  <c r="DP28" i="130"/>
  <c r="DO28" i="130"/>
  <c r="DN28" i="130"/>
  <c r="DM28" i="130"/>
  <c r="DL28" i="130"/>
  <c r="DK28" i="130"/>
  <c r="DJ28" i="130"/>
  <c r="DI28" i="130"/>
  <c r="DH28" i="130"/>
  <c r="DG28" i="130"/>
  <c r="DF28" i="130"/>
  <c r="DE28" i="130"/>
  <c r="DD28" i="130"/>
  <c r="DC28" i="130"/>
  <c r="DB28" i="130"/>
  <c r="DA28" i="130"/>
  <c r="CZ28" i="130"/>
  <c r="CY28" i="130"/>
  <c r="CX28" i="130"/>
  <c r="CW28" i="130"/>
  <c r="CV28" i="130"/>
  <c r="CU28" i="130"/>
  <c r="CT28" i="130"/>
  <c r="CS28" i="130"/>
  <c r="CR28" i="130"/>
  <c r="CQ28" i="130"/>
  <c r="CP28" i="130"/>
  <c r="CO28" i="130"/>
  <c r="CN28" i="130"/>
  <c r="CM28" i="130"/>
  <c r="CL28" i="130"/>
  <c r="CK28" i="130"/>
  <c r="CJ28" i="130"/>
  <c r="CI28" i="130"/>
  <c r="CH28" i="130"/>
  <c r="CG28" i="130"/>
  <c r="CF28" i="130"/>
  <c r="CE28" i="130"/>
  <c r="CD28" i="130"/>
  <c r="CC28" i="130"/>
  <c r="CB28" i="130"/>
  <c r="CA28" i="130"/>
  <c r="BZ28" i="130"/>
  <c r="BY28" i="130"/>
  <c r="BX28" i="130"/>
  <c r="BW28" i="130"/>
  <c r="BV28" i="130"/>
  <c r="BU28" i="130"/>
  <c r="BT28" i="130"/>
  <c r="BS28" i="130"/>
  <c r="BR28" i="130"/>
  <c r="BQ28" i="130"/>
  <c r="BP28" i="130"/>
  <c r="BO28" i="130"/>
  <c r="BN28" i="130"/>
  <c r="BM28" i="130"/>
  <c r="BL28" i="130"/>
  <c r="BK28" i="130"/>
  <c r="BJ28" i="130"/>
  <c r="BI28" i="130"/>
  <c r="BH28" i="130"/>
  <c r="BG28" i="130"/>
  <c r="BF28" i="130"/>
  <c r="BE28" i="130"/>
  <c r="BD28" i="130"/>
  <c r="BC28" i="130"/>
  <c r="BB28" i="130"/>
  <c r="BA28" i="130"/>
  <c r="AZ28" i="130"/>
  <c r="AY28" i="130"/>
  <c r="AX28" i="130"/>
  <c r="AW28" i="130"/>
  <c r="AV28" i="130"/>
  <c r="AU28" i="130"/>
  <c r="AT28" i="130"/>
  <c r="AS28" i="130"/>
  <c r="AR28" i="130"/>
  <c r="AQ28" i="130"/>
  <c r="AP28" i="130"/>
  <c r="AO28" i="130"/>
  <c r="AN28" i="130"/>
  <c r="AM28" i="130"/>
  <c r="AL28" i="130"/>
  <c r="AK28" i="130"/>
  <c r="AJ28" i="130"/>
  <c r="AI28" i="130"/>
  <c r="AH28" i="130"/>
  <c r="AG28" i="130"/>
  <c r="AF28" i="130"/>
  <c r="AE28" i="130"/>
  <c r="AD28" i="130"/>
  <c r="AC28" i="130"/>
  <c r="AB28" i="130"/>
  <c r="AA28" i="130"/>
  <c r="Y28" i="130"/>
  <c r="X28" i="130"/>
  <c r="W28" i="130"/>
  <c r="V28" i="130"/>
  <c r="U28" i="130"/>
  <c r="T28" i="130"/>
  <c r="S28" i="130"/>
  <c r="R28" i="130"/>
  <c r="Q28" i="130"/>
  <c r="P28" i="130"/>
  <c r="O28" i="130"/>
  <c r="N28" i="130"/>
  <c r="M28" i="130"/>
  <c r="L28" i="130"/>
  <c r="K28" i="130"/>
  <c r="J28" i="130"/>
  <c r="I28" i="130"/>
  <c r="H28" i="130"/>
  <c r="G28" i="130"/>
  <c r="F28" i="130"/>
  <c r="E28" i="130"/>
  <c r="DI27" i="130"/>
  <c r="DH27" i="130"/>
  <c r="DG27" i="130"/>
  <c r="DF27" i="130"/>
  <c r="DE27" i="130"/>
  <c r="DD27" i="130"/>
  <c r="DC27" i="130"/>
  <c r="DB27" i="130"/>
  <c r="DA27" i="130"/>
  <c r="CZ27" i="130"/>
  <c r="CY27" i="130"/>
  <c r="CX27" i="130"/>
  <c r="CW27" i="130"/>
  <c r="CV27" i="130"/>
  <c r="CU27" i="130"/>
  <c r="CT27" i="130"/>
  <c r="CS27" i="130"/>
  <c r="CR27" i="130"/>
  <c r="CQ27" i="130"/>
  <c r="CP27" i="130"/>
  <c r="CO27" i="130"/>
  <c r="CN27" i="130"/>
  <c r="CM27" i="130"/>
  <c r="CL27" i="130"/>
  <c r="CK27" i="130"/>
  <c r="CJ27" i="130"/>
  <c r="CI27" i="130"/>
  <c r="CH27" i="130"/>
  <c r="CG27" i="130"/>
  <c r="CF27" i="130"/>
  <c r="CE27" i="130"/>
  <c r="CD27" i="130"/>
  <c r="CC27" i="130"/>
  <c r="CB27" i="130"/>
  <c r="CA27" i="130"/>
  <c r="BZ27" i="130"/>
  <c r="BY27" i="130"/>
  <c r="BX27" i="130"/>
  <c r="BW27" i="130"/>
  <c r="BV27" i="130"/>
  <c r="BU27" i="130"/>
  <c r="BT27" i="130"/>
  <c r="BS27" i="130"/>
  <c r="BR27" i="130"/>
  <c r="BQ27" i="130"/>
  <c r="BP27" i="130"/>
  <c r="BO27" i="130"/>
  <c r="BN27" i="130"/>
  <c r="BM27" i="130"/>
  <c r="BL27" i="130"/>
  <c r="BK27" i="130"/>
  <c r="BJ27" i="130"/>
  <c r="BI27" i="130"/>
  <c r="BH27" i="130"/>
  <c r="BG27" i="130"/>
  <c r="BF27" i="130"/>
  <c r="BE27" i="130"/>
  <c r="BD27" i="130"/>
  <c r="BC27" i="130"/>
  <c r="BB27" i="130"/>
  <c r="BA27" i="130"/>
  <c r="AZ27" i="130"/>
  <c r="AY27" i="130"/>
  <c r="AX27" i="130"/>
  <c r="AW27" i="130"/>
  <c r="AV27" i="130"/>
  <c r="AU27" i="130"/>
  <c r="AT27" i="130"/>
  <c r="AS27" i="130"/>
  <c r="AR27" i="130"/>
  <c r="AQ27" i="130"/>
  <c r="AP27" i="130"/>
  <c r="AO27" i="130"/>
  <c r="AN27" i="130"/>
  <c r="AM27" i="130"/>
  <c r="AL27" i="130"/>
  <c r="AK27" i="130"/>
  <c r="AJ27" i="130"/>
  <c r="AI27" i="130"/>
  <c r="AH27" i="130"/>
  <c r="AG27" i="130"/>
  <c r="AF27" i="130"/>
  <c r="AE27" i="130"/>
  <c r="AD27" i="130"/>
  <c r="AC27" i="130"/>
  <c r="X27" i="130"/>
  <c r="W27" i="130"/>
  <c r="V27" i="130"/>
  <c r="U27" i="130"/>
  <c r="T27" i="130"/>
  <c r="S27" i="130"/>
  <c r="R27" i="130"/>
  <c r="Q27" i="130"/>
  <c r="P27" i="130"/>
  <c r="O27" i="130"/>
  <c r="N27" i="130"/>
  <c r="M27" i="130"/>
  <c r="L27" i="130"/>
  <c r="K27" i="130"/>
  <c r="J27" i="130"/>
  <c r="I27" i="130"/>
  <c r="H27" i="130"/>
  <c r="G27" i="130"/>
  <c r="F27" i="130"/>
  <c r="E27" i="130"/>
  <c r="DI23" i="130"/>
  <c r="DH23" i="130"/>
  <c r="DG23" i="130"/>
  <c r="DF23" i="130"/>
  <c r="DE23" i="130"/>
  <c r="DD23" i="130"/>
  <c r="DC23" i="130"/>
  <c r="DB23" i="130"/>
  <c r="DA23" i="130"/>
  <c r="CZ23" i="130"/>
  <c r="CY23" i="130"/>
  <c r="CX23" i="130"/>
  <c r="CW23" i="130"/>
  <c r="CV23" i="130"/>
  <c r="CU23" i="130"/>
  <c r="CT23" i="130"/>
  <c r="CS23" i="130"/>
  <c r="CR23" i="130"/>
  <c r="CQ23" i="130"/>
  <c r="CP23" i="130"/>
  <c r="CO23" i="130"/>
  <c r="CN23" i="130"/>
  <c r="CM23" i="130"/>
  <c r="CL23" i="130"/>
  <c r="CK23" i="130"/>
  <c r="CJ23" i="130"/>
  <c r="CI23" i="130"/>
  <c r="CH23" i="130"/>
  <c r="CG23" i="130"/>
  <c r="CF23" i="130"/>
  <c r="CE23" i="130"/>
  <c r="CD23" i="130"/>
  <c r="CC23" i="130"/>
  <c r="CB23" i="130"/>
  <c r="CA23" i="130"/>
  <c r="BZ23" i="130"/>
  <c r="BY23" i="130"/>
  <c r="BX23" i="130"/>
  <c r="BW23" i="130"/>
  <c r="BV23" i="130"/>
  <c r="BU23" i="130"/>
  <c r="BT23" i="130"/>
  <c r="BS23" i="130"/>
  <c r="BR23" i="130"/>
  <c r="BQ23" i="130"/>
  <c r="BP23" i="130"/>
  <c r="BO23" i="130"/>
  <c r="BN23" i="130"/>
  <c r="BM23" i="130"/>
  <c r="BL23" i="130"/>
  <c r="BK23" i="130"/>
  <c r="BJ23" i="130"/>
  <c r="BI23" i="130"/>
  <c r="BH23" i="130"/>
  <c r="BG23" i="130"/>
  <c r="BF23" i="130"/>
  <c r="BE23" i="130"/>
  <c r="BD23" i="130"/>
  <c r="BC23" i="130"/>
  <c r="BB23" i="130"/>
  <c r="BA23" i="130"/>
  <c r="AZ23" i="130"/>
  <c r="AY23" i="130"/>
  <c r="AX23" i="130"/>
  <c r="AW23" i="130"/>
  <c r="AV23" i="130"/>
  <c r="AU23" i="130"/>
  <c r="AT23" i="130"/>
  <c r="AS23" i="130"/>
  <c r="AR23" i="130"/>
  <c r="AQ23" i="130"/>
  <c r="AP23" i="130"/>
  <c r="AO23" i="130"/>
  <c r="AN23" i="130"/>
  <c r="AM23" i="130"/>
  <c r="AL23" i="130"/>
  <c r="AK23" i="130"/>
  <c r="AJ23" i="130"/>
  <c r="AI23" i="130"/>
  <c r="AH23" i="130"/>
  <c r="AG23" i="130"/>
  <c r="AF23" i="130"/>
  <c r="AE23" i="130"/>
  <c r="AD23" i="130"/>
  <c r="AC23" i="130"/>
  <c r="AB23" i="130"/>
  <c r="AA23" i="130"/>
  <c r="Y23" i="130"/>
  <c r="X23" i="130"/>
  <c r="W23" i="130"/>
  <c r="V23" i="130"/>
  <c r="U23" i="130"/>
  <c r="T23" i="130"/>
  <c r="S23" i="130"/>
  <c r="R23" i="130"/>
  <c r="Q23" i="130"/>
  <c r="P23" i="130"/>
  <c r="O23" i="130"/>
  <c r="N23" i="130"/>
  <c r="M23" i="130"/>
  <c r="L23" i="130"/>
  <c r="K23" i="130"/>
  <c r="J23" i="130"/>
  <c r="I23" i="130"/>
  <c r="H23" i="130"/>
  <c r="G23" i="130"/>
  <c r="F23" i="130"/>
  <c r="E23" i="130"/>
  <c r="DI19" i="130"/>
  <c r="DH19" i="130"/>
  <c r="DG19" i="130"/>
  <c r="DF19" i="130"/>
  <c r="DE19" i="130"/>
  <c r="DD19" i="130"/>
  <c r="DC19" i="130"/>
  <c r="DB19" i="130"/>
  <c r="DA19" i="130"/>
  <c r="CZ19" i="130"/>
  <c r="CY19" i="130"/>
  <c r="CX19" i="130"/>
  <c r="CW19" i="130"/>
  <c r="CV19" i="130"/>
  <c r="CU19" i="130"/>
  <c r="CT19" i="130"/>
  <c r="CS19" i="130"/>
  <c r="CR19" i="130"/>
  <c r="CQ19" i="130"/>
  <c r="CP19" i="130"/>
  <c r="CO19" i="130"/>
  <c r="CN19" i="130"/>
  <c r="CM19" i="130"/>
  <c r="CL19" i="130"/>
  <c r="CK19" i="130"/>
  <c r="CJ19" i="130"/>
  <c r="CI19" i="130"/>
  <c r="CH19" i="130"/>
  <c r="CG19" i="130"/>
  <c r="CF19" i="130"/>
  <c r="CE19" i="130"/>
  <c r="CD19" i="130"/>
  <c r="CC19" i="130"/>
  <c r="CB19" i="130"/>
  <c r="CA19" i="130"/>
  <c r="BZ19" i="130"/>
  <c r="BY19" i="130"/>
  <c r="BX19" i="130"/>
  <c r="BW19" i="130"/>
  <c r="BV19" i="130"/>
  <c r="BU19" i="130"/>
  <c r="BT19" i="130"/>
  <c r="BS19" i="130"/>
  <c r="BR19" i="130"/>
  <c r="BQ19" i="130"/>
  <c r="BP19" i="130"/>
  <c r="BO19" i="130"/>
  <c r="BN19" i="130"/>
  <c r="BM19" i="130"/>
  <c r="BL19" i="130"/>
  <c r="BK19" i="130"/>
  <c r="BJ19" i="130"/>
  <c r="BI19" i="130"/>
  <c r="BH19" i="130"/>
  <c r="BG19" i="130"/>
  <c r="BF19" i="130"/>
  <c r="BE19" i="130"/>
  <c r="BD19" i="130"/>
  <c r="BC19" i="130"/>
  <c r="BB19" i="130"/>
  <c r="BA19" i="130"/>
  <c r="AZ19" i="130"/>
  <c r="AY19" i="130"/>
  <c r="AX19" i="130"/>
  <c r="AW19" i="130"/>
  <c r="AV19" i="130"/>
  <c r="AU19" i="130"/>
  <c r="AT19" i="130"/>
  <c r="AS19" i="130"/>
  <c r="AR19" i="130"/>
  <c r="AQ19" i="130"/>
  <c r="AP19" i="130"/>
  <c r="AO19" i="130"/>
  <c r="AN19" i="130"/>
  <c r="AM19" i="130"/>
  <c r="AL19" i="130"/>
  <c r="AK19" i="130"/>
  <c r="AJ19" i="130"/>
  <c r="AI19" i="130"/>
  <c r="AH19" i="130"/>
  <c r="AG19" i="130"/>
  <c r="AF19" i="130"/>
  <c r="AE19" i="130"/>
  <c r="AD19" i="130"/>
  <c r="AC19" i="130"/>
  <c r="AB19" i="130"/>
  <c r="AA19" i="130"/>
  <c r="Y19" i="130"/>
  <c r="X19" i="130"/>
  <c r="W19" i="130"/>
  <c r="V19" i="130"/>
  <c r="U19" i="130"/>
  <c r="T19" i="130"/>
  <c r="S19" i="130"/>
  <c r="R19" i="130"/>
  <c r="Q19" i="130"/>
  <c r="P19" i="130"/>
  <c r="O19" i="130"/>
  <c r="N19" i="130"/>
  <c r="M19" i="130"/>
  <c r="L19" i="130"/>
  <c r="K19" i="130"/>
  <c r="J19" i="130"/>
  <c r="I19" i="130"/>
  <c r="H19" i="130"/>
  <c r="G19" i="130"/>
  <c r="F19" i="130"/>
  <c r="E19" i="130"/>
  <c r="DI15" i="130"/>
  <c r="DH15" i="130"/>
  <c r="DG15" i="130"/>
  <c r="DF15" i="130"/>
  <c r="DE15" i="130"/>
  <c r="DD15" i="130"/>
  <c r="DC15" i="130"/>
  <c r="DB15" i="130"/>
  <c r="DA15" i="130"/>
  <c r="DA30" i="130" s="1"/>
  <c r="CZ15" i="130"/>
  <c r="CZ30" i="130" s="1"/>
  <c r="CY15" i="130"/>
  <c r="CX15" i="130"/>
  <c r="CW15" i="130"/>
  <c r="CV15" i="130"/>
  <c r="CU15" i="130"/>
  <c r="CT15" i="130"/>
  <c r="CS15" i="130"/>
  <c r="CR15" i="130"/>
  <c r="CQ15" i="130"/>
  <c r="CP15" i="130"/>
  <c r="CO15" i="130"/>
  <c r="CN15" i="130"/>
  <c r="CM15" i="130"/>
  <c r="CL15" i="130"/>
  <c r="CK15" i="130"/>
  <c r="CJ15" i="130"/>
  <c r="CI15" i="130"/>
  <c r="CH15" i="130"/>
  <c r="CG15" i="130"/>
  <c r="CF15" i="130"/>
  <c r="CE15" i="130"/>
  <c r="CD15" i="130"/>
  <c r="CC15" i="130"/>
  <c r="CB15" i="130"/>
  <c r="CA15" i="130"/>
  <c r="BZ15" i="130"/>
  <c r="BY15" i="130"/>
  <c r="BX15" i="130"/>
  <c r="BW15" i="130"/>
  <c r="BV15" i="130"/>
  <c r="BU15" i="130"/>
  <c r="BT15" i="130"/>
  <c r="BS15" i="130"/>
  <c r="BR15" i="130"/>
  <c r="BQ15" i="130"/>
  <c r="BP15" i="130"/>
  <c r="BO15" i="130"/>
  <c r="BN15" i="130"/>
  <c r="BM15" i="130"/>
  <c r="BL15" i="130"/>
  <c r="BK15" i="130"/>
  <c r="BJ15" i="130"/>
  <c r="BI15" i="130"/>
  <c r="BH15" i="130"/>
  <c r="BG15" i="130"/>
  <c r="BF15" i="130"/>
  <c r="BE15" i="130"/>
  <c r="BD15" i="130"/>
  <c r="BC15" i="130"/>
  <c r="BB15" i="130"/>
  <c r="BA15" i="130"/>
  <c r="AZ15" i="130"/>
  <c r="AY15" i="130"/>
  <c r="AX15" i="130"/>
  <c r="AW15" i="130"/>
  <c r="AV15" i="130"/>
  <c r="AU15" i="130"/>
  <c r="AT15" i="130"/>
  <c r="AS15" i="130"/>
  <c r="AR15" i="130"/>
  <c r="AQ15" i="130"/>
  <c r="AP15" i="130"/>
  <c r="AO15" i="130"/>
  <c r="AN15" i="130"/>
  <c r="AM15" i="130"/>
  <c r="AL15" i="130"/>
  <c r="AK15" i="130"/>
  <c r="AJ15" i="130"/>
  <c r="AI15" i="130"/>
  <c r="AH15" i="130"/>
  <c r="AG15" i="130"/>
  <c r="AF15" i="130"/>
  <c r="AE15" i="130"/>
  <c r="AD15" i="130"/>
  <c r="AC15" i="130"/>
  <c r="AB15" i="130"/>
  <c r="AA15" i="130"/>
  <c r="Y15" i="130"/>
  <c r="X15" i="130"/>
  <c r="W15" i="130"/>
  <c r="V15" i="130"/>
  <c r="U15" i="130"/>
  <c r="T15" i="130"/>
  <c r="S15" i="130"/>
  <c r="R15" i="130"/>
  <c r="Q15" i="130"/>
  <c r="P15" i="130"/>
  <c r="O15" i="130"/>
  <c r="N15" i="130"/>
  <c r="M15" i="130"/>
  <c r="L15" i="130"/>
  <c r="K15" i="130"/>
  <c r="J15" i="130"/>
  <c r="I15" i="130"/>
  <c r="H15" i="130"/>
  <c r="G15" i="130"/>
  <c r="F15" i="130"/>
  <c r="E15" i="130"/>
  <c r="DI11" i="130"/>
  <c r="DI30" i="130" s="1"/>
  <c r="DH11" i="130"/>
  <c r="DH30" i="130" s="1"/>
  <c r="DG11" i="130"/>
  <c r="DG30" i="130" s="1"/>
  <c r="DF11" i="130"/>
  <c r="DF30" i="130" s="1"/>
  <c r="DE11" i="130"/>
  <c r="DD11" i="130"/>
  <c r="DC11" i="130"/>
  <c r="DB11" i="130"/>
  <c r="DA11" i="130"/>
  <c r="CZ11" i="130"/>
  <c r="CY11" i="130"/>
  <c r="CY30" i="130" s="1"/>
  <c r="CX11" i="130"/>
  <c r="CX30" i="130" s="1"/>
  <c r="CW11" i="130"/>
  <c r="CW30" i="130" s="1"/>
  <c r="CV11" i="130"/>
  <c r="CV30" i="130" s="1"/>
  <c r="CU11" i="130"/>
  <c r="CU30" i="130" s="1"/>
  <c r="CT11" i="130"/>
  <c r="CT30" i="130" s="1"/>
  <c r="CS11" i="130"/>
  <c r="CR11" i="130"/>
  <c r="CQ11" i="130"/>
  <c r="CP11" i="130"/>
  <c r="CO11" i="130"/>
  <c r="CO30" i="130" s="1"/>
  <c r="CN11" i="130"/>
  <c r="CN30" i="130" s="1"/>
  <c r="CM11" i="130"/>
  <c r="CM30" i="130" s="1"/>
  <c r="CL11" i="130"/>
  <c r="CL30" i="130" s="1"/>
  <c r="CK11" i="130"/>
  <c r="CK30" i="130" s="1"/>
  <c r="CJ11" i="130"/>
  <c r="CJ30" i="130" s="1"/>
  <c r="CI11" i="130"/>
  <c r="CI30" i="130" s="1"/>
  <c r="CH11" i="130"/>
  <c r="CH30" i="130" s="1"/>
  <c r="CG11" i="130"/>
  <c r="CF11" i="130"/>
  <c r="CE11" i="130"/>
  <c r="CD11" i="130"/>
  <c r="CC11" i="130"/>
  <c r="CC30" i="130" s="1"/>
  <c r="CB11" i="130"/>
  <c r="CB30" i="130" s="1"/>
  <c r="CA11" i="130"/>
  <c r="CA30" i="130" s="1"/>
  <c r="BZ11" i="130"/>
  <c r="BZ30" i="130" s="1"/>
  <c r="BY11" i="130"/>
  <c r="BY30" i="130" s="1"/>
  <c r="BX11" i="130"/>
  <c r="BX30" i="130" s="1"/>
  <c r="BW11" i="130"/>
  <c r="BW30" i="130" s="1"/>
  <c r="BV11" i="130"/>
  <c r="BV30" i="130" s="1"/>
  <c r="BU11" i="130"/>
  <c r="BT11" i="130"/>
  <c r="BS11" i="130"/>
  <c r="BR11" i="130"/>
  <c r="BQ11" i="130"/>
  <c r="BQ30" i="130" s="1"/>
  <c r="BP11" i="130"/>
  <c r="BP30" i="130" s="1"/>
  <c r="BO11" i="130"/>
  <c r="BO30" i="130" s="1"/>
  <c r="BN11" i="130"/>
  <c r="BN30" i="130" s="1"/>
  <c r="BM11" i="130"/>
  <c r="BL11" i="130"/>
  <c r="BL30" i="130" s="1"/>
  <c r="BK11" i="130"/>
  <c r="BK30" i="130" s="1"/>
  <c r="BJ11" i="130"/>
  <c r="BI11" i="130"/>
  <c r="BH11" i="130"/>
  <c r="BG11" i="130"/>
  <c r="BF11" i="130"/>
  <c r="BE11" i="130"/>
  <c r="BE30" i="130" s="1"/>
  <c r="BD11" i="130"/>
  <c r="BD30" i="130" s="1"/>
  <c r="BC11" i="130"/>
  <c r="BC30" i="130" s="1"/>
  <c r="BB11" i="130"/>
  <c r="BB30" i="130" s="1"/>
  <c r="BA11" i="130"/>
  <c r="BA30" i="130" s="1"/>
  <c r="AZ11" i="130"/>
  <c r="AZ30" i="130" s="1"/>
  <c r="AY11" i="130"/>
  <c r="AY30" i="130" s="1"/>
  <c r="AX11" i="130"/>
  <c r="AX30" i="130" s="1"/>
  <c r="AW11" i="130"/>
  <c r="AV11" i="130"/>
  <c r="AU11" i="130"/>
  <c r="AT11" i="130"/>
  <c r="AS11" i="130"/>
  <c r="AS30" i="130" s="1"/>
  <c r="AR11" i="130"/>
  <c r="AQ11" i="130"/>
  <c r="AQ30" i="130" s="1"/>
  <c r="AP11" i="130"/>
  <c r="AP30" i="130" s="1"/>
  <c r="AO11" i="130"/>
  <c r="AO30" i="130" s="1"/>
  <c r="AN11" i="130"/>
  <c r="AN30" i="130" s="1"/>
  <c r="AM11" i="130"/>
  <c r="AM30" i="130" s="1"/>
  <c r="AL11" i="130"/>
  <c r="AL30" i="130" s="1"/>
  <c r="AK11" i="130"/>
  <c r="AJ11" i="130"/>
  <c r="AI11" i="130"/>
  <c r="AH11" i="130"/>
  <c r="AG11" i="130"/>
  <c r="AG30" i="130" s="1"/>
  <c r="AF11" i="130"/>
  <c r="AF30" i="130" s="1"/>
  <c r="AE11" i="130"/>
  <c r="AE30" i="130" s="1"/>
  <c r="AD11" i="130"/>
  <c r="AD30" i="130" s="1"/>
  <c r="AC11" i="130"/>
  <c r="AC30" i="130" s="1"/>
  <c r="AB11" i="130"/>
  <c r="AB30" i="130" s="1"/>
  <c r="AA11" i="130"/>
  <c r="AA30" i="130" s="1"/>
  <c r="Y11" i="130"/>
  <c r="Y30" i="130" s="1"/>
  <c r="X11" i="130"/>
  <c r="W11" i="130"/>
  <c r="V11" i="130"/>
  <c r="U11" i="130"/>
  <c r="T11" i="130"/>
  <c r="T30" i="130" s="1"/>
  <c r="S11" i="130"/>
  <c r="S30" i="130" s="1"/>
  <c r="R11" i="130"/>
  <c r="R30" i="130" s="1"/>
  <c r="Q11" i="130"/>
  <c r="Q30" i="130" s="1"/>
  <c r="P11" i="130"/>
  <c r="P30" i="130" s="1"/>
  <c r="O11" i="130"/>
  <c r="O30" i="130" s="1"/>
  <c r="N11" i="130"/>
  <c r="N30" i="130" s="1"/>
  <c r="M11" i="130"/>
  <c r="M30" i="130" s="1"/>
  <c r="L11" i="130"/>
  <c r="K11" i="130"/>
  <c r="J11" i="130"/>
  <c r="I11" i="130"/>
  <c r="H11" i="130"/>
  <c r="H30" i="130" s="1"/>
  <c r="G11" i="130"/>
  <c r="G30" i="130" s="1"/>
  <c r="F11" i="130"/>
  <c r="F30" i="130" s="1"/>
  <c r="E11" i="130"/>
  <c r="E30" i="130" s="1"/>
  <c r="E31" i="130" s="1"/>
  <c r="B8" i="130"/>
  <c r="B12" i="130" s="1"/>
  <c r="B16" i="130" s="1"/>
  <c r="B20" i="130" s="1"/>
  <c r="Y23" i="129"/>
  <c r="Y30" i="129"/>
  <c r="Y29" i="129"/>
  <c r="Y28" i="129"/>
  <c r="AD12" i="123"/>
  <c r="AE12" i="123"/>
  <c r="AF12" i="123"/>
  <c r="AG12" i="123"/>
  <c r="AH12" i="123"/>
  <c r="AI12" i="123"/>
  <c r="AJ12" i="123"/>
  <c r="AK12" i="123"/>
  <c r="AL12" i="123"/>
  <c r="AM12" i="123"/>
  <c r="AN12" i="123"/>
  <c r="AO12" i="123"/>
  <c r="AP12" i="123"/>
  <c r="P61" i="121"/>
  <c r="Y19" i="129"/>
  <c r="Y15" i="129"/>
  <c r="Y11" i="129"/>
  <c r="Z11" i="129"/>
  <c r="AR30" i="130" l="1"/>
  <c r="BJ30" i="130"/>
  <c r="BM30" i="130"/>
  <c r="Z30" i="130"/>
  <c r="I30" i="130"/>
  <c r="AH30" i="130"/>
  <c r="BF30" i="130"/>
  <c r="CD30" i="130"/>
  <c r="DB30" i="130"/>
  <c r="J30" i="130"/>
  <c r="AI30" i="130"/>
  <c r="BG30" i="130"/>
  <c r="CE30" i="130"/>
  <c r="DC30" i="130"/>
  <c r="W30" i="130"/>
  <c r="AV30" i="130"/>
  <c r="BT30" i="130"/>
  <c r="CR30" i="130"/>
  <c r="X30" i="130"/>
  <c r="AK30" i="130"/>
  <c r="AW30" i="130"/>
  <c r="BI30" i="130"/>
  <c r="BU30" i="130"/>
  <c r="CG30" i="130"/>
  <c r="CS30" i="130"/>
  <c r="DE30" i="130"/>
  <c r="U30" i="130"/>
  <c r="AT30" i="130"/>
  <c r="BR30" i="130"/>
  <c r="CP30" i="130"/>
  <c r="V30" i="130"/>
  <c r="AU30" i="130"/>
  <c r="BS30" i="130"/>
  <c r="CQ30" i="130"/>
  <c r="K30" i="130"/>
  <c r="AJ30" i="130"/>
  <c r="BH30" i="130"/>
  <c r="CF30" i="130"/>
  <c r="DD30" i="130"/>
  <c r="L30" i="130"/>
  <c r="D8" i="130"/>
  <c r="D12" i="130" s="1"/>
  <c r="D16" i="130" s="1"/>
  <c r="D20" i="130" s="1"/>
  <c r="EQ30" i="130" l="1"/>
  <c r="C9" i="89"/>
  <c r="K106" i="121"/>
  <c r="D15" i="10" l="1"/>
  <c r="D11" i="10"/>
  <c r="D10" i="10"/>
  <c r="E10" i="10" s="1"/>
  <c r="D9" i="10"/>
  <c r="E9" i="10" s="1"/>
  <c r="C13" i="10"/>
  <c r="F13" i="10"/>
  <c r="E13" i="10"/>
  <c r="D13" i="10"/>
  <c r="H111" i="121"/>
  <c r="G111" i="121"/>
  <c r="H109" i="121"/>
  <c r="F109" i="121"/>
  <c r="H62" i="121"/>
  <c r="G62" i="121"/>
  <c r="F62" i="121"/>
  <c r="H105" i="121"/>
  <c r="H28" i="123"/>
  <c r="G28" i="123"/>
  <c r="F28" i="123"/>
  <c r="F14" i="10"/>
  <c r="G41" i="121"/>
  <c r="H104" i="121"/>
  <c r="H31" i="121"/>
  <c r="H94" i="121"/>
  <c r="G94" i="121"/>
  <c r="H75" i="121"/>
  <c r="G75" i="121"/>
  <c r="F7" i="84"/>
  <c r="D7" i="84"/>
  <c r="AA4" i="84"/>
  <c r="D6" i="84"/>
  <c r="E5" i="84"/>
  <c r="D5" i="84"/>
  <c r="EO30" i="129"/>
  <c r="EN30" i="129"/>
  <c r="EM30" i="129"/>
  <c r="EL30" i="129"/>
  <c r="EK30" i="129"/>
  <c r="EJ30" i="129"/>
  <c r="EI30" i="129"/>
  <c r="EH30" i="129"/>
  <c r="EG30" i="129"/>
  <c r="EF30" i="129"/>
  <c r="EE30" i="129"/>
  <c r="ED30" i="129"/>
  <c r="EC30" i="129"/>
  <c r="EB30" i="129"/>
  <c r="EA30" i="129"/>
  <c r="DZ30" i="129"/>
  <c r="DY30" i="129"/>
  <c r="DX30" i="129"/>
  <c r="DW30" i="129"/>
  <c r="DV30" i="129"/>
  <c r="DU30" i="129"/>
  <c r="DT30" i="129"/>
  <c r="DS30" i="129"/>
  <c r="DR30" i="129"/>
  <c r="DQ30" i="129"/>
  <c r="DP30" i="129"/>
  <c r="DO30" i="129"/>
  <c r="DN30" i="129"/>
  <c r="DM30" i="129"/>
  <c r="DL30" i="129"/>
  <c r="DK30" i="129"/>
  <c r="DJ30" i="129"/>
  <c r="DI30" i="129"/>
  <c r="EO29" i="129"/>
  <c r="EN29" i="129"/>
  <c r="EM29" i="129"/>
  <c r="EL29" i="129"/>
  <c r="EK29" i="129"/>
  <c r="EJ29" i="129"/>
  <c r="EI29" i="129"/>
  <c r="EH29" i="129"/>
  <c r="EG29" i="129"/>
  <c r="EF29" i="129"/>
  <c r="EE29" i="129"/>
  <c r="ED29" i="129"/>
  <c r="EC29" i="129"/>
  <c r="EB29" i="129"/>
  <c r="EA29" i="129"/>
  <c r="DZ29" i="129"/>
  <c r="DY29" i="129"/>
  <c r="DX29" i="129"/>
  <c r="DW29" i="129"/>
  <c r="DV29" i="129"/>
  <c r="DU29" i="129"/>
  <c r="DT29" i="129"/>
  <c r="DS29" i="129"/>
  <c r="DR29" i="129"/>
  <c r="DQ29" i="129"/>
  <c r="DP29" i="129"/>
  <c r="DO29" i="129"/>
  <c r="DN29" i="129"/>
  <c r="DM29" i="129"/>
  <c r="DL29" i="129"/>
  <c r="DK29" i="129"/>
  <c r="DJ29" i="129"/>
  <c r="DI29" i="129"/>
  <c r="DH29" i="129"/>
  <c r="DG29" i="129"/>
  <c r="DF29" i="129"/>
  <c r="DE29" i="129"/>
  <c r="DD29" i="129"/>
  <c r="DC29" i="129"/>
  <c r="DB29" i="129"/>
  <c r="DA29" i="129"/>
  <c r="CZ29" i="129"/>
  <c r="CY29" i="129"/>
  <c r="CX29" i="129"/>
  <c r="CW29" i="129"/>
  <c r="CV29" i="129"/>
  <c r="CU29" i="129"/>
  <c r="CT29" i="129"/>
  <c r="CS29" i="129"/>
  <c r="CR29" i="129"/>
  <c r="CQ29" i="129"/>
  <c r="CP29" i="129"/>
  <c r="CO29" i="129"/>
  <c r="CN29" i="129"/>
  <c r="CM29" i="129"/>
  <c r="CL29" i="129"/>
  <c r="CK29" i="129"/>
  <c r="CJ29" i="129"/>
  <c r="CI29" i="129"/>
  <c r="CH29" i="129"/>
  <c r="CG29" i="129"/>
  <c r="CF29" i="129"/>
  <c r="CE29" i="129"/>
  <c r="CD29" i="129"/>
  <c r="CC29" i="129"/>
  <c r="CB29" i="129"/>
  <c r="CA29" i="129"/>
  <c r="BZ29" i="129"/>
  <c r="BY29" i="129"/>
  <c r="BX29" i="129"/>
  <c r="BW29" i="129"/>
  <c r="BV29" i="129"/>
  <c r="BU29" i="129"/>
  <c r="BT29" i="129"/>
  <c r="BS29" i="129"/>
  <c r="BR29" i="129"/>
  <c r="BQ29" i="129"/>
  <c r="BP29" i="129"/>
  <c r="BO29" i="129"/>
  <c r="BN29" i="129"/>
  <c r="BM29" i="129"/>
  <c r="BL29" i="129"/>
  <c r="BK29" i="129"/>
  <c r="BJ29" i="129"/>
  <c r="BI29" i="129"/>
  <c r="BH29" i="129"/>
  <c r="BG29" i="129"/>
  <c r="BF29" i="129"/>
  <c r="BE29" i="129"/>
  <c r="BD29" i="129"/>
  <c r="BC29" i="129"/>
  <c r="BB29" i="129"/>
  <c r="BA29" i="129"/>
  <c r="AZ29" i="129"/>
  <c r="AY29" i="129"/>
  <c r="AX29" i="129"/>
  <c r="AW29" i="129"/>
  <c r="AV29" i="129"/>
  <c r="AU29" i="129"/>
  <c r="AT29" i="129"/>
  <c r="AS29" i="129"/>
  <c r="AR29" i="129"/>
  <c r="AQ29" i="129"/>
  <c r="AP29" i="129"/>
  <c r="AO29" i="129"/>
  <c r="AN29" i="129"/>
  <c r="AM29" i="129"/>
  <c r="AL29" i="129"/>
  <c r="AK29" i="129"/>
  <c r="AJ29" i="129"/>
  <c r="AI29" i="129"/>
  <c r="AH29" i="129"/>
  <c r="AG29" i="129"/>
  <c r="AF29" i="129"/>
  <c r="AE29" i="129"/>
  <c r="AD29" i="129"/>
  <c r="AC29" i="129"/>
  <c r="AB29" i="129"/>
  <c r="AA29" i="129"/>
  <c r="Z29" i="129"/>
  <c r="X29" i="129"/>
  <c r="W29" i="129"/>
  <c r="V29" i="129"/>
  <c r="U29" i="129"/>
  <c r="T29" i="129"/>
  <c r="S29" i="129"/>
  <c r="R29" i="129"/>
  <c r="Q29" i="129"/>
  <c r="P29" i="129"/>
  <c r="O29" i="129"/>
  <c r="N29" i="129"/>
  <c r="M29" i="129"/>
  <c r="L29" i="129"/>
  <c r="K29" i="129"/>
  <c r="J29" i="129"/>
  <c r="I29" i="129"/>
  <c r="H29" i="129"/>
  <c r="G29" i="129"/>
  <c r="EO28" i="129"/>
  <c r="EN28" i="129"/>
  <c r="EM28" i="129"/>
  <c r="EL28" i="129"/>
  <c r="EK28" i="129"/>
  <c r="EJ28" i="129"/>
  <c r="EI28" i="129"/>
  <c r="EH28" i="129"/>
  <c r="EG28" i="129"/>
  <c r="EF28" i="129"/>
  <c r="EE28" i="129"/>
  <c r="ED28" i="129"/>
  <c r="EC28" i="129"/>
  <c r="EB28" i="129"/>
  <c r="EA28" i="129"/>
  <c r="DZ28" i="129"/>
  <c r="DY28" i="129"/>
  <c r="DX28" i="129"/>
  <c r="DW28" i="129"/>
  <c r="DV28" i="129"/>
  <c r="DU28" i="129"/>
  <c r="DT28" i="129"/>
  <c r="DS28" i="129"/>
  <c r="DR28" i="129"/>
  <c r="DQ28" i="129"/>
  <c r="DP28" i="129"/>
  <c r="DO28" i="129"/>
  <c r="DN28" i="129"/>
  <c r="DM28" i="129"/>
  <c r="DL28" i="129"/>
  <c r="DK28" i="129"/>
  <c r="DJ28" i="129"/>
  <c r="DI28" i="129"/>
  <c r="DH28" i="129"/>
  <c r="DG28" i="129"/>
  <c r="DF28" i="129"/>
  <c r="DE28" i="129"/>
  <c r="DD28" i="129"/>
  <c r="DC28" i="129"/>
  <c r="DB28" i="129"/>
  <c r="DA28" i="129"/>
  <c r="CZ28" i="129"/>
  <c r="CY28" i="129"/>
  <c r="CX28" i="129"/>
  <c r="CW28" i="129"/>
  <c r="CV28" i="129"/>
  <c r="CU28" i="129"/>
  <c r="CT28" i="129"/>
  <c r="CS28" i="129"/>
  <c r="CR28" i="129"/>
  <c r="CQ28" i="129"/>
  <c r="CP28" i="129"/>
  <c r="CO28" i="129"/>
  <c r="CN28" i="129"/>
  <c r="CM28" i="129"/>
  <c r="CL28" i="129"/>
  <c r="CK28" i="129"/>
  <c r="CJ28" i="129"/>
  <c r="CI28" i="129"/>
  <c r="CH28" i="129"/>
  <c r="CG28" i="129"/>
  <c r="CF28" i="129"/>
  <c r="CE28" i="129"/>
  <c r="CD28" i="129"/>
  <c r="CC28" i="129"/>
  <c r="CB28" i="129"/>
  <c r="CA28" i="129"/>
  <c r="BZ28" i="129"/>
  <c r="BY28" i="129"/>
  <c r="BX28" i="129"/>
  <c r="BW28" i="129"/>
  <c r="BV28" i="129"/>
  <c r="BU28" i="129"/>
  <c r="BT28" i="129"/>
  <c r="BS28" i="129"/>
  <c r="BR28" i="129"/>
  <c r="BQ28" i="129"/>
  <c r="BP28" i="129"/>
  <c r="BO28" i="129"/>
  <c r="BN28" i="129"/>
  <c r="BM28" i="129"/>
  <c r="BL28" i="129"/>
  <c r="BK28" i="129"/>
  <c r="BJ28" i="129"/>
  <c r="BI28" i="129"/>
  <c r="BH28" i="129"/>
  <c r="BG28" i="129"/>
  <c r="BF28" i="129"/>
  <c r="BE28" i="129"/>
  <c r="BD28" i="129"/>
  <c r="BC28" i="129"/>
  <c r="BB28" i="129"/>
  <c r="BA28" i="129"/>
  <c r="AZ28" i="129"/>
  <c r="AY28" i="129"/>
  <c r="AX28" i="129"/>
  <c r="AW28" i="129"/>
  <c r="AV28" i="129"/>
  <c r="AU28" i="129"/>
  <c r="AT28" i="129"/>
  <c r="AS28" i="129"/>
  <c r="AR28" i="129"/>
  <c r="AQ28" i="129"/>
  <c r="AP28" i="129"/>
  <c r="AO28" i="129"/>
  <c r="AN28" i="129"/>
  <c r="AM28" i="129"/>
  <c r="AL28" i="129"/>
  <c r="AK28" i="129"/>
  <c r="AJ28" i="129"/>
  <c r="AI28" i="129"/>
  <c r="AH28" i="129"/>
  <c r="AG28" i="129"/>
  <c r="AF28" i="129"/>
  <c r="AE28" i="129"/>
  <c r="AD28" i="129"/>
  <c r="AC28" i="129"/>
  <c r="AB28" i="129"/>
  <c r="AA28" i="129"/>
  <c r="Z28" i="129"/>
  <c r="X28" i="129"/>
  <c r="W28" i="129"/>
  <c r="V28" i="129"/>
  <c r="U28" i="129"/>
  <c r="T28" i="129"/>
  <c r="S28" i="129"/>
  <c r="R28" i="129"/>
  <c r="Q28" i="129"/>
  <c r="P28" i="129"/>
  <c r="O28" i="129"/>
  <c r="N28" i="129"/>
  <c r="M28" i="129"/>
  <c r="L28" i="129"/>
  <c r="K28" i="129"/>
  <c r="J28" i="129"/>
  <c r="I28" i="129"/>
  <c r="H28" i="129"/>
  <c r="G28" i="129"/>
  <c r="F28" i="129"/>
  <c r="E28" i="129"/>
  <c r="DH27" i="129"/>
  <c r="DG27" i="129"/>
  <c r="DF27" i="129"/>
  <c r="DE27" i="129"/>
  <c r="DD27" i="129"/>
  <c r="DC27" i="129"/>
  <c r="DB27" i="129"/>
  <c r="DA27" i="129"/>
  <c r="CZ27" i="129"/>
  <c r="CY27" i="129"/>
  <c r="CX27" i="129"/>
  <c r="CW27" i="129"/>
  <c r="CV27" i="129"/>
  <c r="CU27" i="129"/>
  <c r="CT27" i="129"/>
  <c r="CS27" i="129"/>
  <c r="CR27" i="129"/>
  <c r="CQ27" i="129"/>
  <c r="CP27" i="129"/>
  <c r="CO27" i="129"/>
  <c r="CN27" i="129"/>
  <c r="CM27" i="129"/>
  <c r="CL27" i="129"/>
  <c r="CK27" i="129"/>
  <c r="CJ27" i="129"/>
  <c r="CI27" i="129"/>
  <c r="CH27" i="129"/>
  <c r="CG27" i="129"/>
  <c r="CF27" i="129"/>
  <c r="CE27" i="129"/>
  <c r="CD27" i="129"/>
  <c r="CC27" i="129"/>
  <c r="CB27" i="129"/>
  <c r="CA27" i="129"/>
  <c r="BZ27" i="129"/>
  <c r="BY27" i="129"/>
  <c r="BX27" i="129"/>
  <c r="BW27" i="129"/>
  <c r="BV27" i="129"/>
  <c r="BU27" i="129"/>
  <c r="BT27" i="129"/>
  <c r="BS27" i="129"/>
  <c r="BR27" i="129"/>
  <c r="BQ27" i="129"/>
  <c r="BP27" i="129"/>
  <c r="BO27" i="129"/>
  <c r="BN27" i="129"/>
  <c r="BM27" i="129"/>
  <c r="BL27" i="129"/>
  <c r="BK27" i="129"/>
  <c r="BJ27" i="129"/>
  <c r="BI27" i="129"/>
  <c r="BH27" i="129"/>
  <c r="BG27" i="129"/>
  <c r="BF27" i="129"/>
  <c r="BE27" i="129"/>
  <c r="BD27" i="129"/>
  <c r="BC27" i="129"/>
  <c r="BB27" i="129"/>
  <c r="BA27" i="129"/>
  <c r="AZ27" i="129"/>
  <c r="AY27" i="129"/>
  <c r="AX27" i="129"/>
  <c r="AW27" i="129"/>
  <c r="AV27" i="129"/>
  <c r="AU27" i="129"/>
  <c r="AT27" i="129"/>
  <c r="AS27" i="129"/>
  <c r="AR27" i="129"/>
  <c r="AQ27" i="129"/>
  <c r="AP27" i="129"/>
  <c r="AO27" i="129"/>
  <c r="AN27" i="129"/>
  <c r="AM27" i="129"/>
  <c r="AL27" i="129"/>
  <c r="AK27" i="129"/>
  <c r="AJ27" i="129"/>
  <c r="AI27" i="129"/>
  <c r="AH27" i="129"/>
  <c r="AG27" i="129"/>
  <c r="AF27" i="129"/>
  <c r="AE27" i="129"/>
  <c r="AD27" i="129"/>
  <c r="AC27" i="129"/>
  <c r="AB27" i="129"/>
  <c r="AA27" i="129"/>
  <c r="Z27" i="129"/>
  <c r="X27" i="129"/>
  <c r="W27" i="129"/>
  <c r="V27" i="129"/>
  <c r="U27" i="129"/>
  <c r="T27" i="129"/>
  <c r="S27" i="129"/>
  <c r="R27" i="129"/>
  <c r="Q27" i="129"/>
  <c r="P27" i="129"/>
  <c r="O27" i="129"/>
  <c r="N27" i="129"/>
  <c r="M27" i="129"/>
  <c r="L27" i="129"/>
  <c r="K27" i="129"/>
  <c r="J27" i="129"/>
  <c r="I27" i="129"/>
  <c r="H27" i="129"/>
  <c r="G27" i="129"/>
  <c r="F27" i="129"/>
  <c r="E27" i="129"/>
  <c r="DH23" i="129"/>
  <c r="DG23" i="129"/>
  <c r="DF23" i="129"/>
  <c r="DE23" i="129"/>
  <c r="DD23" i="129"/>
  <c r="DC23" i="129"/>
  <c r="DB23" i="129"/>
  <c r="DA23" i="129"/>
  <c r="CZ23" i="129"/>
  <c r="CY23" i="129"/>
  <c r="CX23" i="129"/>
  <c r="CW23" i="129"/>
  <c r="CV23" i="129"/>
  <c r="CU23" i="129"/>
  <c r="CT23" i="129"/>
  <c r="CS23" i="129"/>
  <c r="CR23" i="129"/>
  <c r="CQ23" i="129"/>
  <c r="CP23" i="129"/>
  <c r="CO23" i="129"/>
  <c r="CN23" i="129"/>
  <c r="CM23" i="129"/>
  <c r="CL23" i="129"/>
  <c r="CK23" i="129"/>
  <c r="CJ23" i="129"/>
  <c r="CI23" i="129"/>
  <c r="CH23" i="129"/>
  <c r="CG23" i="129"/>
  <c r="CF23" i="129"/>
  <c r="CE23" i="129"/>
  <c r="CD23" i="129"/>
  <c r="CC23" i="129"/>
  <c r="CB23" i="129"/>
  <c r="CA23" i="129"/>
  <c r="BZ23" i="129"/>
  <c r="BY23" i="129"/>
  <c r="BX23" i="129"/>
  <c r="BW23" i="129"/>
  <c r="BV23" i="129"/>
  <c r="BU23" i="129"/>
  <c r="BT23" i="129"/>
  <c r="BS23" i="129"/>
  <c r="BR23" i="129"/>
  <c r="BQ23" i="129"/>
  <c r="BP23" i="129"/>
  <c r="BO23" i="129"/>
  <c r="BN23" i="129"/>
  <c r="BM23" i="129"/>
  <c r="BL23" i="129"/>
  <c r="BK23" i="129"/>
  <c r="BJ23" i="129"/>
  <c r="BI23" i="129"/>
  <c r="BH23" i="129"/>
  <c r="BG23" i="129"/>
  <c r="BF23" i="129"/>
  <c r="BE23" i="129"/>
  <c r="BD23" i="129"/>
  <c r="BC23" i="129"/>
  <c r="BB23" i="129"/>
  <c r="BA23" i="129"/>
  <c r="AZ23" i="129"/>
  <c r="AY23" i="129"/>
  <c r="AX23" i="129"/>
  <c r="AW23" i="129"/>
  <c r="AV23" i="129"/>
  <c r="AU23" i="129"/>
  <c r="AT23" i="129"/>
  <c r="AS23" i="129"/>
  <c r="AR23" i="129"/>
  <c r="AQ23" i="129"/>
  <c r="AP23" i="129"/>
  <c r="AO23" i="129"/>
  <c r="AN23" i="129"/>
  <c r="AM23" i="129"/>
  <c r="AL23" i="129"/>
  <c r="AK23" i="129"/>
  <c r="AJ23" i="129"/>
  <c r="AI23" i="129"/>
  <c r="AH23" i="129"/>
  <c r="AG23" i="129"/>
  <c r="AF23" i="129"/>
  <c r="AE23" i="129"/>
  <c r="AD23" i="129"/>
  <c r="AC23" i="129"/>
  <c r="AB23" i="129"/>
  <c r="AA23" i="129"/>
  <c r="Z23" i="129"/>
  <c r="X23" i="129"/>
  <c r="W23" i="129"/>
  <c r="V23" i="129"/>
  <c r="U23" i="129"/>
  <c r="T23" i="129"/>
  <c r="S23" i="129"/>
  <c r="R23" i="129"/>
  <c r="Q23" i="129"/>
  <c r="P23" i="129"/>
  <c r="O23" i="129"/>
  <c r="N23" i="129"/>
  <c r="M23" i="129"/>
  <c r="L23" i="129"/>
  <c r="K23" i="129"/>
  <c r="J23" i="129"/>
  <c r="I23" i="129"/>
  <c r="H23" i="129"/>
  <c r="G23" i="129"/>
  <c r="F23" i="129"/>
  <c r="E23" i="129"/>
  <c r="DH19" i="129"/>
  <c r="DG19" i="129"/>
  <c r="DF19" i="129"/>
  <c r="DE19" i="129"/>
  <c r="DD19" i="129"/>
  <c r="DC19" i="129"/>
  <c r="DB19" i="129"/>
  <c r="DA19" i="129"/>
  <c r="CZ19" i="129"/>
  <c r="CY19" i="129"/>
  <c r="CX19" i="129"/>
  <c r="CW19" i="129"/>
  <c r="CV19" i="129"/>
  <c r="CU19" i="129"/>
  <c r="CT19" i="129"/>
  <c r="CS19" i="129"/>
  <c r="CR19" i="129"/>
  <c r="CQ19" i="129"/>
  <c r="CP19" i="129"/>
  <c r="CO19" i="129"/>
  <c r="CN19" i="129"/>
  <c r="CM19" i="129"/>
  <c r="CL19" i="129"/>
  <c r="CK19" i="129"/>
  <c r="CJ19" i="129"/>
  <c r="CI19" i="129"/>
  <c r="CH19" i="129"/>
  <c r="CG19" i="129"/>
  <c r="CF19" i="129"/>
  <c r="CE19" i="129"/>
  <c r="CD19" i="129"/>
  <c r="CC19" i="129"/>
  <c r="CB19" i="129"/>
  <c r="CA19" i="129"/>
  <c r="BZ19" i="129"/>
  <c r="BY19" i="129"/>
  <c r="BX19" i="129"/>
  <c r="BW19" i="129"/>
  <c r="BV19" i="129"/>
  <c r="BU19" i="129"/>
  <c r="BT19" i="129"/>
  <c r="BS19" i="129"/>
  <c r="BR19" i="129"/>
  <c r="BQ19" i="129"/>
  <c r="BP19" i="129"/>
  <c r="BO19" i="129"/>
  <c r="BN19" i="129"/>
  <c r="BM19" i="129"/>
  <c r="BL19" i="129"/>
  <c r="BK19" i="129"/>
  <c r="BJ19" i="129"/>
  <c r="BI19" i="129"/>
  <c r="BH19" i="129"/>
  <c r="BG19" i="129"/>
  <c r="BF19" i="129"/>
  <c r="BE19" i="129"/>
  <c r="BD19" i="129"/>
  <c r="BC19" i="129"/>
  <c r="BB19" i="129"/>
  <c r="BA19" i="129"/>
  <c r="AZ19" i="129"/>
  <c r="AY19" i="129"/>
  <c r="AX19" i="129"/>
  <c r="AW19" i="129"/>
  <c r="AV19" i="129"/>
  <c r="AU19" i="129"/>
  <c r="AT19" i="129"/>
  <c r="AS19" i="129"/>
  <c r="AR19" i="129"/>
  <c r="AQ19" i="129"/>
  <c r="AP19" i="129"/>
  <c r="AO19" i="129"/>
  <c r="AN19" i="129"/>
  <c r="AM19" i="129"/>
  <c r="AL19" i="129"/>
  <c r="AK19" i="129"/>
  <c r="AJ19" i="129"/>
  <c r="AI19" i="129"/>
  <c r="AH19" i="129"/>
  <c r="AG19" i="129"/>
  <c r="AF19" i="129"/>
  <c r="AE19" i="129"/>
  <c r="AD19" i="129"/>
  <c r="AC19" i="129"/>
  <c r="AB19" i="129"/>
  <c r="AA19" i="129"/>
  <c r="Z19" i="129"/>
  <c r="X19" i="129"/>
  <c r="W19" i="129"/>
  <c r="V19" i="129"/>
  <c r="U19" i="129"/>
  <c r="T19" i="129"/>
  <c r="S19" i="129"/>
  <c r="R19" i="129"/>
  <c r="Q19" i="129"/>
  <c r="P19" i="129"/>
  <c r="O19" i="129"/>
  <c r="N19" i="129"/>
  <c r="M19" i="129"/>
  <c r="L19" i="129"/>
  <c r="K19" i="129"/>
  <c r="J19" i="129"/>
  <c r="I19" i="129"/>
  <c r="H19" i="129"/>
  <c r="G19" i="129"/>
  <c r="F19" i="129"/>
  <c r="E19" i="129"/>
  <c r="DH15" i="129"/>
  <c r="DG15" i="129"/>
  <c r="DF15" i="129"/>
  <c r="DE15" i="129"/>
  <c r="DD15" i="129"/>
  <c r="DC15" i="129"/>
  <c r="DB15" i="129"/>
  <c r="DA15" i="129"/>
  <c r="CZ15" i="129"/>
  <c r="CY15" i="129"/>
  <c r="CX15" i="129"/>
  <c r="CW15" i="129"/>
  <c r="CV15" i="129"/>
  <c r="CU15" i="129"/>
  <c r="CT15" i="129"/>
  <c r="CS15" i="129"/>
  <c r="CR15" i="129"/>
  <c r="CQ15" i="129"/>
  <c r="CP15" i="129"/>
  <c r="CO15" i="129"/>
  <c r="CN15" i="129"/>
  <c r="CM15" i="129"/>
  <c r="CL15" i="129"/>
  <c r="CK15" i="129"/>
  <c r="CJ15" i="129"/>
  <c r="CI15" i="129"/>
  <c r="CH15" i="129"/>
  <c r="CG15" i="129"/>
  <c r="CF15" i="129"/>
  <c r="CE15" i="129"/>
  <c r="CD15" i="129"/>
  <c r="CC15" i="129"/>
  <c r="CB15" i="129"/>
  <c r="CA15" i="129"/>
  <c r="BZ15" i="129"/>
  <c r="BY15" i="129"/>
  <c r="BX15" i="129"/>
  <c r="BW15" i="129"/>
  <c r="BV15" i="129"/>
  <c r="BU15" i="129"/>
  <c r="BT15" i="129"/>
  <c r="BS15" i="129"/>
  <c r="BR15" i="129"/>
  <c r="BQ15" i="129"/>
  <c r="BP15" i="129"/>
  <c r="BO15" i="129"/>
  <c r="BN15" i="129"/>
  <c r="BM15" i="129"/>
  <c r="BM30" i="129" s="1"/>
  <c r="BL15" i="129"/>
  <c r="BK15" i="129"/>
  <c r="BJ15" i="129"/>
  <c r="BI15" i="129"/>
  <c r="BH15" i="129"/>
  <c r="BG15" i="129"/>
  <c r="BF15" i="129"/>
  <c r="BE15" i="129"/>
  <c r="BD15" i="129"/>
  <c r="BC15" i="129"/>
  <c r="BB15" i="129"/>
  <c r="BA15" i="129"/>
  <c r="BA30" i="129" s="1"/>
  <c r="AZ15" i="129"/>
  <c r="AY15" i="129"/>
  <c r="AX15" i="129"/>
  <c r="AW15" i="129"/>
  <c r="AV15" i="129"/>
  <c r="AU15" i="129"/>
  <c r="AT15" i="129"/>
  <c r="AS15" i="129"/>
  <c r="AR15" i="129"/>
  <c r="AQ15" i="129"/>
  <c r="AP15" i="129"/>
  <c r="AO15" i="129"/>
  <c r="AO30" i="129" s="1"/>
  <c r="AN15" i="129"/>
  <c r="AM15" i="129"/>
  <c r="AL15" i="129"/>
  <c r="AK15" i="129"/>
  <c r="AJ15" i="129"/>
  <c r="AI15" i="129"/>
  <c r="AH15" i="129"/>
  <c r="AG15" i="129"/>
  <c r="AF15" i="129"/>
  <c r="AE15" i="129"/>
  <c r="AD15" i="129"/>
  <c r="AC15" i="129"/>
  <c r="AC30" i="129" s="1"/>
  <c r="AB15" i="129"/>
  <c r="AA15" i="129"/>
  <c r="Z15" i="129"/>
  <c r="X15" i="129"/>
  <c r="W15" i="129"/>
  <c r="V15" i="129"/>
  <c r="U15" i="129"/>
  <c r="T15" i="129"/>
  <c r="S15" i="129"/>
  <c r="R15" i="129"/>
  <c r="Q15" i="129"/>
  <c r="P15" i="129"/>
  <c r="O15" i="129"/>
  <c r="N15" i="129"/>
  <c r="M15" i="129"/>
  <c r="L15" i="129"/>
  <c r="K15" i="129"/>
  <c r="J15" i="129"/>
  <c r="I15" i="129"/>
  <c r="H15" i="129"/>
  <c r="G15" i="129"/>
  <c r="F15" i="129"/>
  <c r="E15" i="129"/>
  <c r="DH11" i="129"/>
  <c r="DG11" i="129"/>
  <c r="DF11" i="129"/>
  <c r="DE11" i="129"/>
  <c r="DD11" i="129"/>
  <c r="DC11" i="129"/>
  <c r="DB11" i="129"/>
  <c r="DA11" i="129"/>
  <c r="CZ11" i="129"/>
  <c r="CY11" i="129"/>
  <c r="CX11" i="129"/>
  <c r="CW11" i="129"/>
  <c r="CV11" i="129"/>
  <c r="CU11" i="129"/>
  <c r="CT11" i="129"/>
  <c r="CS11" i="129"/>
  <c r="CR11" i="129"/>
  <c r="CQ11" i="129"/>
  <c r="CP11" i="129"/>
  <c r="CO11" i="129"/>
  <c r="CN11" i="129"/>
  <c r="CM11" i="129"/>
  <c r="CL11" i="129"/>
  <c r="CK11" i="129"/>
  <c r="CJ11" i="129"/>
  <c r="CI11" i="129"/>
  <c r="CH11" i="129"/>
  <c r="CG11" i="129"/>
  <c r="CF11" i="129"/>
  <c r="CE11" i="129"/>
  <c r="CD11" i="129"/>
  <c r="CC11" i="129"/>
  <c r="CB11" i="129"/>
  <c r="CA11" i="129"/>
  <c r="BZ11" i="129"/>
  <c r="BY11" i="129"/>
  <c r="BX11" i="129"/>
  <c r="BW11" i="129"/>
  <c r="BV11" i="129"/>
  <c r="BU11" i="129"/>
  <c r="BT11" i="129"/>
  <c r="BS11" i="129"/>
  <c r="BR11" i="129"/>
  <c r="BQ11" i="129"/>
  <c r="BP11" i="129"/>
  <c r="BO11" i="129"/>
  <c r="BN11" i="129"/>
  <c r="BM11" i="129"/>
  <c r="BL11" i="129"/>
  <c r="BK11" i="129"/>
  <c r="BJ11" i="129"/>
  <c r="BI11" i="129"/>
  <c r="BH11" i="129"/>
  <c r="BG11" i="129"/>
  <c r="BF11" i="129"/>
  <c r="BE11" i="129"/>
  <c r="BD11" i="129"/>
  <c r="BC11" i="129"/>
  <c r="BB11" i="129"/>
  <c r="BA11" i="129"/>
  <c r="AZ11" i="129"/>
  <c r="AY11" i="129"/>
  <c r="AX11" i="129"/>
  <c r="AW11" i="129"/>
  <c r="AV11" i="129"/>
  <c r="AU11" i="129"/>
  <c r="AT11" i="129"/>
  <c r="AS11" i="129"/>
  <c r="AR11" i="129"/>
  <c r="AQ11" i="129"/>
  <c r="AP11" i="129"/>
  <c r="AO11" i="129"/>
  <c r="AN11" i="129"/>
  <c r="AM11" i="129"/>
  <c r="AL11" i="129"/>
  <c r="AK11" i="129"/>
  <c r="AJ11" i="129"/>
  <c r="AI11" i="129"/>
  <c r="AH11" i="129"/>
  <c r="AG11" i="129"/>
  <c r="AF11" i="129"/>
  <c r="AE11" i="129"/>
  <c r="AD11" i="129"/>
  <c r="AC11" i="129"/>
  <c r="AB11" i="129"/>
  <c r="AA11" i="129"/>
  <c r="X11" i="129"/>
  <c r="W11" i="129"/>
  <c r="V11" i="129"/>
  <c r="U11" i="129"/>
  <c r="T11" i="129"/>
  <c r="S11" i="129"/>
  <c r="R11" i="129"/>
  <c r="Q11" i="129"/>
  <c r="P11" i="129"/>
  <c r="O11" i="129"/>
  <c r="N11" i="129"/>
  <c r="M11" i="129"/>
  <c r="L11" i="129"/>
  <c r="K11" i="129"/>
  <c r="J11" i="129"/>
  <c r="I11" i="129"/>
  <c r="H11" i="129"/>
  <c r="G11" i="129"/>
  <c r="F29" i="129"/>
  <c r="E29" i="129"/>
  <c r="F11" i="129"/>
  <c r="E11" i="129"/>
  <c r="B8" i="129"/>
  <c r="J74" i="121"/>
  <c r="W30" i="129" l="1"/>
  <c r="Z30" i="129"/>
  <c r="AA30" i="129"/>
  <c r="BY30" i="129"/>
  <c r="P30" i="129"/>
  <c r="L30" i="129"/>
  <c r="CS30" i="129"/>
  <c r="X30" i="129"/>
  <c r="CG30" i="129"/>
  <c r="BU30" i="129"/>
  <c r="DE30" i="129"/>
  <c r="CF30" i="129"/>
  <c r="M30" i="129"/>
  <c r="AL30" i="129"/>
  <c r="AX30" i="129"/>
  <c r="BV30" i="129"/>
  <c r="CH30" i="129"/>
  <c r="CT30" i="129"/>
  <c r="DF30" i="129"/>
  <c r="BJ30" i="129"/>
  <c r="CK30" i="129"/>
  <c r="CW30" i="129"/>
  <c r="AJ30" i="129"/>
  <c r="CR30" i="129"/>
  <c r="AK30" i="129"/>
  <c r="CX30" i="129"/>
  <c r="CZ30" i="129"/>
  <c r="K30" i="129"/>
  <c r="BT30" i="129"/>
  <c r="AW30" i="129"/>
  <c r="BI30" i="129"/>
  <c r="CY30" i="129"/>
  <c r="AV30" i="129"/>
  <c r="AP30" i="129"/>
  <c r="BN30" i="129"/>
  <c r="CL30" i="129"/>
  <c r="R30" i="129"/>
  <c r="AE30" i="129"/>
  <c r="AQ30" i="129"/>
  <c r="BC30" i="129"/>
  <c r="BO30" i="129"/>
  <c r="CA30" i="129"/>
  <c r="T30" i="129"/>
  <c r="AS30" i="129"/>
  <c r="BQ30" i="129"/>
  <c r="CO30" i="129"/>
  <c r="I30" i="129"/>
  <c r="U30" i="129"/>
  <c r="AH30" i="129"/>
  <c r="AT30" i="129"/>
  <c r="BF30" i="129"/>
  <c r="BR30" i="129"/>
  <c r="CD30" i="129"/>
  <c r="CP30" i="129"/>
  <c r="DB30" i="129"/>
  <c r="J30" i="129"/>
  <c r="V30" i="129"/>
  <c r="AI30" i="129"/>
  <c r="AU30" i="129"/>
  <c r="BG30" i="129"/>
  <c r="BS30" i="129"/>
  <c r="CE30" i="129"/>
  <c r="CQ30" i="129"/>
  <c r="DC30" i="129"/>
  <c r="N30" i="129"/>
  <c r="AM30" i="129"/>
  <c r="AY30" i="129"/>
  <c r="BK30" i="129"/>
  <c r="BW30" i="129"/>
  <c r="CI30" i="129"/>
  <c r="CU30" i="129"/>
  <c r="DG30" i="129"/>
  <c r="Q30" i="129"/>
  <c r="AD30" i="129"/>
  <c r="BB30" i="129"/>
  <c r="BZ30" i="129"/>
  <c r="CM30" i="129"/>
  <c r="G30" i="129"/>
  <c r="S30" i="129"/>
  <c r="AF30" i="129"/>
  <c r="AR30" i="129"/>
  <c r="BD30" i="129"/>
  <c r="BP30" i="129"/>
  <c r="CB30" i="129"/>
  <c r="CN30" i="129"/>
  <c r="H30" i="129"/>
  <c r="AG30" i="129"/>
  <c r="BE30" i="129"/>
  <c r="CC30" i="129"/>
  <c r="DA30" i="129"/>
  <c r="BH30" i="129"/>
  <c r="DD30" i="129"/>
  <c r="O30" i="129"/>
  <c r="AB30" i="129"/>
  <c r="AN30" i="129"/>
  <c r="AZ30" i="129"/>
  <c r="BL30" i="129"/>
  <c r="BX30" i="129"/>
  <c r="CJ30" i="129"/>
  <c r="CV30" i="129"/>
  <c r="DH30" i="129"/>
  <c r="E15" i="10"/>
  <c r="F15" i="10" s="1"/>
  <c r="E11" i="10"/>
  <c r="F11" i="10" s="1"/>
  <c r="F9" i="10"/>
  <c r="F10" i="10"/>
  <c r="B12" i="129"/>
  <c r="B16" i="129" s="1"/>
  <c r="B20" i="129" s="1"/>
  <c r="D8" i="129"/>
  <c r="D12" i="129" s="1"/>
  <c r="D16" i="129" s="1"/>
  <c r="D20" i="129" s="1"/>
  <c r="E30" i="129"/>
  <c r="F30" i="129"/>
  <c r="I85" i="121"/>
  <c r="J20" i="71"/>
  <c r="EP30" i="129" l="1"/>
  <c r="E31" i="129"/>
  <c r="J19" i="120"/>
  <c r="AD128" i="127" l="1"/>
  <c r="D33" i="127"/>
  <c r="AQ83" i="121" l="1"/>
  <c r="DH28" i="106"/>
  <c r="DI28" i="106"/>
  <c r="DJ28" i="106"/>
  <c r="DK28" i="106"/>
  <c r="DL28" i="106"/>
  <c r="DM28" i="106"/>
  <c r="DN28" i="106"/>
  <c r="DO28" i="106"/>
  <c r="DP28" i="106"/>
  <c r="DQ28" i="106"/>
  <c r="DR28" i="106"/>
  <c r="DS28" i="106"/>
  <c r="DT28" i="106"/>
  <c r="DU28" i="106"/>
  <c r="DV28" i="106"/>
  <c r="DW28" i="106"/>
  <c r="DX28" i="106"/>
  <c r="DY28" i="106"/>
  <c r="DZ28" i="106"/>
  <c r="EA28" i="106"/>
  <c r="EB28" i="106"/>
  <c r="EC28" i="106"/>
  <c r="ED28" i="106"/>
  <c r="EE28" i="106"/>
  <c r="EF28" i="106"/>
  <c r="EG28" i="106"/>
  <c r="EH28" i="106"/>
  <c r="EI28" i="106"/>
  <c r="EJ28" i="106"/>
  <c r="EK28" i="106"/>
  <c r="EL28" i="106"/>
  <c r="EM28" i="106"/>
  <c r="EN28" i="106"/>
  <c r="DH29" i="106"/>
  <c r="DI29" i="106"/>
  <c r="DJ29" i="106"/>
  <c r="DK29" i="106"/>
  <c r="DL29" i="106"/>
  <c r="DM29" i="106"/>
  <c r="DN29" i="106"/>
  <c r="DO29" i="106"/>
  <c r="DP29" i="106"/>
  <c r="DQ29" i="106"/>
  <c r="DR29" i="106"/>
  <c r="DS29" i="106"/>
  <c r="DT29" i="106"/>
  <c r="DU29" i="106"/>
  <c r="DV29" i="106"/>
  <c r="DW29" i="106"/>
  <c r="DX29" i="106"/>
  <c r="DY29" i="106"/>
  <c r="DZ29" i="106"/>
  <c r="EA29" i="106"/>
  <c r="EB29" i="106"/>
  <c r="EC29" i="106"/>
  <c r="ED29" i="106"/>
  <c r="EE29" i="106"/>
  <c r="EF29" i="106"/>
  <c r="EG29" i="106"/>
  <c r="EH29" i="106"/>
  <c r="EI29" i="106"/>
  <c r="EJ29" i="106"/>
  <c r="EK29" i="106"/>
  <c r="EL29" i="106"/>
  <c r="EM29" i="106"/>
  <c r="EN29" i="106"/>
  <c r="DH30" i="106"/>
  <c r="DI30" i="106"/>
  <c r="DJ30" i="106"/>
  <c r="DK30" i="106"/>
  <c r="DL30" i="106"/>
  <c r="DM30" i="106"/>
  <c r="DN30" i="106"/>
  <c r="DO30" i="106"/>
  <c r="DP30" i="106"/>
  <c r="DQ30" i="106"/>
  <c r="DR30" i="106"/>
  <c r="DS30" i="106"/>
  <c r="DT30" i="106"/>
  <c r="DU30" i="106"/>
  <c r="DV30" i="106"/>
  <c r="DW30" i="106"/>
  <c r="DX30" i="106"/>
  <c r="DY30" i="106"/>
  <c r="DZ30" i="106"/>
  <c r="EA30" i="106"/>
  <c r="EB30" i="106"/>
  <c r="EC30" i="106"/>
  <c r="ED30" i="106"/>
  <c r="EE30" i="106"/>
  <c r="EF30" i="106"/>
  <c r="EG30" i="106"/>
  <c r="EH30" i="106"/>
  <c r="EI30" i="106"/>
  <c r="EJ30" i="106"/>
  <c r="EK30" i="106"/>
  <c r="EL30" i="106"/>
  <c r="EM30" i="106"/>
  <c r="EN30" i="106"/>
  <c r="D15" i="127" l="1"/>
  <c r="F27" i="75" l="1"/>
  <c r="E16" i="75"/>
  <c r="G39" i="127" l="1"/>
  <c r="G46" i="127"/>
  <c r="G45" i="127"/>
  <c r="G10" i="127"/>
  <c r="C8" i="89" l="1"/>
  <c r="AB110" i="127" l="1"/>
  <c r="D110" i="127" s="1"/>
  <c r="D96" i="127"/>
  <c r="AB95" i="127"/>
  <c r="D95" i="127" s="1"/>
  <c r="AB97" i="127"/>
  <c r="D97" i="127" s="1"/>
  <c r="AB82" i="127"/>
  <c r="D82" i="127" s="1"/>
  <c r="AB80" i="127"/>
  <c r="D81" i="127"/>
  <c r="AB63" i="127"/>
  <c r="D63" i="127" s="1"/>
  <c r="D66" i="127"/>
  <c r="AB66" i="127"/>
  <c r="D64" i="127"/>
  <c r="AB64" i="127"/>
  <c r="AB65" i="127"/>
  <c r="D65" i="127"/>
  <c r="D80" i="127" l="1"/>
  <c r="AB128" i="127"/>
  <c r="H106" i="121"/>
  <c r="H86" i="121"/>
  <c r="F5" i="84"/>
  <c r="G11" i="106" l="1"/>
  <c r="H11" i="106"/>
  <c r="I11" i="106"/>
  <c r="J11" i="106"/>
  <c r="K11" i="106"/>
  <c r="L11" i="106"/>
  <c r="M11" i="106"/>
  <c r="N11" i="106"/>
  <c r="O11" i="106"/>
  <c r="P11" i="106"/>
  <c r="Q11" i="106"/>
  <c r="Q30" i="106" s="1"/>
  <c r="R11" i="106"/>
  <c r="R30" i="106" s="1"/>
  <c r="S11" i="106"/>
  <c r="T11" i="106"/>
  <c r="U11" i="106"/>
  <c r="V11" i="106"/>
  <c r="W11" i="106"/>
  <c r="X11" i="106"/>
  <c r="Y11" i="106"/>
  <c r="Z11" i="106"/>
  <c r="AA11" i="106"/>
  <c r="AB11" i="106"/>
  <c r="AC11" i="106"/>
  <c r="AD11" i="106"/>
  <c r="AE11" i="106"/>
  <c r="AF11" i="106"/>
  <c r="AG11" i="106"/>
  <c r="AH11" i="106"/>
  <c r="AI11" i="106"/>
  <c r="AJ11" i="106"/>
  <c r="AK11" i="106"/>
  <c r="AL11" i="106"/>
  <c r="AM11" i="106"/>
  <c r="AN11" i="106"/>
  <c r="AO11" i="106"/>
  <c r="AP11" i="106"/>
  <c r="AQ11" i="106"/>
  <c r="AR11" i="106"/>
  <c r="AS11" i="106"/>
  <c r="AT11" i="106"/>
  <c r="AU11" i="106"/>
  <c r="AV11" i="106"/>
  <c r="AW11" i="106"/>
  <c r="AX11" i="106"/>
  <c r="AY11" i="106"/>
  <c r="AZ11" i="106"/>
  <c r="BA11" i="106"/>
  <c r="BB11" i="106"/>
  <c r="BC11" i="106"/>
  <c r="BD11" i="106"/>
  <c r="BE11" i="106"/>
  <c r="BF11" i="106"/>
  <c r="BG11" i="106"/>
  <c r="BH11" i="106"/>
  <c r="BI11" i="106"/>
  <c r="BJ11" i="106"/>
  <c r="BK11" i="106"/>
  <c r="BL11" i="106"/>
  <c r="BM11" i="106"/>
  <c r="BN11" i="106"/>
  <c r="BO11" i="106"/>
  <c r="BP11" i="106"/>
  <c r="BQ11" i="106"/>
  <c r="BR11" i="106"/>
  <c r="BS11" i="106"/>
  <c r="G15" i="106"/>
  <c r="H15" i="106"/>
  <c r="I15" i="106"/>
  <c r="J15" i="106"/>
  <c r="K15" i="106"/>
  <c r="L15" i="106"/>
  <c r="M15" i="106"/>
  <c r="N15" i="106"/>
  <c r="O15" i="106"/>
  <c r="P15" i="106"/>
  <c r="Q15" i="106"/>
  <c r="R15" i="106"/>
  <c r="S15" i="106"/>
  <c r="T15" i="106"/>
  <c r="U15" i="106"/>
  <c r="V15" i="106"/>
  <c r="W15" i="106"/>
  <c r="X15" i="106"/>
  <c r="Y15" i="106"/>
  <c r="Z15" i="106"/>
  <c r="AA15" i="106"/>
  <c r="AB15" i="106"/>
  <c r="AC15" i="106"/>
  <c r="AD15" i="106"/>
  <c r="AE15" i="106"/>
  <c r="AF15" i="106"/>
  <c r="AG15" i="106"/>
  <c r="AH15" i="106"/>
  <c r="AI15" i="106"/>
  <c r="AJ15" i="106"/>
  <c r="AK15" i="106"/>
  <c r="AL15" i="106"/>
  <c r="AM15" i="106"/>
  <c r="AN15" i="106"/>
  <c r="AO15" i="106"/>
  <c r="AP15" i="106"/>
  <c r="AQ15" i="106"/>
  <c r="AR15" i="106"/>
  <c r="AS15" i="106"/>
  <c r="AT15" i="106"/>
  <c r="AU15" i="106"/>
  <c r="AV15" i="106"/>
  <c r="AW15" i="106"/>
  <c r="AX15" i="106"/>
  <c r="AY15" i="106"/>
  <c r="AZ15" i="106"/>
  <c r="BA15" i="106"/>
  <c r="BB15" i="106"/>
  <c r="BC15" i="106"/>
  <c r="BD15" i="106"/>
  <c r="BE15" i="106"/>
  <c r="BF15" i="106"/>
  <c r="BG15" i="106"/>
  <c r="BH15" i="106"/>
  <c r="BI15" i="106"/>
  <c r="BJ15" i="106"/>
  <c r="BK15" i="106"/>
  <c r="BL15" i="106"/>
  <c r="BM15" i="106"/>
  <c r="BN15" i="106"/>
  <c r="BO15" i="106"/>
  <c r="BP15" i="106"/>
  <c r="BQ15" i="106"/>
  <c r="BR15" i="106"/>
  <c r="BS15" i="106"/>
  <c r="G19" i="106"/>
  <c r="H19" i="106"/>
  <c r="I19" i="106"/>
  <c r="J19" i="106"/>
  <c r="K19" i="106"/>
  <c r="L19" i="106"/>
  <c r="M19" i="106"/>
  <c r="N19" i="106"/>
  <c r="O19" i="106"/>
  <c r="P19" i="106"/>
  <c r="Q19" i="106"/>
  <c r="R19" i="106"/>
  <c r="S19" i="106"/>
  <c r="T19" i="106"/>
  <c r="U19" i="106"/>
  <c r="V19" i="106"/>
  <c r="W19" i="106"/>
  <c r="X19" i="106"/>
  <c r="Y19" i="106"/>
  <c r="Z19" i="106"/>
  <c r="AA19" i="106"/>
  <c r="AB19" i="106"/>
  <c r="AC19" i="106"/>
  <c r="AD19" i="106"/>
  <c r="AE19" i="106"/>
  <c r="AF19" i="106"/>
  <c r="AG19" i="106"/>
  <c r="AH19" i="106"/>
  <c r="AI19" i="106"/>
  <c r="AJ19" i="106"/>
  <c r="AK19" i="106"/>
  <c r="AL19" i="106"/>
  <c r="AM19" i="106"/>
  <c r="AN19" i="106"/>
  <c r="AO19" i="106"/>
  <c r="AP19" i="106"/>
  <c r="AQ19" i="106"/>
  <c r="AR19" i="106"/>
  <c r="AS19" i="106"/>
  <c r="AT19" i="106"/>
  <c r="AU19" i="106"/>
  <c r="AV19" i="106"/>
  <c r="AW19" i="106"/>
  <c r="AX19" i="106"/>
  <c r="AY19" i="106"/>
  <c r="AZ19" i="106"/>
  <c r="BA19" i="106"/>
  <c r="BB19" i="106"/>
  <c r="BC19" i="106"/>
  <c r="BD19" i="106"/>
  <c r="BE19" i="106"/>
  <c r="BF19" i="106"/>
  <c r="BG19" i="106"/>
  <c r="BH19" i="106"/>
  <c r="BI19" i="106"/>
  <c r="BJ19" i="106"/>
  <c r="BK19" i="106"/>
  <c r="BL19" i="106"/>
  <c r="BM19" i="106"/>
  <c r="BN19" i="106"/>
  <c r="BO19" i="106"/>
  <c r="BP19" i="106"/>
  <c r="BQ19" i="106"/>
  <c r="BR19" i="106"/>
  <c r="BS19" i="106"/>
  <c r="G23" i="106"/>
  <c r="H23" i="106"/>
  <c r="I23" i="106"/>
  <c r="J23" i="106"/>
  <c r="K23" i="106"/>
  <c r="L23" i="106"/>
  <c r="M23" i="106"/>
  <c r="N23" i="106"/>
  <c r="O23" i="106"/>
  <c r="P23" i="106"/>
  <c r="Q23" i="106"/>
  <c r="R23" i="106"/>
  <c r="S23" i="106"/>
  <c r="T23" i="106"/>
  <c r="U23" i="106"/>
  <c r="V23" i="106"/>
  <c r="W23" i="106"/>
  <c r="X23" i="106"/>
  <c r="Y23" i="106"/>
  <c r="Z23" i="106"/>
  <c r="AA23" i="106"/>
  <c r="AB23" i="106"/>
  <c r="AC23" i="106"/>
  <c r="AD23" i="106"/>
  <c r="AE23" i="106"/>
  <c r="AF23" i="106"/>
  <c r="AG23" i="106"/>
  <c r="AH23" i="106"/>
  <c r="AI23" i="106"/>
  <c r="AJ23" i="106"/>
  <c r="AK23" i="106"/>
  <c r="AL23" i="106"/>
  <c r="AM23" i="106"/>
  <c r="AN23" i="106"/>
  <c r="AO23" i="106"/>
  <c r="AP23" i="106"/>
  <c r="AQ23" i="106"/>
  <c r="AR23" i="106"/>
  <c r="AS23" i="106"/>
  <c r="AT23" i="106"/>
  <c r="AU23" i="106"/>
  <c r="AV23" i="106"/>
  <c r="AW23" i="106"/>
  <c r="AX23" i="106"/>
  <c r="AY23" i="106"/>
  <c r="AZ23" i="106"/>
  <c r="BA23" i="106"/>
  <c r="BB23" i="106"/>
  <c r="BC23" i="106"/>
  <c r="BD23" i="106"/>
  <c r="BE23" i="106"/>
  <c r="BF23" i="106"/>
  <c r="BG23" i="106"/>
  <c r="BH23" i="106"/>
  <c r="BI23" i="106"/>
  <c r="BJ23" i="106"/>
  <c r="BK23" i="106"/>
  <c r="BL23" i="106"/>
  <c r="BM23" i="106"/>
  <c r="BN23" i="106"/>
  <c r="BO23" i="106"/>
  <c r="BP23" i="106"/>
  <c r="BQ23" i="106"/>
  <c r="BR23" i="106"/>
  <c r="BS23" i="106"/>
  <c r="G27" i="106"/>
  <c r="H27" i="106"/>
  <c r="I27" i="106"/>
  <c r="J27" i="106"/>
  <c r="K27" i="106"/>
  <c r="L27" i="106"/>
  <c r="M27" i="106"/>
  <c r="N27" i="106"/>
  <c r="O27" i="106"/>
  <c r="P27" i="106"/>
  <c r="Q27" i="106"/>
  <c r="R27" i="106"/>
  <c r="S27" i="106"/>
  <c r="T27" i="106"/>
  <c r="U27" i="106"/>
  <c r="V27" i="106"/>
  <c r="W27" i="106"/>
  <c r="X27" i="106"/>
  <c r="Y27" i="106"/>
  <c r="Z27" i="106"/>
  <c r="AA27" i="106"/>
  <c r="AB27" i="106"/>
  <c r="AC27" i="106"/>
  <c r="AD27" i="106"/>
  <c r="AE27" i="106"/>
  <c r="AF27" i="106"/>
  <c r="AG27" i="106"/>
  <c r="AH27" i="106"/>
  <c r="AI27" i="106"/>
  <c r="AJ27" i="106"/>
  <c r="AK27" i="106"/>
  <c r="AL27" i="106"/>
  <c r="AM27" i="106"/>
  <c r="AN27" i="106"/>
  <c r="AO27" i="106"/>
  <c r="AP27" i="106"/>
  <c r="AQ27" i="106"/>
  <c r="AR27" i="106"/>
  <c r="AS27" i="106"/>
  <c r="AT27" i="106"/>
  <c r="AU27" i="106"/>
  <c r="AV27" i="106"/>
  <c r="AW27" i="106"/>
  <c r="AX27" i="106"/>
  <c r="AY27" i="106"/>
  <c r="AZ27" i="106"/>
  <c r="BA27" i="106"/>
  <c r="BB27" i="106"/>
  <c r="BC27" i="106"/>
  <c r="BD27" i="106"/>
  <c r="BE27" i="106"/>
  <c r="BF27" i="106"/>
  <c r="BG27" i="106"/>
  <c r="BH27" i="106"/>
  <c r="BI27" i="106"/>
  <c r="BJ27" i="106"/>
  <c r="BK27" i="106"/>
  <c r="BL27" i="106"/>
  <c r="BM27" i="106"/>
  <c r="BN27" i="106"/>
  <c r="BO27" i="106"/>
  <c r="BP27" i="106"/>
  <c r="BQ27" i="106"/>
  <c r="BR27" i="106"/>
  <c r="BS27" i="106"/>
  <c r="G28" i="106"/>
  <c r="H28" i="106"/>
  <c r="I28" i="106"/>
  <c r="J28" i="106"/>
  <c r="K28" i="106"/>
  <c r="L28" i="106"/>
  <c r="M28" i="106"/>
  <c r="N28" i="106"/>
  <c r="O28" i="106"/>
  <c r="P28" i="106"/>
  <c r="Q28" i="106"/>
  <c r="R28" i="106"/>
  <c r="S28" i="106"/>
  <c r="T28" i="106"/>
  <c r="U28" i="106"/>
  <c r="V28" i="106"/>
  <c r="W28" i="106"/>
  <c r="X28" i="106"/>
  <c r="Y28" i="106"/>
  <c r="Z28" i="106"/>
  <c r="AA28" i="106"/>
  <c r="AB28" i="106"/>
  <c r="AC28" i="106"/>
  <c r="AD28" i="106"/>
  <c r="AE28" i="106"/>
  <c r="AF28" i="106"/>
  <c r="AG28" i="106"/>
  <c r="AH28" i="106"/>
  <c r="AI28" i="106"/>
  <c r="AJ28" i="106"/>
  <c r="AK28" i="106"/>
  <c r="AL28" i="106"/>
  <c r="AM28" i="106"/>
  <c r="AN28" i="106"/>
  <c r="AO28" i="106"/>
  <c r="AP28" i="106"/>
  <c r="AQ28" i="106"/>
  <c r="AR28" i="106"/>
  <c r="AS28" i="106"/>
  <c r="AT28" i="106"/>
  <c r="AU28" i="106"/>
  <c r="AV28" i="106"/>
  <c r="AW28" i="106"/>
  <c r="AX28" i="106"/>
  <c r="AY28" i="106"/>
  <c r="AZ28" i="106"/>
  <c r="BA28" i="106"/>
  <c r="BB28" i="106"/>
  <c r="BC28" i="106"/>
  <c r="BD28" i="106"/>
  <c r="BE28" i="106"/>
  <c r="BF28" i="106"/>
  <c r="BG28" i="106"/>
  <c r="BH28" i="106"/>
  <c r="BI28" i="106"/>
  <c r="BJ28" i="106"/>
  <c r="BK28" i="106"/>
  <c r="BL28" i="106"/>
  <c r="BM28" i="106"/>
  <c r="BN28" i="106"/>
  <c r="BO28" i="106"/>
  <c r="BP28" i="106"/>
  <c r="BQ28" i="106"/>
  <c r="BR28" i="106"/>
  <c r="BS28" i="106"/>
  <c r="G29" i="106"/>
  <c r="H29" i="106"/>
  <c r="I29" i="106"/>
  <c r="J29" i="106"/>
  <c r="K29" i="106"/>
  <c r="L29" i="106"/>
  <c r="M29" i="106"/>
  <c r="N29" i="106"/>
  <c r="O29" i="106"/>
  <c r="P29" i="106"/>
  <c r="Q29" i="106"/>
  <c r="R29" i="106"/>
  <c r="S29" i="106"/>
  <c r="T29" i="106"/>
  <c r="U29" i="106"/>
  <c r="V29" i="106"/>
  <c r="W29" i="106"/>
  <c r="X29" i="106"/>
  <c r="Y29" i="106"/>
  <c r="Z29" i="106"/>
  <c r="AA29" i="106"/>
  <c r="AB29" i="106"/>
  <c r="AC29" i="106"/>
  <c r="AD29" i="106"/>
  <c r="AE29" i="106"/>
  <c r="AF29" i="106"/>
  <c r="AG29" i="106"/>
  <c r="AH29" i="106"/>
  <c r="AI29" i="106"/>
  <c r="AJ29" i="106"/>
  <c r="AK29" i="106"/>
  <c r="AL29" i="106"/>
  <c r="AM29" i="106"/>
  <c r="AN29" i="106"/>
  <c r="AO29" i="106"/>
  <c r="AP29" i="106"/>
  <c r="AQ29" i="106"/>
  <c r="AR29" i="106"/>
  <c r="AS29" i="106"/>
  <c r="AT29" i="106"/>
  <c r="AU29" i="106"/>
  <c r="AV29" i="106"/>
  <c r="AW29" i="106"/>
  <c r="AX29" i="106"/>
  <c r="AY29" i="106"/>
  <c r="AZ29" i="106"/>
  <c r="BA29" i="106"/>
  <c r="BB29" i="106"/>
  <c r="BC29" i="106"/>
  <c r="BD29" i="106"/>
  <c r="BE29" i="106"/>
  <c r="BF29" i="106"/>
  <c r="BG29" i="106"/>
  <c r="BH29" i="106"/>
  <c r="BI29" i="106"/>
  <c r="BJ29" i="106"/>
  <c r="BK29" i="106"/>
  <c r="BL29" i="106"/>
  <c r="BM29" i="106"/>
  <c r="BN29" i="106"/>
  <c r="BO29" i="106"/>
  <c r="BP29" i="106"/>
  <c r="BQ29" i="106"/>
  <c r="BR29" i="106"/>
  <c r="BS29" i="106"/>
  <c r="S30" i="106" l="1"/>
  <c r="Z30" i="106"/>
  <c r="AW30" i="106"/>
  <c r="AK30" i="106"/>
  <c r="Y30" i="106"/>
  <c r="AX30" i="106"/>
  <c r="T30" i="106"/>
  <c r="BR30" i="106"/>
  <c r="BQ30" i="106"/>
  <c r="AL30" i="106"/>
  <c r="I30" i="106"/>
  <c r="P30" i="106"/>
  <c r="BP30" i="106"/>
  <c r="AV30" i="106"/>
  <c r="AJ30" i="106"/>
  <c r="BJ30" i="106"/>
  <c r="BB30" i="106"/>
  <c r="AP30" i="106"/>
  <c r="BI30" i="106"/>
  <c r="BA30" i="106"/>
  <c r="AO30" i="106"/>
  <c r="BH30" i="106"/>
  <c r="BG30" i="106"/>
  <c r="BF30" i="106"/>
  <c r="BM30" i="106"/>
  <c r="BL30" i="106"/>
  <c r="BK30" i="106"/>
  <c r="BO30" i="106"/>
  <c r="BN30" i="106"/>
  <c r="BE30" i="106"/>
  <c r="BD30" i="106"/>
  <c r="BC30" i="106"/>
  <c r="BS30" i="106"/>
  <c r="AD30" i="106"/>
  <c r="V30" i="106"/>
  <c r="J30" i="106"/>
  <c r="AU30" i="106"/>
  <c r="AI30" i="106"/>
  <c r="O30" i="106"/>
  <c r="AT30" i="106"/>
  <c r="AH30" i="106"/>
  <c r="N30" i="106"/>
  <c r="AS30" i="106"/>
  <c r="AG30" i="106"/>
  <c r="M30" i="106"/>
  <c r="AR30" i="106"/>
  <c r="AF30" i="106"/>
  <c r="X30" i="106"/>
  <c r="L30" i="106"/>
  <c r="AQ30" i="106"/>
  <c r="AE30" i="106"/>
  <c r="W30" i="106"/>
  <c r="K30" i="106"/>
  <c r="AC30" i="106"/>
  <c r="U30" i="106"/>
  <c r="AZ30" i="106"/>
  <c r="AN30" i="106"/>
  <c r="AB30" i="106"/>
  <c r="H30" i="106"/>
  <c r="AY30" i="106"/>
  <c r="AM30" i="106"/>
  <c r="AA30" i="106"/>
  <c r="G30" i="106"/>
  <c r="G31" i="121" l="1"/>
  <c r="BT11" i="106" l="1"/>
  <c r="BU11" i="106"/>
  <c r="BV11" i="106"/>
  <c r="BW11" i="106"/>
  <c r="BX11" i="106"/>
  <c r="BY11" i="106"/>
  <c r="BZ11" i="106"/>
  <c r="CA11" i="106"/>
  <c r="CB11" i="106"/>
  <c r="CC11" i="106"/>
  <c r="CD11" i="106"/>
  <c r="CE11" i="106"/>
  <c r="CF11" i="106"/>
  <c r="CG11" i="106"/>
  <c r="CH11" i="106"/>
  <c r="CI11" i="106"/>
  <c r="CJ11" i="106"/>
  <c r="CK11" i="106"/>
  <c r="CL11" i="106"/>
  <c r="CM11" i="106"/>
  <c r="CN11" i="106"/>
  <c r="CO11" i="106"/>
  <c r="CP11" i="106"/>
  <c r="CQ11" i="106"/>
  <c r="CR11" i="106"/>
  <c r="CS11" i="106"/>
  <c r="CT11" i="106"/>
  <c r="CU11" i="106"/>
  <c r="CV11" i="106"/>
  <c r="CW11" i="106"/>
  <c r="CX11" i="106"/>
  <c r="CY11" i="106"/>
  <c r="CZ11" i="106"/>
  <c r="DA11" i="106"/>
  <c r="DB11" i="106"/>
  <c r="DC11" i="106"/>
  <c r="DD11" i="106"/>
  <c r="DE11" i="106"/>
  <c r="DF11" i="106"/>
  <c r="DG11" i="106"/>
  <c r="BT15" i="106"/>
  <c r="BU15" i="106"/>
  <c r="BV15" i="106"/>
  <c r="BW15" i="106"/>
  <c r="BX15" i="106"/>
  <c r="BY15" i="106"/>
  <c r="BZ15" i="106"/>
  <c r="CA15" i="106"/>
  <c r="CB15" i="106"/>
  <c r="CC15" i="106"/>
  <c r="CD15" i="106"/>
  <c r="CE15" i="106"/>
  <c r="CF15" i="106"/>
  <c r="CG15" i="106"/>
  <c r="CH15" i="106"/>
  <c r="CI15" i="106"/>
  <c r="CJ15" i="106"/>
  <c r="CK15" i="106"/>
  <c r="CL15" i="106"/>
  <c r="CM15" i="106"/>
  <c r="CN15" i="106"/>
  <c r="CO15" i="106"/>
  <c r="CP15" i="106"/>
  <c r="CQ15" i="106"/>
  <c r="CR15" i="106"/>
  <c r="CS15" i="106"/>
  <c r="CT15" i="106"/>
  <c r="CU15" i="106"/>
  <c r="CV15" i="106"/>
  <c r="CW15" i="106"/>
  <c r="CX15" i="106"/>
  <c r="CY15" i="106"/>
  <c r="CZ15" i="106"/>
  <c r="DA15" i="106"/>
  <c r="DB15" i="106"/>
  <c r="DC15" i="106"/>
  <c r="DD15" i="106"/>
  <c r="DE15" i="106"/>
  <c r="DF15" i="106"/>
  <c r="DG15" i="106"/>
  <c r="W50" i="127"/>
  <c r="W51" i="127"/>
  <c r="W52" i="127"/>
  <c r="W53" i="127"/>
  <c r="R53" i="127"/>
  <c r="S53" i="127" s="1"/>
  <c r="E50" i="127"/>
  <c r="F50" i="127" s="1"/>
  <c r="G50" i="127"/>
  <c r="R50" i="127" s="1"/>
  <c r="S50" i="127" s="1"/>
  <c r="E51" i="127"/>
  <c r="F51" i="127" s="1"/>
  <c r="G51" i="127"/>
  <c r="R51" i="127" s="1"/>
  <c r="S51" i="127" s="1"/>
  <c r="F52" i="127"/>
  <c r="F53" i="127"/>
  <c r="G17" i="127"/>
  <c r="G32" i="127" s="1"/>
  <c r="N32" i="75"/>
  <c r="J32" i="75"/>
  <c r="I32" i="75"/>
  <c r="M31" i="75"/>
  <c r="O31" i="75" s="1"/>
  <c r="F31" i="75"/>
  <c r="D31" i="75"/>
  <c r="E31" i="75" s="1"/>
  <c r="M30" i="75"/>
  <c r="O30" i="75" s="1"/>
  <c r="F30" i="75"/>
  <c r="D30" i="75"/>
  <c r="E30" i="75" s="1"/>
  <c r="G30" i="75" s="1"/>
  <c r="M29" i="75"/>
  <c r="O29" i="75" s="1"/>
  <c r="E29" i="75"/>
  <c r="G29" i="75" s="1"/>
  <c r="M28" i="75"/>
  <c r="O28" i="75" s="1"/>
  <c r="E28" i="75"/>
  <c r="G28" i="75" s="1"/>
  <c r="M27" i="75"/>
  <c r="O27" i="75" s="1"/>
  <c r="D27" i="75"/>
  <c r="E27" i="75" s="1"/>
  <c r="G27" i="75" s="1"/>
  <c r="M26" i="75"/>
  <c r="O26" i="75" s="1"/>
  <c r="E26" i="75"/>
  <c r="M25" i="75"/>
  <c r="O25" i="75" s="1"/>
  <c r="E25" i="75"/>
  <c r="C32" i="75"/>
  <c r="C14" i="75"/>
  <c r="E14" i="75" s="1"/>
  <c r="C15" i="75"/>
  <c r="E15" i="75" s="1"/>
  <c r="H52" i="127" l="1"/>
  <c r="V51" i="127"/>
  <c r="V52" i="127"/>
  <c r="H50" i="127"/>
  <c r="V53" i="127"/>
  <c r="R52" i="127"/>
  <c r="S52" i="127" s="1"/>
  <c r="V50" i="127"/>
  <c r="H51" i="127"/>
  <c r="H53" i="127"/>
  <c r="G26" i="75"/>
  <c r="F32" i="75"/>
  <c r="G25" i="75"/>
  <c r="G31" i="75"/>
  <c r="K32" i="75"/>
  <c r="E32" i="75"/>
  <c r="H32" i="75"/>
  <c r="M32" i="75" l="1"/>
  <c r="G32" i="75"/>
  <c r="D32" i="75"/>
  <c r="O32" i="75" l="1"/>
  <c r="L32" i="75"/>
  <c r="BT19" i="106" l="1"/>
  <c r="BU19" i="106"/>
  <c r="BV19" i="106"/>
  <c r="BW19" i="106"/>
  <c r="BX19" i="106"/>
  <c r="BY19" i="106"/>
  <c r="BZ19" i="106"/>
  <c r="CA19" i="106"/>
  <c r="CB19" i="106"/>
  <c r="CC19" i="106"/>
  <c r="CD19" i="106"/>
  <c r="CE19" i="106"/>
  <c r="CF19" i="106"/>
  <c r="CG19" i="106"/>
  <c r="CH19" i="106"/>
  <c r="CI19" i="106"/>
  <c r="CJ19" i="106"/>
  <c r="CK19" i="106"/>
  <c r="CL19" i="106"/>
  <c r="CM19" i="106"/>
  <c r="CN19" i="106"/>
  <c r="CO19" i="106"/>
  <c r="CP19" i="106"/>
  <c r="CQ19" i="106"/>
  <c r="CR19" i="106"/>
  <c r="CS19" i="106"/>
  <c r="BT23" i="106"/>
  <c r="BU23" i="106"/>
  <c r="BV23" i="106"/>
  <c r="BW23" i="106"/>
  <c r="BX23" i="106"/>
  <c r="BY23" i="106"/>
  <c r="BZ23" i="106"/>
  <c r="CA23" i="106"/>
  <c r="CB23" i="106"/>
  <c r="CC23" i="106"/>
  <c r="CD23" i="106"/>
  <c r="CE23" i="106"/>
  <c r="CF23" i="106"/>
  <c r="CG23" i="106"/>
  <c r="CH23" i="106"/>
  <c r="CI23" i="106"/>
  <c r="CJ23" i="106"/>
  <c r="CK23" i="106"/>
  <c r="CL23" i="106"/>
  <c r="CM23" i="106"/>
  <c r="CN23" i="106"/>
  <c r="CO23" i="106"/>
  <c r="CP23" i="106"/>
  <c r="CQ23" i="106"/>
  <c r="CR23" i="106"/>
  <c r="CS23" i="106"/>
  <c r="BT27" i="106"/>
  <c r="BU27" i="106"/>
  <c r="BV27" i="106"/>
  <c r="BW27" i="106"/>
  <c r="BX27" i="106"/>
  <c r="BY27" i="106"/>
  <c r="BZ27" i="106"/>
  <c r="CA27" i="106"/>
  <c r="CB27" i="106"/>
  <c r="CC27" i="106"/>
  <c r="CD27" i="106"/>
  <c r="CE27" i="106"/>
  <c r="CF27" i="106"/>
  <c r="CG27" i="106"/>
  <c r="CH27" i="106"/>
  <c r="CI27" i="106"/>
  <c r="CJ27" i="106"/>
  <c r="CK27" i="106"/>
  <c r="CL27" i="106"/>
  <c r="CM27" i="106"/>
  <c r="CN27" i="106"/>
  <c r="CO27" i="106"/>
  <c r="CP27" i="106"/>
  <c r="CQ27" i="106"/>
  <c r="CR27" i="106"/>
  <c r="CS27" i="106"/>
  <c r="BT28" i="106"/>
  <c r="BU28" i="106"/>
  <c r="BV28" i="106"/>
  <c r="BW28" i="106"/>
  <c r="BX28" i="106"/>
  <c r="BY28" i="106"/>
  <c r="BZ28" i="106"/>
  <c r="CA28" i="106"/>
  <c r="CB28" i="106"/>
  <c r="CC28" i="106"/>
  <c r="CD28" i="106"/>
  <c r="CE28" i="106"/>
  <c r="CF28" i="106"/>
  <c r="CG28" i="106"/>
  <c r="CH28" i="106"/>
  <c r="CI28" i="106"/>
  <c r="CJ28" i="106"/>
  <c r="CK28" i="106"/>
  <c r="CL28" i="106"/>
  <c r="CM28" i="106"/>
  <c r="CN28" i="106"/>
  <c r="CO28" i="106"/>
  <c r="CP28" i="106"/>
  <c r="CQ28" i="106"/>
  <c r="CR28" i="106"/>
  <c r="CS28" i="106"/>
  <c r="BT29" i="106"/>
  <c r="BU29" i="106"/>
  <c r="BV29" i="106"/>
  <c r="BW29" i="106"/>
  <c r="BX29" i="106"/>
  <c r="BY29" i="106"/>
  <c r="BZ29" i="106"/>
  <c r="CA29" i="106"/>
  <c r="CB29" i="106"/>
  <c r="CC29" i="106"/>
  <c r="CD29" i="106"/>
  <c r="CE29" i="106"/>
  <c r="CF29" i="106"/>
  <c r="CG29" i="106"/>
  <c r="CH29" i="106"/>
  <c r="CI29" i="106"/>
  <c r="CJ29" i="106"/>
  <c r="CK29" i="106"/>
  <c r="CL29" i="106"/>
  <c r="CM29" i="106"/>
  <c r="CN29" i="106"/>
  <c r="CO29" i="106"/>
  <c r="CP29" i="106"/>
  <c r="CQ29" i="106"/>
  <c r="CR29" i="106"/>
  <c r="CS29" i="106"/>
  <c r="CT19" i="106"/>
  <c r="CT23" i="106"/>
  <c r="CT27" i="106"/>
  <c r="CT28" i="106"/>
  <c r="CT29" i="106"/>
  <c r="CS30" i="106" l="1"/>
  <c r="CC30" i="106"/>
  <c r="CJ30" i="106"/>
  <c r="CP30" i="106"/>
  <c r="CH30" i="106"/>
  <c r="BZ30" i="106"/>
  <c r="CK30" i="106"/>
  <c r="CL30" i="106"/>
  <c r="CO30" i="106"/>
  <c r="CN30" i="106"/>
  <c r="CF30" i="106"/>
  <c r="BX30" i="106"/>
  <c r="CD30" i="106"/>
  <c r="BV30" i="106"/>
  <c r="CG30" i="106"/>
  <c r="BY30" i="106"/>
  <c r="BT30" i="106"/>
  <c r="BU30" i="106"/>
  <c r="CR30" i="106"/>
  <c r="CB30" i="106"/>
  <c r="CQ30" i="106"/>
  <c r="CI30" i="106"/>
  <c r="CA30" i="106"/>
  <c r="CT30" i="106"/>
  <c r="CM30" i="106"/>
  <c r="CE30" i="106"/>
  <c r="BW30" i="106"/>
  <c r="Q5" i="127" l="1"/>
  <c r="B29" i="108" l="1"/>
  <c r="B28" i="108"/>
  <c r="C29" i="108"/>
  <c r="C28" i="108"/>
  <c r="D29" i="108"/>
  <c r="D28" i="108"/>
  <c r="D30" i="108"/>
  <c r="D7" i="108"/>
  <c r="J13" i="75" l="1"/>
  <c r="D69" i="75"/>
  <c r="E69" i="75" s="1"/>
  <c r="F69" i="75"/>
  <c r="M69" i="75"/>
  <c r="O69" i="75" s="1"/>
  <c r="D70" i="75"/>
  <c r="E70" i="75" s="1"/>
  <c r="F70" i="75"/>
  <c r="M70" i="75"/>
  <c r="O70" i="75" s="1"/>
  <c r="D71" i="75"/>
  <c r="E71" i="75" s="1"/>
  <c r="F71" i="75"/>
  <c r="M71" i="75"/>
  <c r="O71" i="75" s="1"/>
  <c r="D72" i="75"/>
  <c r="E72" i="75" s="1"/>
  <c r="F72" i="75"/>
  <c r="M72" i="75"/>
  <c r="O72" i="75" s="1"/>
  <c r="D73" i="75"/>
  <c r="E73" i="75" s="1"/>
  <c r="F73" i="75"/>
  <c r="M73" i="75"/>
  <c r="O73" i="75" s="1"/>
  <c r="D74" i="75"/>
  <c r="E74" i="75" s="1"/>
  <c r="F74" i="75"/>
  <c r="M74" i="75"/>
  <c r="O74" i="75" s="1"/>
  <c r="D75" i="75"/>
  <c r="E75" i="75" s="1"/>
  <c r="F75" i="75"/>
  <c r="M75" i="75"/>
  <c r="O75" i="75" s="1"/>
  <c r="D76" i="75"/>
  <c r="E76" i="75" s="1"/>
  <c r="F76" i="75"/>
  <c r="M76" i="75"/>
  <c r="O76" i="75" s="1"/>
  <c r="D77" i="75"/>
  <c r="E77" i="75" s="1"/>
  <c r="F77" i="75"/>
  <c r="M77" i="75"/>
  <c r="O77" i="75" s="1"/>
  <c r="D78" i="75"/>
  <c r="E78" i="75" s="1"/>
  <c r="F78" i="75"/>
  <c r="M78" i="75"/>
  <c r="O78" i="75" s="1"/>
  <c r="C79" i="75"/>
  <c r="I79" i="75"/>
  <c r="J79" i="75"/>
  <c r="N79" i="75"/>
  <c r="D44" i="75"/>
  <c r="E44" i="75" s="1"/>
  <c r="F44" i="75"/>
  <c r="M44" i="75"/>
  <c r="O44" i="75" s="1"/>
  <c r="D45" i="75"/>
  <c r="E45" i="75" s="1"/>
  <c r="F45" i="75"/>
  <c r="M45" i="75"/>
  <c r="O45" i="75" s="1"/>
  <c r="D46" i="75"/>
  <c r="E46" i="75" s="1"/>
  <c r="F46" i="75"/>
  <c r="M46" i="75"/>
  <c r="O46" i="75" s="1"/>
  <c r="D47" i="75"/>
  <c r="E47" i="75" s="1"/>
  <c r="F47" i="75"/>
  <c r="M47" i="75"/>
  <c r="O47" i="75" s="1"/>
  <c r="D48" i="75"/>
  <c r="E48" i="75" s="1"/>
  <c r="F48" i="75"/>
  <c r="M48" i="75"/>
  <c r="O48" i="75" s="1"/>
  <c r="D49" i="75"/>
  <c r="E49" i="75" s="1"/>
  <c r="F49" i="75"/>
  <c r="M49" i="75"/>
  <c r="O49" i="75" s="1"/>
  <c r="D50" i="75"/>
  <c r="E50" i="75" s="1"/>
  <c r="F50" i="75"/>
  <c r="M50" i="75"/>
  <c r="O50" i="75" s="1"/>
  <c r="D52" i="75"/>
  <c r="E52" i="75" s="1"/>
  <c r="F52" i="75"/>
  <c r="M52" i="75"/>
  <c r="O52" i="75" s="1"/>
  <c r="D53" i="75"/>
  <c r="E53" i="75" s="1"/>
  <c r="F53" i="75"/>
  <c r="M53" i="75"/>
  <c r="O53" i="75" s="1"/>
  <c r="D54" i="75"/>
  <c r="E54" i="75" s="1"/>
  <c r="F54" i="75"/>
  <c r="M54" i="75"/>
  <c r="O54" i="75" s="1"/>
  <c r="D55" i="75"/>
  <c r="E55" i="75" s="1"/>
  <c r="F55" i="75"/>
  <c r="M55" i="75"/>
  <c r="O55" i="75" s="1"/>
  <c r="C56" i="75"/>
  <c r="I56" i="75"/>
  <c r="J56" i="75"/>
  <c r="N56" i="75"/>
  <c r="E7" i="75"/>
  <c r="D8" i="75"/>
  <c r="E8" i="75" s="1"/>
  <c r="D9" i="75"/>
  <c r="E9" i="75" s="1"/>
  <c r="D10" i="75"/>
  <c r="E10" i="75" s="1"/>
  <c r="D11" i="75"/>
  <c r="E11" i="75" s="1"/>
  <c r="D12" i="75"/>
  <c r="E12" i="75" s="1"/>
  <c r="F8" i="75"/>
  <c r="F9" i="75"/>
  <c r="F10" i="75"/>
  <c r="F11" i="75"/>
  <c r="P15" i="75"/>
  <c r="E17" i="75"/>
  <c r="E18" i="75"/>
  <c r="E19" i="75"/>
  <c r="E20" i="75"/>
  <c r="E21" i="75"/>
  <c r="M15" i="75"/>
  <c r="O15" i="75" s="1"/>
  <c r="M16" i="75"/>
  <c r="O16" i="75" s="1"/>
  <c r="M17" i="75"/>
  <c r="O17" i="75" s="1"/>
  <c r="M18" i="75"/>
  <c r="O18" i="75" s="1"/>
  <c r="M19" i="75"/>
  <c r="O19" i="75" s="1"/>
  <c r="M20" i="75"/>
  <c r="O20" i="75" s="1"/>
  <c r="M7" i="75"/>
  <c r="O7" i="75" s="1"/>
  <c r="M8" i="75"/>
  <c r="O8" i="75" s="1"/>
  <c r="M9" i="75"/>
  <c r="O9" i="75" s="1"/>
  <c r="M10" i="75"/>
  <c r="O10" i="75" s="1"/>
  <c r="M11" i="75"/>
  <c r="O11" i="75" s="1"/>
  <c r="M12" i="75"/>
  <c r="O12" i="75" s="1"/>
  <c r="H49" i="71"/>
  <c r="N30" i="89"/>
  <c r="F30" i="89"/>
  <c r="T117" i="127"/>
  <c r="T105" i="127"/>
  <c r="T90" i="127"/>
  <c r="T73" i="127"/>
  <c r="T54" i="127"/>
  <c r="N27" i="127"/>
  <c r="P27" i="127" s="1"/>
  <c r="T27" i="127"/>
  <c r="R27" i="127"/>
  <c r="E27" i="127"/>
  <c r="D23" i="71"/>
  <c r="B23" i="71"/>
  <c r="B22" i="71"/>
  <c r="H24" i="71" s="1"/>
  <c r="H56" i="75" l="1"/>
  <c r="G46" i="75"/>
  <c r="F56" i="75"/>
  <c r="G53" i="75"/>
  <c r="G73" i="75"/>
  <c r="G12" i="75"/>
  <c r="G21" i="75"/>
  <c r="G11" i="75"/>
  <c r="G44" i="75"/>
  <c r="G10" i="75"/>
  <c r="G50" i="75"/>
  <c r="G71" i="75"/>
  <c r="G52" i="75"/>
  <c r="G78" i="75"/>
  <c r="G70" i="75"/>
  <c r="G8" i="75"/>
  <c r="F79" i="75"/>
  <c r="G19" i="75"/>
  <c r="G48" i="75"/>
  <c r="G55" i="75"/>
  <c r="G72" i="75"/>
  <c r="H79" i="75"/>
  <c r="G74" i="75"/>
  <c r="G15" i="75"/>
  <c r="G77" i="75"/>
  <c r="G20" i="75"/>
  <c r="G16" i="75"/>
  <c r="G49" i="75"/>
  <c r="G9" i="75"/>
  <c r="M79" i="75"/>
  <c r="M56" i="75"/>
  <c r="L56" i="75" s="1"/>
  <c r="G18" i="75"/>
  <c r="G76" i="75"/>
  <c r="G54" i="75"/>
  <c r="G17" i="75"/>
  <c r="G75" i="75"/>
  <c r="G7" i="75"/>
  <c r="G47" i="75"/>
  <c r="E79" i="75"/>
  <c r="G69" i="75"/>
  <c r="G45" i="75"/>
  <c r="E56" i="75"/>
  <c r="K79" i="75"/>
  <c r="K56" i="75"/>
  <c r="V27" i="127"/>
  <c r="W27" i="127"/>
  <c r="S27" i="127"/>
  <c r="F27" i="127"/>
  <c r="H27" i="127" s="1"/>
  <c r="O56" i="75" l="1"/>
  <c r="L79" i="75"/>
  <c r="O79" i="75"/>
  <c r="D56" i="75"/>
  <c r="G56" i="75"/>
  <c r="D79" i="75"/>
  <c r="G79" i="75"/>
  <c r="D12" i="127"/>
  <c r="D11" i="127"/>
  <c r="D10" i="127"/>
  <c r="D84" i="127"/>
  <c r="D112" i="127"/>
  <c r="D106" i="127"/>
  <c r="D99" i="127"/>
  <c r="D100" i="127"/>
  <c r="D91" i="127"/>
  <c r="D76" i="127"/>
  <c r="D75" i="127"/>
  <c r="D57" i="127"/>
  <c r="D61" i="127"/>
  <c r="W62" i="127"/>
  <c r="E66" i="127"/>
  <c r="N66" i="127"/>
  <c r="P66" i="127" s="1"/>
  <c r="V66" i="127" l="1"/>
  <c r="V62" i="127"/>
  <c r="F66" i="127"/>
  <c r="H66" i="127" s="1"/>
  <c r="W66" i="127"/>
  <c r="R66" i="127"/>
  <c r="S66" i="127" s="1"/>
  <c r="F62" i="127"/>
  <c r="H62" i="127" s="1"/>
  <c r="N62" i="127"/>
  <c r="P62" i="127" s="1"/>
  <c r="R62" i="127"/>
  <c r="S62" i="127" s="1"/>
  <c r="W59" i="127" l="1"/>
  <c r="W55" i="127"/>
  <c r="N55" i="127"/>
  <c r="P55" i="127" s="1"/>
  <c r="F55" i="127"/>
  <c r="D49" i="127"/>
  <c r="H55" i="127" l="1"/>
  <c r="V59" i="127"/>
  <c r="R59" i="127"/>
  <c r="S59" i="127" s="1"/>
  <c r="F59" i="127"/>
  <c r="H59" i="127" s="1"/>
  <c r="N59" i="127"/>
  <c r="P59" i="127" s="1"/>
  <c r="V55" i="127"/>
  <c r="R55" i="127"/>
  <c r="S55" i="127" s="1"/>
  <c r="G47" i="127" l="1"/>
  <c r="E47" i="127"/>
  <c r="N47" i="127"/>
  <c r="P47" i="127" s="1"/>
  <c r="D45" i="127"/>
  <c r="D40" i="127"/>
  <c r="T40" i="127"/>
  <c r="Y37" i="127"/>
  <c r="E111" i="121"/>
  <c r="E103" i="121"/>
  <c r="AQ23" i="123"/>
  <c r="E22" i="123"/>
  <c r="V47" i="127" l="1"/>
  <c r="R47" i="127"/>
  <c r="S47" i="127" s="1"/>
  <c r="F47" i="127"/>
  <c r="H47" i="127" s="1"/>
  <c r="W47" i="127"/>
  <c r="F5" i="10"/>
  <c r="G5" i="10"/>
  <c r="D5" i="10"/>
  <c r="AQ96" i="121"/>
  <c r="H14" i="71" l="1"/>
  <c r="D93" i="127"/>
  <c r="D38" i="127"/>
  <c r="D36" i="127" l="1"/>
  <c r="D85" i="127"/>
  <c r="D78" i="127"/>
  <c r="D68" i="127"/>
  <c r="D67" i="127"/>
  <c r="W65" i="127"/>
  <c r="D73" i="127" l="1"/>
  <c r="W56" i="127"/>
  <c r="Q124" i="127"/>
  <c r="O124" i="127"/>
  <c r="K124" i="127"/>
  <c r="J124" i="127"/>
  <c r="G119" i="127"/>
  <c r="R119" i="127" s="1"/>
  <c r="E119" i="127"/>
  <c r="D119" i="127"/>
  <c r="G118" i="127"/>
  <c r="R118" i="127" s="1"/>
  <c r="E118" i="127"/>
  <c r="D118" i="127"/>
  <c r="W118" i="127" s="1"/>
  <c r="Q117" i="127"/>
  <c r="O117" i="127"/>
  <c r="K117" i="127"/>
  <c r="J117" i="127"/>
  <c r="G112" i="127"/>
  <c r="E112" i="127"/>
  <c r="N112" i="127"/>
  <c r="P112" i="127" s="1"/>
  <c r="G111" i="127"/>
  <c r="R111" i="127" s="1"/>
  <c r="E111" i="127"/>
  <c r="D111" i="127"/>
  <c r="W111" i="127" s="1"/>
  <c r="G110" i="127"/>
  <c r="E110" i="127"/>
  <c r="G109" i="127"/>
  <c r="R109" i="127" s="1"/>
  <c r="S109" i="127" s="1"/>
  <c r="E109" i="127"/>
  <c r="G108" i="127"/>
  <c r="R108" i="127" s="1"/>
  <c r="E108" i="127"/>
  <c r="N108" i="127"/>
  <c r="P108" i="127" s="1"/>
  <c r="G107" i="127"/>
  <c r="E107" i="127"/>
  <c r="D107" i="127"/>
  <c r="G106" i="127"/>
  <c r="E106" i="127"/>
  <c r="N106" i="127"/>
  <c r="Q105" i="127"/>
  <c r="O105" i="127"/>
  <c r="K105" i="127"/>
  <c r="J105" i="127"/>
  <c r="G100" i="127"/>
  <c r="R100" i="127" s="1"/>
  <c r="E100" i="127"/>
  <c r="G99" i="127"/>
  <c r="E99" i="127"/>
  <c r="T98" i="127"/>
  <c r="G98" i="127"/>
  <c r="E98" i="127"/>
  <c r="G97" i="127"/>
  <c r="R97" i="127" s="1"/>
  <c r="E97" i="127"/>
  <c r="G96" i="127"/>
  <c r="E96" i="127"/>
  <c r="N96" i="127"/>
  <c r="P96" i="127" s="1"/>
  <c r="G95" i="127"/>
  <c r="R95" i="127" s="1"/>
  <c r="E95" i="127"/>
  <c r="G94" i="127"/>
  <c r="R94" i="127" s="1"/>
  <c r="E94" i="127"/>
  <c r="N94" i="127"/>
  <c r="P94" i="127" s="1"/>
  <c r="W93" i="127"/>
  <c r="G93" i="127"/>
  <c r="E93" i="127"/>
  <c r="F93" i="127" s="1"/>
  <c r="N93" i="127"/>
  <c r="P93" i="127" s="1"/>
  <c r="G92" i="127"/>
  <c r="R92" i="127" s="1"/>
  <c r="E92" i="127"/>
  <c r="D92" i="127"/>
  <c r="W92" i="127" s="1"/>
  <c r="G91" i="127"/>
  <c r="R91" i="127" s="1"/>
  <c r="E91" i="127"/>
  <c r="F91" i="127" s="1"/>
  <c r="Q90" i="127"/>
  <c r="O90" i="127"/>
  <c r="K90" i="127"/>
  <c r="J90" i="127"/>
  <c r="W85" i="127"/>
  <c r="N85" i="127"/>
  <c r="P85" i="127" s="1"/>
  <c r="G85" i="127"/>
  <c r="R85" i="127" s="1"/>
  <c r="S85" i="127" s="1"/>
  <c r="E85" i="127"/>
  <c r="F85" i="127" s="1"/>
  <c r="G84" i="127"/>
  <c r="E84" i="127"/>
  <c r="T83" i="127"/>
  <c r="G83" i="127"/>
  <c r="R83" i="127" s="1"/>
  <c r="E83" i="127"/>
  <c r="G82" i="127"/>
  <c r="R82" i="127" s="1"/>
  <c r="S82" i="127" s="1"/>
  <c r="E82" i="127"/>
  <c r="F82" i="127" s="1"/>
  <c r="N82" i="127"/>
  <c r="P82" i="127" s="1"/>
  <c r="W81" i="127"/>
  <c r="G81" i="127"/>
  <c r="E81" i="127"/>
  <c r="F81" i="127" s="1"/>
  <c r="N81" i="127"/>
  <c r="P81" i="127" s="1"/>
  <c r="G80" i="127"/>
  <c r="R80" i="127" s="1"/>
  <c r="E80" i="127"/>
  <c r="N79" i="127"/>
  <c r="P79" i="127" s="1"/>
  <c r="G79" i="127"/>
  <c r="R79" i="127" s="1"/>
  <c r="S79" i="127" s="1"/>
  <c r="E79" i="127"/>
  <c r="F79" i="127" s="1"/>
  <c r="N78" i="127"/>
  <c r="P78" i="127" s="1"/>
  <c r="G78" i="127"/>
  <c r="R78" i="127" s="1"/>
  <c r="S78" i="127" s="1"/>
  <c r="E78" i="127"/>
  <c r="W78" i="127"/>
  <c r="G77" i="127"/>
  <c r="E77" i="127"/>
  <c r="W77" i="127"/>
  <c r="G76" i="127"/>
  <c r="E76" i="127"/>
  <c r="N76" i="127"/>
  <c r="P76" i="127" s="1"/>
  <c r="G75" i="127"/>
  <c r="R75" i="127" s="1"/>
  <c r="E75" i="127"/>
  <c r="W75" i="127"/>
  <c r="T74" i="127"/>
  <c r="D74" i="127" s="1"/>
  <c r="G74" i="127"/>
  <c r="R74" i="127" s="1"/>
  <c r="E74" i="127"/>
  <c r="Q73" i="127"/>
  <c r="O73" i="127"/>
  <c r="K73" i="127"/>
  <c r="J73" i="127"/>
  <c r="W68" i="127"/>
  <c r="N68" i="127"/>
  <c r="P68" i="127" s="1"/>
  <c r="R68" i="127"/>
  <c r="S68" i="127" s="1"/>
  <c r="F68" i="127"/>
  <c r="G67" i="127"/>
  <c r="R67" i="127" s="1"/>
  <c r="F67" i="127"/>
  <c r="N65" i="127"/>
  <c r="P65" i="127" s="1"/>
  <c r="R65" i="127"/>
  <c r="S65" i="127" s="1"/>
  <c r="W64" i="127"/>
  <c r="F64" i="127"/>
  <c r="G63" i="127"/>
  <c r="E63" i="127"/>
  <c r="N63" i="127"/>
  <c r="P63" i="127" s="1"/>
  <c r="W61" i="127"/>
  <c r="N61" i="127"/>
  <c r="P61" i="127" s="1"/>
  <c r="R61" i="127"/>
  <c r="S61" i="127" s="1"/>
  <c r="G58" i="127"/>
  <c r="E58" i="127"/>
  <c r="N57" i="127"/>
  <c r="P57" i="127" s="1"/>
  <c r="Q54" i="127"/>
  <c r="O54" i="127"/>
  <c r="K54" i="127"/>
  <c r="J54" i="127"/>
  <c r="W49" i="127"/>
  <c r="N49" i="127"/>
  <c r="P49" i="127" s="1"/>
  <c r="F49" i="127"/>
  <c r="N48" i="127"/>
  <c r="P48" i="127" s="1"/>
  <c r="R48" i="127"/>
  <c r="S48" i="127" s="1"/>
  <c r="W48" i="127"/>
  <c r="T46" i="127"/>
  <c r="R46" i="127"/>
  <c r="N46" i="127"/>
  <c r="P46" i="127" s="1"/>
  <c r="N45" i="127"/>
  <c r="P45" i="127" s="1"/>
  <c r="R45" i="127"/>
  <c r="T44" i="127"/>
  <c r="D44" i="127" s="1"/>
  <c r="R44" i="127"/>
  <c r="G43" i="127"/>
  <c r="E43" i="127"/>
  <c r="D43" i="127"/>
  <c r="G42" i="127"/>
  <c r="R42" i="127" s="1"/>
  <c r="E42" i="127"/>
  <c r="T41" i="127"/>
  <c r="D41" i="127" s="1"/>
  <c r="G41" i="127"/>
  <c r="R41" i="127" s="1"/>
  <c r="E41" i="127"/>
  <c r="R40" i="127"/>
  <c r="W40" i="127"/>
  <c r="R39" i="127"/>
  <c r="D39" i="127"/>
  <c r="W39" i="127" s="1"/>
  <c r="W38" i="127"/>
  <c r="F38" i="127"/>
  <c r="N38" i="127"/>
  <c r="P38" i="127" s="1"/>
  <c r="W37" i="127"/>
  <c r="N37" i="127"/>
  <c r="P37" i="127" s="1"/>
  <c r="R37" i="127"/>
  <c r="F37" i="127"/>
  <c r="N36" i="127"/>
  <c r="P36" i="127" s="1"/>
  <c r="F36" i="127"/>
  <c r="R35" i="127"/>
  <c r="D35" i="127"/>
  <c r="W35" i="127" s="1"/>
  <c r="D34" i="127"/>
  <c r="W34" i="127" s="1"/>
  <c r="W33" i="127"/>
  <c r="N33" i="127"/>
  <c r="P33" i="127" s="1"/>
  <c r="F33" i="127"/>
  <c r="Q32" i="127"/>
  <c r="O32" i="127"/>
  <c r="K32" i="127"/>
  <c r="J32" i="127"/>
  <c r="D26" i="127"/>
  <c r="N26" i="127" s="1"/>
  <c r="P26" i="127" s="1"/>
  <c r="R25" i="127"/>
  <c r="E25" i="127"/>
  <c r="D25" i="127"/>
  <c r="W25" i="127" s="1"/>
  <c r="R24" i="127"/>
  <c r="E24" i="127"/>
  <c r="D24" i="127"/>
  <c r="W24" i="127" s="1"/>
  <c r="W23" i="127"/>
  <c r="N23" i="127"/>
  <c r="P23" i="127" s="1"/>
  <c r="R23" i="127"/>
  <c r="S23" i="127" s="1"/>
  <c r="E23" i="127"/>
  <c r="D22" i="127"/>
  <c r="T21" i="127"/>
  <c r="D21" i="127" s="1"/>
  <c r="N21" i="127" s="1"/>
  <c r="P21" i="127" s="1"/>
  <c r="T20" i="127"/>
  <c r="D20" i="127" s="1"/>
  <c r="R19" i="127"/>
  <c r="D19" i="127"/>
  <c r="N19" i="127" s="1"/>
  <c r="P19" i="127" s="1"/>
  <c r="D18" i="127"/>
  <c r="T16" i="127"/>
  <c r="D16" i="127" s="1"/>
  <c r="W16" i="127" s="1"/>
  <c r="E16" i="127"/>
  <c r="R15" i="127"/>
  <c r="W15" i="127"/>
  <c r="R14" i="127"/>
  <c r="D14" i="127"/>
  <c r="R13" i="127"/>
  <c r="D13" i="127"/>
  <c r="R12" i="127"/>
  <c r="E12" i="127"/>
  <c r="N12" i="127"/>
  <c r="P12" i="127" s="1"/>
  <c r="R11" i="127"/>
  <c r="E11" i="127"/>
  <c r="W11" i="127"/>
  <c r="N10" i="127"/>
  <c r="R36" i="127" l="1"/>
  <c r="S36" i="127" s="1"/>
  <c r="G54" i="127"/>
  <c r="H91" i="127"/>
  <c r="H37" i="127"/>
  <c r="V40" i="127"/>
  <c r="S119" i="127"/>
  <c r="D32" i="127"/>
  <c r="G117" i="127"/>
  <c r="R56" i="127"/>
  <c r="S56" i="127" s="1"/>
  <c r="G73" i="127"/>
  <c r="F22" i="127"/>
  <c r="H22" i="127" s="1"/>
  <c r="H36" i="127"/>
  <c r="L105" i="127"/>
  <c r="H85" i="127"/>
  <c r="H79" i="127"/>
  <c r="F112" i="127"/>
  <c r="H112" i="127" s="1"/>
  <c r="S108" i="127"/>
  <c r="W112" i="127"/>
  <c r="F26" i="127"/>
  <c r="V19" i="127"/>
  <c r="K128" i="127"/>
  <c r="H67" i="127"/>
  <c r="V78" i="127"/>
  <c r="F76" i="127"/>
  <c r="H76" i="127" s="1"/>
  <c r="V93" i="127"/>
  <c r="F97" i="127"/>
  <c r="H97" i="127" s="1"/>
  <c r="V112" i="127"/>
  <c r="V80" i="127"/>
  <c r="F63" i="127"/>
  <c r="H63" i="127" s="1"/>
  <c r="F106" i="127"/>
  <c r="S12" i="127"/>
  <c r="F58" i="127"/>
  <c r="H58" i="127" s="1"/>
  <c r="V92" i="127"/>
  <c r="S100" i="127"/>
  <c r="V107" i="127"/>
  <c r="V10" i="127"/>
  <c r="H38" i="127"/>
  <c r="V46" i="127"/>
  <c r="V65" i="127"/>
  <c r="V68" i="127"/>
  <c r="H82" i="127"/>
  <c r="V96" i="127"/>
  <c r="H93" i="127"/>
  <c r="V106" i="127"/>
  <c r="F109" i="127"/>
  <c r="H109" i="127" s="1"/>
  <c r="V26" i="127"/>
  <c r="V34" i="127"/>
  <c r="V81" i="127"/>
  <c r="W96" i="127"/>
  <c r="W57" i="127"/>
  <c r="V84" i="127"/>
  <c r="F119" i="127"/>
  <c r="H119" i="127" s="1"/>
  <c r="L73" i="127"/>
  <c r="N91" i="127"/>
  <c r="P91" i="127" s="1"/>
  <c r="R107" i="127"/>
  <c r="S107" i="127" s="1"/>
  <c r="F11" i="127"/>
  <c r="F25" i="127"/>
  <c r="H25" i="127" s="1"/>
  <c r="V38" i="127"/>
  <c r="V91" i="127"/>
  <c r="W100" i="127"/>
  <c r="Q128" i="127"/>
  <c r="S35" i="127"/>
  <c r="S46" i="127"/>
  <c r="W76" i="127"/>
  <c r="V94" i="127"/>
  <c r="F12" i="127"/>
  <c r="H12" i="127" s="1"/>
  <c r="S15" i="127"/>
  <c r="N25" i="127"/>
  <c r="P25" i="127" s="1"/>
  <c r="W63" i="127"/>
  <c r="F108" i="127"/>
  <c r="H108" i="127" s="1"/>
  <c r="L117" i="127"/>
  <c r="N15" i="127"/>
  <c r="P15" i="127" s="1"/>
  <c r="W46" i="127"/>
  <c r="V82" i="127"/>
  <c r="V24" i="127"/>
  <c r="F15" i="127"/>
  <c r="F10" i="127"/>
  <c r="H10" i="127" s="1"/>
  <c r="W12" i="127"/>
  <c r="V48" i="127"/>
  <c r="V95" i="127"/>
  <c r="W108" i="127"/>
  <c r="W41" i="127"/>
  <c r="F41" i="127"/>
  <c r="H41" i="127" s="1"/>
  <c r="S75" i="127"/>
  <c r="L32" i="127"/>
  <c r="S39" i="127"/>
  <c r="N24" i="127"/>
  <c r="P24" i="127" s="1"/>
  <c r="V83" i="127"/>
  <c r="S94" i="127"/>
  <c r="N111" i="127"/>
  <c r="P111" i="127" s="1"/>
  <c r="S19" i="127"/>
  <c r="N22" i="127"/>
  <c r="P22" i="127" s="1"/>
  <c r="F48" i="127"/>
  <c r="H48" i="127" s="1"/>
  <c r="R81" i="127"/>
  <c r="S81" i="127" s="1"/>
  <c r="W19" i="127"/>
  <c r="R26" i="127"/>
  <c r="S26" i="127" s="1"/>
  <c r="V45" i="127"/>
  <c r="F77" i="127"/>
  <c r="H77" i="127" s="1"/>
  <c r="V79" i="127"/>
  <c r="S111" i="127"/>
  <c r="W22" i="127"/>
  <c r="N75" i="127"/>
  <c r="P75" i="127" s="1"/>
  <c r="S80" i="127"/>
  <c r="N100" i="127"/>
  <c r="P100" i="127" s="1"/>
  <c r="V11" i="127"/>
  <c r="V23" i="127"/>
  <c r="W26" i="127"/>
  <c r="F34" i="127"/>
  <c r="H34" i="127" s="1"/>
  <c r="R38" i="127"/>
  <c r="S38" i="127" s="1"/>
  <c r="V63" i="127"/>
  <c r="F80" i="127"/>
  <c r="H80" i="127" s="1"/>
  <c r="R84" i="127"/>
  <c r="S84" i="127" s="1"/>
  <c r="D124" i="127"/>
  <c r="W124" i="127" s="1"/>
  <c r="W14" i="127"/>
  <c r="V12" i="127"/>
  <c r="J128" i="127"/>
  <c r="V36" i="127"/>
  <c r="G124" i="127"/>
  <c r="F46" i="127"/>
  <c r="H46" i="127" s="1"/>
  <c r="S91" i="127"/>
  <c r="R93" i="127"/>
  <c r="S93" i="127" s="1"/>
  <c r="F118" i="127"/>
  <c r="H118" i="127" s="1"/>
  <c r="L124" i="127"/>
  <c r="V25" i="127"/>
  <c r="O128" i="127"/>
  <c r="V35" i="127"/>
  <c r="F39" i="127"/>
  <c r="H39" i="127" s="1"/>
  <c r="F57" i="127"/>
  <c r="H57" i="127" s="1"/>
  <c r="V67" i="127"/>
  <c r="W80" i="127"/>
  <c r="F83" i="127"/>
  <c r="H83" i="127" s="1"/>
  <c r="F96" i="127"/>
  <c r="H96" i="127" s="1"/>
  <c r="F19" i="127"/>
  <c r="H19" i="127" s="1"/>
  <c r="N118" i="127"/>
  <c r="P118" i="127" s="1"/>
  <c r="S13" i="127"/>
  <c r="N35" i="127"/>
  <c r="P35" i="127" s="1"/>
  <c r="V37" i="127"/>
  <c r="V39" i="127"/>
  <c r="V44" i="127"/>
  <c r="H68" i="127"/>
  <c r="V76" i="127"/>
  <c r="F92" i="127"/>
  <c r="H92" i="127" s="1"/>
  <c r="F94" i="127"/>
  <c r="H94" i="127" s="1"/>
  <c r="R124" i="127"/>
  <c r="S92" i="127"/>
  <c r="V13" i="127"/>
  <c r="S24" i="127"/>
  <c r="F44" i="127"/>
  <c r="H44" i="127" s="1"/>
  <c r="R57" i="127"/>
  <c r="S57" i="127" s="1"/>
  <c r="H81" i="127"/>
  <c r="L90" i="127"/>
  <c r="R96" i="127"/>
  <c r="S96" i="127" s="1"/>
  <c r="F40" i="127"/>
  <c r="H40" i="127" s="1"/>
  <c r="S67" i="127"/>
  <c r="N67" i="127"/>
  <c r="P67" i="127" s="1"/>
  <c r="S11" i="127"/>
  <c r="L54" i="127"/>
  <c r="N17" i="127"/>
  <c r="P17" i="127" s="1"/>
  <c r="W17" i="127"/>
  <c r="F21" i="127"/>
  <c r="H21" i="127" s="1"/>
  <c r="F43" i="127"/>
  <c r="H43" i="127" s="1"/>
  <c r="S45" i="127"/>
  <c r="W45" i="127"/>
  <c r="V99" i="127"/>
  <c r="R99" i="127"/>
  <c r="S99" i="127" s="1"/>
  <c r="N84" i="127"/>
  <c r="P84" i="127" s="1"/>
  <c r="W84" i="127"/>
  <c r="N43" i="127"/>
  <c r="P43" i="127" s="1"/>
  <c r="W43" i="127"/>
  <c r="V61" i="127"/>
  <c r="F61" i="127"/>
  <c r="H61" i="127" s="1"/>
  <c r="V74" i="127"/>
  <c r="F74" i="127"/>
  <c r="F84" i="127"/>
  <c r="H84" i="127" s="1"/>
  <c r="F107" i="127"/>
  <c r="H107" i="127" s="1"/>
  <c r="W13" i="127"/>
  <c r="N13" i="127"/>
  <c r="P13" i="127" s="1"/>
  <c r="V21" i="127"/>
  <c r="R21" i="127"/>
  <c r="S21" i="127" s="1"/>
  <c r="R34" i="127"/>
  <c r="S34" i="127" s="1"/>
  <c r="N40" i="127"/>
  <c r="P40" i="127" s="1"/>
  <c r="S40" i="127"/>
  <c r="S41" i="127"/>
  <c r="N41" i="127"/>
  <c r="P41" i="127" s="1"/>
  <c r="V43" i="127"/>
  <c r="R43" i="127"/>
  <c r="S43" i="127" s="1"/>
  <c r="H64" i="127"/>
  <c r="N110" i="127"/>
  <c r="P110" i="127" s="1"/>
  <c r="W110" i="127"/>
  <c r="N99" i="127"/>
  <c r="P99" i="127" s="1"/>
  <c r="W99" i="127"/>
  <c r="N107" i="127"/>
  <c r="P107" i="127" s="1"/>
  <c r="W107" i="127"/>
  <c r="F99" i="127"/>
  <c r="H99" i="127" s="1"/>
  <c r="F13" i="127"/>
  <c r="H13" i="127" s="1"/>
  <c r="V15" i="127"/>
  <c r="F17" i="127"/>
  <c r="H17" i="127" s="1"/>
  <c r="S25" i="127"/>
  <c r="V64" i="127"/>
  <c r="R64" i="127"/>
  <c r="S64" i="127" s="1"/>
  <c r="S97" i="127"/>
  <c r="V100" i="127"/>
  <c r="F100" i="127"/>
  <c r="H100" i="127" s="1"/>
  <c r="F110" i="127"/>
  <c r="H110" i="127" s="1"/>
  <c r="S74" i="127"/>
  <c r="N74" i="127"/>
  <c r="W74" i="127"/>
  <c r="N95" i="127"/>
  <c r="P95" i="127" s="1"/>
  <c r="W95" i="127"/>
  <c r="S95" i="127"/>
  <c r="V110" i="127"/>
  <c r="R110" i="127"/>
  <c r="S110" i="127" s="1"/>
  <c r="N18" i="127"/>
  <c r="P18" i="127" s="1"/>
  <c r="W18" i="127"/>
  <c r="W21" i="127"/>
  <c r="V33" i="127"/>
  <c r="R33" i="127"/>
  <c r="N56" i="127"/>
  <c r="F95" i="127"/>
  <c r="H95" i="127" s="1"/>
  <c r="H33" i="127"/>
  <c r="F18" i="127"/>
  <c r="H18" i="127" s="1"/>
  <c r="S37" i="127"/>
  <c r="H49" i="127"/>
  <c r="F56" i="127"/>
  <c r="V75" i="127"/>
  <c r="F75" i="127"/>
  <c r="H75" i="127" s="1"/>
  <c r="S83" i="127"/>
  <c r="V85" i="127"/>
  <c r="P106" i="127"/>
  <c r="V108" i="127"/>
  <c r="V111" i="127"/>
  <c r="F111" i="127"/>
  <c r="H111" i="127" s="1"/>
  <c r="W20" i="127"/>
  <c r="R18" i="127"/>
  <c r="S18" i="127" s="1"/>
  <c r="V18" i="127"/>
  <c r="F20" i="127"/>
  <c r="H20" i="127" s="1"/>
  <c r="N44" i="127"/>
  <c r="P44" i="127" s="1"/>
  <c r="S44" i="127"/>
  <c r="W44" i="127"/>
  <c r="V49" i="127"/>
  <c r="R49" i="127"/>
  <c r="S49" i="127" s="1"/>
  <c r="R58" i="127"/>
  <c r="S58" i="127" s="1"/>
  <c r="V58" i="127"/>
  <c r="N98" i="127"/>
  <c r="P98" i="127" s="1"/>
  <c r="W98" i="127"/>
  <c r="R17" i="127"/>
  <c r="S17" i="127" s="1"/>
  <c r="V17" i="127"/>
  <c r="F14" i="127"/>
  <c r="H14" i="127" s="1"/>
  <c r="V20" i="127"/>
  <c r="R20" i="127"/>
  <c r="S20" i="127" s="1"/>
  <c r="S42" i="127"/>
  <c r="N42" i="127"/>
  <c r="P42" i="127" s="1"/>
  <c r="W42" i="127"/>
  <c r="N60" i="127"/>
  <c r="P60" i="127" s="1"/>
  <c r="W60" i="127"/>
  <c r="F98" i="127"/>
  <c r="H98" i="127" s="1"/>
  <c r="V118" i="127"/>
  <c r="N16" i="127"/>
  <c r="P16" i="127" s="1"/>
  <c r="N20" i="127"/>
  <c r="P20" i="127" s="1"/>
  <c r="D54" i="127"/>
  <c r="W54" i="127" s="1"/>
  <c r="F45" i="127"/>
  <c r="H45" i="127" s="1"/>
  <c r="V56" i="127"/>
  <c r="F60" i="127"/>
  <c r="H60" i="127" s="1"/>
  <c r="V77" i="127"/>
  <c r="R77" i="127"/>
  <c r="S77" i="127" s="1"/>
  <c r="R98" i="127"/>
  <c r="S98" i="127" s="1"/>
  <c r="V98" i="127"/>
  <c r="N14" i="127"/>
  <c r="P14" i="127" s="1"/>
  <c r="S14" i="127"/>
  <c r="P10" i="127"/>
  <c r="F16" i="127"/>
  <c r="H16" i="127" s="1"/>
  <c r="V22" i="127"/>
  <c r="R22" i="127"/>
  <c r="S22" i="127" s="1"/>
  <c r="V14" i="127"/>
  <c r="R16" i="127"/>
  <c r="S16" i="127" s="1"/>
  <c r="V16" i="127"/>
  <c r="F42" i="127"/>
  <c r="H42" i="127" s="1"/>
  <c r="V60" i="127"/>
  <c r="R60" i="127"/>
  <c r="S60" i="127" s="1"/>
  <c r="F23" i="127"/>
  <c r="H23" i="127" s="1"/>
  <c r="F35" i="127"/>
  <c r="H35" i="127" s="1"/>
  <c r="V42" i="127"/>
  <c r="F65" i="127"/>
  <c r="H65" i="127" s="1"/>
  <c r="F78" i="127"/>
  <c r="H78" i="127" s="1"/>
  <c r="V97" i="127"/>
  <c r="D105" i="127"/>
  <c r="V109" i="127"/>
  <c r="S118" i="127"/>
  <c r="V119" i="127"/>
  <c r="F24" i="127"/>
  <c r="H24" i="127" s="1"/>
  <c r="N39" i="127"/>
  <c r="P39" i="127" s="1"/>
  <c r="N11" i="127"/>
  <c r="P11" i="127" s="1"/>
  <c r="V41" i="127"/>
  <c r="V57" i="127"/>
  <c r="W58" i="127"/>
  <c r="N80" i="127"/>
  <c r="P80" i="127" s="1"/>
  <c r="N92" i="127"/>
  <c r="P92" i="127" s="1"/>
  <c r="W97" i="127"/>
  <c r="R106" i="127"/>
  <c r="W109" i="127"/>
  <c r="W119" i="127"/>
  <c r="G105" i="127"/>
  <c r="R10" i="127"/>
  <c r="N34" i="127"/>
  <c r="P34" i="127" s="1"/>
  <c r="N64" i="127"/>
  <c r="P64" i="127" s="1"/>
  <c r="N77" i="127"/>
  <c r="P77" i="127" s="1"/>
  <c r="W82" i="127"/>
  <c r="W94" i="127"/>
  <c r="W106" i="127"/>
  <c r="W10" i="127"/>
  <c r="W36" i="127"/>
  <c r="R63" i="127"/>
  <c r="S63" i="127" s="1"/>
  <c r="W67" i="127"/>
  <c r="R76" i="127"/>
  <c r="W79" i="127"/>
  <c r="W91" i="127"/>
  <c r="R112" i="127"/>
  <c r="S112" i="127" s="1"/>
  <c r="G90" i="127"/>
  <c r="N58" i="127"/>
  <c r="P58" i="127" s="1"/>
  <c r="N97" i="127"/>
  <c r="P97" i="127" s="1"/>
  <c r="N109" i="127"/>
  <c r="P109" i="127" s="1"/>
  <c r="N119" i="127"/>
  <c r="P119" i="127" s="1"/>
  <c r="D117" i="127"/>
  <c r="H26" i="127" l="1"/>
  <c r="F32" i="127"/>
  <c r="S124" i="127"/>
  <c r="H15" i="127"/>
  <c r="G128" i="127"/>
  <c r="R128" i="127" s="1"/>
  <c r="H106" i="127"/>
  <c r="F117" i="127"/>
  <c r="E117" i="127" s="1"/>
  <c r="V117" i="127" s="1"/>
  <c r="F73" i="127"/>
  <c r="H11" i="127"/>
  <c r="W32" i="127"/>
  <c r="I32" i="127"/>
  <c r="R90" i="127"/>
  <c r="D90" i="127"/>
  <c r="W90" i="127" s="1"/>
  <c r="W83" i="127"/>
  <c r="W73" i="127"/>
  <c r="N83" i="127"/>
  <c r="P83" i="127" s="1"/>
  <c r="F124" i="127"/>
  <c r="H124" i="127" s="1"/>
  <c r="S76" i="127"/>
  <c r="S90" i="127" s="1"/>
  <c r="I124" i="127"/>
  <c r="R54" i="127"/>
  <c r="F105" i="127"/>
  <c r="E105" i="127" s="1"/>
  <c r="V105" i="127" s="1"/>
  <c r="L128" i="127"/>
  <c r="N54" i="127"/>
  <c r="M54" i="127" s="1"/>
  <c r="S105" i="127"/>
  <c r="N32" i="127"/>
  <c r="F90" i="127"/>
  <c r="H74" i="127"/>
  <c r="F54" i="127"/>
  <c r="S73" i="127"/>
  <c r="P74" i="127"/>
  <c r="S33" i="127"/>
  <c r="S54" i="127" s="1"/>
  <c r="N117" i="127"/>
  <c r="W117" i="127"/>
  <c r="I117" i="127"/>
  <c r="R32" i="127"/>
  <c r="S10" i="127"/>
  <c r="S32" i="127" s="1"/>
  <c r="N124" i="127"/>
  <c r="R117" i="127"/>
  <c r="S106" i="127"/>
  <c r="S117" i="127" s="1"/>
  <c r="I54" i="127"/>
  <c r="R105" i="127"/>
  <c r="N105" i="127"/>
  <c r="R73" i="127"/>
  <c r="H56" i="127"/>
  <c r="P56" i="127"/>
  <c r="W105" i="127"/>
  <c r="I105" i="127"/>
  <c r="H105" i="127" l="1"/>
  <c r="P54" i="127"/>
  <c r="D128" i="127"/>
  <c r="I128" i="127" s="1"/>
  <c r="I90" i="127"/>
  <c r="H117" i="127"/>
  <c r="N73" i="127"/>
  <c r="M73" i="127" s="1"/>
  <c r="I73" i="127"/>
  <c r="N90" i="127"/>
  <c r="N128" i="127" s="1"/>
  <c r="E124" i="127"/>
  <c r="V124" i="127" s="1"/>
  <c r="M105" i="127"/>
  <c r="P105" i="127"/>
  <c r="M32" i="127"/>
  <c r="P32" i="127"/>
  <c r="H32" i="127"/>
  <c r="E32" i="127"/>
  <c r="V32" i="127" s="1"/>
  <c r="P117" i="127"/>
  <c r="M117" i="127"/>
  <c r="M124" i="127"/>
  <c r="P124" i="127"/>
  <c r="H54" i="127"/>
  <c r="E54" i="127"/>
  <c r="V54" i="127" s="1"/>
  <c r="F128" i="127"/>
  <c r="H73" i="127"/>
  <c r="E73" i="127"/>
  <c r="V73" i="127" s="1"/>
  <c r="H90" i="127"/>
  <c r="E90" i="127"/>
  <c r="V90" i="127" s="1"/>
  <c r="P73" i="127" l="1"/>
  <c r="P90" i="127"/>
  <c r="M90" i="127"/>
  <c r="S128" i="127"/>
  <c r="M128" i="127"/>
  <c r="E128" i="127"/>
  <c r="H128" i="127"/>
  <c r="P128" i="127" l="1"/>
  <c r="H34" i="71" l="1"/>
  <c r="J35" i="71"/>
  <c r="AQ58" i="121"/>
  <c r="J14" i="120" l="1"/>
  <c r="K14" i="120" l="1"/>
  <c r="K9" i="120"/>
  <c r="AQ100" i="121" l="1"/>
  <c r="AQ99" i="121"/>
  <c r="O21" i="123" l="1"/>
  <c r="N21" i="123"/>
  <c r="X98" i="121"/>
  <c r="Q62" i="121" l="1"/>
  <c r="AQ40" i="121"/>
  <c r="AC28" i="121"/>
  <c r="N24" i="123" l="1"/>
  <c r="O24" i="123"/>
  <c r="N22" i="123"/>
  <c r="O22" i="123"/>
  <c r="P22" i="123"/>
  <c r="AF16" i="123"/>
  <c r="AE16" i="123"/>
  <c r="N15" i="123"/>
  <c r="O15" i="123"/>
  <c r="N17" i="123"/>
  <c r="O17" i="123"/>
  <c r="P17" i="123"/>
  <c r="Q17" i="123"/>
  <c r="AO32" i="123"/>
  <c r="AO29" i="123"/>
  <c r="AP32" i="123"/>
  <c r="AN32" i="123"/>
  <c r="AM32" i="123"/>
  <c r="AL32" i="123"/>
  <c r="AP29" i="123"/>
  <c r="AN29" i="123"/>
  <c r="AM29" i="123"/>
  <c r="AL29" i="123"/>
  <c r="AP19" i="123"/>
  <c r="AN19" i="123"/>
  <c r="AA32" i="123"/>
  <c r="Z32" i="123"/>
  <c r="Y32" i="123"/>
  <c r="X32" i="123"/>
  <c r="W32" i="123"/>
  <c r="V32" i="123"/>
  <c r="U32" i="123"/>
  <c r="T32" i="123"/>
  <c r="S32" i="123"/>
  <c r="R32" i="123"/>
  <c r="AA29" i="123"/>
  <c r="Z29" i="123"/>
  <c r="Y29" i="123"/>
  <c r="X29" i="123"/>
  <c r="W29" i="123"/>
  <c r="V29" i="123"/>
  <c r="U29" i="123"/>
  <c r="T29" i="123"/>
  <c r="S29" i="123"/>
  <c r="R29" i="123"/>
  <c r="AJ32" i="123"/>
  <c r="AJ29" i="123"/>
  <c r="AI118" i="121"/>
  <c r="AH118" i="121"/>
  <c r="AG118" i="121"/>
  <c r="AF118" i="121"/>
  <c r="AE118" i="121"/>
  <c r="AD118" i="121"/>
  <c r="AC118" i="121"/>
  <c r="AI116" i="121"/>
  <c r="AH116" i="121"/>
  <c r="AG116" i="121"/>
  <c r="AF116" i="121"/>
  <c r="AE116" i="121"/>
  <c r="AD116" i="121"/>
  <c r="AC116" i="121"/>
  <c r="AI115" i="121"/>
  <c r="AH115" i="121"/>
  <c r="AG115" i="121"/>
  <c r="AF115" i="121"/>
  <c r="AE115" i="121"/>
  <c r="AD115" i="121"/>
  <c r="AC115" i="121"/>
  <c r="AI113" i="121"/>
  <c r="AH113" i="121"/>
  <c r="AG113" i="121"/>
  <c r="AF113" i="121"/>
  <c r="AE113" i="121"/>
  <c r="AD113" i="121"/>
  <c r="AC113" i="121"/>
  <c r="AI93" i="121"/>
  <c r="AH93" i="121"/>
  <c r="AG93" i="121"/>
  <c r="AF93" i="121"/>
  <c r="AE93" i="121"/>
  <c r="AD93" i="121"/>
  <c r="AC93" i="121"/>
  <c r="AI80" i="121"/>
  <c r="AH80" i="121"/>
  <c r="AG80" i="121"/>
  <c r="AF80" i="121"/>
  <c r="AE80" i="121"/>
  <c r="AD80" i="121"/>
  <c r="AC80" i="121"/>
  <c r="AI64" i="121"/>
  <c r="AH64" i="121"/>
  <c r="AG64" i="121"/>
  <c r="AF64" i="121"/>
  <c r="AE64" i="121"/>
  <c r="AD64" i="121"/>
  <c r="AC64" i="121"/>
  <c r="AI50" i="121"/>
  <c r="AH50" i="121"/>
  <c r="AG50" i="121"/>
  <c r="AF50" i="121"/>
  <c r="AE50" i="121"/>
  <c r="AD50" i="121"/>
  <c r="AC50" i="121"/>
  <c r="AI42" i="121"/>
  <c r="AH42" i="121"/>
  <c r="AG42" i="121"/>
  <c r="AF42" i="121"/>
  <c r="AE42" i="121"/>
  <c r="AD42" i="121"/>
  <c r="AC42" i="121"/>
  <c r="AP118" i="121"/>
  <c r="AO118" i="121"/>
  <c r="AN118" i="121"/>
  <c r="AM118" i="121"/>
  <c r="AP116" i="121"/>
  <c r="AO116" i="121"/>
  <c r="AN116" i="121"/>
  <c r="AM116" i="121"/>
  <c r="AP115" i="121"/>
  <c r="AO115" i="121"/>
  <c r="AN115" i="121"/>
  <c r="AM115" i="121"/>
  <c r="AP113" i="121"/>
  <c r="AO113" i="121"/>
  <c r="AN113" i="121"/>
  <c r="AM113" i="121"/>
  <c r="AP93" i="121"/>
  <c r="AO93" i="121"/>
  <c r="AN93" i="121"/>
  <c r="AM93" i="121"/>
  <c r="AP80" i="121"/>
  <c r="AO80" i="121"/>
  <c r="AN80" i="121"/>
  <c r="AM80" i="121"/>
  <c r="AP64" i="121"/>
  <c r="AO64" i="121"/>
  <c r="AN64" i="121"/>
  <c r="AM64" i="121"/>
  <c r="AP50" i="121"/>
  <c r="AO50" i="121"/>
  <c r="AN50" i="121"/>
  <c r="AM50" i="121"/>
  <c r="AP42" i="121"/>
  <c r="AO42" i="121"/>
  <c r="AN42" i="121"/>
  <c r="AM42" i="121"/>
  <c r="AL118" i="121"/>
  <c r="AK118" i="121"/>
  <c r="AL116" i="121"/>
  <c r="AK116" i="121"/>
  <c r="AL115" i="121"/>
  <c r="AK115" i="121"/>
  <c r="AL113" i="121"/>
  <c r="AK113" i="121"/>
  <c r="AL93" i="121"/>
  <c r="AK93" i="121"/>
  <c r="AL80" i="121"/>
  <c r="AK80" i="121"/>
  <c r="AL64" i="121"/>
  <c r="AK64" i="121"/>
  <c r="AL50" i="121"/>
  <c r="AK50" i="121"/>
  <c r="AL42" i="121"/>
  <c r="AK42" i="121"/>
  <c r="AQ14" i="123" l="1"/>
  <c r="AQ17" i="123"/>
  <c r="AQ15" i="123"/>
  <c r="AQ21" i="123"/>
  <c r="AQ13" i="123"/>
  <c r="AQ16" i="123"/>
  <c r="AO19" i="123"/>
  <c r="AO31" i="123" s="1"/>
  <c r="AN31" i="123"/>
  <c r="AP31" i="123"/>
  <c r="AE117" i="121"/>
  <c r="AF117" i="121"/>
  <c r="AG117" i="121"/>
  <c r="AM117" i="121"/>
  <c r="AC117" i="121"/>
  <c r="AH117" i="121"/>
  <c r="AD117" i="121"/>
  <c r="AI117" i="121"/>
  <c r="AN117" i="121"/>
  <c r="AP117" i="121"/>
  <c r="AO117" i="121"/>
  <c r="AK117" i="121"/>
  <c r="AL117" i="121"/>
  <c r="H24" i="124"/>
  <c r="E17" i="124"/>
  <c r="J20" i="124" s="1"/>
  <c r="E12" i="124"/>
  <c r="J15" i="124" s="1"/>
  <c r="H19" i="124"/>
  <c r="H14" i="124"/>
  <c r="H9" i="124" l="1"/>
  <c r="C26" i="125"/>
  <c r="C27" i="125"/>
  <c r="C20" i="125"/>
  <c r="C21" i="125" s="1"/>
  <c r="C28" i="125" l="1"/>
  <c r="AJ118" i="121"/>
  <c r="AB118" i="121"/>
  <c r="AA118" i="121"/>
  <c r="Z118" i="121"/>
  <c r="AJ116" i="121"/>
  <c r="AB116" i="121"/>
  <c r="AA116" i="121"/>
  <c r="Z116" i="121"/>
  <c r="AJ115" i="121"/>
  <c r="AB115" i="121"/>
  <c r="AA115" i="121"/>
  <c r="Z115" i="121"/>
  <c r="AJ113" i="121"/>
  <c r="AB113" i="121"/>
  <c r="AA113" i="121"/>
  <c r="Z113" i="121"/>
  <c r="AJ93" i="121"/>
  <c r="AB93" i="121"/>
  <c r="AA93" i="121"/>
  <c r="Z93" i="121"/>
  <c r="AJ80" i="121"/>
  <c r="AB80" i="121"/>
  <c r="AA80" i="121"/>
  <c r="Z80" i="121"/>
  <c r="AJ64" i="121"/>
  <c r="AB64" i="121"/>
  <c r="AA64" i="121"/>
  <c r="Z64" i="121"/>
  <c r="AJ50" i="121"/>
  <c r="AB50" i="121"/>
  <c r="AA50" i="121"/>
  <c r="Z50" i="121"/>
  <c r="AJ42" i="121"/>
  <c r="AB42" i="121"/>
  <c r="AA42" i="121"/>
  <c r="Z42" i="121"/>
  <c r="AA117" i="121" l="1"/>
  <c r="AJ117" i="121"/>
  <c r="AB117" i="121"/>
  <c r="Z117" i="121"/>
  <c r="D41" i="124" l="1"/>
  <c r="D40" i="120"/>
  <c r="E27" i="89"/>
  <c r="C27" i="89"/>
  <c r="F27" i="89" l="1"/>
  <c r="D12" i="84" l="1"/>
  <c r="E12" i="84"/>
  <c r="F12" i="84"/>
  <c r="G12" i="84"/>
  <c r="H12" i="84"/>
  <c r="I12" i="84"/>
  <c r="J12" i="84"/>
  <c r="K12" i="84"/>
  <c r="L12" i="84"/>
  <c r="M12" i="84"/>
  <c r="N12" i="84"/>
  <c r="O12" i="84"/>
  <c r="P12" i="84"/>
  <c r="Q12" i="84"/>
  <c r="R12" i="84"/>
  <c r="S12" i="84"/>
  <c r="T12" i="84"/>
  <c r="U12" i="84"/>
  <c r="V12" i="84"/>
  <c r="W12" i="84"/>
  <c r="X12" i="84"/>
  <c r="Y12" i="84"/>
  <c r="Z12" i="84"/>
  <c r="D3" i="84"/>
  <c r="E3" i="84"/>
  <c r="F3" i="84"/>
  <c r="G3" i="84"/>
  <c r="H3" i="84"/>
  <c r="I3" i="84"/>
  <c r="J3" i="84"/>
  <c r="K3" i="84"/>
  <c r="L3" i="84"/>
  <c r="M3" i="84"/>
  <c r="N3" i="84"/>
  <c r="O3" i="84"/>
  <c r="P3" i="84"/>
  <c r="Q3" i="84"/>
  <c r="R3" i="84"/>
  <c r="S3" i="84"/>
  <c r="T3" i="84"/>
  <c r="U3" i="84"/>
  <c r="V3" i="84"/>
  <c r="W3" i="84"/>
  <c r="X3" i="84"/>
  <c r="Y3" i="84"/>
  <c r="Z3" i="84"/>
  <c r="C12" i="84"/>
  <c r="C3" i="84"/>
  <c r="F32" i="123"/>
  <c r="G32" i="123"/>
  <c r="H32" i="123"/>
  <c r="I32" i="123"/>
  <c r="J32" i="123"/>
  <c r="K32" i="123"/>
  <c r="L32" i="123"/>
  <c r="M32" i="123"/>
  <c r="N32" i="123"/>
  <c r="O32" i="123"/>
  <c r="P32" i="123"/>
  <c r="Q32" i="123"/>
  <c r="AB32" i="123"/>
  <c r="AC32" i="123"/>
  <c r="AD32" i="123"/>
  <c r="AE32" i="123"/>
  <c r="AF32" i="123"/>
  <c r="AG32" i="123"/>
  <c r="AH32" i="123"/>
  <c r="AI32" i="123"/>
  <c r="AK32" i="123"/>
  <c r="E32" i="123"/>
  <c r="D3" i="10"/>
  <c r="E3" i="10"/>
  <c r="F3" i="10"/>
  <c r="G3" i="10"/>
  <c r="H3" i="10"/>
  <c r="I3" i="10"/>
  <c r="J3" i="10"/>
  <c r="K3" i="10"/>
  <c r="L3" i="10"/>
  <c r="M3" i="10"/>
  <c r="N3" i="10"/>
  <c r="O3" i="10"/>
  <c r="P3" i="10"/>
  <c r="Q3" i="10"/>
  <c r="R3" i="10"/>
  <c r="S3" i="10"/>
  <c r="T3" i="10"/>
  <c r="U3" i="10"/>
  <c r="V3" i="10"/>
  <c r="W3" i="10"/>
  <c r="X3" i="10"/>
  <c r="Y3" i="10"/>
  <c r="Z3" i="10"/>
  <c r="C3" i="10"/>
  <c r="F118" i="121"/>
  <c r="G118" i="121"/>
  <c r="H118" i="121"/>
  <c r="I118" i="121"/>
  <c r="J118" i="121"/>
  <c r="K118" i="121"/>
  <c r="L118" i="121"/>
  <c r="M118" i="121"/>
  <c r="N118" i="121"/>
  <c r="O118" i="121"/>
  <c r="P118" i="121"/>
  <c r="Q118" i="121"/>
  <c r="R118" i="121"/>
  <c r="S118" i="121"/>
  <c r="T118" i="121"/>
  <c r="U118" i="121"/>
  <c r="V118" i="121"/>
  <c r="W118" i="121"/>
  <c r="X118" i="121"/>
  <c r="Y118" i="121"/>
  <c r="E118" i="121"/>
  <c r="AQ57" i="121"/>
  <c r="E7" i="124"/>
  <c r="N7" i="104"/>
  <c r="J7" i="104"/>
  <c r="I7" i="104"/>
  <c r="C7" i="104"/>
  <c r="M6" i="104"/>
  <c r="M7" i="104" s="1"/>
  <c r="F6" i="104"/>
  <c r="F7" i="104" s="1"/>
  <c r="D6" i="104"/>
  <c r="E6" i="104" s="1"/>
  <c r="O31" i="108"/>
  <c r="N31" i="108"/>
  <c r="N38" i="108" s="1"/>
  <c r="M31" i="108"/>
  <c r="M38" i="108" s="1"/>
  <c r="L31" i="108"/>
  <c r="L38" i="108" s="1"/>
  <c r="K31" i="108"/>
  <c r="K38" i="108" s="1"/>
  <c r="J31" i="108"/>
  <c r="J38" i="108" s="1"/>
  <c r="O22" i="108"/>
  <c r="N22" i="108"/>
  <c r="M22" i="108"/>
  <c r="L22" i="108"/>
  <c r="K22" i="108"/>
  <c r="J22" i="108"/>
  <c r="O19" i="108"/>
  <c r="O23" i="108" s="1"/>
  <c r="N19" i="108"/>
  <c r="N23" i="108" s="1"/>
  <c r="M19" i="108"/>
  <c r="M23" i="108" s="1"/>
  <c r="L19" i="108"/>
  <c r="L23" i="108" s="1"/>
  <c r="K19" i="108"/>
  <c r="K23" i="108" s="1"/>
  <c r="J19" i="108"/>
  <c r="O15" i="108"/>
  <c r="N15" i="108"/>
  <c r="M15" i="108"/>
  <c r="L15" i="108"/>
  <c r="K15" i="108"/>
  <c r="J15" i="108"/>
  <c r="Q28" i="108"/>
  <c r="B31" i="108"/>
  <c r="C19" i="108"/>
  <c r="D19" i="108"/>
  <c r="E19" i="108"/>
  <c r="F19" i="108"/>
  <c r="G19" i="108"/>
  <c r="H19" i="108"/>
  <c r="I19" i="108"/>
  <c r="B19" i="108"/>
  <c r="C15" i="108"/>
  <c r="D15" i="108"/>
  <c r="E15" i="108"/>
  <c r="G15" i="108"/>
  <c r="H15" i="108"/>
  <c r="I15" i="108"/>
  <c r="B15" i="108"/>
  <c r="I22" i="108"/>
  <c r="H22" i="108"/>
  <c r="G22" i="108"/>
  <c r="F22" i="108"/>
  <c r="E22" i="108"/>
  <c r="D22" i="108"/>
  <c r="C22" i="108"/>
  <c r="B22" i="108"/>
  <c r="O24" i="108" l="1"/>
  <c r="H7" i="104"/>
  <c r="B24" i="108"/>
  <c r="B38" i="108"/>
  <c r="L24" i="108"/>
  <c r="L25" i="108" s="1"/>
  <c r="L26" i="108" s="1"/>
  <c r="L40" i="108" s="1"/>
  <c r="L41" i="108" s="1"/>
  <c r="K24" i="108"/>
  <c r="K25" i="108" s="1"/>
  <c r="K26" i="108" s="1"/>
  <c r="K40" i="108" s="1"/>
  <c r="K41" i="108" s="1"/>
  <c r="N24" i="108"/>
  <c r="N25" i="108" s="1"/>
  <c r="N26" i="108" s="1"/>
  <c r="N40" i="108" s="1"/>
  <c r="N41" i="108" s="1"/>
  <c r="M24" i="108"/>
  <c r="M25" i="108" s="1"/>
  <c r="M26" i="108" s="1"/>
  <c r="M40" i="108" s="1"/>
  <c r="M41" i="108" s="1"/>
  <c r="J24" i="108"/>
  <c r="O38" i="108"/>
  <c r="K7" i="104"/>
  <c r="J23" i="108"/>
  <c r="L7" i="104"/>
  <c r="O7" i="104"/>
  <c r="G6" i="104"/>
  <c r="E7" i="104"/>
  <c r="O6" i="104"/>
  <c r="O25" i="108"/>
  <c r="O26" i="108" s="1"/>
  <c r="Q31" i="108"/>
  <c r="AQ97" i="121"/>
  <c r="AQ98" i="121"/>
  <c r="AQ102" i="121"/>
  <c r="E113" i="121"/>
  <c r="O40" i="108" l="1"/>
  <c r="O41" i="108" s="1"/>
  <c r="J25" i="108"/>
  <c r="J26" i="108" s="1"/>
  <c r="J40" i="108" s="1"/>
  <c r="J41" i="108" s="1"/>
  <c r="Q22" i="108"/>
  <c r="Q38" i="108"/>
  <c r="G7" i="104"/>
  <c r="D7" i="104"/>
  <c r="K33" i="108"/>
  <c r="K34" i="108" s="1"/>
  <c r="J33" i="108"/>
  <c r="J34" i="108" s="1"/>
  <c r="N33" i="108"/>
  <c r="N34" i="108" s="1"/>
  <c r="M33" i="108"/>
  <c r="M34" i="108" s="1"/>
  <c r="O33" i="108"/>
  <c r="O34" i="108" s="1"/>
  <c r="L33" i="108"/>
  <c r="L34" i="108" s="1"/>
  <c r="C25" i="10"/>
  <c r="C28" i="10" s="1"/>
  <c r="D14" i="10"/>
  <c r="AA6" i="10"/>
  <c r="AA5" i="10"/>
  <c r="AQ109" i="121"/>
  <c r="AQ27" i="123"/>
  <c r="AR64" i="121"/>
  <c r="Y64" i="121"/>
  <c r="X64" i="121"/>
  <c r="W64" i="121"/>
  <c r="V64" i="121"/>
  <c r="U64" i="121"/>
  <c r="T64" i="121"/>
  <c r="S64" i="121"/>
  <c r="R64" i="121"/>
  <c r="Q64" i="121"/>
  <c r="P64" i="121"/>
  <c r="O64" i="121"/>
  <c r="N64" i="121"/>
  <c r="M64" i="121"/>
  <c r="L64" i="121"/>
  <c r="K64" i="121"/>
  <c r="J64" i="121"/>
  <c r="I64" i="121"/>
  <c r="H64" i="121"/>
  <c r="G64" i="121"/>
  <c r="F64" i="121"/>
  <c r="E64" i="121"/>
  <c r="AQ63" i="121"/>
  <c r="AB18" i="84"/>
  <c r="AA8" i="84"/>
  <c r="AA7" i="84"/>
  <c r="AA6" i="84"/>
  <c r="AA5" i="84"/>
  <c r="AR93" i="121"/>
  <c r="Y93" i="121"/>
  <c r="X93" i="121"/>
  <c r="W93" i="121"/>
  <c r="V93" i="121"/>
  <c r="U93" i="121"/>
  <c r="T93" i="121"/>
  <c r="S93" i="121"/>
  <c r="R93" i="121"/>
  <c r="Q93" i="121"/>
  <c r="P93" i="121"/>
  <c r="O93" i="121"/>
  <c r="N93" i="121"/>
  <c r="M93" i="121"/>
  <c r="L93" i="121"/>
  <c r="K93" i="121"/>
  <c r="J93" i="121"/>
  <c r="I93" i="121"/>
  <c r="H93" i="121"/>
  <c r="G93" i="121"/>
  <c r="F93" i="121"/>
  <c r="E93" i="121"/>
  <c r="Y80" i="121"/>
  <c r="X80" i="121"/>
  <c r="W80" i="121"/>
  <c r="V80" i="121"/>
  <c r="U80" i="121"/>
  <c r="T80" i="121"/>
  <c r="S80" i="121"/>
  <c r="R80" i="121"/>
  <c r="Q80" i="121"/>
  <c r="P80" i="121"/>
  <c r="O80" i="121"/>
  <c r="N80" i="121"/>
  <c r="M80" i="121"/>
  <c r="L80" i="121"/>
  <c r="K80" i="121"/>
  <c r="J80" i="121"/>
  <c r="I80" i="121"/>
  <c r="H80" i="121"/>
  <c r="G80" i="121"/>
  <c r="F80" i="121"/>
  <c r="E80" i="121"/>
  <c r="D25" i="10" l="1"/>
  <c r="D41" i="84"/>
  <c r="L41" i="84"/>
  <c r="T41" i="84"/>
  <c r="E41" i="84"/>
  <c r="M41" i="84"/>
  <c r="U41" i="84"/>
  <c r="F41" i="84"/>
  <c r="N41" i="84"/>
  <c r="V41" i="84"/>
  <c r="G41" i="84"/>
  <c r="O41" i="84"/>
  <c r="W41" i="84"/>
  <c r="H41" i="84"/>
  <c r="P41" i="84"/>
  <c r="X41" i="84"/>
  <c r="I41" i="84"/>
  <c r="Q41" i="84"/>
  <c r="Y41" i="84"/>
  <c r="S41" i="84"/>
  <c r="J41" i="84"/>
  <c r="R41" i="84"/>
  <c r="Z41" i="84"/>
  <c r="K41" i="84"/>
  <c r="C41" i="84"/>
  <c r="F12" i="10"/>
  <c r="E25" i="10"/>
  <c r="E25" i="71"/>
  <c r="E24" i="71"/>
  <c r="E23" i="71"/>
  <c r="E22" i="71"/>
  <c r="J25" i="71" s="1"/>
  <c r="E21" i="71"/>
  <c r="E20" i="71"/>
  <c r="E19" i="71"/>
  <c r="E18" i="71"/>
  <c r="E17" i="71"/>
  <c r="E16" i="71"/>
  <c r="E15" i="71"/>
  <c r="E14" i="71"/>
  <c r="E13" i="71"/>
  <c r="E12" i="71"/>
  <c r="E11" i="71"/>
  <c r="E10" i="71"/>
  <c r="E9" i="71"/>
  <c r="E8" i="71"/>
  <c r="E7" i="71"/>
  <c r="E5" i="71"/>
  <c r="E40" i="124"/>
  <c r="E39" i="124"/>
  <c r="E38" i="124"/>
  <c r="E37" i="124"/>
  <c r="E36" i="124"/>
  <c r="E35" i="124"/>
  <c r="E34" i="124"/>
  <c r="E33" i="124"/>
  <c r="E32" i="124"/>
  <c r="E31" i="124"/>
  <c r="E30" i="124"/>
  <c r="E29" i="124"/>
  <c r="E28" i="124"/>
  <c r="E27" i="124"/>
  <c r="E26" i="124"/>
  <c r="E25" i="124"/>
  <c r="E24" i="124"/>
  <c r="E23" i="124"/>
  <c r="E22" i="124"/>
  <c r="E21" i="124"/>
  <c r="E20" i="124"/>
  <c r="E19" i="124"/>
  <c r="E18" i="124"/>
  <c r="E16" i="124"/>
  <c r="E15" i="124"/>
  <c r="E14" i="124"/>
  <c r="E13" i="124"/>
  <c r="E11" i="124"/>
  <c r="E10" i="124"/>
  <c r="E9" i="124"/>
  <c r="E8" i="124"/>
  <c r="E6" i="124"/>
  <c r="J10" i="124" s="1"/>
  <c r="E5" i="124"/>
  <c r="F17" i="89"/>
  <c r="F25" i="10" l="1"/>
  <c r="G25" i="10" l="1"/>
  <c r="F5" i="120"/>
  <c r="J50" i="71"/>
  <c r="H25" i="10" l="1"/>
  <c r="AR113" i="121"/>
  <c r="Y113" i="121"/>
  <c r="X113" i="121"/>
  <c r="W113" i="121"/>
  <c r="V113" i="121"/>
  <c r="U113" i="121"/>
  <c r="T113" i="121"/>
  <c r="S113" i="121"/>
  <c r="R113" i="121"/>
  <c r="Q113" i="121"/>
  <c r="P113" i="121"/>
  <c r="O113" i="121"/>
  <c r="N113" i="121"/>
  <c r="M113" i="121"/>
  <c r="L113" i="121"/>
  <c r="K113" i="121"/>
  <c r="J113" i="121"/>
  <c r="I113" i="121"/>
  <c r="H113" i="121"/>
  <c r="G113" i="121"/>
  <c r="F113" i="121"/>
  <c r="AQ104" i="121"/>
  <c r="AQ106" i="121"/>
  <c r="AQ105" i="121"/>
  <c r="AQ95" i="121"/>
  <c r="AQ94" i="121"/>
  <c r="AQ112" i="121"/>
  <c r="AQ111" i="121"/>
  <c r="AQ110" i="121"/>
  <c r="AQ108" i="121"/>
  <c r="AQ107" i="121"/>
  <c r="AQ103" i="121"/>
  <c r="AQ81" i="121"/>
  <c r="AQ92" i="121"/>
  <c r="AQ90" i="121"/>
  <c r="AQ89" i="121"/>
  <c r="AQ88" i="121"/>
  <c r="AQ87" i="121"/>
  <c r="AQ91" i="121"/>
  <c r="AQ85" i="121"/>
  <c r="AQ86" i="121"/>
  <c r="AQ84" i="121"/>
  <c r="AQ82" i="121"/>
  <c r="AQ61" i="121"/>
  <c r="AQ62" i="121"/>
  <c r="AQ60" i="121"/>
  <c r="AQ59" i="121"/>
  <c r="AQ56" i="121"/>
  <c r="AQ55" i="121"/>
  <c r="AQ54" i="121"/>
  <c r="AQ53" i="121"/>
  <c r="AQ52" i="121"/>
  <c r="AQ51" i="121"/>
  <c r="AR42" i="121"/>
  <c r="Y42" i="121"/>
  <c r="X42" i="121"/>
  <c r="W42" i="121"/>
  <c r="V42" i="121"/>
  <c r="U42" i="121"/>
  <c r="T42" i="121"/>
  <c r="S42" i="121"/>
  <c r="R42" i="121"/>
  <c r="Q42" i="121"/>
  <c r="P42" i="121"/>
  <c r="O42" i="121"/>
  <c r="N42" i="121"/>
  <c r="M42" i="121"/>
  <c r="L42" i="121"/>
  <c r="K42" i="121"/>
  <c r="J42" i="121"/>
  <c r="I42" i="121"/>
  <c r="H42" i="121"/>
  <c r="G42" i="121"/>
  <c r="F42" i="121"/>
  <c r="E42" i="121"/>
  <c r="AQ26" i="121"/>
  <c r="AQ29" i="121"/>
  <c r="AQ28" i="121"/>
  <c r="AQ27" i="121"/>
  <c r="AQ41" i="121"/>
  <c r="AQ39" i="121"/>
  <c r="AQ38" i="121"/>
  <c r="AQ37" i="121"/>
  <c r="AQ32" i="121"/>
  <c r="AQ31" i="121"/>
  <c r="AQ30" i="121"/>
  <c r="AQ36" i="121"/>
  <c r="AQ35" i="121"/>
  <c r="AQ34" i="121"/>
  <c r="AQ33" i="121"/>
  <c r="AQ12" i="121"/>
  <c r="AQ25" i="121"/>
  <c r="AQ24" i="121"/>
  <c r="AQ23" i="121"/>
  <c r="AQ22" i="121"/>
  <c r="AQ21" i="121"/>
  <c r="AQ20" i="121"/>
  <c r="AQ19" i="121"/>
  <c r="AQ18" i="121"/>
  <c r="AQ17" i="121"/>
  <c r="AQ16" i="121"/>
  <c r="AQ15" i="121"/>
  <c r="AQ14" i="121"/>
  <c r="AQ13" i="121"/>
  <c r="F36" i="124"/>
  <c r="F31" i="124"/>
  <c r="F26" i="124"/>
  <c r="F21" i="124"/>
  <c r="J25" i="124" s="1"/>
  <c r="F16" i="124"/>
  <c r="F11" i="124"/>
  <c r="F5" i="124"/>
  <c r="AQ64" i="121" l="1"/>
  <c r="L11" i="10"/>
  <c r="I25" i="10"/>
  <c r="L13" i="10"/>
  <c r="AQ93" i="121"/>
  <c r="AQ113" i="121"/>
  <c r="AQ42" i="121"/>
  <c r="AQ73" i="121"/>
  <c r="L9" i="10" l="1"/>
  <c r="L10" i="10"/>
  <c r="M11" i="10"/>
  <c r="L15" i="10"/>
  <c r="M15" i="10" s="1"/>
  <c r="N15" i="10" s="1"/>
  <c r="O15" i="10" s="1"/>
  <c r="M13" i="10"/>
  <c r="K27" i="89"/>
  <c r="B8" i="106"/>
  <c r="B12" i="106" s="1"/>
  <c r="B16" i="106" s="1"/>
  <c r="B20" i="106" s="1"/>
  <c r="M10" i="10" l="1"/>
  <c r="O12" i="123" s="1"/>
  <c r="N12" i="123"/>
  <c r="Q19" i="108"/>
  <c r="D8" i="106"/>
  <c r="D12" i="106" s="1"/>
  <c r="D16" i="106" s="1"/>
  <c r="D20" i="106" s="1"/>
  <c r="J25" i="10"/>
  <c r="M9" i="10"/>
  <c r="P15" i="10"/>
  <c r="Q15" i="10" s="1"/>
  <c r="R15" i="10" s="1"/>
  <c r="S15" i="10" s="1"/>
  <c r="T15" i="10" s="1"/>
  <c r="N11" i="10"/>
  <c r="O11" i="10" s="1"/>
  <c r="P11" i="10" s="1"/>
  <c r="Q11" i="10" s="1"/>
  <c r="R11" i="10" s="1"/>
  <c r="S11" i="10" s="1"/>
  <c r="T11" i="10" s="1"/>
  <c r="U11" i="10" s="1"/>
  <c r="V11" i="10" s="1"/>
  <c r="W11" i="10" s="1"/>
  <c r="X11" i="10" s="1"/>
  <c r="Y11" i="10" s="1"/>
  <c r="Z11" i="10" s="1"/>
  <c r="AA11" i="10" s="1"/>
  <c r="N13" i="10"/>
  <c r="AR29" i="123"/>
  <c r="AR19" i="123"/>
  <c r="Y7" i="10"/>
  <c r="Y10" i="84" s="1"/>
  <c r="Z7" i="10"/>
  <c r="Z10" i="84" s="1"/>
  <c r="Q7" i="10"/>
  <c r="Q10" i="84" s="1"/>
  <c r="R7" i="10"/>
  <c r="R10" i="84" s="1"/>
  <c r="S7" i="10"/>
  <c r="S10" i="84" s="1"/>
  <c r="T7" i="10"/>
  <c r="T10" i="84" s="1"/>
  <c r="U7" i="10"/>
  <c r="U10" i="84" s="1"/>
  <c r="V7" i="10"/>
  <c r="V10" i="84" s="1"/>
  <c r="W7" i="10"/>
  <c r="W10" i="84" s="1"/>
  <c r="X7" i="10"/>
  <c r="X10" i="84" s="1"/>
  <c r="C17" i="10"/>
  <c r="AQ65" i="121"/>
  <c r="AK29" i="123"/>
  <c r="AI29" i="123"/>
  <c r="AH29" i="123"/>
  <c r="AG29" i="123"/>
  <c r="AF29" i="123"/>
  <c r="AE29" i="123"/>
  <c r="AD29" i="123"/>
  <c r="AC29" i="123"/>
  <c r="AB29" i="123"/>
  <c r="Q29" i="123"/>
  <c r="P29" i="123"/>
  <c r="O29" i="123"/>
  <c r="N29" i="123"/>
  <c r="M29" i="123"/>
  <c r="L29" i="123"/>
  <c r="K29" i="123"/>
  <c r="J29" i="123"/>
  <c r="I29" i="123"/>
  <c r="H29" i="123"/>
  <c r="G29" i="123"/>
  <c r="F29" i="123"/>
  <c r="E29" i="123"/>
  <c r="AQ28" i="123"/>
  <c r="AQ26" i="123"/>
  <c r="AQ25" i="123"/>
  <c r="AQ24" i="123"/>
  <c r="AQ22" i="123"/>
  <c r="AQ20" i="123"/>
  <c r="AQ18" i="123"/>
  <c r="AR50" i="121"/>
  <c r="AQ66" i="121"/>
  <c r="AQ79" i="121"/>
  <c r="AQ78" i="121"/>
  <c r="AQ77" i="121"/>
  <c r="AQ76" i="121"/>
  <c r="AQ75" i="121"/>
  <c r="AQ74" i="121"/>
  <c r="AQ72" i="121"/>
  <c r="AQ71" i="121"/>
  <c r="AQ70" i="121"/>
  <c r="AQ69" i="121"/>
  <c r="AQ68" i="121"/>
  <c r="AQ67" i="121"/>
  <c r="AQ49" i="121"/>
  <c r="AQ48" i="121"/>
  <c r="AQ47" i="121"/>
  <c r="AQ45" i="121"/>
  <c r="AQ44" i="121"/>
  <c r="AQ43" i="121"/>
  <c r="F50" i="121"/>
  <c r="G50" i="121"/>
  <c r="H50" i="121"/>
  <c r="I50" i="121"/>
  <c r="J50" i="121"/>
  <c r="J117" i="121" s="1"/>
  <c r="K50" i="121"/>
  <c r="L50" i="121"/>
  <c r="L117" i="121" s="1"/>
  <c r="M50" i="121"/>
  <c r="M117" i="121" s="1"/>
  <c r="N50" i="121"/>
  <c r="O50" i="121"/>
  <c r="P50" i="121"/>
  <c r="Q50" i="121"/>
  <c r="R50" i="121"/>
  <c r="R117" i="121" s="1"/>
  <c r="S50" i="121"/>
  <c r="T50" i="121"/>
  <c r="U50" i="121"/>
  <c r="U117" i="121" s="1"/>
  <c r="V50" i="121"/>
  <c r="W50" i="121"/>
  <c r="X50" i="121"/>
  <c r="Y50" i="121"/>
  <c r="E50" i="121"/>
  <c r="E117" i="121" s="1"/>
  <c r="C87" i="75"/>
  <c r="N10" i="10" l="1"/>
  <c r="P12" i="123" s="1"/>
  <c r="AQ115" i="121"/>
  <c r="AQ116" i="121"/>
  <c r="N9" i="10"/>
  <c r="L14" i="10"/>
  <c r="K25" i="10"/>
  <c r="Q23" i="108"/>
  <c r="Q24" i="108"/>
  <c r="U15" i="10"/>
  <c r="V15" i="10" s="1"/>
  <c r="W15" i="10" s="1"/>
  <c r="X15" i="10" s="1"/>
  <c r="Y15" i="10" s="1"/>
  <c r="Z15" i="10" s="1"/>
  <c r="AA15" i="10" s="1"/>
  <c r="L12" i="10"/>
  <c r="M12" i="10" s="1"/>
  <c r="N12" i="10" s="1"/>
  <c r="O12" i="10" s="1"/>
  <c r="P12" i="10" s="1"/>
  <c r="Q12" i="10" s="1"/>
  <c r="R12" i="10" s="1"/>
  <c r="S12" i="10" s="1"/>
  <c r="T12" i="10" s="1"/>
  <c r="U12" i="10" s="1"/>
  <c r="V12" i="10" s="1"/>
  <c r="W12" i="10" s="1"/>
  <c r="X12" i="10" s="1"/>
  <c r="Y12" i="10" s="1"/>
  <c r="Z12" i="10" s="1"/>
  <c r="AA12" i="10" s="1"/>
  <c r="O13" i="10"/>
  <c r="P13" i="10" s="1"/>
  <c r="Q13" i="10" s="1"/>
  <c r="R13" i="10" s="1"/>
  <c r="S13" i="10" s="1"/>
  <c r="T13" i="10" s="1"/>
  <c r="U13" i="10" s="1"/>
  <c r="V13" i="10" s="1"/>
  <c r="W13" i="10" s="1"/>
  <c r="X13" i="10" s="1"/>
  <c r="Y13" i="10" s="1"/>
  <c r="Z13" i="10" s="1"/>
  <c r="AA13" i="10" s="1"/>
  <c r="AR80" i="121"/>
  <c r="AR117" i="121" s="1"/>
  <c r="AQ80" i="121"/>
  <c r="T117" i="121"/>
  <c r="S117" i="121"/>
  <c r="K117" i="121"/>
  <c r="X117" i="121"/>
  <c r="P117" i="121"/>
  <c r="H117" i="121"/>
  <c r="Y117" i="121"/>
  <c r="W117" i="121"/>
  <c r="O117" i="121"/>
  <c r="G117" i="121"/>
  <c r="Q117" i="121"/>
  <c r="I117" i="121"/>
  <c r="V117" i="121"/>
  <c r="N117" i="121"/>
  <c r="F117" i="121"/>
  <c r="AQ50" i="121"/>
  <c r="AR31" i="123"/>
  <c r="AQ29" i="123"/>
  <c r="CU28" i="106"/>
  <c r="CV28" i="106"/>
  <c r="CW28" i="106"/>
  <c r="CX28" i="106"/>
  <c r="CY28" i="106"/>
  <c r="CZ28" i="106"/>
  <c r="DA28" i="106"/>
  <c r="DB28" i="106"/>
  <c r="DC28" i="106"/>
  <c r="DD28" i="106"/>
  <c r="DE28" i="106"/>
  <c r="DF28" i="106"/>
  <c r="DG28" i="106"/>
  <c r="CU29" i="106"/>
  <c r="CV29" i="106"/>
  <c r="CW29" i="106"/>
  <c r="CX29" i="106"/>
  <c r="CY29" i="106"/>
  <c r="CZ29" i="106"/>
  <c r="DA29" i="106"/>
  <c r="DB29" i="106"/>
  <c r="DC29" i="106"/>
  <c r="DD29" i="106"/>
  <c r="DE29" i="106"/>
  <c r="DF29" i="106"/>
  <c r="DG29" i="106"/>
  <c r="F14" i="106"/>
  <c r="E14" i="106"/>
  <c r="F13" i="106"/>
  <c r="E13" i="106"/>
  <c r="F10" i="106"/>
  <c r="E10" i="106"/>
  <c r="F9" i="106"/>
  <c r="E9" i="106"/>
  <c r="O10" i="10" l="1"/>
  <c r="Q12" i="123" s="1"/>
  <c r="E27" i="106"/>
  <c r="E11" i="106"/>
  <c r="E29" i="106"/>
  <c r="M14" i="10"/>
  <c r="M25" i="10" s="1"/>
  <c r="L25" i="10"/>
  <c r="O9" i="10"/>
  <c r="E19" i="106"/>
  <c r="AS29" i="123"/>
  <c r="AQ117" i="121"/>
  <c r="AQ118" i="121"/>
  <c r="S116" i="121"/>
  <c r="U115" i="121"/>
  <c r="G115" i="121"/>
  <c r="P115" i="121"/>
  <c r="W115" i="121"/>
  <c r="V115" i="121"/>
  <c r="M116" i="121"/>
  <c r="AR115" i="121"/>
  <c r="J116" i="121"/>
  <c r="L115" i="121"/>
  <c r="M115" i="121"/>
  <c r="H115" i="121"/>
  <c r="O115" i="121"/>
  <c r="N115" i="121"/>
  <c r="I115" i="121"/>
  <c r="Y116" i="121"/>
  <c r="X116" i="121"/>
  <c r="W116" i="121"/>
  <c r="T115" i="121"/>
  <c r="K116" i="121"/>
  <c r="F115" i="121"/>
  <c r="Q115" i="121"/>
  <c r="L116" i="121"/>
  <c r="Q116" i="121"/>
  <c r="P116" i="121"/>
  <c r="O116" i="121"/>
  <c r="AR116" i="121"/>
  <c r="R116" i="121"/>
  <c r="E115" i="121"/>
  <c r="X115" i="121"/>
  <c r="I116" i="121"/>
  <c r="H116" i="121"/>
  <c r="G116" i="121"/>
  <c r="V116" i="121"/>
  <c r="S115" i="121"/>
  <c r="F116" i="121"/>
  <c r="E116" i="121"/>
  <c r="Y115" i="121"/>
  <c r="N116" i="121"/>
  <c r="U116" i="121"/>
  <c r="T116" i="121"/>
  <c r="R115" i="121"/>
  <c r="J115" i="121"/>
  <c r="K115" i="121"/>
  <c r="F29" i="106"/>
  <c r="F11" i="106"/>
  <c r="F19" i="106"/>
  <c r="F27" i="106"/>
  <c r="E15" i="106"/>
  <c r="E23" i="106"/>
  <c r="F15" i="106"/>
  <c r="F23" i="106"/>
  <c r="E28" i="106"/>
  <c r="F28" i="106"/>
  <c r="P10" i="10" l="1"/>
  <c r="E30" i="106"/>
  <c r="P9" i="10"/>
  <c r="F30" i="106"/>
  <c r="N14" i="10"/>
  <c r="R12" i="123" l="1"/>
  <c r="Q10" i="10"/>
  <c r="S12" i="123" s="1"/>
  <c r="S19" i="123" s="1"/>
  <c r="S31" i="123" s="1"/>
  <c r="R10" i="10"/>
  <c r="T12" i="123" s="1"/>
  <c r="T19" i="123" s="1"/>
  <c r="T31" i="123" s="1"/>
  <c r="E31" i="106"/>
  <c r="O14" i="10"/>
  <c r="O25" i="10" s="1"/>
  <c r="N25" i="10"/>
  <c r="Q9" i="10"/>
  <c r="F35" i="120"/>
  <c r="F30" i="120"/>
  <c r="F25" i="120"/>
  <c r="F20" i="120"/>
  <c r="F15" i="120"/>
  <c r="F10" i="120"/>
  <c r="S10" i="10" l="1"/>
  <c r="U12" i="123" s="1"/>
  <c r="U19" i="123" s="1"/>
  <c r="U31" i="123" s="1"/>
  <c r="P14" i="10"/>
  <c r="R9" i="10"/>
  <c r="T10" i="10"/>
  <c r="V12" i="123" s="1"/>
  <c r="V19" i="123" s="1"/>
  <c r="V31" i="123" s="1"/>
  <c r="P25" i="10" l="1"/>
  <c r="Q14" i="10"/>
  <c r="U10" i="10"/>
  <c r="W12" i="123" s="1"/>
  <c r="W19" i="123" s="1"/>
  <c r="W31" i="123" s="1"/>
  <c r="S9" i="10"/>
  <c r="F16" i="71"/>
  <c r="F11" i="71"/>
  <c r="F7" i="12"/>
  <c r="I31" i="108"/>
  <c r="H31" i="108"/>
  <c r="G31" i="108"/>
  <c r="F31" i="108"/>
  <c r="E31" i="108"/>
  <c r="D31" i="108"/>
  <c r="C31" i="108"/>
  <c r="Q25" i="10" l="1"/>
  <c r="R14" i="10"/>
  <c r="R25" i="10" s="1"/>
  <c r="C24" i="108"/>
  <c r="C38" i="108"/>
  <c r="E38" i="108"/>
  <c r="E24" i="108"/>
  <c r="T9" i="10"/>
  <c r="F24" i="108"/>
  <c r="F38" i="108"/>
  <c r="G24" i="108"/>
  <c r="G38" i="108"/>
  <c r="V10" i="10"/>
  <c r="X12" i="123" s="1"/>
  <c r="X19" i="123" s="1"/>
  <c r="X31" i="123" s="1"/>
  <c r="H24" i="108"/>
  <c r="H38" i="108"/>
  <c r="D24" i="108"/>
  <c r="D38" i="108"/>
  <c r="I38" i="108"/>
  <c r="I24" i="108"/>
  <c r="B23" i="108"/>
  <c r="N52" i="104"/>
  <c r="J52" i="104"/>
  <c r="I52" i="104"/>
  <c r="C52" i="104"/>
  <c r="M51" i="104"/>
  <c r="O51" i="104" s="1"/>
  <c r="F51" i="104"/>
  <c r="D51" i="104"/>
  <c r="E51" i="104" s="1"/>
  <c r="M50" i="104"/>
  <c r="O50" i="104" s="1"/>
  <c r="F50" i="104"/>
  <c r="D50" i="104"/>
  <c r="E50" i="104" s="1"/>
  <c r="M49" i="104"/>
  <c r="O49" i="104" s="1"/>
  <c r="F49" i="104"/>
  <c r="D49" i="104"/>
  <c r="E49" i="104" s="1"/>
  <c r="M48" i="104"/>
  <c r="O48" i="104" s="1"/>
  <c r="F48" i="104"/>
  <c r="D48" i="104"/>
  <c r="E48" i="104" s="1"/>
  <c r="M47" i="104"/>
  <c r="O47" i="104" s="1"/>
  <c r="F47" i="104"/>
  <c r="D47" i="104"/>
  <c r="E47" i="104" s="1"/>
  <c r="M46" i="104"/>
  <c r="O46" i="104" s="1"/>
  <c r="F46" i="104"/>
  <c r="D46" i="104"/>
  <c r="E46" i="104" s="1"/>
  <c r="M45" i="104"/>
  <c r="F45" i="104"/>
  <c r="D45" i="104"/>
  <c r="E45" i="104" s="1"/>
  <c r="N44" i="104"/>
  <c r="J44" i="104"/>
  <c r="I44" i="104"/>
  <c r="C44" i="104"/>
  <c r="M43" i="104"/>
  <c r="O43" i="104" s="1"/>
  <c r="F43" i="104"/>
  <c r="D43" i="104"/>
  <c r="E43" i="104" s="1"/>
  <c r="M42" i="104"/>
  <c r="O42" i="104" s="1"/>
  <c r="F42" i="104"/>
  <c r="D42" i="104"/>
  <c r="E42" i="104" s="1"/>
  <c r="M41" i="104"/>
  <c r="O41" i="104" s="1"/>
  <c r="F41" i="104"/>
  <c r="D41" i="104"/>
  <c r="E41" i="104" s="1"/>
  <c r="M40" i="104"/>
  <c r="O40" i="104" s="1"/>
  <c r="F40" i="104"/>
  <c r="D40" i="104"/>
  <c r="E40" i="104" s="1"/>
  <c r="M39" i="104"/>
  <c r="O39" i="104" s="1"/>
  <c r="F39" i="104"/>
  <c r="D39" i="104"/>
  <c r="E39" i="104" s="1"/>
  <c r="M38" i="104"/>
  <c r="F38" i="104"/>
  <c r="D38" i="104"/>
  <c r="E38" i="104" s="1"/>
  <c r="N37" i="104"/>
  <c r="J37" i="104"/>
  <c r="I37" i="104"/>
  <c r="C37" i="104"/>
  <c r="M36" i="104"/>
  <c r="O36" i="104" s="1"/>
  <c r="F36" i="104"/>
  <c r="D36" i="104"/>
  <c r="E36" i="104" s="1"/>
  <c r="M35" i="104"/>
  <c r="O35" i="104" s="1"/>
  <c r="F35" i="104"/>
  <c r="D35" i="104"/>
  <c r="E35" i="104" s="1"/>
  <c r="M34" i="104"/>
  <c r="O34" i="104" s="1"/>
  <c r="F34" i="104"/>
  <c r="D34" i="104"/>
  <c r="E34" i="104" s="1"/>
  <c r="M33" i="104"/>
  <c r="O33" i="104" s="1"/>
  <c r="F33" i="104"/>
  <c r="D33" i="104"/>
  <c r="E33" i="104" s="1"/>
  <c r="M32" i="104"/>
  <c r="O32" i="104" s="1"/>
  <c r="F32" i="104"/>
  <c r="D32" i="104"/>
  <c r="E32" i="104" s="1"/>
  <c r="M31" i="104"/>
  <c r="O31" i="104" s="1"/>
  <c r="F31" i="104"/>
  <c r="D31" i="104"/>
  <c r="E31" i="104" s="1"/>
  <c r="M30" i="104"/>
  <c r="O30" i="104" s="1"/>
  <c r="F30" i="104"/>
  <c r="D30" i="104"/>
  <c r="E30" i="104" s="1"/>
  <c r="M29" i="104"/>
  <c r="O29" i="104" s="1"/>
  <c r="F29" i="104"/>
  <c r="D29" i="104"/>
  <c r="E29" i="104" s="1"/>
  <c r="M28" i="104"/>
  <c r="O28" i="104" s="1"/>
  <c r="F28" i="104"/>
  <c r="D28" i="104"/>
  <c r="E28" i="104" s="1"/>
  <c r="M27" i="104"/>
  <c r="O27" i="104" s="1"/>
  <c r="F27" i="104"/>
  <c r="D27" i="104"/>
  <c r="E27" i="104" s="1"/>
  <c r="N26" i="104"/>
  <c r="J26" i="104"/>
  <c r="I26" i="104"/>
  <c r="C26" i="104"/>
  <c r="M25" i="104"/>
  <c r="O25" i="104" s="1"/>
  <c r="F25" i="104"/>
  <c r="D25" i="104"/>
  <c r="E25" i="104" s="1"/>
  <c r="M24" i="104"/>
  <c r="O24" i="104" s="1"/>
  <c r="F24" i="104"/>
  <c r="D24" i="104"/>
  <c r="E24" i="104" s="1"/>
  <c r="M23" i="104"/>
  <c r="O23" i="104" s="1"/>
  <c r="F23" i="104"/>
  <c r="D23" i="104"/>
  <c r="E23" i="104" s="1"/>
  <c r="M22" i="104"/>
  <c r="O22" i="104" s="1"/>
  <c r="F22" i="104"/>
  <c r="D22" i="104"/>
  <c r="E22" i="104" s="1"/>
  <c r="M21" i="104"/>
  <c r="O21" i="104" s="1"/>
  <c r="F21" i="104"/>
  <c r="D21" i="104"/>
  <c r="E21" i="104" s="1"/>
  <c r="M20" i="104"/>
  <c r="O20" i="104" s="1"/>
  <c r="F20" i="104"/>
  <c r="D20" i="104"/>
  <c r="E20" i="104" s="1"/>
  <c r="M19" i="104"/>
  <c r="O19" i="104" s="1"/>
  <c r="F19" i="104"/>
  <c r="D19" i="104"/>
  <c r="E19" i="104" s="1"/>
  <c r="M18" i="104"/>
  <c r="O18" i="104" s="1"/>
  <c r="F18" i="104"/>
  <c r="D18" i="104"/>
  <c r="E18" i="104" s="1"/>
  <c r="M17" i="104"/>
  <c r="O17" i="104" s="1"/>
  <c r="F17" i="104"/>
  <c r="D17" i="104"/>
  <c r="E17" i="104" s="1"/>
  <c r="M16" i="104"/>
  <c r="O16" i="104" s="1"/>
  <c r="F16" i="104"/>
  <c r="D16" i="104"/>
  <c r="E16" i="104" s="1"/>
  <c r="M15" i="104"/>
  <c r="F15" i="104"/>
  <c r="D15" i="104"/>
  <c r="E15" i="104" s="1"/>
  <c r="N14" i="104"/>
  <c r="J14" i="104"/>
  <c r="I14" i="104"/>
  <c r="C14" i="104"/>
  <c r="M13" i="104"/>
  <c r="O13" i="104" s="1"/>
  <c r="F13" i="104"/>
  <c r="D13" i="104"/>
  <c r="E13" i="104" s="1"/>
  <c r="M12" i="104"/>
  <c r="O12" i="104" s="1"/>
  <c r="F12" i="104"/>
  <c r="D12" i="104"/>
  <c r="E12" i="104" s="1"/>
  <c r="M11" i="104"/>
  <c r="O11" i="104" s="1"/>
  <c r="F11" i="104"/>
  <c r="D11" i="104"/>
  <c r="E11" i="104" s="1"/>
  <c r="M10" i="104"/>
  <c r="O10" i="104" s="1"/>
  <c r="F10" i="104"/>
  <c r="D10" i="104"/>
  <c r="E10" i="104" s="1"/>
  <c r="M9" i="104"/>
  <c r="O9" i="104" s="1"/>
  <c r="F9" i="104"/>
  <c r="D9" i="104"/>
  <c r="E9" i="104" s="1"/>
  <c r="M8" i="104"/>
  <c r="O8" i="104" s="1"/>
  <c r="F8" i="104"/>
  <c r="D8" i="104"/>
  <c r="E8" i="104" s="1"/>
  <c r="N52" i="88"/>
  <c r="J52" i="88"/>
  <c r="I52" i="88"/>
  <c r="C52" i="88"/>
  <c r="M51" i="88"/>
  <c r="O51" i="88" s="1"/>
  <c r="F51" i="88"/>
  <c r="D51" i="88"/>
  <c r="E51" i="88" s="1"/>
  <c r="M50" i="88"/>
  <c r="O50" i="88" s="1"/>
  <c r="F50" i="88"/>
  <c r="D50" i="88"/>
  <c r="E50" i="88" s="1"/>
  <c r="M49" i="88"/>
  <c r="O49" i="88" s="1"/>
  <c r="F49" i="88"/>
  <c r="D49" i="88"/>
  <c r="E49" i="88" s="1"/>
  <c r="M48" i="88"/>
  <c r="O48" i="88" s="1"/>
  <c r="F48" i="88"/>
  <c r="D48" i="88"/>
  <c r="E48" i="88" s="1"/>
  <c r="M47" i="88"/>
  <c r="O47" i="88" s="1"/>
  <c r="F47" i="88"/>
  <c r="D47" i="88"/>
  <c r="E47" i="88" s="1"/>
  <c r="M46" i="88"/>
  <c r="O46" i="88" s="1"/>
  <c r="F46" i="88"/>
  <c r="D46" i="88"/>
  <c r="E46" i="88" s="1"/>
  <c r="M45" i="88"/>
  <c r="O45" i="88" s="1"/>
  <c r="F45" i="88"/>
  <c r="D45" i="88"/>
  <c r="E45" i="88" s="1"/>
  <c r="N44" i="88"/>
  <c r="J44" i="88"/>
  <c r="I44" i="88"/>
  <c r="C44" i="88"/>
  <c r="M43" i="88"/>
  <c r="O43" i="88" s="1"/>
  <c r="F43" i="88"/>
  <c r="D43" i="88"/>
  <c r="E43" i="88" s="1"/>
  <c r="M42" i="88"/>
  <c r="O42" i="88" s="1"/>
  <c r="F42" i="88"/>
  <c r="D42" i="88"/>
  <c r="E42" i="88" s="1"/>
  <c r="M41" i="88"/>
  <c r="O41" i="88" s="1"/>
  <c r="F41" i="88"/>
  <c r="D41" i="88"/>
  <c r="E41" i="88" s="1"/>
  <c r="M40" i="88"/>
  <c r="O40" i="88" s="1"/>
  <c r="F40" i="88"/>
  <c r="D40" i="88"/>
  <c r="E40" i="88" s="1"/>
  <c r="M39" i="88"/>
  <c r="O39" i="88" s="1"/>
  <c r="F39" i="88"/>
  <c r="D39" i="88"/>
  <c r="E39" i="88" s="1"/>
  <c r="M38" i="88"/>
  <c r="F38" i="88"/>
  <c r="D38" i="88"/>
  <c r="E38" i="88" s="1"/>
  <c r="N37" i="88"/>
  <c r="J37" i="88"/>
  <c r="I37" i="88"/>
  <c r="C37" i="88"/>
  <c r="M36" i="88"/>
  <c r="O36" i="88" s="1"/>
  <c r="F36" i="88"/>
  <c r="D36" i="88"/>
  <c r="E36" i="88" s="1"/>
  <c r="M35" i="88"/>
  <c r="O35" i="88" s="1"/>
  <c r="F35" i="88"/>
  <c r="D35" i="88"/>
  <c r="E35" i="88" s="1"/>
  <c r="M34" i="88"/>
  <c r="O34" i="88" s="1"/>
  <c r="F34" i="88"/>
  <c r="D34" i="88"/>
  <c r="E34" i="88" s="1"/>
  <c r="M33" i="88"/>
  <c r="O33" i="88" s="1"/>
  <c r="F33" i="88"/>
  <c r="D33" i="88"/>
  <c r="E33" i="88" s="1"/>
  <c r="M32" i="88"/>
  <c r="O32" i="88" s="1"/>
  <c r="F32" i="88"/>
  <c r="D32" i="88"/>
  <c r="E32" i="88" s="1"/>
  <c r="M31" i="88"/>
  <c r="O31" i="88" s="1"/>
  <c r="F31" i="88"/>
  <c r="D31" i="88"/>
  <c r="E31" i="88" s="1"/>
  <c r="M30" i="88"/>
  <c r="O30" i="88" s="1"/>
  <c r="F30" i="88"/>
  <c r="D30" i="88"/>
  <c r="E30" i="88" s="1"/>
  <c r="M29" i="88"/>
  <c r="O29" i="88" s="1"/>
  <c r="F29" i="88"/>
  <c r="D29" i="88"/>
  <c r="E29" i="88" s="1"/>
  <c r="M28" i="88"/>
  <c r="O28" i="88" s="1"/>
  <c r="F28" i="88"/>
  <c r="D28" i="88"/>
  <c r="E28" i="88" s="1"/>
  <c r="M27" i="88"/>
  <c r="O27" i="88" s="1"/>
  <c r="F27" i="88"/>
  <c r="D27" i="88"/>
  <c r="E27" i="88" s="1"/>
  <c r="N26" i="88"/>
  <c r="J26" i="88"/>
  <c r="I26" i="88"/>
  <c r="C26" i="88"/>
  <c r="M25" i="88"/>
  <c r="O25" i="88" s="1"/>
  <c r="F25" i="88"/>
  <c r="D25" i="88"/>
  <c r="E25" i="88" s="1"/>
  <c r="M24" i="88"/>
  <c r="O24" i="88" s="1"/>
  <c r="F24" i="88"/>
  <c r="D24" i="88"/>
  <c r="E24" i="88" s="1"/>
  <c r="M23" i="88"/>
  <c r="O23" i="88" s="1"/>
  <c r="F23" i="88"/>
  <c r="D23" i="88"/>
  <c r="E23" i="88" s="1"/>
  <c r="M22" i="88"/>
  <c r="O22" i="88" s="1"/>
  <c r="F22" i="88"/>
  <c r="D22" i="88"/>
  <c r="E22" i="88" s="1"/>
  <c r="M21" i="88"/>
  <c r="O21" i="88" s="1"/>
  <c r="F21" i="88"/>
  <c r="D21" i="88"/>
  <c r="E21" i="88" s="1"/>
  <c r="M20" i="88"/>
  <c r="O20" i="88" s="1"/>
  <c r="F20" i="88"/>
  <c r="D20" i="88"/>
  <c r="E20" i="88" s="1"/>
  <c r="M19" i="88"/>
  <c r="O19" i="88" s="1"/>
  <c r="F19" i="88"/>
  <c r="D19" i="88"/>
  <c r="E19" i="88" s="1"/>
  <c r="M18" i="88"/>
  <c r="O18" i="88" s="1"/>
  <c r="F18" i="88"/>
  <c r="D18" i="88"/>
  <c r="E18" i="88" s="1"/>
  <c r="M17" i="88"/>
  <c r="O17" i="88" s="1"/>
  <c r="F17" i="88"/>
  <c r="D17" i="88"/>
  <c r="E17" i="88" s="1"/>
  <c r="M16" i="88"/>
  <c r="O16" i="88" s="1"/>
  <c r="F16" i="88"/>
  <c r="D16" i="88"/>
  <c r="E16" i="88" s="1"/>
  <c r="M15" i="88"/>
  <c r="O15" i="88" s="1"/>
  <c r="F15" i="88"/>
  <c r="D15" i="88"/>
  <c r="E15" i="88" s="1"/>
  <c r="N14" i="88"/>
  <c r="J14" i="88"/>
  <c r="I14" i="88"/>
  <c r="C14" i="88"/>
  <c r="M13" i="88"/>
  <c r="O13" i="88" s="1"/>
  <c r="F13" i="88"/>
  <c r="D13" i="88"/>
  <c r="E13" i="88" s="1"/>
  <c r="M12" i="88"/>
  <c r="O12" i="88" s="1"/>
  <c r="F12" i="88"/>
  <c r="D12" i="88"/>
  <c r="E12" i="88" s="1"/>
  <c r="M11" i="88"/>
  <c r="O11" i="88" s="1"/>
  <c r="F11" i="88"/>
  <c r="D11" i="88"/>
  <c r="E11" i="88" s="1"/>
  <c r="M10" i="88"/>
  <c r="O10" i="88" s="1"/>
  <c r="F10" i="88"/>
  <c r="D10" i="88"/>
  <c r="E10" i="88" s="1"/>
  <c r="M9" i="88"/>
  <c r="O9" i="88" s="1"/>
  <c r="F9" i="88"/>
  <c r="D9" i="88"/>
  <c r="E9" i="88" s="1"/>
  <c r="M8" i="88"/>
  <c r="O8" i="88" s="1"/>
  <c r="F8" i="88"/>
  <c r="D8" i="88"/>
  <c r="E8" i="88" s="1"/>
  <c r="N7" i="88"/>
  <c r="J7" i="88"/>
  <c r="I7" i="88"/>
  <c r="C7" i="88"/>
  <c r="M6" i="88"/>
  <c r="M7" i="88" s="1"/>
  <c r="F6" i="88"/>
  <c r="F7" i="88" s="1"/>
  <c r="D6" i="88"/>
  <c r="E6" i="88" s="1"/>
  <c r="E7" i="88" s="1"/>
  <c r="M6" i="75"/>
  <c r="O6" i="75" s="1"/>
  <c r="M23" i="75"/>
  <c r="O23" i="75" s="1"/>
  <c r="M22" i="75"/>
  <c r="O22" i="75" s="1"/>
  <c r="M21" i="75"/>
  <c r="O21" i="75" s="1"/>
  <c r="M14" i="75"/>
  <c r="O14" i="75" s="1"/>
  <c r="M42" i="75"/>
  <c r="O42" i="75" s="1"/>
  <c r="M41" i="75"/>
  <c r="O41" i="75" s="1"/>
  <c r="M40" i="75"/>
  <c r="O40" i="75" s="1"/>
  <c r="M39" i="75"/>
  <c r="O39" i="75" s="1"/>
  <c r="M38" i="75"/>
  <c r="O38" i="75" s="1"/>
  <c r="M37" i="75"/>
  <c r="O37" i="75" s="1"/>
  <c r="M36" i="75"/>
  <c r="O36" i="75" s="1"/>
  <c r="M35" i="75"/>
  <c r="O35" i="75" s="1"/>
  <c r="M34" i="75"/>
  <c r="O34" i="75" s="1"/>
  <c r="M33" i="75"/>
  <c r="O33" i="75" s="1"/>
  <c r="DG27" i="106"/>
  <c r="DF27" i="106"/>
  <c r="DE27" i="106"/>
  <c r="DD27" i="106"/>
  <c r="DC27" i="106"/>
  <c r="DB27" i="106"/>
  <c r="DA27" i="106"/>
  <c r="CZ27" i="106"/>
  <c r="CY27" i="106"/>
  <c r="CX27" i="106"/>
  <c r="CW27" i="106"/>
  <c r="CV27" i="106"/>
  <c r="CU27" i="106"/>
  <c r="G10" i="88" l="1"/>
  <c r="G38" i="88"/>
  <c r="G47" i="104"/>
  <c r="S14" i="10"/>
  <c r="G42" i="88"/>
  <c r="G27" i="104"/>
  <c r="G32" i="88"/>
  <c r="G41" i="104"/>
  <c r="W10" i="10"/>
  <c r="Y12" i="123" s="1"/>
  <c r="Y19" i="123" s="1"/>
  <c r="Y31" i="123" s="1"/>
  <c r="G19" i="88"/>
  <c r="G28" i="104"/>
  <c r="G36" i="104"/>
  <c r="G16" i="88"/>
  <c r="G20" i="88"/>
  <c r="U9" i="10"/>
  <c r="G17" i="88"/>
  <c r="G31" i="104"/>
  <c r="G49" i="104"/>
  <c r="G35" i="104"/>
  <c r="G45" i="104"/>
  <c r="G51" i="104"/>
  <c r="G11" i="104"/>
  <c r="G16" i="104"/>
  <c r="G24" i="104"/>
  <c r="G34" i="104"/>
  <c r="H52" i="104"/>
  <c r="G25" i="88"/>
  <c r="H7" i="88"/>
  <c r="B25" i="108"/>
  <c r="B26" i="108" s="1"/>
  <c r="B40" i="108" s="1"/>
  <c r="B41" i="108" s="1"/>
  <c r="H23" i="108"/>
  <c r="G23" i="108"/>
  <c r="F23" i="108"/>
  <c r="D23" i="108"/>
  <c r="E23" i="108"/>
  <c r="C23" i="108"/>
  <c r="I23" i="108"/>
  <c r="G21" i="88"/>
  <c r="G20" i="104"/>
  <c r="G30" i="104"/>
  <c r="G40" i="88"/>
  <c r="G8" i="104"/>
  <c r="G23" i="88"/>
  <c r="G28" i="88"/>
  <c r="G36" i="88"/>
  <c r="G41" i="88"/>
  <c r="G46" i="88"/>
  <c r="G9" i="104"/>
  <c r="G32" i="104"/>
  <c r="K37" i="104"/>
  <c r="N57" i="104"/>
  <c r="M44" i="88"/>
  <c r="L44" i="88" s="1"/>
  <c r="C57" i="104"/>
  <c r="F14" i="104"/>
  <c r="G18" i="88"/>
  <c r="G24" i="88"/>
  <c r="K26" i="88"/>
  <c r="F37" i="88"/>
  <c r="G30" i="88"/>
  <c r="G34" i="88"/>
  <c r="G39" i="88"/>
  <c r="G43" i="88"/>
  <c r="K44" i="88"/>
  <c r="G48" i="88"/>
  <c r="G13" i="104"/>
  <c r="G29" i="104"/>
  <c r="G33" i="104"/>
  <c r="G39" i="104"/>
  <c r="G43" i="104"/>
  <c r="K44" i="104"/>
  <c r="G50" i="104"/>
  <c r="F37" i="104"/>
  <c r="F52" i="104"/>
  <c r="F26" i="88"/>
  <c r="H37" i="88"/>
  <c r="F52" i="88"/>
  <c r="G12" i="88"/>
  <c r="G22" i="88"/>
  <c r="G47" i="88"/>
  <c r="G51" i="88"/>
  <c r="J57" i="104"/>
  <c r="G10" i="104"/>
  <c r="G12" i="104"/>
  <c r="K14" i="104"/>
  <c r="F26" i="104"/>
  <c r="G18" i="104"/>
  <c r="G22" i="104"/>
  <c r="G46" i="104"/>
  <c r="G48" i="104"/>
  <c r="K52" i="104"/>
  <c r="M14" i="104"/>
  <c r="L14" i="104" s="1"/>
  <c r="M26" i="104"/>
  <c r="O26" i="104" s="1"/>
  <c r="G17" i="104"/>
  <c r="G21" i="104"/>
  <c r="G25" i="104"/>
  <c r="H26" i="104"/>
  <c r="M37" i="104"/>
  <c r="L37" i="104" s="1"/>
  <c r="H37" i="104"/>
  <c r="G42" i="104"/>
  <c r="E14" i="104"/>
  <c r="E37" i="104"/>
  <c r="F44" i="104"/>
  <c r="M52" i="104"/>
  <c r="O52" i="104" s="1"/>
  <c r="H14" i="104"/>
  <c r="G19" i="104"/>
  <c r="G23" i="104"/>
  <c r="K26" i="104"/>
  <c r="M44" i="104"/>
  <c r="O44" i="104" s="1"/>
  <c r="G40" i="104"/>
  <c r="O45" i="104"/>
  <c r="G38" i="104"/>
  <c r="E44" i="104"/>
  <c r="G15" i="104"/>
  <c r="E26" i="104"/>
  <c r="O15" i="104"/>
  <c r="O38" i="104"/>
  <c r="H44" i="104"/>
  <c r="E52" i="104"/>
  <c r="I57" i="104"/>
  <c r="E26" i="88"/>
  <c r="D26" i="88" s="1"/>
  <c r="O6" i="88"/>
  <c r="I57" i="88"/>
  <c r="F14" i="88"/>
  <c r="G11" i="88"/>
  <c r="M26" i="88"/>
  <c r="L26" i="88" s="1"/>
  <c r="G29" i="88"/>
  <c r="G33" i="88"/>
  <c r="O38" i="88"/>
  <c r="H52" i="88"/>
  <c r="C57" i="88"/>
  <c r="J57" i="88"/>
  <c r="G50" i="88"/>
  <c r="N57" i="88"/>
  <c r="G9" i="88"/>
  <c r="G13" i="88"/>
  <c r="H14" i="88"/>
  <c r="H26" i="88"/>
  <c r="G31" i="88"/>
  <c r="G35" i="88"/>
  <c r="F44" i="88"/>
  <c r="H44" i="88"/>
  <c r="G49" i="88"/>
  <c r="G8" i="88"/>
  <c r="E14" i="88"/>
  <c r="D7" i="88"/>
  <c r="G7" i="88"/>
  <c r="L7" i="88"/>
  <c r="O7" i="88"/>
  <c r="G27" i="88"/>
  <c r="E37" i="88"/>
  <c r="G45" i="88"/>
  <c r="E52" i="88"/>
  <c r="M14" i="88"/>
  <c r="M37" i="88"/>
  <c r="M52" i="88"/>
  <c r="K7" i="88"/>
  <c r="E44" i="88"/>
  <c r="G6" i="88"/>
  <c r="K14" i="88"/>
  <c r="G15" i="88"/>
  <c r="K37" i="88"/>
  <c r="K52" i="88"/>
  <c r="O44" i="88" l="1"/>
  <c r="T14" i="10"/>
  <c r="S25" i="10"/>
  <c r="G26" i="88"/>
  <c r="V9" i="10"/>
  <c r="X10" i="10"/>
  <c r="Z12" i="123" s="1"/>
  <c r="Z19" i="123" s="1"/>
  <c r="Z31" i="123" s="1"/>
  <c r="B33" i="108"/>
  <c r="B34" i="108" s="1"/>
  <c r="E25" i="108"/>
  <c r="C25" i="108"/>
  <c r="G25" i="108"/>
  <c r="D25" i="108"/>
  <c r="I25" i="108"/>
  <c r="F25" i="108"/>
  <c r="H25" i="108"/>
  <c r="O14" i="104"/>
  <c r="K57" i="104"/>
  <c r="L52" i="104"/>
  <c r="G37" i="104"/>
  <c r="O26" i="88"/>
  <c r="H57" i="104"/>
  <c r="L44" i="104"/>
  <c r="D37" i="104"/>
  <c r="L26" i="104"/>
  <c r="G14" i="104"/>
  <c r="H57" i="88"/>
  <c r="F57" i="104"/>
  <c r="D14" i="104"/>
  <c r="F57" i="88"/>
  <c r="O37" i="104"/>
  <c r="M57" i="104"/>
  <c r="L57" i="104" s="1"/>
  <c r="D52" i="104"/>
  <c r="G52" i="104"/>
  <c r="G44" i="104"/>
  <c r="D44" i="104"/>
  <c r="D26" i="104"/>
  <c r="G26" i="104"/>
  <c r="E57" i="104"/>
  <c r="D57" i="104" s="1"/>
  <c r="L14" i="88"/>
  <c r="O14" i="88"/>
  <c r="K57" i="88"/>
  <c r="D52" i="88"/>
  <c r="G52" i="88"/>
  <c r="M57" i="88"/>
  <c r="L57" i="88" s="1"/>
  <c r="L52" i="88"/>
  <c r="O52" i="88"/>
  <c r="D14" i="88"/>
  <c r="G14" i="88"/>
  <c r="G44" i="88"/>
  <c r="D44" i="88"/>
  <c r="E57" i="88"/>
  <c r="D57" i="88" s="1"/>
  <c r="L37" i="88"/>
  <c r="O37" i="88"/>
  <c r="D37" i="88"/>
  <c r="G37" i="88"/>
  <c r="O57" i="104" l="1"/>
  <c r="U14" i="10"/>
  <c r="T25" i="10"/>
  <c r="AJ19" i="123"/>
  <c r="AJ31" i="123" s="1"/>
  <c r="Y10" i="10"/>
  <c r="AA12" i="123" s="1"/>
  <c r="AA19" i="123" s="1"/>
  <c r="AA31" i="123" s="1"/>
  <c r="W9" i="10"/>
  <c r="H26" i="108"/>
  <c r="H40" i="108" s="1"/>
  <c r="H41" i="108" s="1"/>
  <c r="G26" i="108"/>
  <c r="G40" i="108" s="1"/>
  <c r="G41" i="108" s="1"/>
  <c r="I26" i="108"/>
  <c r="I40" i="108" s="1"/>
  <c r="I41" i="108" s="1"/>
  <c r="D26" i="108"/>
  <c r="D40" i="108" s="1"/>
  <c r="D41" i="108" s="1"/>
  <c r="C26" i="108"/>
  <c r="C40" i="108" s="1"/>
  <c r="C41" i="108" s="1"/>
  <c r="E26" i="108"/>
  <c r="E40" i="108" s="1"/>
  <c r="E41" i="108" s="1"/>
  <c r="G28" i="10"/>
  <c r="G57" i="104"/>
  <c r="C59" i="104" s="1"/>
  <c r="G57" i="88"/>
  <c r="C59" i="88" s="1"/>
  <c r="O57" i="88"/>
  <c r="V14" i="10" l="1"/>
  <c r="U25" i="10"/>
  <c r="X9" i="10"/>
  <c r="Z10" i="10"/>
  <c r="C33" i="108"/>
  <c r="C34" i="108" s="1"/>
  <c r="H33" i="108"/>
  <c r="H34" i="108" s="1"/>
  <c r="D33" i="108"/>
  <c r="D34" i="108" s="1"/>
  <c r="E33" i="108"/>
  <c r="E34" i="108" s="1"/>
  <c r="I33" i="108"/>
  <c r="I34" i="108" s="1"/>
  <c r="G33" i="108"/>
  <c r="G34" i="108" s="1"/>
  <c r="AL19" i="123" l="1"/>
  <c r="AL31" i="123" s="1"/>
  <c r="AB12" i="123"/>
  <c r="V25" i="10"/>
  <c r="W14" i="10"/>
  <c r="AA10" i="10"/>
  <c r="Y9" i="10"/>
  <c r="N8" i="89"/>
  <c r="M27" i="89"/>
  <c r="N26" i="89"/>
  <c r="N25" i="89"/>
  <c r="N24" i="89"/>
  <c r="N23" i="89"/>
  <c r="N22" i="89"/>
  <c r="N21" i="89"/>
  <c r="N20" i="89"/>
  <c r="N19" i="89"/>
  <c r="N18" i="89"/>
  <c r="N17" i="89"/>
  <c r="N16" i="89"/>
  <c r="N15" i="89"/>
  <c r="N14" i="89"/>
  <c r="N13" i="89"/>
  <c r="N12" i="89"/>
  <c r="N11" i="89"/>
  <c r="N10" i="89"/>
  <c r="N9" i="89"/>
  <c r="L8" i="89"/>
  <c r="L9" i="89" s="1"/>
  <c r="L10" i="89" s="1"/>
  <c r="L11" i="89" s="1"/>
  <c r="L12" i="89" s="1"/>
  <c r="L13" i="89" s="1"/>
  <c r="L14" i="89" s="1"/>
  <c r="L15" i="89" s="1"/>
  <c r="L16" i="89" s="1"/>
  <c r="L17" i="89" s="1"/>
  <c r="L18" i="89" s="1"/>
  <c r="L19" i="89" s="1"/>
  <c r="L20" i="89" s="1"/>
  <c r="L21" i="89" s="1"/>
  <c r="L22" i="89" s="1"/>
  <c r="L23" i="89" s="1"/>
  <c r="L24" i="89" s="1"/>
  <c r="L25" i="89" s="1"/>
  <c r="L26" i="89" s="1"/>
  <c r="L27" i="89" s="1"/>
  <c r="N7" i="89"/>
  <c r="L7" i="89"/>
  <c r="D7" i="89"/>
  <c r="AM19" i="123" l="1"/>
  <c r="AM31" i="123" s="1"/>
  <c r="AC12" i="123"/>
  <c r="X14" i="10"/>
  <c r="W25" i="10"/>
  <c r="Z9" i="10"/>
  <c r="N27" i="89"/>
  <c r="Y14" i="10" l="1"/>
  <c r="X25" i="10"/>
  <c r="AA9" i="10"/>
  <c r="Q28" i="10"/>
  <c r="DG23" i="106"/>
  <c r="DF23" i="106"/>
  <c r="DE23" i="106"/>
  <c r="DD23" i="106"/>
  <c r="DC23" i="106"/>
  <c r="DB23" i="106"/>
  <c r="DA23" i="106"/>
  <c r="CZ23" i="106"/>
  <c r="CY23" i="106"/>
  <c r="CX23" i="106"/>
  <c r="CW23" i="106"/>
  <c r="CV23" i="106"/>
  <c r="CU23" i="106"/>
  <c r="DG19" i="106"/>
  <c r="DF19" i="106"/>
  <c r="DE19" i="106"/>
  <c r="DD19" i="106"/>
  <c r="DC19" i="106"/>
  <c r="DB19" i="106"/>
  <c r="DA19" i="106"/>
  <c r="CZ19" i="106"/>
  <c r="CY19" i="106"/>
  <c r="CX19" i="106"/>
  <c r="CW19" i="106"/>
  <c r="CV19" i="106"/>
  <c r="CU19" i="106"/>
  <c r="CZ30" i="106" l="1"/>
  <c r="DG30" i="106"/>
  <c r="DF30" i="106"/>
  <c r="CU30" i="106"/>
  <c r="EO30" i="106" s="1"/>
  <c r="Z14" i="10"/>
  <c r="Y25" i="10"/>
  <c r="DB30" i="106"/>
  <c r="DC30" i="106"/>
  <c r="CX30" i="106"/>
  <c r="CY30" i="106"/>
  <c r="AA17" i="10"/>
  <c r="AA20" i="10" s="1"/>
  <c r="AA23" i="10" s="1"/>
  <c r="AA18" i="10"/>
  <c r="AA21" i="10" s="1"/>
  <c r="AA24" i="10" s="1"/>
  <c r="DA30" i="106"/>
  <c r="CW30" i="106"/>
  <c r="DE30" i="106"/>
  <c r="DD30" i="106"/>
  <c r="CV30" i="106"/>
  <c r="R28" i="10"/>
  <c r="Z25" i="10" l="1"/>
  <c r="AA14" i="10"/>
  <c r="AA25" i="10" s="1"/>
  <c r="S28" i="10"/>
  <c r="T28" i="10"/>
  <c r="U28" i="10" l="1"/>
  <c r="C68" i="75"/>
  <c r="C43" i="75"/>
  <c r="C24" i="75"/>
  <c r="V28" i="10" l="1"/>
  <c r="W28" i="10"/>
  <c r="X28" i="10"/>
  <c r="N87" i="75"/>
  <c r="J87" i="75"/>
  <c r="I87" i="75"/>
  <c r="M86" i="75"/>
  <c r="O86" i="75" s="1"/>
  <c r="F86" i="75"/>
  <c r="D86" i="75"/>
  <c r="E86" i="75" s="1"/>
  <c r="M85" i="75"/>
  <c r="O85" i="75" s="1"/>
  <c r="F85" i="75"/>
  <c r="D85" i="75"/>
  <c r="E85" i="75" s="1"/>
  <c r="M84" i="75"/>
  <c r="O84" i="75" s="1"/>
  <c r="F84" i="75"/>
  <c r="D84" i="75"/>
  <c r="E84" i="75" s="1"/>
  <c r="M83" i="75"/>
  <c r="O83" i="75" s="1"/>
  <c r="F83" i="75"/>
  <c r="D83" i="75"/>
  <c r="E83" i="75" s="1"/>
  <c r="M82" i="75"/>
  <c r="O82" i="75" s="1"/>
  <c r="F82" i="75"/>
  <c r="D82" i="75"/>
  <c r="E82" i="75" s="1"/>
  <c r="M81" i="75"/>
  <c r="O81" i="75" s="1"/>
  <c r="F81" i="75"/>
  <c r="D81" i="75"/>
  <c r="E81" i="75" s="1"/>
  <c r="M80" i="75"/>
  <c r="O80" i="75" s="1"/>
  <c r="F80" i="75"/>
  <c r="D80" i="75"/>
  <c r="E80" i="75" s="1"/>
  <c r="N68" i="75"/>
  <c r="J68" i="75"/>
  <c r="I68" i="75"/>
  <c r="H68" i="75" s="1"/>
  <c r="M67" i="75"/>
  <c r="O67" i="75" s="1"/>
  <c r="F67" i="75"/>
  <c r="D67" i="75"/>
  <c r="E67" i="75" s="1"/>
  <c r="M66" i="75"/>
  <c r="O66" i="75" s="1"/>
  <c r="F66" i="75"/>
  <c r="D66" i="75"/>
  <c r="E66" i="75" s="1"/>
  <c r="M65" i="75"/>
  <c r="O65" i="75" s="1"/>
  <c r="F65" i="75"/>
  <c r="D65" i="75"/>
  <c r="E65" i="75" s="1"/>
  <c r="M63" i="75"/>
  <c r="O63" i="75" s="1"/>
  <c r="F63" i="75"/>
  <c r="D63" i="75"/>
  <c r="E63" i="75" s="1"/>
  <c r="M62" i="75"/>
  <c r="O62" i="75" s="1"/>
  <c r="F62" i="75"/>
  <c r="D62" i="75"/>
  <c r="E62" i="75" s="1"/>
  <c r="M61" i="75"/>
  <c r="O61" i="75" s="1"/>
  <c r="F61" i="75"/>
  <c r="D61" i="75"/>
  <c r="E61" i="75" s="1"/>
  <c r="M60" i="75"/>
  <c r="O60" i="75" s="1"/>
  <c r="F60" i="75"/>
  <c r="D60" i="75"/>
  <c r="E60" i="75" s="1"/>
  <c r="M59" i="75"/>
  <c r="O59" i="75" s="1"/>
  <c r="F59" i="75"/>
  <c r="D59" i="75"/>
  <c r="E59" i="75" s="1"/>
  <c r="M58" i="75"/>
  <c r="O58" i="75" s="1"/>
  <c r="F58" i="75"/>
  <c r="D58" i="75"/>
  <c r="E58" i="75" s="1"/>
  <c r="M57" i="75"/>
  <c r="F57" i="75"/>
  <c r="D57" i="75"/>
  <c r="E57" i="75" s="1"/>
  <c r="N43" i="75"/>
  <c r="J43" i="75"/>
  <c r="I43" i="75"/>
  <c r="F42" i="75"/>
  <c r="D42" i="75"/>
  <c r="E42" i="75" s="1"/>
  <c r="F41" i="75"/>
  <c r="D41" i="75"/>
  <c r="E41" i="75" s="1"/>
  <c r="F40" i="75"/>
  <c r="D40" i="75"/>
  <c r="E40" i="75" s="1"/>
  <c r="F39" i="75"/>
  <c r="D39" i="75"/>
  <c r="E39" i="75" s="1"/>
  <c r="F38" i="75"/>
  <c r="D38" i="75"/>
  <c r="E38" i="75" s="1"/>
  <c r="F37" i="75"/>
  <c r="D37" i="75"/>
  <c r="E37" i="75" s="1"/>
  <c r="F36" i="75"/>
  <c r="E36" i="75"/>
  <c r="E35" i="75"/>
  <c r="F34" i="75"/>
  <c r="D34" i="75"/>
  <c r="E34" i="75" s="1"/>
  <c r="E33" i="75"/>
  <c r="N24" i="75"/>
  <c r="J24" i="75"/>
  <c r="I24" i="75"/>
  <c r="D23" i="75"/>
  <c r="E23" i="75" s="1"/>
  <c r="F22" i="75"/>
  <c r="D22" i="75"/>
  <c r="E22" i="75" s="1"/>
  <c r="P14" i="75"/>
  <c r="N13" i="75"/>
  <c r="I13" i="75"/>
  <c r="C13" i="75"/>
  <c r="C92" i="75" s="1"/>
  <c r="D6" i="75"/>
  <c r="E6" i="75" s="1"/>
  <c r="Z28" i="10" l="1"/>
  <c r="Y28" i="10"/>
  <c r="Q17" i="10"/>
  <c r="Q20" i="10" s="1"/>
  <c r="Q23" i="10" s="1"/>
  <c r="Q18" i="10"/>
  <c r="Q21" i="10" s="1"/>
  <c r="Q24" i="10" s="1"/>
  <c r="G81" i="75"/>
  <c r="J92" i="75"/>
  <c r="G37" i="75"/>
  <c r="N92" i="75"/>
  <c r="H24" i="75"/>
  <c r="I92" i="75"/>
  <c r="G66" i="75"/>
  <c r="G23" i="75"/>
  <c r="G63" i="75"/>
  <c r="G35" i="75"/>
  <c r="F24" i="75"/>
  <c r="G59" i="75"/>
  <c r="G57" i="75"/>
  <c r="G86" i="75"/>
  <c r="K87" i="75"/>
  <c r="G58" i="75"/>
  <c r="G85" i="75"/>
  <c r="M24" i="75"/>
  <c r="O24" i="75" s="1"/>
  <c r="G22" i="75"/>
  <c r="G36" i="75"/>
  <c r="G39" i="75"/>
  <c r="G42" i="75"/>
  <c r="G67" i="75"/>
  <c r="H87" i="75"/>
  <c r="E24" i="75"/>
  <c r="D24" i="75" s="1"/>
  <c r="K24" i="75"/>
  <c r="G41" i="75"/>
  <c r="F68" i="75"/>
  <c r="G62" i="75"/>
  <c r="G65" i="75"/>
  <c r="K68" i="75"/>
  <c r="G84" i="75"/>
  <c r="F87" i="75"/>
  <c r="G34" i="75"/>
  <c r="G38" i="75"/>
  <c r="G40" i="75"/>
  <c r="M68" i="75"/>
  <c r="O68" i="75" s="1"/>
  <c r="G60" i="75"/>
  <c r="G61" i="75"/>
  <c r="G82" i="75"/>
  <c r="G83" i="75"/>
  <c r="F43" i="75"/>
  <c r="O57" i="75"/>
  <c r="H43" i="75"/>
  <c r="H13" i="75"/>
  <c r="G6" i="75"/>
  <c r="E13" i="75"/>
  <c r="G33" i="75"/>
  <c r="E43" i="75"/>
  <c r="E87" i="75"/>
  <c r="G80" i="75"/>
  <c r="M13" i="75"/>
  <c r="M43" i="75"/>
  <c r="E68" i="75"/>
  <c r="M87" i="75"/>
  <c r="K13" i="75"/>
  <c r="G14" i="75"/>
  <c r="K43" i="75"/>
  <c r="AC19" i="123" l="1"/>
  <c r="AC31" i="123" s="1"/>
  <c r="Q27" i="10"/>
  <c r="Q30" i="10"/>
  <c r="R18" i="10"/>
  <c r="R21" i="10" s="1"/>
  <c r="R24" i="10" s="1"/>
  <c r="R17" i="10"/>
  <c r="R20" i="10" s="1"/>
  <c r="R23" i="10" s="1"/>
  <c r="K92" i="75"/>
  <c r="M92" i="75"/>
  <c r="L92" i="75" s="1"/>
  <c r="F92" i="75"/>
  <c r="E92" i="75"/>
  <c r="D92" i="75" s="1"/>
  <c r="L24" i="75"/>
  <c r="G24" i="75"/>
  <c r="L68" i="75"/>
  <c r="H92" i="75"/>
  <c r="L13" i="75"/>
  <c r="O13" i="75"/>
  <c r="G87" i="75"/>
  <c r="D87" i="75"/>
  <c r="G68" i="75"/>
  <c r="D68" i="75"/>
  <c r="D43" i="75"/>
  <c r="G43" i="75"/>
  <c r="D13" i="75"/>
  <c r="G13" i="75"/>
  <c r="O87" i="75"/>
  <c r="L87" i="75"/>
  <c r="L43" i="75"/>
  <c r="O43" i="75"/>
  <c r="R27" i="10" l="1"/>
  <c r="R30" i="10"/>
  <c r="S18" i="10"/>
  <c r="S21" i="10" s="1"/>
  <c r="S24" i="10" s="1"/>
  <c r="S17" i="10"/>
  <c r="S20" i="10" s="1"/>
  <c r="S23" i="10" s="1"/>
  <c r="AD19" i="123"/>
  <c r="AD31" i="123" s="1"/>
  <c r="O92" i="75"/>
  <c r="G92" i="75"/>
  <c r="C94" i="75" s="1"/>
  <c r="S27" i="10" l="1"/>
  <c r="S30" i="10"/>
  <c r="AE19" i="123"/>
  <c r="AE31" i="123" s="1"/>
  <c r="T18" i="10"/>
  <c r="T21" i="10" s="1"/>
  <c r="T24" i="10" s="1"/>
  <c r="T17" i="10"/>
  <c r="T20" i="10" s="1"/>
  <c r="T23" i="10" s="1"/>
  <c r="T30" i="10" l="1"/>
  <c r="T27" i="10"/>
  <c r="AF19" i="123"/>
  <c r="AF31" i="123" s="1"/>
  <c r="U17" i="10"/>
  <c r="U20" i="10" s="1"/>
  <c r="U23" i="10" s="1"/>
  <c r="U18" i="10"/>
  <c r="U21" i="10" s="1"/>
  <c r="U24" i="10" s="1"/>
  <c r="D17" i="10"/>
  <c r="D20" i="10" s="1"/>
  <c r="D23" i="10" s="1"/>
  <c r="E17" i="10"/>
  <c r="E20" i="10" s="1"/>
  <c r="E23" i="10" s="1"/>
  <c r="F17" i="10"/>
  <c r="F20" i="10" s="1"/>
  <c r="F23" i="10" s="1"/>
  <c r="G17" i="10"/>
  <c r="G20" i="10" s="1"/>
  <c r="G23" i="10" s="1"/>
  <c r="H17" i="10"/>
  <c r="H20" i="10" s="1"/>
  <c r="H23" i="10" s="1"/>
  <c r="I17" i="10"/>
  <c r="I20" i="10" s="1"/>
  <c r="I23" i="10" s="1"/>
  <c r="J17" i="10"/>
  <c r="J20" i="10" s="1"/>
  <c r="J23" i="10" s="1"/>
  <c r="K17" i="10"/>
  <c r="K20" i="10" s="1"/>
  <c r="K23" i="10" s="1"/>
  <c r="L17" i="10"/>
  <c r="L20" i="10" s="1"/>
  <c r="L23" i="10" s="1"/>
  <c r="M17" i="10"/>
  <c r="M20" i="10" s="1"/>
  <c r="M23" i="10" s="1"/>
  <c r="N17" i="10"/>
  <c r="N20" i="10" s="1"/>
  <c r="N23" i="10" s="1"/>
  <c r="O17" i="10"/>
  <c r="O20" i="10" s="1"/>
  <c r="P17" i="10"/>
  <c r="P20" i="10" s="1"/>
  <c r="D18" i="10"/>
  <c r="D21" i="10" s="1"/>
  <c r="E18" i="10"/>
  <c r="E21" i="10" s="1"/>
  <c r="F18" i="10"/>
  <c r="F21" i="10" s="1"/>
  <c r="G18" i="10"/>
  <c r="G21" i="10" s="1"/>
  <c r="H18" i="10"/>
  <c r="H21" i="10" s="1"/>
  <c r="I18" i="10"/>
  <c r="I21" i="10" s="1"/>
  <c r="I24" i="10" s="1"/>
  <c r="K12" i="123" s="1"/>
  <c r="J18" i="10"/>
  <c r="J21" i="10" s="1"/>
  <c r="J24" i="10" s="1"/>
  <c r="K18" i="10"/>
  <c r="K21" i="10" s="1"/>
  <c r="K24" i="10" s="1"/>
  <c r="M12" i="123" s="1"/>
  <c r="L18" i="10"/>
  <c r="L21" i="10" s="1"/>
  <c r="L24" i="10" s="1"/>
  <c r="M18" i="10"/>
  <c r="M21" i="10" s="1"/>
  <c r="M24" i="10" s="1"/>
  <c r="N18" i="10"/>
  <c r="N21" i="10" s="1"/>
  <c r="N24" i="10" s="1"/>
  <c r="O18" i="10"/>
  <c r="O21" i="10" s="1"/>
  <c r="O24" i="10" s="1"/>
  <c r="P18" i="10"/>
  <c r="P21" i="10" s="1"/>
  <c r="P24" i="10" s="1"/>
  <c r="O28" i="10"/>
  <c r="P28" i="10"/>
  <c r="C18" i="10"/>
  <c r="C21" i="10" s="1"/>
  <c r="C20" i="10"/>
  <c r="C23" i="10" s="1"/>
  <c r="C27" i="10" l="1"/>
  <c r="F24" i="10"/>
  <c r="H24" i="10"/>
  <c r="J12" i="123" s="1"/>
  <c r="J19" i="123" s="1"/>
  <c r="J31" i="123" s="1"/>
  <c r="P23" i="10"/>
  <c r="P27" i="10" s="1"/>
  <c r="C24" i="10"/>
  <c r="D24" i="10"/>
  <c r="F12" i="123" s="1"/>
  <c r="F19" i="123" s="1"/>
  <c r="F31" i="123" s="1"/>
  <c r="O23" i="10"/>
  <c r="O27" i="10" s="1"/>
  <c r="G24" i="10"/>
  <c r="I12" i="123" s="1"/>
  <c r="I19" i="123" s="1"/>
  <c r="I31" i="123" s="1"/>
  <c r="E24" i="10"/>
  <c r="G12" i="123" s="1"/>
  <c r="K19" i="123"/>
  <c r="K31" i="123" s="1"/>
  <c r="M19" i="123"/>
  <c r="M31" i="123" s="1"/>
  <c r="L19" i="123"/>
  <c r="L31" i="123" s="1"/>
  <c r="O19" i="123"/>
  <c r="O31" i="123" s="1"/>
  <c r="AG19" i="123"/>
  <c r="AG31" i="123" s="1"/>
  <c r="U30" i="10"/>
  <c r="U27" i="10"/>
  <c r="V17" i="10"/>
  <c r="V20" i="10" s="1"/>
  <c r="V23" i="10" s="1"/>
  <c r="V18" i="10"/>
  <c r="V21" i="10" s="1"/>
  <c r="V24" i="10" s="1"/>
  <c r="Q19" i="123"/>
  <c r="Q31" i="123" s="1"/>
  <c r="N19" i="123"/>
  <c r="N31" i="123" s="1"/>
  <c r="P19" i="123"/>
  <c r="P31" i="123" s="1"/>
  <c r="AB19" i="123"/>
  <c r="AB31" i="123" s="1"/>
  <c r="G27" i="10"/>
  <c r="N27" i="10"/>
  <c r="M27" i="10"/>
  <c r="M28" i="10"/>
  <c r="L28" i="10"/>
  <c r="D7" i="12"/>
  <c r="D8" i="12" s="1"/>
  <c r="F14" i="89"/>
  <c r="F15" i="89"/>
  <c r="F7" i="89"/>
  <c r="D8" i="89"/>
  <c r="D9" i="89" s="1"/>
  <c r="F8" i="89"/>
  <c r="F9" i="89"/>
  <c r="F18" i="89"/>
  <c r="F20" i="89"/>
  <c r="F21" i="89"/>
  <c r="F22" i="89"/>
  <c r="F23" i="89"/>
  <c r="F24" i="89"/>
  <c r="F25" i="89"/>
  <c r="F19" i="89"/>
  <c r="F26" i="89"/>
  <c r="H28" i="10"/>
  <c r="H27" i="10"/>
  <c r="F16" i="89"/>
  <c r="E28" i="12"/>
  <c r="F13" i="89"/>
  <c r="F11" i="89"/>
  <c r="F12" i="89"/>
  <c r="F10" i="89"/>
  <c r="F27" i="12"/>
  <c r="F26" i="12"/>
  <c r="F24" i="12"/>
  <c r="F10" i="12"/>
  <c r="F11" i="12"/>
  <c r="F9" i="12"/>
  <c r="C28" i="12"/>
  <c r="F8" i="12"/>
  <c r="F12" i="12"/>
  <c r="F25" i="12"/>
  <c r="P7" i="10"/>
  <c r="O7" i="10"/>
  <c r="D28" i="10"/>
  <c r="F27" i="10"/>
  <c r="F28" i="10"/>
  <c r="E27" i="10"/>
  <c r="E28" i="10"/>
  <c r="I28" i="10"/>
  <c r="I27" i="10"/>
  <c r="J27" i="10"/>
  <c r="J28" i="10"/>
  <c r="K28" i="10"/>
  <c r="D27" i="10"/>
  <c r="D7" i="10"/>
  <c r="D10" i="84" s="1"/>
  <c r="L27" i="10"/>
  <c r="M7" i="10"/>
  <c r="J7" i="10"/>
  <c r="K27" i="10"/>
  <c r="H7" i="10"/>
  <c r="H10" i="84" s="1"/>
  <c r="L7" i="10"/>
  <c r="K7" i="10"/>
  <c r="D9" i="12" l="1"/>
  <c r="D10" i="12" s="1"/>
  <c r="D11" i="12" s="1"/>
  <c r="D12" i="12"/>
  <c r="D13" i="12" s="1"/>
  <c r="D14" i="12" s="1"/>
  <c r="D28" i="12" s="1"/>
  <c r="R19" i="123"/>
  <c r="R31" i="123" s="1"/>
  <c r="H12" i="123"/>
  <c r="H19" i="123" s="1"/>
  <c r="H31" i="123" s="1"/>
  <c r="E12" i="123"/>
  <c r="O30" i="10"/>
  <c r="O10" i="84"/>
  <c r="P30" i="10"/>
  <c r="P10" i="84"/>
  <c r="K30" i="10"/>
  <c r="K10" i="84"/>
  <c r="L30" i="10"/>
  <c r="L10" i="84"/>
  <c r="J30" i="10"/>
  <c r="J10" i="84"/>
  <c r="M30" i="10"/>
  <c r="M10" i="84"/>
  <c r="H30" i="10"/>
  <c r="D30" i="10"/>
  <c r="G19" i="123"/>
  <c r="G31" i="123" s="1"/>
  <c r="V30" i="10"/>
  <c r="V27" i="10"/>
  <c r="W18" i="10"/>
  <c r="W21" i="10" s="1"/>
  <c r="W24" i="10" s="1"/>
  <c r="W17" i="10"/>
  <c r="W20" i="10" s="1"/>
  <c r="W23" i="10" s="1"/>
  <c r="AH19" i="123"/>
  <c r="AH31" i="123" s="1"/>
  <c r="F28" i="12"/>
  <c r="F7" i="10"/>
  <c r="F10" i="84" s="1"/>
  <c r="I7" i="10"/>
  <c r="D10" i="89"/>
  <c r="D11" i="89" s="1"/>
  <c r="D12" i="89" s="1"/>
  <c r="D13" i="89" s="1"/>
  <c r="D14" i="89" s="1"/>
  <c r="D15" i="89" s="1"/>
  <c r="D16" i="89" s="1"/>
  <c r="D17" i="89" s="1"/>
  <c r="D18" i="89" s="1"/>
  <c r="D19" i="89" s="1"/>
  <c r="D20" i="89" s="1"/>
  <c r="D21" i="89" s="1"/>
  <c r="D22" i="89" s="1"/>
  <c r="D23" i="89" s="1"/>
  <c r="D24" i="89" s="1"/>
  <c r="D25" i="89" s="1"/>
  <c r="D26" i="89" s="1"/>
  <c r="D27" i="89" s="1"/>
  <c r="N28" i="10"/>
  <c r="N7" i="10"/>
  <c r="E7" i="10"/>
  <c r="E10" i="84" s="1"/>
  <c r="C7" i="10"/>
  <c r="AA28" i="10"/>
  <c r="G7" i="10"/>
  <c r="G10" i="84" s="1"/>
  <c r="AQ12" i="123" l="1"/>
  <c r="AQ19" i="123" s="1"/>
  <c r="E19" i="123"/>
  <c r="E31" i="123" s="1"/>
  <c r="C10" i="84"/>
  <c r="C14" i="84" s="1"/>
  <c r="C30" i="10"/>
  <c r="Z32" i="10"/>
  <c r="N32" i="10"/>
  <c r="C32" i="10"/>
  <c r="I30" i="10"/>
  <c r="I10" i="84"/>
  <c r="L16" i="84" s="1"/>
  <c r="N10" i="84"/>
  <c r="N30" i="10"/>
  <c r="C15" i="84"/>
  <c r="AA7" i="10"/>
  <c r="H17" i="84"/>
  <c r="H13" i="84"/>
  <c r="G15" i="84"/>
  <c r="E17" i="84"/>
  <c r="D14" i="84"/>
  <c r="D15" i="84"/>
  <c r="E16" i="84"/>
  <c r="D16" i="84"/>
  <c r="C13" i="84"/>
  <c r="H16" i="84"/>
  <c r="E15" i="84"/>
  <c r="H15" i="84"/>
  <c r="C16" i="84"/>
  <c r="F14" i="84"/>
  <c r="D13" i="84"/>
  <c r="D17" i="84"/>
  <c r="C17" i="84"/>
  <c r="H14" i="84"/>
  <c r="F15" i="84"/>
  <c r="F30" i="10"/>
  <c r="G30" i="10"/>
  <c r="W27" i="10"/>
  <c r="W30" i="10"/>
  <c r="AI19" i="123"/>
  <c r="AI31" i="123" s="1"/>
  <c r="X17" i="10"/>
  <c r="X20" i="10" s="1"/>
  <c r="X23" i="10" s="1"/>
  <c r="X18" i="10"/>
  <c r="X21" i="10" s="1"/>
  <c r="X24" i="10" s="1"/>
  <c r="Y32" i="10"/>
  <c r="Q32" i="10"/>
  <c r="G32" i="10"/>
  <c r="R32" i="10"/>
  <c r="T32" i="10"/>
  <c r="S32" i="10"/>
  <c r="U32" i="10"/>
  <c r="V32" i="10"/>
  <c r="X32" i="10"/>
  <c r="W32" i="10"/>
  <c r="D32" i="10"/>
  <c r="O32" i="10"/>
  <c r="F32" i="10"/>
  <c r="H32" i="10"/>
  <c r="E32" i="10"/>
  <c r="J32" i="10"/>
  <c r="L32" i="10"/>
  <c r="I32" i="10"/>
  <c r="K32" i="10"/>
  <c r="P32" i="10"/>
  <c r="M32" i="10"/>
  <c r="AA27" i="10"/>
  <c r="E30" i="10"/>
  <c r="F17" i="84" l="1"/>
  <c r="F16" i="84"/>
  <c r="N13" i="84"/>
  <c r="K16" i="84"/>
  <c r="M13" i="84"/>
  <c r="S17" i="84"/>
  <c r="L13" i="84"/>
  <c r="J13" i="84"/>
  <c r="I16" i="84"/>
  <c r="R16" i="84"/>
  <c r="M14" i="84"/>
  <c r="K17" i="84"/>
  <c r="L15" i="84"/>
  <c r="G16" i="84"/>
  <c r="M16" i="84"/>
  <c r="E14" i="84"/>
  <c r="K15" i="84"/>
  <c r="L14" i="84"/>
  <c r="E13" i="84"/>
  <c r="G14" i="84"/>
  <c r="G17" i="84"/>
  <c r="AQ31" i="123"/>
  <c r="AS19" i="123" s="1"/>
  <c r="N17" i="84"/>
  <c r="V13" i="84"/>
  <c r="Q17" i="84"/>
  <c r="Z17" i="84"/>
  <c r="U13" i="84"/>
  <c r="T14" i="84"/>
  <c r="Y16" i="84"/>
  <c r="Q16" i="84"/>
  <c r="S14" i="84"/>
  <c r="Z15" i="84"/>
  <c r="R15" i="84"/>
  <c r="P16" i="84"/>
  <c r="O14" i="84"/>
  <c r="P14" i="84"/>
  <c r="T16" i="84"/>
  <c r="V17" i="84"/>
  <c r="O17" i="84"/>
  <c r="Z16" i="84"/>
  <c r="S16" i="84"/>
  <c r="V15" i="84"/>
  <c r="S13" i="84"/>
  <c r="X15" i="84"/>
  <c r="U16" i="84"/>
  <c r="Z14" i="84"/>
  <c r="W15" i="84"/>
  <c r="W14" i="84"/>
  <c r="Q14" i="84"/>
  <c r="Y15" i="84"/>
  <c r="Y13" i="84"/>
  <c r="U17" i="84"/>
  <c r="S15" i="84"/>
  <c r="W16" i="84"/>
  <c r="X16" i="84"/>
  <c r="X13" i="84"/>
  <c r="M15" i="84"/>
  <c r="T17" i="84"/>
  <c r="Y14" i="84"/>
  <c r="J14" i="84"/>
  <c r="AA10" i="84"/>
  <c r="AA17" i="84" s="1"/>
  <c r="AA30" i="10"/>
  <c r="AA32" i="10"/>
  <c r="N15" i="84"/>
  <c r="X14" i="84"/>
  <c r="Y17" i="84"/>
  <c r="L17" i="84"/>
  <c r="W13" i="84"/>
  <c r="J16" i="84"/>
  <c r="P13" i="84"/>
  <c r="O16" i="84"/>
  <c r="O13" i="84"/>
  <c r="R17" i="84"/>
  <c r="P15" i="84"/>
  <c r="X17" i="84"/>
  <c r="J15" i="84"/>
  <c r="K14" i="84"/>
  <c r="V16" i="84"/>
  <c r="O15" i="84"/>
  <c r="I13" i="84"/>
  <c r="Q13" i="84"/>
  <c r="U14" i="84"/>
  <c r="R14" i="84"/>
  <c r="Q15" i="84"/>
  <c r="N14" i="84"/>
  <c r="V14" i="84"/>
  <c r="U15" i="84"/>
  <c r="P17" i="84"/>
  <c r="T13" i="84"/>
  <c r="R13" i="84"/>
  <c r="M17" i="84"/>
  <c r="W17" i="84"/>
  <c r="T15" i="84"/>
  <c r="K13" i="84"/>
  <c r="Z13" i="84"/>
  <c r="I15" i="84"/>
  <c r="I14" i="84"/>
  <c r="F13" i="84"/>
  <c r="F18" i="84" s="1"/>
  <c r="N16" i="84"/>
  <c r="G13" i="84"/>
  <c r="J17" i="84"/>
  <c r="I17" i="84"/>
  <c r="C18" i="84"/>
  <c r="H18" i="84"/>
  <c r="D18" i="84"/>
  <c r="X27" i="10"/>
  <c r="X30" i="10"/>
  <c r="AK19" i="123"/>
  <c r="AK31" i="123" s="1"/>
  <c r="Y17" i="10"/>
  <c r="Y20" i="10" s="1"/>
  <c r="Y23" i="10" s="1"/>
  <c r="Y18" i="10"/>
  <c r="Y21" i="10" s="1"/>
  <c r="Y24" i="10" s="1"/>
  <c r="G18" i="84" l="1"/>
  <c r="E18" i="84"/>
  <c r="S18" i="84"/>
  <c r="K18" i="84"/>
  <c r="M18" i="84"/>
  <c r="L18" i="84"/>
  <c r="AA13" i="84"/>
  <c r="X18" i="84"/>
  <c r="AA16" i="84"/>
  <c r="O18" i="84"/>
  <c r="V18" i="84"/>
  <c r="AA15" i="84"/>
  <c r="P18" i="84"/>
  <c r="Q18" i="84"/>
  <c r="J18" i="84"/>
  <c r="Z18" i="84"/>
  <c r="I18" i="84"/>
  <c r="N18" i="84"/>
  <c r="Y18" i="84"/>
  <c r="T18" i="84"/>
  <c r="R18" i="84"/>
  <c r="W18" i="84"/>
  <c r="U18" i="84"/>
  <c r="AA14" i="84"/>
  <c r="Y30" i="10"/>
  <c r="Y27" i="10"/>
  <c r="Z17" i="10"/>
  <c r="Z20" i="10" s="1"/>
  <c r="Z23" i="10" s="1"/>
  <c r="Z18" i="10"/>
  <c r="Z21" i="10" s="1"/>
  <c r="Z24" i="10" s="1"/>
  <c r="AA18" i="84" l="1"/>
  <c r="AQ32" i="123"/>
  <c r="Z27" i="10"/>
  <c r="Z30" i="10"/>
  <c r="Q25" i="108" l="1"/>
  <c r="D6" i="71" l="1"/>
  <c r="F5" i="71" s="1"/>
  <c r="D61" i="71" l="1"/>
  <c r="E31" i="12"/>
  <c r="Q15" i="108" l="1"/>
  <c r="Q26" i="108" s="1"/>
  <c r="Q40" i="108" l="1"/>
  <c r="Q41" i="108" s="1"/>
  <c r="Q33" i="108"/>
  <c r="Q34" i="108" s="1"/>
  <c r="F15" i="108" l="1"/>
  <c r="F26" i="108" s="1"/>
  <c r="F33" i="108" l="1"/>
  <c r="F34" i="108" s="1"/>
  <c r="F40" i="108"/>
  <c r="F41" i="10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tc={EA20B0C6-28BF-447D-BF0B-847371CC2252}</author>
    <author>tc={1A5697A4-97C5-4F48-AFD5-D624C1A69B3B}</author>
    <author>Justine LAMBERT</author>
    <author>tc={6513DFB9-0425-46C4-AAF4-639D52C25B04}</author>
    <author>tc={BECAB4AB-6565-4DD7-8C3D-915E6B929A13}</author>
    <author>tc={03F3551C-3898-4B6B-BB52-7CF315A6A75A}</author>
    <author>tc={B0033982-D79D-4F35-A539-69B4E1BCFAFF}</author>
    <author>tc={312FA585-4E2E-4C74-ABEE-6D43220F7C73}</author>
    <author>tc={203F9B38-3CCC-432E-907A-BA91D5C97BB0}</author>
    <author>MARCHADOUR Emilie</author>
  </authors>
  <commentList>
    <comment ref="G29" authorId="0" shapeId="0" xr:uid="{EA20B0C6-28BF-447D-BF0B-847371CC2252}">
      <text>
        <r>
          <rPr>
            <sz val="10"/>
            <rFont val="Arial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Achat pied de scellement BC BP du 07/06/24</t>
        </r>
      </text>
    </comment>
    <comment ref="F31" authorId="1" shapeId="0" xr:uid="{1A5697A4-97C5-4F48-AFD5-D624C1A69B3B}">
      <text>
        <r>
          <rPr>
            <sz val="10"/>
            <rFont val="Arial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Compris montage</t>
        </r>
      </text>
    </comment>
    <comment ref="H31" authorId="2" shapeId="0" xr:uid="{5F0A8F2F-6D7E-4AB2-A207-BC415A1FEAC8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Montant mis de base + WC loc 
</t>
        </r>
      </text>
    </comment>
    <comment ref="I34" authorId="3" shapeId="0" xr:uid="{6513DFB9-0425-46C4-AAF4-639D52C25B04}">
      <text>
        <r>
          <rPr>
            <sz val="10"/>
            <rFont val="Arial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pose pied de scellement
Réponse :
    Mauvaise imputation GLA septembre - 6135100 - demande de changement fait </t>
        </r>
      </text>
    </comment>
    <comment ref="M40" authorId="4" shapeId="0" xr:uid="{BECAB4AB-6565-4DD7-8C3D-915E6B929A13}">
      <text>
        <r>
          <rPr>
            <sz val="10"/>
            <rFont val="Arial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1er passage caméra passé en 611000</t>
        </r>
      </text>
    </comment>
    <comment ref="K41" authorId="2" shapeId="0" xr:uid="{C1BFF0FD-EA72-4B81-992F-A56CD8C4BB62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essais plaque 
</t>
        </r>
      </text>
    </comment>
    <comment ref="G59" authorId="2" shapeId="0" xr:uid="{D216FA4B-E2C2-4B9C-9276-7B6415BB3882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HORS AVOIRS
</t>
        </r>
      </text>
    </comment>
    <comment ref="H59" authorId="2" shapeId="0" xr:uid="{9428717B-26AA-41E9-9770-566646416186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HORS AVOIRS</t>
        </r>
      </text>
    </comment>
    <comment ref="M59" authorId="2" shapeId="0" xr:uid="{7D004778-73F7-4D97-B2D0-07D62FA5E842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beaussire 
</t>
        </r>
      </text>
    </comment>
    <comment ref="K61" authorId="5" shapeId="0" xr:uid="{03F3551C-3898-4B6B-BB52-7CF315A6A75A}">
      <text>
        <r>
          <rPr>
            <sz val="10"/>
            <rFont val="Arial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Balayeuse 2 interventions en septembre facturées sur octobre</t>
        </r>
      </text>
    </comment>
    <comment ref="M61" authorId="6" shapeId="0" xr:uid="{B0033982-D79D-4F35-A539-69B4E1BCFAFF}">
      <text>
        <r>
          <rPr>
            <sz val="10"/>
            <rFont val="Arial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Beaussire soutènement
</t>
        </r>
      </text>
    </comment>
    <comment ref="N61" authorId="7" shapeId="0" xr:uid="{312FA585-4E2E-4C74-ABEE-6D43220F7C73}">
      <text>
        <r>
          <rPr>
            <sz val="10"/>
            <rFont val="Arial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Beaussire soutènement
Réponse :
    CFBTP - BRH 2501250
</t>
        </r>
      </text>
    </comment>
    <comment ref="P61" authorId="8" shapeId="0" xr:uid="{203F9B38-3CCC-432E-907A-BA91D5C97BB0}">
      <text>
        <r>
          <rPr>
            <sz val="10"/>
            <rFont val="Arial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Beaussire soutènement
</t>
        </r>
      </text>
    </comment>
    <comment ref="F62" authorId="9" shapeId="0" xr:uid="{2108790B-370D-4083-B42D-A787FC6D5F06}">
      <text>
        <r>
          <rPr>
            <b/>
            <sz val="9"/>
            <color indexed="81"/>
            <rFont val="Tahoma"/>
            <family val="2"/>
          </rPr>
          <t>MARCHADOUR Emilie:</t>
        </r>
        <r>
          <rPr>
            <sz val="9"/>
            <color indexed="81"/>
            <rFont val="Tahoma"/>
            <family val="2"/>
          </rPr>
          <t xml:space="preserve">
transport base vie</t>
        </r>
      </text>
    </comment>
    <comment ref="G62" authorId="2" shapeId="0" xr:uid="{D47F075F-7D95-44D1-8B2D-AAAEEA1417A3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HORS AVOIRS
</t>
        </r>
      </text>
    </comment>
    <comment ref="H62" authorId="2" shapeId="0" xr:uid="{EFFF2745-0EAE-4D57-9645-9E9582A2FAEC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HORS AVOIRS 
</t>
        </r>
      </text>
    </comment>
    <comment ref="P70" authorId="2" shapeId="0" xr:uid="{31E1F827-F430-43A4-BC47-333D6DB2DCD9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BIG BAG cailloux pour vide sanitaire </t>
        </r>
      </text>
    </comment>
    <comment ref="Q70" authorId="2" shapeId="0" xr:uid="{D14CB89F-2EFF-43FA-98B5-F226C3135054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matériaux remblais rue lechaptois 
</t>
        </r>
      </text>
    </comment>
    <comment ref="P72" authorId="2" shapeId="0" xr:uid="{6B9278C5-9429-4A92-9D01-FC8728919E27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reassort manque dalle portée 
</t>
        </r>
      </text>
    </comment>
    <comment ref="T72" authorId="2" shapeId="0" xr:uid="{7C032AF8-9DFE-48C5-AD6B-0E011876A6AC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isolant de soubassement 
</t>
        </r>
      </text>
    </comment>
    <comment ref="U72" authorId="2" shapeId="0" xr:uid="{4914E1DC-0D2E-4746-8D94-FE3EEBB85A75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Fourniture fibrastyrène
</t>
        </r>
      </text>
    </comment>
    <comment ref="G77" authorId="2" shapeId="0" xr:uid="{3880F001-F468-48DB-8BE9-B7EC189B5D5B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pied de scellement </t>
        </r>
      </text>
    </comment>
    <comment ref="I83" authorId="2" shapeId="0" xr:uid="{F6012E5C-F567-4269-9EF6-107F2F0AD950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période du 14/07 au 15/08/2024
</t>
        </r>
      </text>
    </comment>
    <comment ref="J83" authorId="2" shapeId="0" xr:uid="{6C458B9C-D130-4288-8E3B-7EA9B772464B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periode 15/08 15/09
</t>
        </r>
      </text>
    </comment>
    <comment ref="K83" authorId="2" shapeId="0" xr:uid="{A8F061FC-D87E-45F6-B8CD-6C21B55B69CA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du 15/09 au 15/10
</t>
        </r>
      </text>
    </comment>
    <comment ref="L83" authorId="2" shapeId="0" xr:uid="{CDE55BBE-982C-4557-8D77-BBCEE513BB42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du 15/10 au 15/11
</t>
        </r>
      </text>
    </comment>
    <comment ref="I85" authorId="2" shapeId="0" xr:uid="{AAE405CF-A1CA-402B-A91E-C1BF7DE91280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avoir 2409079 sur facture de octobre d’où cette imputation sur gestion 
</t>
        </r>
      </text>
    </comment>
    <comment ref="I94" authorId="2" shapeId="0" xr:uid="{CE3EC968-C7E3-4872-A49A-4B43C04FE415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socaloc + aquaoceane </t>
        </r>
      </text>
    </comment>
    <comment ref="J94" authorId="2" shapeId="0" xr:uid="{87BD1709-187E-4BC5-8652-5B9835CE64F4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socaloc // montage de grue  + aquaoceane + truelle 1ere pierre 
</t>
        </r>
      </text>
    </comment>
    <comment ref="M96" authorId="2" shapeId="0" xr:uid="{1016EF3C-71E1-4E5C-B529-73B61ECBAD6C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balayeuse 
</t>
        </r>
      </text>
    </comment>
    <comment ref="I104" authorId="2" shapeId="0" xr:uid="{9DD027FF-2DF1-4283-A4BD-B62E5D0B5F70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récupération caution mise dans juillet 
</t>
        </r>
      </text>
    </comment>
    <comment ref="J104" authorId="2" shapeId="0" xr:uid="{DB2AF049-666F-43DA-BACF-B3594F319912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montant location jusqua decembre - gite quentin
</t>
        </r>
      </text>
    </comment>
    <comment ref="I106" authorId="2" shapeId="0" xr:uid="{B9B5116C-5174-4810-AAE4-E3711CB8E13C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Tasses 
</t>
        </r>
      </text>
    </comment>
    <comment ref="I108" authorId="2" shapeId="0" xr:uid="{1201D56A-1BCE-45A3-909D-11A7A7AE073A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remboursement peage raynald 
</t>
        </r>
      </text>
    </comment>
    <comment ref="J108" authorId="2" shapeId="0" xr:uid="{E1FF441F-F35A-47D9-83C8-E33BA9DEE575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rembousement peage raynald </t>
        </r>
      </text>
    </comment>
    <comment ref="J112" authorId="2" shapeId="0" xr:uid="{0C117F7E-37F4-47A8-BDB4-78BE5488D1F1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avoir complet a recevoir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Justine LAMBERT</author>
  </authors>
  <commentList>
    <comment ref="F5" authorId="0" shapeId="0" xr:uid="{AA19FEAE-25A5-40A4-94D3-9B397610A18D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ok pointage facture // GLA
</t>
        </r>
      </text>
    </comment>
    <comment ref="D6" authorId="0" shapeId="0" xr:uid="{46A6DE14-226C-41BC-B64D-3A783C361385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manque facture 2405399 - validé par BP non passé par chantier 
</t>
        </r>
      </text>
    </comment>
    <comment ref="F6" authorId="0" shapeId="0" xr:uid="{82F51CA1-AC04-423B-B99D-53B47486B303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ok GLA // poinatge
</t>
        </r>
      </text>
    </comment>
    <comment ref="M6" authorId="0" shapeId="0" xr:uid="{2D6833B2-5D77-4C5C-A27B-DE7450039887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bassin rétention d'eau 
</t>
        </r>
      </text>
    </comment>
    <comment ref="D7" authorId="0" shapeId="0" xr:uid="{662A29C7-802A-437F-A3B7-BE5CAFE57ABC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facture validée par BP non passé par chantier + kiloutou disque + point p 
</t>
        </r>
      </text>
    </comment>
    <comment ref="G7" authorId="0" shapeId="0" xr:uid="{539D06DD-7B09-4103-A539-B889A35A55D1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attention goujon mis ici - affectation GLA septembre Acier - demande faite par mail pour changement 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tc={08756658-15D2-42B6-9C30-AF7DCFC7BFE4}</author>
    <author>tc={47D34237-12FD-4C95-A745-7635182B3CAE}</author>
    <author>tc={21EF3657-953B-4A82-8FC9-6471CC9F2872}</author>
  </authors>
  <commentList>
    <comment ref="F28" authorId="0" shapeId="0" xr:uid="{08756658-15D2-42B6-9C30-AF7DCFC7BFE4}">
      <text>
        <r>
          <rPr>
            <sz val="10"/>
            <rFont val="Arial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Géomètre 1500€ + huissier 1057.67€ facture reçue</t>
        </r>
      </text>
    </comment>
    <comment ref="I28" authorId="1" shapeId="0" xr:uid="{47D34237-12FD-4C95-A745-7635182B3CAE}">
      <text>
        <r>
          <rPr>
            <sz val="10"/>
            <rFont val="Arial"/>
          </rPr>
  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géomètre
Réponse :
    Pas de facture dans GLA 09
</t>
        </r>
      </text>
    </comment>
    <comment ref="J28" authorId="2" shapeId="0" xr:uid="{21EF3657-953B-4A82-8FC9-6471CC9F2872}">
      <text>
        <r>
          <rPr>
            <sz val="10"/>
            <rFont val="Arial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Géotechnicien G4?
Réponse :
    Pas de facture dans GLA 09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Justine LAMBERT</author>
  </authors>
  <commentList>
    <comment ref="C25" authorId="0" shapeId="0" xr:uid="{E9ECEB2E-7067-4D01-9060-A508339B7F58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clavetage + CSP 
</t>
        </r>
      </text>
    </comment>
    <comment ref="C33" authorId="0" shapeId="0" xr:uid="{16AEA920-2C5E-4458-9B2F-F859301F2A70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PH GALERIE + PH RDC BAS </t>
        </r>
      </text>
    </comment>
    <comment ref="C36" authorId="0" shapeId="0" xr:uid="{0FA7F2E9-DDAB-4BF9-BFE6-4DF2FD536531}">
      <text>
        <r>
          <rPr>
            <b/>
            <sz val="9"/>
            <color indexed="81"/>
            <rFont val="Tahoma"/>
            <family val="2"/>
          </rPr>
          <t>Justine LAMBERT:</t>
        </r>
        <r>
          <rPr>
            <sz val="9"/>
            <color indexed="81"/>
            <rFont val="Tahoma"/>
            <family val="2"/>
          </rPr>
          <t xml:space="preserve">
Clavetage
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Justine LAMBERT</author>
  </authors>
  <commentList>
    <comment ref="E9" authorId="0" shapeId="0" xr:uid="{E9B7C6B7-BBB9-46A0-ADCD-3674E0A64E2D}">
      <text>
        <r>
          <rPr>
            <b/>
            <sz val="9"/>
            <color indexed="81"/>
            <rFont val="Tahoma"/>
            <family val="2"/>
          </rPr>
          <t xml:space="preserve">Justine LAMBERTSur GLA : 4367,15 - avoir 200€ non reçu - véririfé sur GLA octobre
NON RECU SUR OCTOBRE 
NON RECU SUR NOVEMBRE </t>
        </r>
      </text>
    </comment>
  </commentList>
</comments>
</file>

<file path=xl/sharedStrings.xml><?xml version="1.0" encoding="utf-8"?>
<sst xmlns="http://schemas.openxmlformats.org/spreadsheetml/2006/main" count="3513" uniqueCount="1087">
  <si>
    <t>TOTAL</t>
  </si>
  <si>
    <t>TS</t>
  </si>
  <si>
    <t>FRAIS DE CHANTIER</t>
  </si>
  <si>
    <t>AU :</t>
  </si>
  <si>
    <t>N°</t>
  </si>
  <si>
    <t>Désignation</t>
  </si>
  <si>
    <t>Travaux réalisés</t>
  </si>
  <si>
    <t>Prévisionnel planning GO</t>
  </si>
  <si>
    <t>Temps Unitaires / Quantitatif</t>
  </si>
  <si>
    <t>Cumulés</t>
  </si>
  <si>
    <t>Mensuel</t>
  </si>
  <si>
    <t>Projection par sous-total</t>
  </si>
  <si>
    <t>Résultat</t>
  </si>
  <si>
    <t>Projection par poste</t>
  </si>
  <si>
    <t>Q</t>
  </si>
  <si>
    <t>U</t>
  </si>
  <si>
    <t>Cumulé</t>
  </si>
  <si>
    <t>Avancement en %</t>
  </si>
  <si>
    <t>Heures acquises</t>
  </si>
  <si>
    <t>Heures dépensées</t>
  </si>
  <si>
    <t>TU</t>
  </si>
  <si>
    <t>Ens</t>
  </si>
  <si>
    <t>m²</t>
  </si>
  <si>
    <t>81-Maladie</t>
  </si>
  <si>
    <t>82-Accident du travail</t>
  </si>
  <si>
    <t>83-Congé payé</t>
  </si>
  <si>
    <t>84-Absence autorisée</t>
  </si>
  <si>
    <t>85-Absence injustifiée</t>
  </si>
  <si>
    <t>86-Congé naissance</t>
  </si>
  <si>
    <t>87-Congé mariage</t>
  </si>
  <si>
    <t>88-Congé décès</t>
  </si>
  <si>
    <t>89-Formation</t>
  </si>
  <si>
    <t>90-Intempéries</t>
  </si>
  <si>
    <t>91-RTT</t>
  </si>
  <si>
    <t>92-Jour férié</t>
  </si>
  <si>
    <t>A</t>
  </si>
  <si>
    <t>Détail</t>
  </si>
  <si>
    <t>TOTAUX</t>
  </si>
  <si>
    <t>Pointage chantier</t>
  </si>
  <si>
    <t>Heures de main d'œuvre CMEG</t>
  </si>
  <si>
    <t>Heures de main d'œuvre INTERIM</t>
  </si>
  <si>
    <t>Heures de main d'œuvre</t>
  </si>
  <si>
    <t>Reporting compta</t>
  </si>
  <si>
    <t>Salaires ouvriers</t>
  </si>
  <si>
    <t>Salaires ETAM et Cadres</t>
  </si>
  <si>
    <t>Déplacements</t>
  </si>
  <si>
    <t>Charges sociales</t>
  </si>
  <si>
    <t>Taxes sur salaires</t>
  </si>
  <si>
    <t>Intérimaires</t>
  </si>
  <si>
    <t>Location de véhicule longue durée</t>
  </si>
  <si>
    <t>Ventilation des charges</t>
  </si>
  <si>
    <t>Ouvriers</t>
  </si>
  <si>
    <t>ETAM et Cadres</t>
  </si>
  <si>
    <t>Montant des charges</t>
  </si>
  <si>
    <t>Coût total</t>
  </si>
  <si>
    <t xml:space="preserve">Taux horaire </t>
  </si>
  <si>
    <t>Taux horaire moyen mensuel</t>
  </si>
  <si>
    <t>Hors encadrement</t>
  </si>
  <si>
    <t>Taux horaire moyen cumulé</t>
  </si>
  <si>
    <t>Coût du béton</t>
  </si>
  <si>
    <t>Au :</t>
  </si>
  <si>
    <t>Fournisseur :</t>
  </si>
  <si>
    <t>Facture</t>
  </si>
  <si>
    <t xml:space="preserve">Facturation </t>
  </si>
  <si>
    <t>CU moyen</t>
  </si>
  <si>
    <t>Observation</t>
  </si>
  <si>
    <t>réf compta</t>
  </si>
  <si>
    <t>€.H.T.</t>
  </si>
  <si>
    <t>Compte</t>
  </si>
  <si>
    <t>Achats matières premières</t>
  </si>
  <si>
    <t>Achats petites fournitures</t>
  </si>
  <si>
    <t>Petit outillage</t>
  </si>
  <si>
    <t>Date</t>
  </si>
  <si>
    <t>Nettoyage des bungalows</t>
  </si>
  <si>
    <t>CMEG</t>
  </si>
  <si>
    <t>SUIVI DU TAUX HORAIRE MOYEN</t>
  </si>
  <si>
    <t>Objectif</t>
  </si>
  <si>
    <t>Antérieur</t>
  </si>
  <si>
    <t>Total (€)</t>
  </si>
  <si>
    <t>SUIVI FACTURATION BETON</t>
  </si>
  <si>
    <t>Sous-total Improductif</t>
  </si>
  <si>
    <t xml:space="preserve">MAIN D'ŒUVRE </t>
  </si>
  <si>
    <t>BETON</t>
  </si>
  <si>
    <t>Matières premières</t>
  </si>
  <si>
    <t>ACIERS</t>
  </si>
  <si>
    <t>SOUS-TRAITANCE GO</t>
  </si>
  <si>
    <t>Gros-Œuvre</t>
  </si>
  <si>
    <t>Révision</t>
  </si>
  <si>
    <t>Assurance RC - Taxe Organic - Cotisation Scop</t>
  </si>
  <si>
    <t>Sur sous-traitants GO</t>
  </si>
  <si>
    <t>MARGE BRUTE</t>
  </si>
  <si>
    <t>Prix de vente initial TCE</t>
  </si>
  <si>
    <t>Mise au point dossier marché</t>
  </si>
  <si>
    <t>Prorata refacturé</t>
  </si>
  <si>
    <t>Chiffre d'affaires</t>
  </si>
  <si>
    <t>Eau</t>
  </si>
  <si>
    <t>Semaine n° :</t>
  </si>
  <si>
    <t xml:space="preserve">FEUILLE DE POINTAGE </t>
  </si>
  <si>
    <t>Date :</t>
  </si>
  <si>
    <t>au</t>
  </si>
  <si>
    <t>Tâche</t>
  </si>
  <si>
    <t>CHSCT/CISSCT/CE/CA</t>
  </si>
  <si>
    <t>Chantier</t>
  </si>
  <si>
    <t>Abs</t>
  </si>
  <si>
    <t>Nacelle</t>
  </si>
  <si>
    <t>SUIVI ACIERS HA</t>
  </si>
  <si>
    <t>SUIVI ACIERS TS</t>
  </si>
  <si>
    <t>Volume dépensé</t>
  </si>
  <si>
    <t>Volume acquis</t>
  </si>
  <si>
    <t>Intérim</t>
  </si>
  <si>
    <t>Total semaine</t>
  </si>
  <si>
    <t>SUIVI FACTURATION ACIERS HA</t>
  </si>
  <si>
    <t>SUIVI FACTURATION ACIERS TS</t>
  </si>
  <si>
    <t>Sous-total Sous-sol</t>
  </si>
  <si>
    <t>Sous-total Rez-de-chaussée</t>
  </si>
  <si>
    <t>Sous-total 1er étage</t>
  </si>
  <si>
    <t>Sous-total 2ème étage</t>
  </si>
  <si>
    <t>Sous-total Toiture</t>
  </si>
  <si>
    <t>TOTAL HEURES ESTIME</t>
  </si>
  <si>
    <t>THM ESTIME</t>
  </si>
  <si>
    <t>TOTAL BETON ESTIME</t>
  </si>
  <si>
    <t>PU MOYEN ESTIME</t>
  </si>
  <si>
    <r>
      <t xml:space="preserve">Motifs d'absences : 81 - maladie ; 82 -  accident du travail  ; 83 - congé payé ; 84 - absence autorisée ; 85 - absence injustifiée - 86 - congé naissance ; 87- congé mariage ; 88 - congé décès ; 89 - formation ; 90 - intempéries ; 91 - RTT ;  92 - jour férié     </t>
    </r>
    <r>
      <rPr>
        <b/>
        <sz val="11"/>
        <color indexed="10"/>
        <rFont val="Times New Roman"/>
        <family val="1"/>
      </rPr>
      <t>Merci d'indiquer le chauffeur pour la semaine</t>
    </r>
  </si>
  <si>
    <t>RATIO MOYEN ESTIME</t>
  </si>
  <si>
    <t>TOTAL ACIERS HA ESTIME</t>
  </si>
  <si>
    <t>TOTAL ACIERS TS ESTIME</t>
  </si>
  <si>
    <t>Coût Aciers HA</t>
  </si>
  <si>
    <t>Coût Aciers TS</t>
  </si>
  <si>
    <t>SURFACE ESTIMEE</t>
  </si>
  <si>
    <t>Désignation ouvrages</t>
  </si>
  <si>
    <t>Quantité / Unité</t>
  </si>
  <si>
    <t>PU (€/unité)</t>
  </si>
  <si>
    <t>PU moyen (€/unité)</t>
  </si>
  <si>
    <t>Canalisations Isolant CP</t>
  </si>
  <si>
    <t>Aciers</t>
  </si>
  <si>
    <t>TOTAL GO</t>
  </si>
  <si>
    <t>TOTAL Assurances</t>
  </si>
  <si>
    <t>TOTAL  DEBOURSES AVANT  FRAIS DE SIEGE</t>
  </si>
  <si>
    <t>Cumul réel à l'avancement</t>
  </si>
  <si>
    <t>TOTAL ESTIME</t>
  </si>
  <si>
    <t>Durée prévisionnelle chantier</t>
  </si>
  <si>
    <t>Installation chantier</t>
  </si>
  <si>
    <t>GO</t>
  </si>
  <si>
    <t>CES</t>
  </si>
  <si>
    <t>N° de comptes - GLA</t>
  </si>
  <si>
    <t>Prix unitaire - Pour info</t>
  </si>
  <si>
    <t>Location véhicule et longue durée</t>
  </si>
  <si>
    <t>Frais de personnel</t>
  </si>
  <si>
    <t>Honoraires internes - BETS</t>
  </si>
  <si>
    <t>Honoraires internes - METRE</t>
  </si>
  <si>
    <t>CET</t>
  </si>
  <si>
    <t>6221000- 6223000 - 6224000 - 6225000</t>
  </si>
  <si>
    <t>HONORAIRES</t>
  </si>
  <si>
    <t>Location grues entreprise</t>
  </si>
  <si>
    <t>Location bungalows entreprise</t>
  </si>
  <si>
    <t>Containers chef</t>
  </si>
  <si>
    <t>Barraque "lecture de plans"</t>
  </si>
  <si>
    <t>Location matériels éléc entreprise</t>
  </si>
  <si>
    <t>Armoire divisionnaire</t>
  </si>
  <si>
    <t>Armoire de distribution</t>
  </si>
  <si>
    <t>Armoire de comptage jaune</t>
  </si>
  <si>
    <t>Armoire de cantonnement</t>
  </si>
  <si>
    <t>Armoire pour chauffage</t>
  </si>
  <si>
    <t>Distribution éclairage</t>
  </si>
  <si>
    <t>Location clôtures entreprises</t>
  </si>
  <si>
    <t>Location grues extérieures</t>
  </si>
  <si>
    <t>Grue mobile</t>
  </si>
  <si>
    <t>Grue à tour</t>
  </si>
  <si>
    <t>Missions M1/M2/M3/M6</t>
  </si>
  <si>
    <t xml:space="preserve">Location bungalow </t>
  </si>
  <si>
    <t>Location bungalows</t>
  </si>
  <si>
    <t>Transports/Montage / Démontage</t>
  </si>
  <si>
    <t>Entretien du matériel</t>
  </si>
  <si>
    <t>Entretien matériel et outillage</t>
  </si>
  <si>
    <t>Entretien matériel de transport</t>
  </si>
  <si>
    <t>Montage du matériel</t>
  </si>
  <si>
    <t>C int recues - atelier maintenance</t>
  </si>
  <si>
    <t>MATERIEL D'INSTALLATION DE CHANTIER</t>
  </si>
  <si>
    <t>Location étais entreprise</t>
  </si>
  <si>
    <t>Location banches</t>
  </si>
  <si>
    <t>ETAIEMENTS ET BANCHES</t>
  </si>
  <si>
    <t>Location autres matériel entreprise</t>
  </si>
  <si>
    <t>Location Matériel assuré</t>
  </si>
  <si>
    <t>Manuscopique</t>
  </si>
  <si>
    <t>Dumper</t>
  </si>
  <si>
    <t>Pelle 5 T</t>
  </si>
  <si>
    <t>Location petit matériel</t>
  </si>
  <si>
    <t>Transport sur location matériel</t>
  </si>
  <si>
    <t>Location engins avec chauffeur</t>
  </si>
  <si>
    <t>C.int recues - transport matériel (inclus transports grues)</t>
  </si>
  <si>
    <t>Crédit-bail matériel de chantier</t>
  </si>
  <si>
    <t>Crédit-bail matériel de transport</t>
  </si>
  <si>
    <t>AUTRES MATERIELS</t>
  </si>
  <si>
    <t>Achats plaques P2P</t>
  </si>
  <si>
    <t>R.R.R. obtenus sur achats</t>
  </si>
  <si>
    <t>Achats aciers</t>
  </si>
  <si>
    <t>Préfa CMEG - fournitures et transports</t>
  </si>
  <si>
    <t>Fournitures diverses</t>
  </si>
  <si>
    <t>achat sable grav adj ciment</t>
  </si>
  <si>
    <t>achat coffrages</t>
  </si>
  <si>
    <t>achat polystyrene</t>
  </si>
  <si>
    <t>achat combustibles</t>
  </si>
  <si>
    <t>achat carburant</t>
  </si>
  <si>
    <t>achats huile</t>
  </si>
  <si>
    <t>fournitures d'entretien</t>
  </si>
  <si>
    <t>achats pneus</t>
  </si>
  <si>
    <t>fournitures administratives</t>
  </si>
  <si>
    <t>C.int recues - transport matériaux</t>
  </si>
  <si>
    <t>FOURNITURES ET MATERIAUX</t>
  </si>
  <si>
    <t>Electricité et eau</t>
  </si>
  <si>
    <t>Bennes et décharges</t>
  </si>
  <si>
    <t>Frais postaux et téléphone</t>
  </si>
  <si>
    <t>Loc et entretien matériel de bureau</t>
  </si>
  <si>
    <t>Location matériel de bureau</t>
  </si>
  <si>
    <t>Entretien matériel de bureau</t>
  </si>
  <si>
    <t>Entretien constructions agencements</t>
  </si>
  <si>
    <t>Taxes diverses</t>
  </si>
  <si>
    <t>Frais de prorata</t>
  </si>
  <si>
    <t>FRAIS DE PRORATA</t>
  </si>
  <si>
    <t>Frais généraux proportionnels</t>
  </si>
  <si>
    <t>FRAIS GENERAUX IMPUTES</t>
  </si>
  <si>
    <t>Frais de plans et dossier d'études</t>
  </si>
  <si>
    <t>Déplacements et réceptions</t>
  </si>
  <si>
    <t>Péage autoroute</t>
  </si>
  <si>
    <t>Voyages et déplacements</t>
  </si>
  <si>
    <t>Déplacements Direction</t>
  </si>
  <si>
    <t>Missions - réceptions</t>
  </si>
  <si>
    <t>Charges exceptionnelles</t>
  </si>
  <si>
    <t>Autres services extérieurs</t>
  </si>
  <si>
    <t>Autres façons extérieures</t>
  </si>
  <si>
    <t>Frais d'actes et contentieux</t>
  </si>
  <si>
    <t>Publicité - Panneau de chantier</t>
  </si>
  <si>
    <t>FRAIS GENERAUX DIRECTS</t>
  </si>
  <si>
    <t>AFFECTATION COMPTES REPORTING</t>
  </si>
  <si>
    <t>Section</t>
  </si>
  <si>
    <t>Intitulé (titre)</t>
  </si>
  <si>
    <t>Sous section</t>
  </si>
  <si>
    <t>Intitulé (section)</t>
  </si>
  <si>
    <t>N° compte</t>
  </si>
  <si>
    <t>Intitulé (sous section)</t>
  </si>
  <si>
    <t>FRAIS PERSONNEL</t>
  </si>
  <si>
    <t>6411000</t>
  </si>
  <si>
    <t>6411100</t>
  </si>
  <si>
    <t>Appointements mensuels</t>
  </si>
  <si>
    <t>6414100</t>
  </si>
  <si>
    <t>Indemnités grands déplacements</t>
  </si>
  <si>
    <t>6414200</t>
  </si>
  <si>
    <t>Indemnités de repas exonérées</t>
  </si>
  <si>
    <t>6000116</t>
  </si>
  <si>
    <t>6414000</t>
  </si>
  <si>
    <t>Indemnités diverses</t>
  </si>
  <si>
    <t>6414500</t>
  </si>
  <si>
    <t>Cotisations intempéries</t>
  </si>
  <si>
    <t>6414600</t>
  </si>
  <si>
    <t>Abondement option A et B</t>
  </si>
  <si>
    <t>6414800</t>
  </si>
  <si>
    <t>Intéressement du personnel</t>
  </si>
  <si>
    <t>6450000</t>
  </si>
  <si>
    <t>Cotisations congés payés</t>
  </si>
  <si>
    <t>6451000</t>
  </si>
  <si>
    <t>Cotisations URSSAF</t>
  </si>
  <si>
    <t>6452000</t>
  </si>
  <si>
    <t>Cotisations ASPBTP</t>
  </si>
  <si>
    <t>6453000</t>
  </si>
  <si>
    <t>Cotisations cadres</t>
  </si>
  <si>
    <t>6453100</t>
  </si>
  <si>
    <t>Cotisations ETAM</t>
  </si>
  <si>
    <t>6453200</t>
  </si>
  <si>
    <t>Cotisations CNRO CNPO</t>
  </si>
  <si>
    <t>6453300</t>
  </si>
  <si>
    <t>Cotisations AGFF</t>
  </si>
  <si>
    <t>6454000</t>
  </si>
  <si>
    <t>Cotisations ASSEDIC</t>
  </si>
  <si>
    <t>6458000</t>
  </si>
  <si>
    <t>Cotisations SMABTP</t>
  </si>
  <si>
    <t>6472000</t>
  </si>
  <si>
    <t>Cotisations C.E. oeuvres sociales</t>
  </si>
  <si>
    <t>6474000</t>
  </si>
  <si>
    <t>Cotisations confédé. union sociale</t>
  </si>
  <si>
    <t>6475000</t>
  </si>
  <si>
    <t>Cotisations médecine du travail</t>
  </si>
  <si>
    <t>6476000</t>
  </si>
  <si>
    <t>Cotisations chambre syndicale</t>
  </si>
  <si>
    <t>6312000</t>
  </si>
  <si>
    <t>Taxe d'apprentissage</t>
  </si>
  <si>
    <t>6313000</t>
  </si>
  <si>
    <t>Taxe formation continue</t>
  </si>
  <si>
    <t>6334000</t>
  </si>
  <si>
    <t>Investissement logement</t>
  </si>
  <si>
    <t>6211000</t>
  </si>
  <si>
    <t>Personnel intérimaire</t>
  </si>
  <si>
    <t>6000119</t>
  </si>
  <si>
    <t>C. Int. reçues - loc. mat. transp.</t>
  </si>
  <si>
    <t>6135002</t>
  </si>
  <si>
    <t>Location matériel de transport</t>
  </si>
  <si>
    <t>6135600</t>
  </si>
  <si>
    <t>Location matériel de longue durée</t>
  </si>
  <si>
    <t>6000513</t>
  </si>
  <si>
    <t>C. Int. reçues - BETS</t>
  </si>
  <si>
    <t>6000514</t>
  </si>
  <si>
    <t>C. Int. reçues - METRE</t>
  </si>
  <si>
    <t>Honoraires externes</t>
  </si>
  <si>
    <t>6221000</t>
  </si>
  <si>
    <t>Commissions sur travaux</t>
  </si>
  <si>
    <t>6223000</t>
  </si>
  <si>
    <t>Honoraires chantiers</t>
  </si>
  <si>
    <t>6224000</t>
  </si>
  <si>
    <t>Honoraires paiement direct</t>
  </si>
  <si>
    <t>6225000</t>
  </si>
  <si>
    <t>Honoraires administratifs</t>
  </si>
  <si>
    <t>Location grue entreprise</t>
  </si>
  <si>
    <t>6000215</t>
  </si>
  <si>
    <t>Location grue à tour entreprise</t>
  </si>
  <si>
    <t>Location bungalow entreprise</t>
  </si>
  <si>
    <t>6000216</t>
  </si>
  <si>
    <t>Location matériels électriques</t>
  </si>
  <si>
    <t>6000217</t>
  </si>
  <si>
    <t>6000214</t>
  </si>
  <si>
    <t>Location grue extérieure</t>
  </si>
  <si>
    <t>6135005</t>
  </si>
  <si>
    <t>Location grue mobile</t>
  </si>
  <si>
    <t>6135006</t>
  </si>
  <si>
    <t>Location grue à tour</t>
  </si>
  <si>
    <t>Location bungalow</t>
  </si>
  <si>
    <t>6135004</t>
  </si>
  <si>
    <t>6155000</t>
  </si>
  <si>
    <t>6155100</t>
  </si>
  <si>
    <t>6155500</t>
  </si>
  <si>
    <t>Frais de contrôle</t>
  </si>
  <si>
    <t>6115000</t>
  </si>
  <si>
    <t>C. Int. reçues - maintenance</t>
  </si>
  <si>
    <t>6000415</t>
  </si>
  <si>
    <t>6000210</t>
  </si>
  <si>
    <t xml:space="preserve">Location étais </t>
  </si>
  <si>
    <t>6135001</t>
  </si>
  <si>
    <t>Location étaiement</t>
  </si>
  <si>
    <t>6135008</t>
  </si>
  <si>
    <t>Location autre matériel entreprise</t>
  </si>
  <si>
    <t>6000218</t>
  </si>
  <si>
    <t>Location matériel extérieur</t>
  </si>
  <si>
    <t>6135000</t>
  </si>
  <si>
    <t>Location matériel assuré</t>
  </si>
  <si>
    <t>6135003</t>
  </si>
  <si>
    <t>Transports sur location matériel</t>
  </si>
  <si>
    <t>6243000</t>
  </si>
  <si>
    <t>6135007</t>
  </si>
  <si>
    <t>C. Int. reçues - transp. matériels</t>
  </si>
  <si>
    <t>6000318</t>
  </si>
  <si>
    <t>Dot. amort. matériel et outillage</t>
  </si>
  <si>
    <t>6811400</t>
  </si>
  <si>
    <t>Dot. amort. matériel de transport</t>
  </si>
  <si>
    <t>6811600</t>
  </si>
  <si>
    <t>6125000</t>
  </si>
  <si>
    <t>6125100</t>
  </si>
  <si>
    <t>6000411</t>
  </si>
  <si>
    <t>C. Int. reçues - bois et frs gén.</t>
  </si>
  <si>
    <t>6010000</t>
  </si>
  <si>
    <t>6017000</t>
  </si>
  <si>
    <t>6091000</t>
  </si>
  <si>
    <t>Béton préparé</t>
  </si>
  <si>
    <t>6011000</t>
  </si>
  <si>
    <t>Achats béton préparé</t>
  </si>
  <si>
    <t>6000412</t>
  </si>
  <si>
    <t>C. Int. reçues - acier et frs gén.</t>
  </si>
  <si>
    <t>6012000</t>
  </si>
  <si>
    <t>Préfa, prédalle, escalier, poutre</t>
  </si>
  <si>
    <t>6014000</t>
  </si>
  <si>
    <t>Achats préfa, préd., escal., poutr</t>
  </si>
  <si>
    <t>6000413</t>
  </si>
  <si>
    <t>C. Int. reçues - menuiserie</t>
  </si>
  <si>
    <t>6000414</t>
  </si>
  <si>
    <t>C. Int. reçues - armatures</t>
  </si>
  <si>
    <t>6000416</t>
  </si>
  <si>
    <t>C. Int. reçues - préfa béton</t>
  </si>
  <si>
    <t>6000417</t>
  </si>
  <si>
    <t>C. Int. reçues - préfa ccv</t>
  </si>
  <si>
    <t>6000418</t>
  </si>
  <si>
    <t>C. Int. reçues - frs gén. usine</t>
  </si>
  <si>
    <t>6000419</t>
  </si>
  <si>
    <t>C. Int. reçues - transp. préfa</t>
  </si>
  <si>
    <t>6013000</t>
  </si>
  <si>
    <t>Achats sable grav adjuv ciment vrac</t>
  </si>
  <si>
    <t>6015000</t>
  </si>
  <si>
    <t>Achats coffrages</t>
  </si>
  <si>
    <t>6016000</t>
  </si>
  <si>
    <t>Achats polystyrène</t>
  </si>
  <si>
    <t>6022100</t>
  </si>
  <si>
    <t>Achats combustibles</t>
  </si>
  <si>
    <t>6022300</t>
  </si>
  <si>
    <t>6022700</t>
  </si>
  <si>
    <t>Achats carburant</t>
  </si>
  <si>
    <t>6022800</t>
  </si>
  <si>
    <t>Achats huile</t>
  </si>
  <si>
    <t>6063000</t>
  </si>
  <si>
    <t>6063500</t>
  </si>
  <si>
    <t>Fournitures d'entretien</t>
  </si>
  <si>
    <t>6063600</t>
  </si>
  <si>
    <t>Achats pneus</t>
  </si>
  <si>
    <t>6064000</t>
  </si>
  <si>
    <t>Fournitures administratives</t>
  </si>
  <si>
    <t>C. Int. reçues - magasin</t>
  </si>
  <si>
    <t>6000410</t>
  </si>
  <si>
    <t>Transports / code analyt. 330000</t>
  </si>
  <si>
    <t>6241000</t>
  </si>
  <si>
    <t>C. Int. reçues - transports matériaux</t>
  </si>
  <si>
    <t>6000319</t>
  </si>
  <si>
    <t>6061000</t>
  </si>
  <si>
    <t>Electricité et gaz</t>
  </si>
  <si>
    <t>6061500</t>
  </si>
  <si>
    <t>6135100</t>
  </si>
  <si>
    <t>Location de bennes et décharge</t>
  </si>
  <si>
    <t>6110500</t>
  </si>
  <si>
    <t>6260000</t>
  </si>
  <si>
    <t>Loc. et entr. Matériel de bureau</t>
  </si>
  <si>
    <t>6135500</t>
  </si>
  <si>
    <t>6155200</t>
  </si>
  <si>
    <t>6152000</t>
  </si>
  <si>
    <t>6378000</t>
  </si>
  <si>
    <t>6042000</t>
  </si>
  <si>
    <t>6000420</t>
  </si>
  <si>
    <t>C. Int. reçues - frs gén proportion</t>
  </si>
  <si>
    <t>Frais de plans et dossiers d'études</t>
  </si>
  <si>
    <t>6111000</t>
  </si>
  <si>
    <t>XXX</t>
  </si>
  <si>
    <t>6160000</t>
  </si>
  <si>
    <t>Assurances RC / Incendie / Vol</t>
  </si>
  <si>
    <t>6161000</t>
  </si>
  <si>
    <t>Assurances matériel et auto</t>
  </si>
  <si>
    <t>6162000</t>
  </si>
  <si>
    <t>Assurances resp. décennale</t>
  </si>
  <si>
    <t>6163000</t>
  </si>
  <si>
    <t>Provision indemnité retraite</t>
  </si>
  <si>
    <t>6247000</t>
  </si>
  <si>
    <t>6251000</t>
  </si>
  <si>
    <t>6252000</t>
  </si>
  <si>
    <t>6257000</t>
  </si>
  <si>
    <t>Missions - Réceptions</t>
  </si>
  <si>
    <t>Impôts et taxes</t>
  </si>
  <si>
    <t>6338000</t>
  </si>
  <si>
    <t>Forfait social participation</t>
  </si>
  <si>
    <t>6351400</t>
  </si>
  <si>
    <t>Taxe véhicules de tourisme</t>
  </si>
  <si>
    <t>6352200</t>
  </si>
  <si>
    <t>Taxes d'habitation et foncière</t>
  </si>
  <si>
    <t>6352500</t>
  </si>
  <si>
    <t>Impôt forfaitaire annuel</t>
  </si>
  <si>
    <t>6354000</t>
  </si>
  <si>
    <t>Droit d'enregistrement et timbres</t>
  </si>
  <si>
    <t>6358000</t>
  </si>
  <si>
    <t>Taxes diverses sur véhicules</t>
  </si>
  <si>
    <t>6371000</t>
  </si>
  <si>
    <t>Organic</t>
  </si>
  <si>
    <t>6378200</t>
  </si>
  <si>
    <t>Taxes générales / activ. polluantes</t>
  </si>
  <si>
    <t>6490000</t>
  </si>
  <si>
    <t>Crédit d'impôts - CICE</t>
  </si>
  <si>
    <t>6910000</t>
  </si>
  <si>
    <t>Participation salariés au bénéfice</t>
  </si>
  <si>
    <t>6951000</t>
  </si>
  <si>
    <t>Impôts sur les bénéfices</t>
  </si>
  <si>
    <t>6952000</t>
  </si>
  <si>
    <t>Impôts sur les bénéf - contr. addit</t>
  </si>
  <si>
    <t>6970000</t>
  </si>
  <si>
    <t>6992000</t>
  </si>
  <si>
    <t>Crédit d'impôts - apprentis</t>
  </si>
  <si>
    <t>6993000</t>
  </si>
  <si>
    <t>Crédit d'impôts - dirigeant</t>
  </si>
  <si>
    <t>6995000</t>
  </si>
  <si>
    <t>Crédit d'impôts - recherche</t>
  </si>
  <si>
    <t>6611000</t>
  </si>
  <si>
    <t>Intérêts sur emprunts</t>
  </si>
  <si>
    <t>6611200</t>
  </si>
  <si>
    <t>Intérêts C/C participation</t>
  </si>
  <si>
    <t>6616000</t>
  </si>
  <si>
    <t>Intérêts bancaires</t>
  </si>
  <si>
    <t>6660000</t>
  </si>
  <si>
    <t>Pertes de change</t>
  </si>
  <si>
    <t>6680000</t>
  </si>
  <si>
    <t>Ecart de conversion</t>
  </si>
  <si>
    <t>6686000</t>
  </si>
  <si>
    <t>Autres charges financières</t>
  </si>
  <si>
    <t>6540000</t>
  </si>
  <si>
    <t>Créances devenues irrécouvrables</t>
  </si>
  <si>
    <t>6555000</t>
  </si>
  <si>
    <t>Quote-part de perte supportée</t>
  </si>
  <si>
    <t>6580000</t>
  </si>
  <si>
    <t>Charges de gestion courante</t>
  </si>
  <si>
    <t>6712000</t>
  </si>
  <si>
    <t>Pénalités amendes</t>
  </si>
  <si>
    <t>6718100</t>
  </si>
  <si>
    <t>Charges exceptionnelles sinistres</t>
  </si>
  <si>
    <t>6718500</t>
  </si>
  <si>
    <t>Charges except./opérations gestion</t>
  </si>
  <si>
    <t>6721000</t>
  </si>
  <si>
    <t>Charges sur exercices antérieurs</t>
  </si>
  <si>
    <t>6724500</t>
  </si>
  <si>
    <t>Charges personnel sur ex. antérieur</t>
  </si>
  <si>
    <t>6752000</t>
  </si>
  <si>
    <t>Val. nette compt. immob. cédées</t>
  </si>
  <si>
    <t>6756000</t>
  </si>
  <si>
    <t>Val. nette compt. immob. fin. cédée</t>
  </si>
  <si>
    <t>6788500</t>
  </si>
  <si>
    <t>Charges exceptionnelles diverses</t>
  </si>
  <si>
    <t>Autres services exterieurs</t>
  </si>
  <si>
    <t>6110000</t>
  </si>
  <si>
    <t>6144000</t>
  </si>
  <si>
    <t>Loyers et charges locatives</t>
  </si>
  <si>
    <t>6170000</t>
  </si>
  <si>
    <t>Frais d'études et de recherches</t>
  </si>
  <si>
    <t>6181000</t>
  </si>
  <si>
    <t>Documentation générale</t>
  </si>
  <si>
    <t>6185000</t>
  </si>
  <si>
    <t>Frais CA et AG</t>
  </si>
  <si>
    <t>6227000</t>
  </si>
  <si>
    <t>6230000</t>
  </si>
  <si>
    <t>Publicité</t>
  </si>
  <si>
    <t>6231000</t>
  </si>
  <si>
    <t>Publicité - panneau de chantier</t>
  </si>
  <si>
    <t>6234000</t>
  </si>
  <si>
    <t>Cadeaux à la clientèle</t>
  </si>
  <si>
    <t>6238000</t>
  </si>
  <si>
    <t>Pourboires et dons</t>
  </si>
  <si>
    <t>6248000</t>
  </si>
  <si>
    <t>Autres transports</t>
  </si>
  <si>
    <t>6270000</t>
  </si>
  <si>
    <t>Services bancaires</t>
  </si>
  <si>
    <t>6280000</t>
  </si>
  <si>
    <t>Cotisations diverses</t>
  </si>
  <si>
    <t>6281000</t>
  </si>
  <si>
    <t>Cotisations Confédération des SCOP</t>
  </si>
  <si>
    <t>6125200</t>
  </si>
  <si>
    <t>Crédit-bail matériel informatique</t>
  </si>
  <si>
    <t>6811000</t>
  </si>
  <si>
    <t>Dot. amort. immob. incorporelles</t>
  </si>
  <si>
    <t>6811100</t>
  </si>
  <si>
    <t>Dot. amort. agencements terrains</t>
  </si>
  <si>
    <t>6811200</t>
  </si>
  <si>
    <t>Dot. amort. bât. indust. et admin.</t>
  </si>
  <si>
    <t>6811300</t>
  </si>
  <si>
    <t>Dot. amort. agencements construct.</t>
  </si>
  <si>
    <t>6811500</t>
  </si>
  <si>
    <t>Dot. amort. agencts instal. divers</t>
  </si>
  <si>
    <t>6811700</t>
  </si>
  <si>
    <t>Dot. amort. matériel de bureau</t>
  </si>
  <si>
    <t>6871000</t>
  </si>
  <si>
    <t>Dot. amort. except. / immob</t>
  </si>
  <si>
    <t>6811250</t>
  </si>
  <si>
    <t>Dot. amort. bât. hors exploitation</t>
  </si>
  <si>
    <t>6815000</t>
  </si>
  <si>
    <t>Dot. prov. dépréc. risq. ch. expl.</t>
  </si>
  <si>
    <t>6817300</t>
  </si>
  <si>
    <t>Dot. prov. dépréc. trav. en cours</t>
  </si>
  <si>
    <t>6817400</t>
  </si>
  <si>
    <t>Dot. prov. créances douteuses</t>
  </si>
  <si>
    <t>6817800</t>
  </si>
  <si>
    <t>Dot. prov. dépréc. autre actif circ</t>
  </si>
  <si>
    <t>6866000</t>
  </si>
  <si>
    <t>Dot. prov. dépréc. éléments financ.</t>
  </si>
  <si>
    <t>6872500</t>
  </si>
  <si>
    <t>Dot. amort. dérogatoires</t>
  </si>
  <si>
    <t>6875000</t>
  </si>
  <si>
    <t>Dot. prov. pour risques</t>
  </si>
  <si>
    <t>6876000</t>
  </si>
  <si>
    <t>Dot. prov. dépréc. titres</t>
  </si>
  <si>
    <t>6876100</t>
  </si>
  <si>
    <t>Dot. prov. dépréc. C/C.</t>
  </si>
  <si>
    <t>7872500</t>
  </si>
  <si>
    <t>Rep. amort. dérogatoires</t>
  </si>
  <si>
    <t>TRAVAUX SOUS TRAITES - GO</t>
  </si>
  <si>
    <t>Travaux s/traités - GO</t>
  </si>
  <si>
    <t>6053000</t>
  </si>
  <si>
    <t>Travaux s/traités - GO - pdt</t>
  </si>
  <si>
    <t>6053200</t>
  </si>
  <si>
    <t>Travaux s/traités - autres</t>
  </si>
  <si>
    <t>6053050</t>
  </si>
  <si>
    <t>Travaux s/traités - autres - pdt</t>
  </si>
  <si>
    <t>6053250</t>
  </si>
  <si>
    <t>VARIATION DE STOCKS</t>
  </si>
  <si>
    <t>Var/stocks matières premières</t>
  </si>
  <si>
    <t>6031000</t>
  </si>
  <si>
    <t>Variation travaux en cours</t>
  </si>
  <si>
    <t>7134000</t>
  </si>
  <si>
    <t>Total  tache mois CMEG</t>
  </si>
  <si>
    <t>Total tache mois INTERIM</t>
  </si>
  <si>
    <t>TOTAL MOIS</t>
  </si>
  <si>
    <t>Volume prévisionnel</t>
  </si>
  <si>
    <t>Volume</t>
  </si>
  <si>
    <t>ml</t>
  </si>
  <si>
    <t>Compris</t>
  </si>
  <si>
    <t>Gestion actuelle</t>
  </si>
  <si>
    <t>N° CHANTIER</t>
  </si>
  <si>
    <t>NOM CHANTIER</t>
  </si>
  <si>
    <t>SOUS-TRAITANCE TCE</t>
  </si>
  <si>
    <t>Sur sous-traitants TCE</t>
  </si>
  <si>
    <t>Sur Gros-Œuvre ( hors sous-traitants)</t>
  </si>
  <si>
    <t>Location étais / étaiement</t>
  </si>
  <si>
    <t>Frais chantier</t>
  </si>
  <si>
    <t>Feuille de vente</t>
  </si>
  <si>
    <t>SUIVI DES SOUS TRAITANTS GO</t>
  </si>
  <si>
    <t>Ouvrages</t>
  </si>
  <si>
    <t>Bungalows (trspt, montage, démontage)</t>
  </si>
  <si>
    <t>Section rep. analytique</t>
  </si>
  <si>
    <t>TOTAL HONORAIRES</t>
  </si>
  <si>
    <t>C.int recues - magasin</t>
  </si>
  <si>
    <t>Bilan d'heures</t>
  </si>
  <si>
    <t>MATERIAUX EXTERNES</t>
  </si>
  <si>
    <t>Armoire de grue</t>
  </si>
  <si>
    <t>Poteau Buse</t>
  </si>
  <si>
    <t>120€/bung</t>
  </si>
  <si>
    <t>15€/bung</t>
  </si>
  <si>
    <t>0,15€/m² const.</t>
  </si>
  <si>
    <t>50€/bung</t>
  </si>
  <si>
    <t>Salaires ETAM et Cadres - Chargés suivant THM</t>
  </si>
  <si>
    <t>Du</t>
  </si>
  <si>
    <t>Au</t>
  </si>
  <si>
    <t>achat maçonnerie</t>
  </si>
  <si>
    <t>Pompe</t>
  </si>
  <si>
    <t>SUIVI PREFA CMEG-S2G</t>
  </si>
  <si>
    <t>PREFA CMEG/S2G</t>
  </si>
  <si>
    <t>SOUS TOTAL FRAIS DE CHANTIER</t>
  </si>
  <si>
    <t>SOUS TOTAL Feuille de vente</t>
  </si>
  <si>
    <t xml:space="preserve">TOTAL </t>
  </si>
  <si>
    <t>SUIVI PREFA EXTERNE</t>
  </si>
  <si>
    <t>MATIERES PREMIERES / CANALISATIONS / PETITES FOURNITURES / PETIT OUTILLAGE / MAGASINS</t>
  </si>
  <si>
    <t>Canalisations</t>
  </si>
  <si>
    <t>C.int recues - bois et frais gén</t>
  </si>
  <si>
    <t>C.int recues - transport préfa</t>
  </si>
  <si>
    <t>Fontaine à eau</t>
  </si>
  <si>
    <t>Evolution Feuille de vente</t>
  </si>
  <si>
    <t>TCE</t>
  </si>
  <si>
    <t>TOTAL TCE</t>
  </si>
  <si>
    <t>Suivi 4</t>
  </si>
  <si>
    <t>Suivi 5</t>
  </si>
  <si>
    <t>Suivi 6</t>
  </si>
  <si>
    <t>Suivi 7</t>
  </si>
  <si>
    <t>Suivi 8</t>
  </si>
  <si>
    <t>Suivi 9</t>
  </si>
  <si>
    <t>Suivi 10</t>
  </si>
  <si>
    <t>Suivi 11</t>
  </si>
  <si>
    <t>Suivi 12</t>
  </si>
  <si>
    <t>Type 5</t>
  </si>
  <si>
    <t>Type 6</t>
  </si>
  <si>
    <t>Type 7</t>
  </si>
  <si>
    <t>ST 4</t>
  </si>
  <si>
    <t>ST 5</t>
  </si>
  <si>
    <t>ST 6</t>
  </si>
  <si>
    <t>ST 7</t>
  </si>
  <si>
    <t>Chiffre d'affaires cpis prorata, révision et sinistre</t>
  </si>
  <si>
    <t>MB cpis prorata, révision, sinistre</t>
  </si>
  <si>
    <t>Ratio moyen calculé</t>
  </si>
  <si>
    <t>Ratio estimé</t>
  </si>
  <si>
    <t>Improductif</t>
  </si>
  <si>
    <t>Infrastructure</t>
  </si>
  <si>
    <t>R+1
H = 2,80m</t>
  </si>
  <si>
    <t>Toiture</t>
  </si>
  <si>
    <t>Socle</t>
  </si>
  <si>
    <t>Installation de chantier</t>
  </si>
  <si>
    <t>Terrassement</t>
  </si>
  <si>
    <t xml:space="preserve">Gros béton </t>
  </si>
  <si>
    <t>Semelles isolées</t>
  </si>
  <si>
    <t>Semelles filantes</t>
  </si>
  <si>
    <t>Sous-total RDC</t>
  </si>
  <si>
    <t>Sous-total R+1</t>
  </si>
  <si>
    <t>Sous-total R+2</t>
  </si>
  <si>
    <t>Poteau</t>
  </si>
  <si>
    <t>mois</t>
  </si>
  <si>
    <t>m3</t>
  </si>
  <si>
    <t>volée</t>
  </si>
  <si>
    <t>ens</t>
  </si>
  <si>
    <t>Installations de chantier</t>
  </si>
  <si>
    <t>1155 - BOLBEC</t>
  </si>
  <si>
    <t xml:space="preserve">Sujets à évoquer en gestion : </t>
  </si>
  <si>
    <t>_ niveau des terres après démolition / marché</t>
  </si>
  <si>
    <t>_ Chiffrage terres polluées =&gt; estim à donner MOA + facturation sur bordereau de décharge?</t>
  </si>
  <si>
    <t>_ Coût préfa  : BV fait sur quel devis? Différence en exé</t>
  </si>
  <si>
    <t>Gestion n° 1</t>
  </si>
  <si>
    <t>Notes sur gestion n°1</t>
  </si>
  <si>
    <t xml:space="preserve">_ Révision : </t>
  </si>
  <si>
    <t>Marché révisable à 85% avec M0 = Mars 2023</t>
  </si>
  <si>
    <t>_ Maintenance inclue au marché sur 3ans</t>
  </si>
  <si>
    <t>_ Honoraires conception CMEG = 52 000€</t>
  </si>
  <si>
    <t>Dépensé à fin 12/2023 = 31 000€</t>
  </si>
  <si>
    <t>_ FV EdP rentré dans la gestion =&gt; sommes nous d'accord sur prix de vente? Chiffre d'affaire CMEG?</t>
  </si>
  <si>
    <t>_ 10 mois de GO soit 2100h/mois =&gt; soit 13 personnes sur 10 mois</t>
  </si>
  <si>
    <t>Effectifs sortis sans étudier les prestations ST du BV</t>
  </si>
  <si>
    <t>_ CA CMEG = 11,9 M€ sur 20 mois =&gt; 600k€/ mois GO et TCE</t>
  </si>
  <si>
    <t>_ Déboursé GO = 3,9M€ soit sur 10 mois = 390k€/mois</t>
  </si>
  <si>
    <t>_ GO représente 33% du CA</t>
  </si>
  <si>
    <t>_ Historique de la commande CELFY? Problème pas de BIM!</t>
  </si>
  <si>
    <t xml:space="preserve">_ Avance de 5% </t>
  </si>
  <si>
    <t>_ Pénalités = 1 500€ / jc</t>
  </si>
  <si>
    <t xml:space="preserve">Financier CCAP : </t>
  </si>
  <si>
    <t>Quelques chiffres</t>
  </si>
  <si>
    <t xml:space="preserve">BV = 148€/m² blanc et gris sablé et 3464m² au total </t>
  </si>
  <si>
    <t xml:space="preserve">Devis usine tripartite 2 : </t>
  </si>
  <si>
    <t xml:space="preserve">Gris matricé : </t>
  </si>
  <si>
    <t xml:space="preserve">Blanc : </t>
  </si>
  <si>
    <t>2345m² à 143€/m² hors transport</t>
  </si>
  <si>
    <t>Transport compris?</t>
  </si>
  <si>
    <t xml:space="preserve">Budget total = </t>
  </si>
  <si>
    <t xml:space="preserve">Surface totale = </t>
  </si>
  <si>
    <t xml:space="preserve">PU moyen = </t>
  </si>
  <si>
    <t>755m² à 187€/m² hors transport</t>
  </si>
  <si>
    <t>_ Performance globale, voir sujets en jaune</t>
  </si>
  <si>
    <t>_ GLA rentré à 12/2023</t>
  </si>
  <si>
    <t>Panneaux gris matricés SP</t>
  </si>
  <si>
    <t>81 unités</t>
  </si>
  <si>
    <t>armatures cis 56kg/m3</t>
  </si>
  <si>
    <t>4 douilles cis</t>
  </si>
  <si>
    <t>Panneaux blancs lisses</t>
  </si>
  <si>
    <t>207 unités</t>
  </si>
  <si>
    <t>Acrotères passerelles</t>
  </si>
  <si>
    <t>7 unités</t>
  </si>
  <si>
    <t>100kg/m3</t>
  </si>
  <si>
    <t>taloché fin int</t>
  </si>
  <si>
    <t>Dalles de SDB</t>
  </si>
  <si>
    <t>89 unités</t>
  </si>
  <si>
    <t>82kg/m3</t>
  </si>
  <si>
    <t>6 artéons</t>
  </si>
  <si>
    <t>Levée de réserves</t>
  </si>
  <si>
    <t>GPA / Début maintenance</t>
  </si>
  <si>
    <t>GPA et début maintenance</t>
  </si>
  <si>
    <t>Chef de chantier Quentin</t>
  </si>
  <si>
    <t>Chef de chantier - finisseur</t>
  </si>
  <si>
    <t>Directeur de tx Charly</t>
  </si>
  <si>
    <t>Ingénieur Sylvain</t>
  </si>
  <si>
    <t>Projeteur Nadège</t>
  </si>
  <si>
    <t>Méthodes Cédric</t>
  </si>
  <si>
    <t>frais de contrôle Eprouvettes béton</t>
  </si>
  <si>
    <t>frais de contrôle RSD</t>
  </si>
  <si>
    <t>Pelle 2,5 Tterrassement  fondations en ST</t>
  </si>
  <si>
    <t>Grues (montage, démontage)</t>
  </si>
  <si>
    <t>Gardiennage / caméra</t>
  </si>
  <si>
    <t xml:space="preserve">FG Services. 1 passage toutes 3 semaines </t>
  </si>
  <si>
    <t>Loyers et charges locatives - hébergement - Quentin + Téo + Emilie pas d'équipe en déplacement</t>
  </si>
  <si>
    <t>Rentrer GLA + vérif hono</t>
  </si>
  <si>
    <t>Qté ESTIMEE</t>
  </si>
  <si>
    <t>Prédalles</t>
  </si>
  <si>
    <t>Prémurs</t>
  </si>
  <si>
    <t>Escaliers</t>
  </si>
  <si>
    <t>Poutres et longrines BA</t>
  </si>
  <si>
    <t>u</t>
  </si>
  <si>
    <t>QTE ESTIMEE</t>
  </si>
  <si>
    <t>PBM</t>
  </si>
  <si>
    <t>Rupteurs thermiques</t>
  </si>
  <si>
    <t>LINEAIRE ESTIME</t>
  </si>
  <si>
    <t>Isolant sous dalle portée</t>
  </si>
  <si>
    <t>Isolant fybrastyrène et Fybrastyroc en Pht RdC Bas</t>
  </si>
  <si>
    <t>Cuves de rétention</t>
  </si>
  <si>
    <t>Rentrer métrés EdP dans FV</t>
  </si>
  <si>
    <t>Mettre provision raccord existant hall d'entrée</t>
  </si>
  <si>
    <t>rentrer devis TS et intégrer dépenses</t>
  </si>
  <si>
    <t>Faire comparatif mode op exé et EdP</t>
  </si>
  <si>
    <t>travaux accès accueil bât existant, pas devis donc pas dépenses</t>
  </si>
  <si>
    <t>Entretien espaces verts chantier</t>
  </si>
  <si>
    <t>Peinture de sol / marquage pompier</t>
  </si>
  <si>
    <t>Entretien installations 5h/ sem pdt 23 mois donc 97 sem</t>
  </si>
  <si>
    <t xml:space="preserve">Manœuvre - Nettoyage 8h/sem pdt GO </t>
  </si>
  <si>
    <t>mois TCE</t>
  </si>
  <si>
    <t>mois GO</t>
  </si>
  <si>
    <t>mois grue</t>
  </si>
  <si>
    <t>Grutier 45h/sem</t>
  </si>
  <si>
    <t>Finitions joints de prédalles</t>
  </si>
  <si>
    <t>Finitions joints de prémurs</t>
  </si>
  <si>
    <t>Finitions façade préfa</t>
  </si>
  <si>
    <t>Etaler big bag cailloux VS</t>
  </si>
  <si>
    <t>Pose bassin rétention 2u + cuve</t>
  </si>
  <si>
    <t>Noir VS enterré depuis rue Lechaptois</t>
  </si>
  <si>
    <t>Repli de chantier après GO</t>
  </si>
  <si>
    <t>Repli de chantier après TCE</t>
  </si>
  <si>
    <t>Calfeutrements réservations lots technqiues</t>
  </si>
  <si>
    <t>REX 1124</t>
  </si>
  <si>
    <t>163u 3,00ht en moyenne</t>
  </si>
  <si>
    <t>1u/ 8m². 15u/ jour</t>
  </si>
  <si>
    <t>Finitions intérieures planchers</t>
  </si>
  <si>
    <t>semaines fondations</t>
  </si>
  <si>
    <t>Remblai rue Lechaptois</t>
  </si>
  <si>
    <t>sem</t>
  </si>
  <si>
    <t>Homme traffic pendant déplacement terres terrassement 4 semaines</t>
  </si>
  <si>
    <t>Dallage sous bassins cis coulage</t>
  </si>
  <si>
    <t>63 prémurs au RdC bas donc x 2 126u</t>
  </si>
  <si>
    <t>60m3</t>
  </si>
  <si>
    <t>Cuvelage monte charge compris découpe fers grue</t>
  </si>
  <si>
    <t>6157m² de prédalles, 14m²/u =&gt; 440u x 7ml avec 1/3 sans faux-plafond</t>
  </si>
  <si>
    <t>Drain périphériques + regards rue Lechaptois et dans la parcelle</t>
  </si>
  <si>
    <t xml:space="preserve">1 semi / 4h; 13 semi.7 jours  1 pelleur + 1 ds la tranchée. </t>
  </si>
  <si>
    <t>Préfa SP périphériques</t>
  </si>
  <si>
    <t>RDC haut
H = 3,20m</t>
  </si>
  <si>
    <t>Préfa SP périphériques  rejingots sur prémurs</t>
  </si>
  <si>
    <t>Fondations contre existant sur galerie</t>
  </si>
  <si>
    <t>RDC Bas
H = 3,20m</t>
  </si>
  <si>
    <t>Maçonnerie</t>
  </si>
  <si>
    <t>Coulage plancher</t>
  </si>
  <si>
    <t>ratio augmenté car sur massifs et pied de talus</t>
  </si>
  <si>
    <t>avec rupteurs</t>
  </si>
  <si>
    <t>vérifier ratio montage tour et désétaiement</t>
  </si>
  <si>
    <t>Goujons</t>
  </si>
  <si>
    <t>Escalier compris palier</t>
  </si>
  <si>
    <t>Dallagiste</t>
  </si>
  <si>
    <t>Etaiement plancher</t>
  </si>
  <si>
    <t xml:space="preserve">Etais - étaiement plancher </t>
  </si>
  <si>
    <t>Isolant soubassement</t>
  </si>
  <si>
    <t>91ml</t>
  </si>
  <si>
    <t>PENET devis 30/11/2023</t>
  </si>
  <si>
    <t>Sous Pht RdC Bas</t>
  </si>
  <si>
    <t xml:space="preserve">Retombées de poutres </t>
  </si>
  <si>
    <t>Groupe électrogène</t>
  </si>
  <si>
    <t>Matériaux remblai périph Lechaptois</t>
  </si>
  <si>
    <t>Big bag cailloux VS</t>
  </si>
  <si>
    <t>Fondations grue fût scellé</t>
  </si>
  <si>
    <t>Fosses monte charge</t>
  </si>
  <si>
    <t>Relevés, implantation et raccords sur existant galerie</t>
  </si>
  <si>
    <t xml:space="preserve"> =&gt; Devis 2/3/4 faits, en attente OS au 12/06/24</t>
  </si>
  <si>
    <t>fait MO implantation fondations, pas Pht RdC Haut, ST étanchéité, ST Men EXT</t>
  </si>
  <si>
    <t>Identifier part conception</t>
  </si>
  <si>
    <t>Contre étude présentée le 14/06/2024</t>
  </si>
  <si>
    <t>Comparer écart Frais de chantier</t>
  </si>
  <si>
    <t>Comparer écart encadrement</t>
  </si>
  <si>
    <t>Vérifier écart BET</t>
  </si>
  <si>
    <t xml:space="preserve"> =&gt; vu avec Sylvain et Nadège. BIM supprimé en phase exé. Conception heures BET diminuées</t>
  </si>
  <si>
    <t>En attente heures Quentin</t>
  </si>
  <si>
    <t>Comparer Temps unitaires Exé et EdP</t>
  </si>
  <si>
    <t>Vérif gros béton devis et 610m3 métrés avec perte 40%</t>
  </si>
  <si>
    <t>Comparer et expliquer écart / évolution métrés Exé / EdP</t>
  </si>
  <si>
    <t>Achat coffrages poteaux</t>
  </si>
  <si>
    <r>
      <t xml:space="preserve">Honoraires externes </t>
    </r>
    <r>
      <rPr>
        <sz val="11"/>
        <rFont val="Times New Roman"/>
        <family val="1"/>
      </rPr>
      <t>(BET Externe / Gèomètre/ huissier)</t>
    </r>
  </si>
  <si>
    <t>Prestataires de services "huissier". Passé en honoraire facture mai 2024</t>
  </si>
  <si>
    <t>ratio Quentin, semble élevé, fait suivant mode op quentin</t>
  </si>
  <si>
    <t>1124 chataigneraie 0,66h/m² en plus simple</t>
  </si>
  <si>
    <t xml:space="preserve">1143 MECS 1,85h/ml </t>
  </si>
  <si>
    <t>Fondations provisoires prémurs - passé en bloc retiré avec clavetage poutre</t>
  </si>
  <si>
    <t>CVA dit 5000h pour infra et jusqu'à Pht RdC Bas fait.</t>
  </si>
  <si>
    <t>CVA dit 20000h en tout pour production (sans improductif grutier finitions…)</t>
  </si>
  <si>
    <t>CVA dit 5000h Pour le niveau RdC Haut en comptant sur ce niveau la difficulté panneaux préfa en porte à faux + parties de plancher à couler après pose préfa</t>
  </si>
  <si>
    <t>Divers</t>
  </si>
  <si>
    <t>au 30/08/2024</t>
  </si>
  <si>
    <t>Projeteur Préfa</t>
  </si>
  <si>
    <t>Finitions façade préfa lasure des men ext</t>
  </si>
  <si>
    <t>198ml</t>
  </si>
  <si>
    <t>1143 MECS 1,5h/u</t>
  </si>
  <si>
    <t>224ml RSD et 75ml tranchée télécom</t>
  </si>
  <si>
    <t>Réseaux EU EP et fourreaux + regards 2u</t>
  </si>
  <si>
    <t>Siphons</t>
  </si>
  <si>
    <t>Quentin a prévu 517h soit 1,04h/m², ratio augmenté par Ema</t>
  </si>
  <si>
    <t>Dalle portée cis coulage, + isolant sous dalle</t>
  </si>
  <si>
    <t>1129 ISP = 0,65h/m² ; 1129 AAM = 0,72h/m² ; 1109 = 0,41h/m² ; 1124 = 0,75h/m²</t>
  </si>
  <si>
    <t>16h Quentin augmenté par Ema</t>
  </si>
  <si>
    <t>Prémurs Galerie</t>
  </si>
  <si>
    <t>Prémurs RdC Bas</t>
  </si>
  <si>
    <t>Poteau galerie</t>
  </si>
  <si>
    <t>Poteau rdC Bas</t>
  </si>
  <si>
    <t>Plancher prédalles compris étaiement galerie</t>
  </si>
  <si>
    <t>Plancher prédalles compris étaiement RdC Bas</t>
  </si>
  <si>
    <t>Plancher CSP RdC Bas (cis étaiement )</t>
  </si>
  <si>
    <t>Plancher CSP  galerie (cis étaiement)</t>
  </si>
  <si>
    <t>36h/u ok avec Quentin mais QMA compté 2 volées</t>
  </si>
  <si>
    <t>Poutres préfa livrée sur le chantier et pose poutre préfa</t>
  </si>
  <si>
    <t>erreur métrés Quentin ceux en fondations non comptés donc + de surface dans gestion</t>
  </si>
  <si>
    <t>COMBAC + suivi + fermacell</t>
  </si>
  <si>
    <t>Dalles SdB, compris 1u en tradi, cis étaiement, + raccord à CSP avec pente</t>
  </si>
  <si>
    <t>3h/u ajoutés par Ema pr couler partie raccord vers la gaine, en pente</t>
  </si>
  <si>
    <t>cis décaissé, cis bande clavetage bandeau préfa</t>
  </si>
  <si>
    <t>surface comptée en surface coffrée et non coulée</t>
  </si>
  <si>
    <t>2h/ml Quentin</t>
  </si>
  <si>
    <t>Préfa SP périphériques, cis tours étaiement 156h, cis avec outil pose et bande de clavetage dans plancher</t>
  </si>
  <si>
    <t>Coulage bande de clavetage plancher + coffrage cis étaiement</t>
  </si>
  <si>
    <t>Plancher prédalles cis étaiement</t>
  </si>
  <si>
    <t>Plancher CSP compris étaiement</t>
  </si>
  <si>
    <t>Dalles SdB compris étaiement</t>
  </si>
  <si>
    <t>Décaissés + Coulage plancher</t>
  </si>
  <si>
    <t>232 ml =&gt; 2h/ml</t>
  </si>
  <si>
    <t>Longrines  préfa extérieur</t>
  </si>
  <si>
    <t>écart métrés quentin = 873m² + les bandeaux. 1046m² = conforme devis S2G</t>
  </si>
  <si>
    <t>ratio habituel = 0,65h/m², passé à 0,90h/m² pour rupteurs et stabox angles</t>
  </si>
  <si>
    <t>Plancher CSP cis étaiement</t>
  </si>
  <si>
    <t>pas compté chez Quentin</t>
  </si>
  <si>
    <t>Dalles SdB cis étaiement</t>
  </si>
  <si>
    <t>métrés quentin = 1021m² + bandeau. 1046m² = conforme devis S2G</t>
  </si>
  <si>
    <t>Plancher prédalles cis étaiement et étaiement dans les cages d'escaliers</t>
  </si>
  <si>
    <t>Dalles monte charge préfa chantier + édicule ascenseurs</t>
  </si>
  <si>
    <t>64h pour Quentin</t>
  </si>
  <si>
    <t>L'HOTELLIER</t>
  </si>
  <si>
    <t>Pose fibrastyrène sur prédalles et poutres 3 faces</t>
  </si>
  <si>
    <t>0,5h/m² courant et 1h/m² poutres</t>
  </si>
  <si>
    <t xml:space="preserve">Installation de chantier </t>
  </si>
  <si>
    <t xml:space="preserve">Calfeutrement </t>
  </si>
  <si>
    <t xml:space="preserve">Grue </t>
  </si>
  <si>
    <t>Fosse monte charges</t>
  </si>
  <si>
    <t xml:space="preserve">Pertes </t>
  </si>
  <si>
    <t xml:space="preserve">Semelles isolées </t>
  </si>
  <si>
    <t xml:space="preserve">Semelles filantes </t>
  </si>
  <si>
    <t xml:space="preserve">Longrines </t>
  </si>
  <si>
    <t xml:space="preserve">Fondations provisoires </t>
  </si>
  <si>
    <t xml:space="preserve">Dalles bassins </t>
  </si>
  <si>
    <t xml:space="preserve">Dalles portées </t>
  </si>
  <si>
    <t>Sous-total Infra-Fondations</t>
  </si>
  <si>
    <t xml:space="preserve">Prémurs </t>
  </si>
  <si>
    <t xml:space="preserve">Maçonneries </t>
  </si>
  <si>
    <t xml:space="preserve">Poutres </t>
  </si>
  <si>
    <t>Poteaux</t>
  </si>
  <si>
    <t xml:space="preserve">Planchers CSP </t>
  </si>
  <si>
    <t xml:space="preserve">Plancher prédalles </t>
  </si>
  <si>
    <t xml:space="preserve">Sous-total RDC BAS </t>
  </si>
  <si>
    <t xml:space="preserve">Sous-total RDC HAUT </t>
  </si>
  <si>
    <t xml:space="preserve">Préfa CMEG </t>
  </si>
  <si>
    <t xml:space="preserve">Dalles monte charges </t>
  </si>
  <si>
    <t xml:space="preserve">Socles </t>
  </si>
  <si>
    <t>fin TCE 06/02/2026</t>
  </si>
  <si>
    <t>Gestion présentée  le 06/09/2024</t>
  </si>
  <si>
    <t xml:space="preserve">Planning : </t>
  </si>
  <si>
    <t>Planning marché = fin 06/02/2026</t>
  </si>
  <si>
    <t xml:space="preserve">Planning objectif = </t>
  </si>
  <si>
    <t>Installations et terrassements = 02/07/24 au 13/09/2024</t>
  </si>
  <si>
    <t>Montage grue 24/09 et 25/09/24</t>
  </si>
  <si>
    <t>Démarrage GO 26/08/2024</t>
  </si>
  <si>
    <t>_ Début TCE = 24/02/205</t>
  </si>
  <si>
    <t>_ Fin GO cis relevé et plots phase 2 = 07/05/2025</t>
  </si>
  <si>
    <t>Soit délai global GO  = 9 mois</t>
  </si>
  <si>
    <t>_ Démontage grue = début Juin 2025</t>
  </si>
  <si>
    <t>Total grue = 9 mois</t>
  </si>
  <si>
    <t>Délai TCE = 11 mois</t>
  </si>
  <si>
    <t>640k€ / mois</t>
  </si>
  <si>
    <t>430k€ / mois</t>
  </si>
  <si>
    <t>29 300 heures de budget (prestations ST comprises)</t>
  </si>
  <si>
    <t>moins 4 700h finitions, repli fin de chantier, entretien TCE</t>
  </si>
  <si>
    <t>Reste 24 600h de production, cis grutier</t>
  </si>
  <si>
    <t>2730 h / mois</t>
  </si>
  <si>
    <t>17 personnes</t>
  </si>
  <si>
    <t>Trop élevé, en attente rotation en cours de Quentin</t>
  </si>
  <si>
    <t>Rappel notes Gestion 1 avril 2024</t>
  </si>
  <si>
    <t>Voir pour sous-traiter pose prédalles? Pose poutres?</t>
  </si>
  <si>
    <t>Vérifier si postes en continu sur phasage</t>
  </si>
  <si>
    <t>Effectif prévisionnel Quentin = mi-octobre  11 pers et fin octobre 13 pers + ST étaiement démarrage</t>
  </si>
  <si>
    <t>Equipe CMEG = 5 + (1 grutier)</t>
  </si>
  <si>
    <t xml:space="preserve">Manque 8 personnes </t>
  </si>
  <si>
    <t>23 mois%</t>
  </si>
  <si>
    <t>24 mois</t>
  </si>
  <si>
    <t>25 mois</t>
  </si>
  <si>
    <t>21 mois</t>
  </si>
  <si>
    <t>12 mois</t>
  </si>
  <si>
    <t>10 mois</t>
  </si>
  <si>
    <t>14 mois</t>
  </si>
  <si>
    <t>6 mois</t>
  </si>
  <si>
    <t>Rappel notes Gestion 2 juin 2024</t>
  </si>
  <si>
    <t xml:space="preserve"> _ = Actions faites avant gestion Juin 2024</t>
  </si>
  <si>
    <t xml:space="preserve"> _ = Actions faites avant gestion Septembre2024</t>
  </si>
  <si>
    <t>EdP 1126m3 était en semelles filantes et exé massifs + LG (16LG EdP = 41LG exé et Prémur en PV)</t>
  </si>
  <si>
    <t>Fait Emilie / Edgar le 04/07/24</t>
  </si>
  <si>
    <t>Fait 31/07/24, intégrées Ema 03/09/24</t>
  </si>
  <si>
    <t>Découverte sol grès =&gt;  faire devis MOA (dépenses NSC + CF BTP).</t>
  </si>
  <si>
    <t>Attendre retour pour NSC zone galerie?</t>
  </si>
  <si>
    <t>Suivi gros béton =&gt; pb = DPGF fait avec 1120m3, solution semelles filantes</t>
  </si>
  <si>
    <t>Relation Moa</t>
  </si>
  <si>
    <t>Désigner plaquiste / fx plaf</t>
  </si>
  <si>
    <t>Désigner Men Int</t>
  </si>
  <si>
    <t>Demande délai complémentaire</t>
  </si>
  <si>
    <t>_ Fin Terrasse R+2 phase 1 cis relevés et plots = 21/02/205</t>
  </si>
  <si>
    <t>Préfa usine</t>
  </si>
  <si>
    <t>Début prod panneaux 18/09/24 et SDB 25/09/24.</t>
  </si>
  <si>
    <t>En attente planning de prod de Martin</t>
  </si>
  <si>
    <t>ST GO</t>
  </si>
  <si>
    <t>Lancer consultations étaiement urgent =&gt; début fin octobre</t>
  </si>
  <si>
    <t>Manque 8 personnes à partir de fin octobre (hors étaiement) =&gt; Consulter pose poutres / prédalles</t>
  </si>
  <si>
    <t>Régler problème des gris matricés, toujours pas soldé</t>
  </si>
  <si>
    <t>Fait par Edgar le 29/07/24 pas analysé par Emilie</t>
  </si>
  <si>
    <t>Contre étude Tx 14/06/24</t>
  </si>
  <si>
    <t>Etude de prix 29/03/2024</t>
  </si>
  <si>
    <t>Longrines comptées si préfa</t>
  </si>
  <si>
    <t>Fondations provisoires prémurs isolées</t>
  </si>
  <si>
    <t>Réseaux</t>
  </si>
  <si>
    <t>Dalle portée cis coulage</t>
  </si>
  <si>
    <t>Compris préfabrication et pose poutre préfa</t>
  </si>
  <si>
    <t>Plancher CSP</t>
  </si>
  <si>
    <t>Dalles SdB</t>
  </si>
  <si>
    <t>Plancher prédalles</t>
  </si>
  <si>
    <t xml:space="preserve">IMPRODUCTIF </t>
  </si>
  <si>
    <t xml:space="preserve">FONDATION - VIDE SANITAIRE </t>
  </si>
  <si>
    <t xml:space="preserve">RDC BAS </t>
  </si>
  <si>
    <t xml:space="preserve">RDC HAUT </t>
  </si>
  <si>
    <t>R+1</t>
  </si>
  <si>
    <t>R+2</t>
  </si>
  <si>
    <t xml:space="preserve">TOITURE </t>
  </si>
  <si>
    <t>Impact Cailloux</t>
  </si>
  <si>
    <t xml:space="preserve">Sous-total PH galerie </t>
  </si>
  <si>
    <t xml:space="preserve">Poteaux </t>
  </si>
  <si>
    <t xml:space="preserve">Plancher CSP </t>
  </si>
  <si>
    <t>au 27/09</t>
  </si>
  <si>
    <t xml:space="preserve"> </t>
  </si>
  <si>
    <t>avoir demandé de 758€HT le 07/10/24</t>
  </si>
  <si>
    <t>SNAAM</t>
  </si>
  <si>
    <t>avec accessoire et transports - SNAMM</t>
  </si>
  <si>
    <t>Volume ( tonne)</t>
  </si>
  <si>
    <t>Volume (tonnes)</t>
  </si>
  <si>
    <t xml:space="preserve">avec accessoires </t>
  </si>
  <si>
    <t>annulation tardive 75m3 grue ok validé</t>
  </si>
  <si>
    <t>0,3h/m² retirées vers ST plancher le 10/10/24</t>
  </si>
  <si>
    <t>Plancher prédalles hors étaiement galerie</t>
  </si>
  <si>
    <t>Dalles SdB, compris 1u en tradi, hors étaiement, + raccord à CSP avec pente</t>
  </si>
  <si>
    <t>0,4h/m² pour 167m²retirées vers ST plancher le 10/10/24</t>
  </si>
  <si>
    <t>Plancher prédalles hors étaiement RdC Bas</t>
  </si>
  <si>
    <t>0,2h/m² retirées vers ST plancher le 10/10/24</t>
  </si>
  <si>
    <t>0,4h/m² retirées vers ST plancher le 10/10/24</t>
  </si>
  <si>
    <t>Plancher CSP RdC Bas (hors étaiement )</t>
  </si>
  <si>
    <t>1,5h/u retirées vers ST plancher le 10/10/24</t>
  </si>
  <si>
    <t>Plancher CSP hors étaiement</t>
  </si>
  <si>
    <t>Plancher prédalles hors étaiement</t>
  </si>
  <si>
    <t xml:space="preserve">validé avec pointage axelle </t>
  </si>
  <si>
    <t>07/2024 Compté en ST principalement. 1 pelleur à mi-temps pour remblai des fondations 8 sem + remblai périphériques lechaptois, galerie ascenseur 4 sem à 2</t>
  </si>
  <si>
    <t>10/2024 &gt; Budget ST 33,6k€ passé en PP avec 6k€ loc engins et 600heures soit 18,6k€</t>
  </si>
  <si>
    <t>Modifications apportées par rapport au budget heures objectif  validé par Charly</t>
  </si>
  <si>
    <t>Transfert MO vers ST plancher</t>
  </si>
  <si>
    <t>Transfert MO vers ST plancher le 10/10/24</t>
  </si>
  <si>
    <t>Transfert ST terrassement vers budget MO terrassement</t>
  </si>
  <si>
    <t>Transfert ST vers MO terrassement</t>
  </si>
  <si>
    <t>SGB BC 110480 du 24/10/24</t>
  </si>
  <si>
    <t>Part MO</t>
  </si>
  <si>
    <t>Part Loc</t>
  </si>
  <si>
    <t>Provision loc augentation délai prévisionnelle</t>
  </si>
  <si>
    <t>passé en ST le 24/10/24</t>
  </si>
  <si>
    <t>SUIVI MAIN D'ŒUVRE - 1155</t>
  </si>
  <si>
    <t>SUIVI BETON - 1155</t>
  </si>
  <si>
    <t>au 30/10</t>
  </si>
  <si>
    <t>coulage de la dalle pour stockage des préfas</t>
  </si>
  <si>
    <t xml:space="preserve">avec accessoire et transport </t>
  </si>
  <si>
    <t>Sécurité/livraison</t>
  </si>
  <si>
    <t>Location engins avec chauffeur, balayeuse</t>
  </si>
  <si>
    <t xml:space="preserve">Stockage panneaux préfa </t>
  </si>
  <si>
    <t>9/12/24 48h enlevées pour remblai contre galerie passé en ST CFBTP</t>
  </si>
  <si>
    <t xml:space="preserve">Sécurité/livraison ( Florian) </t>
  </si>
  <si>
    <t>Grutier 45h/sem démontage à recaler au 26/08/2025</t>
  </si>
  <si>
    <t>Impact Cailloux heures comptées ds devis MOA du 02/10/24 et devis du 16/12/24</t>
  </si>
  <si>
    <t xml:space="preserve">cession </t>
  </si>
  <si>
    <t>cession</t>
  </si>
  <si>
    <t>24-11-425</t>
  </si>
  <si>
    <t>avoir 24,60€HT demandé le 16/12/24</t>
  </si>
  <si>
    <t>avoir 44,10€HT demandé le 16/12/24</t>
  </si>
  <si>
    <t>facture 24-11-151 avoir demandé de 236,68€HT le 19/12/24</t>
  </si>
  <si>
    <t>Frais de contrôle RSD</t>
  </si>
  <si>
    <t>modif 1000€  à 1200€ le 15/01 suite à la facture 15/10 au 15/11</t>
  </si>
  <si>
    <t>avoir demandé de 146,30€HT pour PU incomplet</t>
  </si>
  <si>
    <t>Etais TPS Hussor ERECTA</t>
  </si>
  <si>
    <t>Tours pour préfa RdC Bas + poteaux et poutres étages HUSSOR ERECTA</t>
  </si>
  <si>
    <t>Etais TPS SGB en location seule</t>
  </si>
  <si>
    <t xml:space="preserve">Voiles par passes </t>
  </si>
  <si>
    <t xml:space="preserve">avec accessoire ( sangles) </t>
  </si>
  <si>
    <t xml:space="preserve">avec accessoire </t>
  </si>
  <si>
    <t xml:space="preserve">ok </t>
  </si>
  <si>
    <t>Décaisser +Coulage plancher</t>
  </si>
  <si>
    <t>Total budget</t>
  </si>
  <si>
    <t xml:space="preserve">Coulage plancher </t>
  </si>
  <si>
    <t xml:space="preserve">Poteau </t>
  </si>
  <si>
    <t xml:space="preserve">Escaliers compris palier </t>
  </si>
  <si>
    <t xml:space="preserve">Décaisser + coulage plancher </t>
  </si>
  <si>
    <t xml:space="preserve">Dalle SDB </t>
  </si>
  <si>
    <t xml:space="preserve">plancher CSP </t>
  </si>
  <si>
    <t>RDC HAUT</t>
  </si>
  <si>
    <t xml:space="preserve">Prix MO (31€) </t>
  </si>
  <si>
    <t xml:space="preserve">unité </t>
  </si>
  <si>
    <t xml:space="preserve">Quantité </t>
  </si>
  <si>
    <t xml:space="preserve">heures </t>
  </si>
  <si>
    <t xml:space="preserve">Ouvrages </t>
  </si>
  <si>
    <t xml:space="preserve">Niveau </t>
  </si>
  <si>
    <t>1155 - Répartition MO // Quantité ouvrage pour sous-traitant</t>
  </si>
  <si>
    <t>decembre 2024</t>
  </si>
  <si>
    <t>Autre chantier</t>
  </si>
  <si>
    <t xml:space="preserve">attention imputation des avoirs - non identique pointage facture et GLA </t>
  </si>
  <si>
    <t>Fourniture passée en ST</t>
  </si>
  <si>
    <t>Plancher coulé CMEG car terrasse, pas prévu chez dallagiste</t>
  </si>
  <si>
    <t>Décaissés planchers coulés par CMEG</t>
  </si>
  <si>
    <t>MAJ 30/01/25 avec Dallagiste / MAJ 04/09/24 avec poutres et LG préfa</t>
  </si>
  <si>
    <t xml:space="preserve">Voile par passes </t>
  </si>
  <si>
    <t xml:space="preserve">PH GALERIE dans RDC BAS </t>
  </si>
  <si>
    <t xml:space="preserve">Fourniture et pose fibra </t>
  </si>
  <si>
    <t xml:space="preserve">Rupteur thermique </t>
  </si>
  <si>
    <t>SCHOCK</t>
  </si>
  <si>
    <t xml:space="preserve">facture reçu </t>
  </si>
  <si>
    <t>,</t>
  </si>
  <si>
    <t xml:space="preserve">facture </t>
  </si>
  <si>
    <t xml:space="preserve">PU </t>
  </si>
  <si>
    <t xml:space="preserve">facture 24-11-151 </t>
  </si>
  <si>
    <t>heures rentrées jusqu'au 28/02/2025 cis avancement</t>
  </si>
  <si>
    <t>Béton rentrés jusqu'au 28/02/2025cis avancement</t>
  </si>
  <si>
    <t xml:space="preserve">Alerte budget dépassé </t>
  </si>
  <si>
    <t>Conducteur de tx  - X</t>
  </si>
  <si>
    <t xml:space="preserve">Assistant conducteur travaux - Sourémi  </t>
  </si>
  <si>
    <t>Assistant conducteur travaux - Alexis</t>
  </si>
  <si>
    <t>BOLBEC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</si>
</sst>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0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\ _€_-;\-* #,##0\ _€_-;_-* &quot;-&quot;\ _€_-;_-@_-"/>
    <numFmt numFmtId="165" formatCode="_-* #,##0.00\ _€_-;\-* #,##0.00\ _€_-;_-* &quot;-&quot;??\ _€_-;_-@_-"/>
    <numFmt numFmtId="166" formatCode="_-* #,##0.00\ [$€-1]_-;\-* #,##0.00\ [$€-1]_-;_-* &quot;-&quot;??\ [$€-1]_-"/>
    <numFmt numFmtId="167" formatCode="0.0"/>
    <numFmt numFmtId="168" formatCode="[$-40C]mmm\-yy;@"/>
    <numFmt numFmtId="169" formatCode="00000"/>
    <numFmt numFmtId="170" formatCode="[$-40C]d\-mmm;@"/>
    <numFmt numFmtId="171" formatCode="_-* #,##0\ _€_-;\-* #,##0\ _€_-;_-* &quot;-&quot;??\ _€_-;_-@_-"/>
    <numFmt numFmtId="172" formatCode="0.0%"/>
    <numFmt numFmtId="173" formatCode="_-* #,##0.00\ [$€-40C]_-;\-* #,##0.00\ [$€-40C]_-;_-* &quot;-&quot;??\ [$€-40C]_-;_-@_-"/>
    <numFmt numFmtId="174" formatCode="0.00&quot; €/m&quot;"/>
    <numFmt numFmtId="175" formatCode="0.000"/>
    <numFmt numFmtId="176" formatCode="_-* #,##0\ &quot;€&quot;_-;\-* #,##0\ &quot;€&quot;_-;_-* &quot;-&quot;??\ &quot;€&quot;_-;_-@_-"/>
    <numFmt numFmtId="177" formatCode="0&quot; m²&quot;"/>
    <numFmt numFmtId="178" formatCode="0.00&quot; €/m²&quot;"/>
    <numFmt numFmtId="179" formatCode="0.00&quot; h/ml&quot;"/>
    <numFmt numFmtId="180" formatCode="General;\ ;\ "/>
    <numFmt numFmtId="181" formatCode="0;\ \-\ 0;\ &quot;&quot;"/>
  </numFmts>
  <fonts count="7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1"/>
      <color indexed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b/>
      <i/>
      <sz val="11"/>
      <name val="Times New Roman"/>
      <family val="1"/>
    </font>
    <font>
      <i/>
      <sz val="11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11"/>
      <name val="Arial"/>
      <family val="2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4" tint="-0.249977111117893"/>
      <name val="Times New Roman"/>
      <family val="1"/>
    </font>
    <font>
      <b/>
      <i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rgb="FFFF0000"/>
      <name val="Times New Roman"/>
      <family val="1"/>
    </font>
    <font>
      <i/>
      <sz val="11"/>
      <color rgb="FFFF0000"/>
      <name val="Times New Roman"/>
      <family val="1"/>
    </font>
    <font>
      <i/>
      <sz val="11"/>
      <color theme="1"/>
      <name val="Times New Roman"/>
      <family val="1"/>
    </font>
    <font>
      <sz val="11"/>
      <color rgb="FF0000FF"/>
      <name val="Times New Roman"/>
      <family val="1"/>
    </font>
    <font>
      <sz val="10"/>
      <color theme="4" tint="-0.249977111117893"/>
      <name val="Times New Roman"/>
      <family val="1"/>
    </font>
    <font>
      <sz val="12"/>
      <color rgb="FF0000FF"/>
      <name val="Times New Roman"/>
      <family val="1"/>
    </font>
    <font>
      <b/>
      <sz val="12"/>
      <name val="Times New Roman"/>
      <family val="1"/>
    </font>
    <font>
      <b/>
      <sz val="11"/>
      <color indexed="10"/>
      <name val="Times New Roman"/>
      <family val="1"/>
    </font>
    <font>
      <sz val="10"/>
      <color rgb="FF0000FF"/>
      <name val="Times New Roman"/>
      <family val="1"/>
    </font>
    <font>
      <sz val="10"/>
      <name val="Arial"/>
      <family val="2"/>
    </font>
    <font>
      <sz val="8"/>
      <name val="Arial"/>
      <family val="2"/>
    </font>
    <font>
      <b/>
      <sz val="20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sz val="9"/>
      <color theme="1"/>
      <name val="Arial"/>
      <family val="2"/>
    </font>
    <font>
      <b/>
      <sz val="14"/>
      <color rgb="FF0070C0"/>
      <name val="Calibri"/>
      <family val="2"/>
      <scheme val="minor"/>
    </font>
    <font>
      <b/>
      <sz val="11"/>
      <color theme="4" tint="-0.249977111117893"/>
      <name val="Times New Roman"/>
      <family val="1"/>
    </font>
    <font>
      <sz val="10"/>
      <name val="Arial"/>
      <family val="2"/>
    </font>
    <font>
      <b/>
      <sz val="11"/>
      <color theme="3"/>
      <name val="Times New Roman"/>
      <family val="1"/>
    </font>
    <font>
      <sz val="10"/>
      <color theme="3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sz val="11"/>
      <color rgb="FF0070C0"/>
      <name val="Arial"/>
      <family val="2"/>
    </font>
    <font>
      <b/>
      <sz val="11"/>
      <color theme="0" tint="-0.499984740745262"/>
      <name val="Arial"/>
      <family val="2"/>
    </font>
    <font>
      <sz val="11"/>
      <color theme="0" tint="-0.499984740745262"/>
      <name val="Arial"/>
      <family val="2"/>
    </font>
    <font>
      <b/>
      <sz val="11"/>
      <color rgb="FF00B050"/>
      <name val="Arial"/>
      <family val="2"/>
    </font>
    <font>
      <b/>
      <sz val="11"/>
      <color indexed="12"/>
      <name val="Arial"/>
      <family val="2"/>
    </font>
    <font>
      <b/>
      <sz val="11"/>
      <color theme="3"/>
      <name val="Arial"/>
      <family val="2"/>
    </font>
    <font>
      <sz val="11"/>
      <color theme="3"/>
      <name val="Arial"/>
      <family val="2"/>
    </font>
    <font>
      <sz val="11"/>
      <color indexed="8"/>
      <name val="Times New Roman"/>
      <family val="1"/>
    </font>
    <font>
      <b/>
      <sz val="11"/>
      <color indexed="62"/>
      <name val="Times New Roman"/>
      <family val="1"/>
    </font>
    <font>
      <u/>
      <sz val="11"/>
      <name val="Times New Roman"/>
      <family val="1"/>
    </font>
    <font>
      <b/>
      <sz val="11"/>
      <color indexed="8"/>
      <name val="Times New Roman"/>
      <family val="1"/>
    </font>
    <font>
      <sz val="8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sz val="16"/>
      <name val="Arial"/>
      <family val="2"/>
    </font>
    <font>
      <sz val="12"/>
      <name val="Arial"/>
      <family val="2"/>
    </font>
    <font>
      <sz val="8"/>
      <name val="Arial"/>
      <family val="2"/>
    </font>
    <font>
      <u/>
      <sz val="1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Times New Roman"/>
      <family val="1"/>
    </font>
    <font>
      <i/>
      <sz val="10"/>
      <name val="Arial"/>
      <family val="2"/>
    </font>
    <font>
      <i/>
      <u/>
      <sz val="10"/>
      <name val="Arial"/>
      <family val="2"/>
    </font>
    <font>
      <b/>
      <sz val="10"/>
      <color rgb="FFFF0000"/>
      <name val="Arial"/>
      <family val="2"/>
    </font>
    <font>
      <sz val="11"/>
      <name val="Calibri"/>
      <family val="2"/>
      <scheme val="minor"/>
    </font>
    <font>
      <sz val="14"/>
      <color theme="1"/>
      <name val="Times New Roman"/>
      <family val="1"/>
    </font>
    <font>
      <sz val="11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rgb="FF0070C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A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4FA7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4E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7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double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</borders>
  <cellStyleXfs count="18">
    <xf numFmtId="0" fontId="0" fillId="0" borderId="0"/>
    <xf numFmtId="166" fontId="4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9" fillId="0" borderId="0" applyFont="0" applyFill="0" applyBorder="0" applyAlignment="0" applyProtection="0"/>
    <xf numFmtId="165" fontId="29" fillId="0" borderId="0" applyFont="0" applyFill="0" applyBorder="0" applyAlignment="0" applyProtection="0"/>
    <xf numFmtId="9" fontId="29" fillId="0" borderId="0" applyFont="0" applyFill="0" applyBorder="0" applyAlignment="0" applyProtection="0"/>
    <xf numFmtId="0" fontId="2" fillId="5" borderId="0" applyNumberFormat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4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000">
    <xf numFmtId="0" fontId="0" fillId="0" borderId="0" xfId="0"/>
    <xf numFmtId="0" fontId="0" fillId="0" borderId="0" xfId="0" applyAlignment="1">
      <alignment horizontal="center" vertical="center"/>
    </xf>
    <xf numFmtId="0" fontId="15" fillId="0" borderId="0" xfId="0" applyFont="1" applyAlignment="1">
      <alignment vertical="center"/>
    </xf>
    <xf numFmtId="2" fontId="6" fillId="0" borderId="19" xfId="0" applyNumberFormat="1" applyFont="1" applyBorder="1" applyAlignment="1" applyProtection="1">
      <alignment horizontal="right" vertical="center"/>
      <protection locked="0"/>
    </xf>
    <xf numFmtId="2" fontId="6" fillId="0" borderId="37" xfId="0" applyNumberFormat="1" applyFont="1" applyBorder="1" applyAlignment="1" applyProtection="1">
      <alignment horizontal="right" vertical="center"/>
      <protection locked="0"/>
    </xf>
    <xf numFmtId="2" fontId="6" fillId="0" borderId="36" xfId="0" applyNumberFormat="1" applyFont="1" applyBorder="1" applyAlignment="1" applyProtection="1">
      <alignment horizontal="right" vertic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>
      <alignment vertical="center"/>
    </xf>
    <xf numFmtId="165" fontId="6" fillId="0" borderId="61" xfId="3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9" fontId="6" fillId="0" borderId="0" xfId="6" applyFont="1" applyFill="1" applyBorder="1" applyAlignment="1" applyProtection="1">
      <alignment horizontal="center" vertical="center" wrapText="1"/>
    </xf>
    <xf numFmtId="4" fontId="6" fillId="0" borderId="0" xfId="0" applyNumberFormat="1" applyFont="1" applyAlignment="1">
      <alignment horizontal="center" vertical="center" wrapText="1"/>
    </xf>
    <xf numFmtId="0" fontId="15" fillId="0" borderId="12" xfId="0" applyFont="1" applyBorder="1" applyAlignment="1">
      <alignment vertical="center" wrapText="1"/>
    </xf>
    <xf numFmtId="9" fontId="15" fillId="0" borderId="40" xfId="0" applyNumberFormat="1" applyFont="1" applyBorder="1" applyAlignment="1" applyProtection="1">
      <alignment horizontal="right" vertical="center" wrapText="1"/>
      <protection locked="0"/>
    </xf>
    <xf numFmtId="3" fontId="15" fillId="0" borderId="12" xfId="0" applyNumberFormat="1" applyFont="1" applyBorder="1" applyAlignment="1">
      <alignment horizontal="right" vertical="center" wrapText="1"/>
    </xf>
    <xf numFmtId="3" fontId="15" fillId="0" borderId="12" xfId="0" applyNumberFormat="1" applyFont="1" applyBorder="1" applyAlignment="1" applyProtection="1">
      <alignment horizontal="right" vertical="center" wrapText="1"/>
      <protection locked="0"/>
    </xf>
    <xf numFmtId="3" fontId="15" fillId="0" borderId="41" xfId="0" applyNumberFormat="1" applyFont="1" applyBorder="1" applyAlignment="1">
      <alignment horizontal="right" vertical="center" wrapText="1"/>
    </xf>
    <xf numFmtId="9" fontId="15" fillId="0" borderId="40" xfId="6" applyFont="1" applyFill="1" applyBorder="1" applyAlignment="1" applyProtection="1">
      <alignment horizontal="right" vertical="center" wrapText="1"/>
      <protection locked="0"/>
    </xf>
    <xf numFmtId="3" fontId="15" fillId="0" borderId="40" xfId="0" applyNumberFormat="1" applyFont="1" applyBorder="1" applyAlignment="1" applyProtection="1">
      <alignment horizontal="right" vertical="center" wrapText="1"/>
      <protection locked="0"/>
    </xf>
    <xf numFmtId="4" fontId="6" fillId="0" borderId="50" xfId="0" applyNumberFormat="1" applyFont="1" applyBorder="1" applyAlignment="1">
      <alignment horizontal="right" vertical="center" wrapText="1"/>
    </xf>
    <xf numFmtId="0" fontId="6" fillId="0" borderId="12" xfId="0" applyFont="1" applyBorder="1" applyAlignment="1">
      <alignment horizontal="center" vertical="center" wrapText="1"/>
    </xf>
    <xf numFmtId="4" fontId="15" fillId="0" borderId="12" xfId="0" applyNumberFormat="1" applyFont="1" applyBorder="1" applyAlignment="1">
      <alignment horizontal="right" vertical="center" wrapText="1"/>
    </xf>
    <xf numFmtId="4" fontId="15" fillId="0" borderId="41" xfId="0" applyNumberFormat="1" applyFont="1" applyBorder="1" applyAlignment="1">
      <alignment horizontal="right" vertical="center" wrapText="1"/>
    </xf>
    <xf numFmtId="0" fontId="15" fillId="0" borderId="0" xfId="0" applyFont="1" applyAlignment="1">
      <alignment vertical="center" wrapText="1"/>
    </xf>
    <xf numFmtId="4" fontId="15" fillId="0" borderId="41" xfId="0" applyNumberFormat="1" applyFont="1" applyBorder="1" applyAlignment="1">
      <alignment vertical="center" wrapText="1"/>
    </xf>
    <xf numFmtId="4" fontId="15" fillId="0" borderId="50" xfId="0" applyNumberFormat="1" applyFont="1" applyBorder="1" applyAlignment="1">
      <alignment horizontal="right" vertical="center" wrapText="1"/>
    </xf>
    <xf numFmtId="0" fontId="15" fillId="0" borderId="12" xfId="0" applyFont="1" applyBorder="1" applyAlignment="1">
      <alignment horizontal="center" vertical="center" wrapText="1"/>
    </xf>
    <xf numFmtId="0" fontId="18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12" xfId="0" applyFont="1" applyBorder="1" applyAlignment="1" applyProtection="1">
      <alignment vertical="center" wrapText="1"/>
      <protection locked="0"/>
    </xf>
    <xf numFmtId="4" fontId="6" fillId="0" borderId="12" xfId="0" applyNumberFormat="1" applyFont="1" applyBorder="1" applyAlignment="1">
      <alignment horizontal="right" vertical="center" wrapText="1"/>
    </xf>
    <xf numFmtId="0" fontId="15" fillId="0" borderId="12" xfId="0" applyFont="1" applyBorder="1" applyAlignment="1" applyProtection="1">
      <alignment vertical="center" wrapText="1"/>
      <protection locked="0"/>
    </xf>
    <xf numFmtId="0" fontId="15" fillId="0" borderId="25" xfId="0" applyFont="1" applyBorder="1" applyAlignment="1">
      <alignment horizontal="center" vertical="center" wrapText="1"/>
    </xf>
    <xf numFmtId="9" fontId="6" fillId="0" borderId="77" xfId="0" applyNumberFormat="1" applyFont="1" applyBorder="1" applyAlignment="1">
      <alignment horizontal="right" vertical="center" wrapText="1"/>
    </xf>
    <xf numFmtId="3" fontId="6" fillId="0" borderId="78" xfId="0" applyNumberFormat="1" applyFont="1" applyBorder="1" applyAlignment="1">
      <alignment horizontal="right" vertical="center" wrapText="1"/>
    </xf>
    <xf numFmtId="3" fontId="6" fillId="0" borderId="79" xfId="0" applyNumberFormat="1" applyFont="1" applyBorder="1" applyAlignment="1">
      <alignment horizontal="right" vertical="center" wrapText="1"/>
    </xf>
    <xf numFmtId="9" fontId="6" fillId="0" borderId="77" xfId="6" applyFont="1" applyFill="1" applyBorder="1" applyAlignment="1" applyProtection="1">
      <alignment horizontal="right" vertical="center" wrapText="1"/>
    </xf>
    <xf numFmtId="4" fontId="6" fillId="0" borderId="0" xfId="0" applyNumberFormat="1" applyFont="1" applyAlignment="1">
      <alignment vertical="center" wrapText="1"/>
    </xf>
    <xf numFmtId="0" fontId="15" fillId="0" borderId="0" xfId="0" quotePrefix="1" applyFont="1" applyAlignment="1">
      <alignment horizontal="right" vertical="center" wrapText="1"/>
    </xf>
    <xf numFmtId="9" fontId="6" fillId="0" borderId="0" xfId="6" applyFont="1" applyFill="1" applyAlignment="1" applyProtection="1">
      <alignment vertical="center" wrapText="1"/>
    </xf>
    <xf numFmtId="3" fontId="6" fillId="0" borderId="0" xfId="0" applyNumberFormat="1" applyFont="1" applyAlignment="1">
      <alignment vertical="center" wrapText="1"/>
    </xf>
    <xf numFmtId="0" fontId="18" fillId="0" borderId="0" xfId="0" applyFont="1" applyAlignment="1">
      <alignment vertical="center"/>
    </xf>
    <xf numFmtId="17" fontId="6" fillId="0" borderId="0" xfId="0" applyNumberFormat="1" applyFont="1" applyAlignment="1">
      <alignment vertical="center"/>
    </xf>
    <xf numFmtId="0" fontId="2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4" fontId="6" fillId="0" borderId="0" xfId="0" applyNumberFormat="1" applyFont="1" applyAlignment="1">
      <alignment vertical="center"/>
    </xf>
    <xf numFmtId="4" fontId="11" fillId="0" borderId="0" xfId="0" applyNumberFormat="1" applyFont="1" applyAlignment="1">
      <alignment vertical="center"/>
    </xf>
    <xf numFmtId="4" fontId="15" fillId="0" borderId="0" xfId="0" applyNumberFormat="1" applyFont="1" applyAlignment="1">
      <alignment vertical="center"/>
    </xf>
    <xf numFmtId="4" fontId="17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6" fillId="0" borderId="0" xfId="0" quotePrefix="1" applyFont="1" applyAlignment="1">
      <alignment horizontal="right" vertical="center"/>
    </xf>
    <xf numFmtId="0" fontId="15" fillId="0" borderId="17" xfId="0" applyFont="1" applyBorder="1" applyAlignment="1">
      <alignment horizontal="right" vertical="center"/>
    </xf>
    <xf numFmtId="14" fontId="15" fillId="0" borderId="16" xfId="0" applyNumberFormat="1" applyFont="1" applyBorder="1" applyAlignment="1">
      <alignment horizontal="right" vertical="center"/>
    </xf>
    <xf numFmtId="14" fontId="15" fillId="0" borderId="29" xfId="0" applyNumberFormat="1" applyFont="1" applyBorder="1" applyAlignment="1">
      <alignment horizontal="left" vertical="center"/>
    </xf>
    <xf numFmtId="0" fontId="22" fillId="0" borderId="17" xfId="0" applyFont="1" applyBorder="1" applyAlignment="1">
      <alignment vertical="center"/>
    </xf>
    <xf numFmtId="0" fontId="17" fillId="0" borderId="0" xfId="0" applyFont="1"/>
    <xf numFmtId="167" fontId="6" fillId="0" borderId="0" xfId="0" applyNumberFormat="1" applyFont="1" applyAlignment="1">
      <alignment horizontal="center" vertical="center" wrapText="1"/>
    </xf>
    <xf numFmtId="167" fontId="15" fillId="0" borderId="39" xfId="0" applyNumberFormat="1" applyFont="1" applyBorder="1" applyAlignment="1">
      <alignment horizontal="right" vertical="center" wrapText="1"/>
    </xf>
    <xf numFmtId="167" fontId="6" fillId="0" borderId="39" xfId="0" applyNumberFormat="1" applyFont="1" applyBorder="1" applyAlignment="1">
      <alignment horizontal="right" vertical="center" wrapText="1"/>
    </xf>
    <xf numFmtId="167" fontId="6" fillId="0" borderId="76" xfId="0" applyNumberFormat="1" applyFont="1" applyBorder="1" applyAlignment="1">
      <alignment horizontal="right" vertical="center" wrapText="1"/>
    </xf>
    <xf numFmtId="167" fontId="6" fillId="0" borderId="0" xfId="0" applyNumberFormat="1" applyFont="1" applyAlignment="1">
      <alignment vertical="center" wrapText="1"/>
    </xf>
    <xf numFmtId="0" fontId="15" fillId="0" borderId="84" xfId="0" applyFont="1" applyBorder="1" applyAlignment="1">
      <alignment horizontal="center" vertical="center" wrapText="1"/>
    </xf>
    <xf numFmtId="0" fontId="18" fillId="9" borderId="70" xfId="0" applyFont="1" applyFill="1" applyBorder="1" applyAlignment="1">
      <alignment horizontal="center" vertical="center" wrapText="1"/>
    </xf>
    <xf numFmtId="0" fontId="18" fillId="9" borderId="54" xfId="0" applyFont="1" applyFill="1" applyBorder="1" applyAlignment="1">
      <alignment horizontal="right" vertical="center" textRotation="90" wrapText="1"/>
    </xf>
    <xf numFmtId="17" fontId="7" fillId="0" borderId="0" xfId="0" applyNumberFormat="1" applyFont="1" applyAlignment="1" applyProtection="1">
      <alignment horizontal="left" vertical="center"/>
      <protection locked="0"/>
    </xf>
    <xf numFmtId="16" fontId="6" fillId="0" borderId="0" xfId="0" applyNumberFormat="1" applyFont="1" applyAlignment="1" applyProtection="1">
      <alignment horizontal="left" vertical="center"/>
      <protection locked="0"/>
    </xf>
    <xf numFmtId="0" fontId="19" fillId="0" borderId="0" xfId="0" applyFont="1" applyAlignment="1">
      <alignment vertical="center"/>
    </xf>
    <xf numFmtId="0" fontId="6" fillId="0" borderId="27" xfId="0" applyFont="1" applyBorder="1" applyAlignment="1" applyProtection="1">
      <alignment horizontal="right" vertical="center"/>
      <protection locked="0"/>
    </xf>
    <xf numFmtId="17" fontId="11" fillId="0" borderId="27" xfId="0" applyNumberFormat="1" applyFont="1" applyBorder="1" applyAlignment="1" applyProtection="1">
      <alignment horizontal="right" vertical="center"/>
      <protection locked="0"/>
    </xf>
    <xf numFmtId="2" fontId="11" fillId="0" borderId="28" xfId="0" applyNumberFormat="1" applyFont="1" applyBorder="1" applyAlignment="1" applyProtection="1">
      <alignment horizontal="right" vertical="center"/>
      <protection locked="0"/>
    </xf>
    <xf numFmtId="2" fontId="6" fillId="0" borderId="0" xfId="0" applyNumberFormat="1" applyFont="1" applyAlignment="1">
      <alignment vertical="center"/>
    </xf>
    <xf numFmtId="0" fontId="15" fillId="0" borderId="29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69" fontId="6" fillId="0" borderId="38" xfId="0" applyNumberFormat="1" applyFont="1" applyBorder="1" applyAlignment="1" applyProtection="1">
      <alignment horizontal="right" vertical="center"/>
      <protection locked="0"/>
    </xf>
    <xf numFmtId="17" fontId="6" fillId="0" borderId="38" xfId="0" applyNumberFormat="1" applyFont="1" applyBorder="1" applyAlignment="1" applyProtection="1">
      <alignment horizontal="right" vertical="center"/>
      <protection locked="0"/>
    </xf>
    <xf numFmtId="2" fontId="6" fillId="0" borderId="38" xfId="0" applyNumberFormat="1" applyFont="1" applyBorder="1" applyAlignment="1" applyProtection="1">
      <alignment horizontal="right" vertical="center"/>
      <protection locked="0"/>
    </xf>
    <xf numFmtId="2" fontId="6" fillId="0" borderId="38" xfId="0" applyNumberFormat="1" applyFont="1" applyBorder="1" applyAlignment="1" applyProtection="1">
      <alignment vertical="center"/>
      <protection locked="0"/>
    </xf>
    <xf numFmtId="169" fontId="6" fillId="0" borderId="19" xfId="0" applyNumberFormat="1" applyFont="1" applyBorder="1" applyAlignment="1" applyProtection="1">
      <alignment horizontal="right" vertical="center"/>
      <protection locked="0"/>
    </xf>
    <xf numFmtId="17" fontId="6" fillId="0" borderId="19" xfId="0" applyNumberFormat="1" applyFont="1" applyBorder="1" applyAlignment="1" applyProtection="1">
      <alignment horizontal="right" vertical="center"/>
      <protection locked="0"/>
    </xf>
    <xf numFmtId="2" fontId="6" fillId="0" borderId="47" xfId="0" applyNumberFormat="1" applyFont="1" applyBorder="1" applyAlignment="1" applyProtection="1">
      <alignment vertical="center"/>
      <protection locked="0"/>
    </xf>
    <xf numFmtId="0" fontId="17" fillId="0" borderId="0" xfId="0" applyFont="1" applyAlignment="1" applyProtection="1">
      <alignment vertical="center"/>
      <protection locked="0"/>
    </xf>
    <xf numFmtId="2" fontId="6" fillId="0" borderId="0" xfId="0" applyNumberFormat="1" applyFont="1" applyAlignment="1" applyProtection="1">
      <alignment vertical="center"/>
      <protection locked="0"/>
    </xf>
    <xf numFmtId="2" fontId="23" fillId="0" borderId="0" xfId="0" applyNumberFormat="1" applyFont="1" applyAlignment="1" applyProtection="1">
      <alignment vertical="center"/>
      <protection locked="0"/>
    </xf>
    <xf numFmtId="2" fontId="23" fillId="7" borderId="0" xfId="0" applyNumberFormat="1" applyFont="1" applyFill="1" applyAlignment="1" applyProtection="1">
      <alignment vertical="center"/>
      <protection locked="0"/>
    </xf>
    <xf numFmtId="0" fontId="13" fillId="0" borderId="0" xfId="0" applyFont="1"/>
    <xf numFmtId="0" fontId="6" fillId="0" borderId="0" xfId="0" applyFont="1"/>
    <xf numFmtId="0" fontId="15" fillId="0" borderId="0" xfId="0" applyFont="1"/>
    <xf numFmtId="0" fontId="6" fillId="0" borderId="69" xfId="0" applyFont="1" applyBorder="1" applyAlignment="1" applyProtection="1">
      <alignment horizontal="left" vertical="center" indent="2"/>
      <protection locked="0"/>
    </xf>
    <xf numFmtId="165" fontId="5" fillId="0" borderId="61" xfId="3" applyFont="1" applyFill="1" applyBorder="1" applyAlignment="1" applyProtection="1">
      <alignment vertical="center"/>
    </xf>
    <xf numFmtId="165" fontId="5" fillId="0" borderId="98" xfId="3" applyFont="1" applyFill="1" applyBorder="1" applyAlignment="1" applyProtection="1">
      <alignment vertical="center"/>
    </xf>
    <xf numFmtId="165" fontId="6" fillId="0" borderId="98" xfId="3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24" fillId="0" borderId="0" xfId="0" applyFont="1"/>
    <xf numFmtId="0" fontId="25" fillId="0" borderId="0" xfId="0" applyFont="1"/>
    <xf numFmtId="0" fontId="28" fillId="7" borderId="0" xfId="0" applyFont="1" applyFill="1"/>
    <xf numFmtId="0" fontId="28" fillId="0" borderId="0" xfId="0" applyFont="1"/>
    <xf numFmtId="0" fontId="0" fillId="0" borderId="0" xfId="0" applyAlignment="1">
      <alignment vertical="center" wrapText="1"/>
    </xf>
    <xf numFmtId="0" fontId="32" fillId="0" borderId="6" xfId="0" applyFont="1" applyBorder="1" applyAlignment="1">
      <alignment horizontal="center" vertical="center"/>
    </xf>
    <xf numFmtId="0" fontId="32" fillId="0" borderId="7" xfId="0" applyFont="1" applyBorder="1" applyAlignment="1">
      <alignment horizontal="center" vertical="center"/>
    </xf>
    <xf numFmtId="0" fontId="32" fillId="0" borderId="7" xfId="0" applyFont="1" applyBorder="1" applyAlignment="1">
      <alignment vertical="center" wrapText="1"/>
    </xf>
    <xf numFmtId="0" fontId="32" fillId="0" borderId="9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3" fillId="0" borderId="3" xfId="0" applyFont="1" applyBorder="1" applyAlignment="1">
      <alignment horizontal="center" vertical="center"/>
    </xf>
    <xf numFmtId="0" fontId="33" fillId="0" borderId="14" xfId="0" applyFont="1" applyBorder="1" applyAlignment="1">
      <alignment horizontal="left" vertical="center"/>
    </xf>
    <xf numFmtId="0" fontId="34" fillId="0" borderId="14" xfId="0" applyFont="1" applyBorder="1" applyAlignment="1">
      <alignment horizontal="center" vertical="center"/>
    </xf>
    <xf numFmtId="0" fontId="34" fillId="0" borderId="14" xfId="0" applyFont="1" applyBorder="1" applyAlignment="1">
      <alignment vertical="center" wrapText="1"/>
    </xf>
    <xf numFmtId="0" fontId="34" fillId="0" borderId="14" xfId="0" applyFont="1" applyBorder="1" applyAlignment="1">
      <alignment horizontal="right" vertical="center"/>
    </xf>
    <xf numFmtId="0" fontId="35" fillId="0" borderId="34" xfId="0" applyFont="1" applyBorder="1" applyAlignment="1">
      <alignment horizontal="left" vertical="center"/>
    </xf>
    <xf numFmtId="0" fontId="34" fillId="0" borderId="0" xfId="0" applyFont="1" applyAlignment="1">
      <alignment horizontal="center" vertical="center"/>
    </xf>
    <xf numFmtId="0" fontId="36" fillId="0" borderId="102" xfId="0" applyFont="1" applyBorder="1" applyAlignment="1">
      <alignment horizontal="center" vertical="center"/>
    </xf>
    <xf numFmtId="0" fontId="36" fillId="0" borderId="0" xfId="0" applyFont="1" applyAlignment="1">
      <alignment horizontal="center"/>
    </xf>
    <xf numFmtId="0" fontId="0" fillId="0" borderId="20" xfId="0" applyBorder="1" applyAlignment="1">
      <alignment horizontal="center" vertical="center"/>
    </xf>
    <xf numFmtId="49" fontId="37" fillId="0" borderId="14" xfId="0" applyNumberFormat="1" applyFont="1" applyBorder="1" applyAlignment="1">
      <alignment horizontal="left" vertical="center" wrapText="1"/>
    </xf>
    <xf numFmtId="49" fontId="38" fillId="0" borderId="21" xfId="0" applyNumberFormat="1" applyFont="1" applyBorder="1" applyAlignment="1">
      <alignment horizontal="right" vertical="center"/>
    </xf>
    <xf numFmtId="0" fontId="36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37" fillId="0" borderId="8" xfId="0" applyNumberFormat="1" applyFont="1" applyBorder="1" applyAlignment="1">
      <alignment horizontal="left" vertical="center" wrapText="1"/>
    </xf>
    <xf numFmtId="49" fontId="38" fillId="0" borderId="7" xfId="0" applyNumberFormat="1" applyFont="1" applyBorder="1" applyAlignment="1">
      <alignment horizontal="right" vertical="center"/>
    </xf>
    <xf numFmtId="49" fontId="35" fillId="0" borderId="45" xfId="0" applyNumberFormat="1" applyFont="1" applyBorder="1" applyAlignment="1">
      <alignment horizontal="left" vertical="center"/>
    </xf>
    <xf numFmtId="49" fontId="38" fillId="0" borderId="86" xfId="0" applyNumberFormat="1" applyFont="1" applyBorder="1" applyAlignment="1">
      <alignment horizontal="right" vertical="center"/>
    </xf>
    <xf numFmtId="49" fontId="35" fillId="0" borderId="2" xfId="0" applyNumberFormat="1" applyFont="1" applyBorder="1" applyAlignment="1">
      <alignment horizontal="left" vertical="center"/>
    </xf>
    <xf numFmtId="49" fontId="35" fillId="0" borderId="34" xfId="0" applyNumberFormat="1" applyFont="1" applyBorder="1" applyAlignment="1">
      <alignment horizontal="left" vertical="center"/>
    </xf>
    <xf numFmtId="49" fontId="38" fillId="0" borderId="27" xfId="0" applyNumberFormat="1" applyFont="1" applyBorder="1" applyAlignment="1">
      <alignment horizontal="right" vertical="center"/>
    </xf>
    <xf numFmtId="49" fontId="35" fillId="0" borderId="5" xfId="0" applyNumberFormat="1" applyFont="1" applyBorder="1" applyAlignment="1">
      <alignment horizontal="left" vertical="center"/>
    </xf>
    <xf numFmtId="0" fontId="37" fillId="0" borderId="8" xfId="0" applyFont="1" applyBorder="1" applyAlignment="1">
      <alignment horizontal="left" vertical="center" wrapText="1"/>
    </xf>
    <xf numFmtId="0" fontId="36" fillId="0" borderId="3" xfId="0" applyFont="1" applyBorder="1" applyAlignment="1">
      <alignment horizontal="center" vertical="center"/>
    </xf>
    <xf numFmtId="0" fontId="36" fillId="0" borderId="14" xfId="0" applyFont="1" applyBorder="1" applyAlignment="1">
      <alignment horizontal="center" vertical="center"/>
    </xf>
    <xf numFmtId="0" fontId="33" fillId="0" borderId="51" xfId="0" applyFont="1" applyBorder="1" applyAlignment="1">
      <alignment horizontal="center" vertical="center"/>
    </xf>
    <xf numFmtId="0" fontId="33" fillId="0" borderId="8" xfId="0" applyFont="1" applyBorder="1" applyAlignment="1">
      <alignment horizontal="left" vertical="center"/>
    </xf>
    <xf numFmtId="0" fontId="34" fillId="0" borderId="8" xfId="0" applyFont="1" applyBorder="1" applyAlignment="1">
      <alignment horizontal="center" vertical="center"/>
    </xf>
    <xf numFmtId="0" fontId="34" fillId="0" borderId="8" xfId="0" applyFont="1" applyBorder="1" applyAlignment="1">
      <alignment horizontal="right" vertical="center"/>
    </xf>
    <xf numFmtId="0" fontId="35" fillId="0" borderId="45" xfId="0" applyFont="1" applyBorder="1" applyAlignment="1">
      <alignment horizontal="left" vertical="center"/>
    </xf>
    <xf numFmtId="0" fontId="37" fillId="0" borderId="14" xfId="0" applyFont="1" applyBorder="1" applyAlignment="1">
      <alignment horizontal="left" vertical="center" wrapText="1"/>
    </xf>
    <xf numFmtId="0" fontId="0" fillId="0" borderId="85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49" fontId="38" fillId="0" borderId="7" xfId="0" applyNumberFormat="1" applyFont="1" applyBorder="1" applyAlignment="1">
      <alignment horizontal="right"/>
    </xf>
    <xf numFmtId="0" fontId="37" fillId="0" borderId="1" xfId="0" applyFont="1" applyBorder="1" applyAlignment="1">
      <alignment horizontal="left" vertical="center" wrapText="1"/>
    </xf>
    <xf numFmtId="49" fontId="38" fillId="0" borderId="86" xfId="0" applyNumberFormat="1" applyFont="1" applyBorder="1" applyAlignment="1">
      <alignment horizontal="right"/>
    </xf>
    <xf numFmtId="0" fontId="35" fillId="0" borderId="2" xfId="0" applyFont="1" applyBorder="1" applyAlignment="1">
      <alignment horizontal="left" vertical="center"/>
    </xf>
    <xf numFmtId="0" fontId="37" fillId="0" borderId="21" xfId="0" applyFont="1" applyBorder="1" applyAlignment="1">
      <alignment horizontal="left" vertical="center" wrapText="1"/>
    </xf>
    <xf numFmtId="49" fontId="38" fillId="0" borderId="115" xfId="0" applyNumberFormat="1" applyFont="1" applyBorder="1" applyAlignment="1">
      <alignment horizontal="right"/>
    </xf>
    <xf numFmtId="49" fontId="37" fillId="0" borderId="1" xfId="0" applyNumberFormat="1" applyFont="1" applyBorder="1" applyAlignment="1">
      <alignment horizontal="left"/>
    </xf>
    <xf numFmtId="49" fontId="37" fillId="0" borderId="14" xfId="0" applyNumberFormat="1" applyFont="1" applyBorder="1" applyAlignment="1">
      <alignment horizontal="left"/>
    </xf>
    <xf numFmtId="49" fontId="38" fillId="0" borderId="21" xfId="0" applyNumberFormat="1" applyFont="1" applyBorder="1" applyAlignment="1">
      <alignment horizontal="right"/>
    </xf>
    <xf numFmtId="49" fontId="38" fillId="0" borderId="27" xfId="0" applyNumberFormat="1" applyFont="1" applyBorder="1" applyAlignment="1">
      <alignment horizontal="right"/>
    </xf>
    <xf numFmtId="49" fontId="37" fillId="0" borderId="8" xfId="0" applyNumberFormat="1" applyFont="1" applyBorder="1" applyAlignment="1">
      <alignment horizontal="left"/>
    </xf>
    <xf numFmtId="0" fontId="35" fillId="0" borderId="45" xfId="0" applyFont="1" applyBorder="1" applyAlignment="1">
      <alignment horizontal="left" vertical="center" wrapText="1"/>
    </xf>
    <xf numFmtId="0" fontId="0" fillId="0" borderId="102" xfId="0" applyBorder="1" applyAlignment="1">
      <alignment horizontal="center"/>
    </xf>
    <xf numFmtId="0" fontId="0" fillId="0" borderId="0" xfId="0" applyAlignment="1">
      <alignment horizontal="center"/>
    </xf>
    <xf numFmtId="0" fontId="37" fillId="0" borderId="8" xfId="0" applyFont="1" applyBorder="1" applyAlignment="1">
      <alignment horizontal="left" wrapText="1"/>
    </xf>
    <xf numFmtId="0" fontId="35" fillId="0" borderId="45" xfId="0" applyFont="1" applyBorder="1" applyAlignment="1">
      <alignment horizontal="left"/>
    </xf>
    <xf numFmtId="0" fontId="39" fillId="0" borderId="8" xfId="0" applyFont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0" borderId="27" xfId="0" applyFont="1" applyBorder="1" applyAlignment="1">
      <alignment vertical="center"/>
    </xf>
    <xf numFmtId="4" fontId="7" fillId="0" borderId="27" xfId="0" applyNumberFormat="1" applyFont="1" applyBorder="1" applyAlignment="1">
      <alignment vertical="center"/>
    </xf>
    <xf numFmtId="4" fontId="40" fillId="0" borderId="27" xfId="0" applyNumberFormat="1" applyFont="1" applyBorder="1" applyAlignment="1">
      <alignment vertical="center"/>
    </xf>
    <xf numFmtId="4" fontId="18" fillId="18" borderId="22" xfId="0" applyNumberFormat="1" applyFont="1" applyFill="1" applyBorder="1" applyAlignment="1">
      <alignment vertical="center"/>
    </xf>
    <xf numFmtId="3" fontId="7" fillId="0" borderId="38" xfId="0" applyNumberFormat="1" applyFont="1" applyBorder="1" applyAlignment="1">
      <alignment vertical="center"/>
    </xf>
    <xf numFmtId="0" fontId="6" fillId="0" borderId="61" xfId="0" applyFont="1" applyBorder="1"/>
    <xf numFmtId="0" fontId="6" fillId="0" borderId="70" xfId="0" applyFont="1" applyBorder="1"/>
    <xf numFmtId="0" fontId="6" fillId="0" borderId="118" xfId="0" applyFont="1" applyBorder="1" applyAlignment="1" applyProtection="1">
      <alignment horizontal="left" vertical="center" indent="2"/>
      <protection locked="0"/>
    </xf>
    <xf numFmtId="0" fontId="6" fillId="0" borderId="98" xfId="0" applyFont="1" applyBorder="1"/>
    <xf numFmtId="0" fontId="6" fillId="0" borderId="99" xfId="0" applyFont="1" applyBorder="1"/>
    <xf numFmtId="0" fontId="6" fillId="0" borderId="119" xfId="0" applyFont="1" applyBorder="1" applyAlignment="1" applyProtection="1">
      <alignment horizontal="left" vertical="center" indent="2"/>
      <protection locked="0"/>
    </xf>
    <xf numFmtId="165" fontId="5" fillId="0" borderId="116" xfId="3" applyFont="1" applyFill="1" applyBorder="1" applyAlignment="1" applyProtection="1">
      <alignment vertical="center"/>
    </xf>
    <xf numFmtId="165" fontId="6" fillId="0" borderId="116" xfId="3" applyFont="1" applyFill="1" applyBorder="1" applyAlignment="1" applyProtection="1">
      <alignment horizontal="center" vertical="center"/>
      <protection locked="0"/>
    </xf>
    <xf numFmtId="168" fontId="6" fillId="0" borderId="19" xfId="0" applyNumberFormat="1" applyFont="1" applyBorder="1" applyAlignment="1">
      <alignment horizontal="right" vertical="center" wrapText="1"/>
    </xf>
    <xf numFmtId="168" fontId="6" fillId="0" borderId="55" xfId="0" applyNumberFormat="1" applyFont="1" applyBorder="1" applyAlignment="1">
      <alignment horizontal="right" vertical="center" wrapText="1"/>
    </xf>
    <xf numFmtId="0" fontId="7" fillId="0" borderId="19" xfId="0" applyFont="1" applyBorder="1" applyAlignment="1">
      <alignment vertical="center" textRotation="90" wrapText="1"/>
    </xf>
    <xf numFmtId="1" fontId="6" fillId="8" borderId="19" xfId="0" applyNumberFormat="1" applyFont="1" applyFill="1" applyBorder="1" applyAlignment="1">
      <alignment vertical="center"/>
    </xf>
    <xf numFmtId="1" fontId="6" fillId="15" borderId="19" xfId="0" applyNumberFormat="1" applyFont="1" applyFill="1" applyBorder="1" applyAlignment="1">
      <alignment vertical="center"/>
    </xf>
    <xf numFmtId="0" fontId="6" fillId="0" borderId="22" xfId="0" applyFont="1" applyBorder="1" applyAlignment="1">
      <alignment vertical="center"/>
    </xf>
    <xf numFmtId="0" fontId="18" fillId="7" borderId="22" xfId="0" applyFont="1" applyFill="1" applyBorder="1" applyAlignment="1">
      <alignment vertical="center"/>
    </xf>
    <xf numFmtId="4" fontId="18" fillId="7" borderId="22" xfId="0" applyNumberFormat="1" applyFont="1" applyFill="1" applyBorder="1" applyAlignment="1">
      <alignment vertical="center"/>
    </xf>
    <xf numFmtId="0" fontId="16" fillId="7" borderId="22" xfId="0" applyFont="1" applyFill="1" applyBorder="1" applyAlignment="1">
      <alignment vertical="center"/>
    </xf>
    <xf numFmtId="0" fontId="6" fillId="0" borderId="38" xfId="0" applyFont="1" applyBorder="1" applyAlignment="1">
      <alignment vertical="center"/>
    </xf>
    <xf numFmtId="3" fontId="6" fillId="0" borderId="38" xfId="0" applyNumberFormat="1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4" fontId="6" fillId="0" borderId="38" xfId="0" applyNumberFormat="1" applyFont="1" applyBorder="1" applyAlignment="1">
      <alignment vertical="center"/>
    </xf>
    <xf numFmtId="4" fontId="7" fillId="0" borderId="38" xfId="0" applyNumberFormat="1" applyFont="1" applyBorder="1" applyAlignment="1">
      <alignment vertical="center"/>
    </xf>
    <xf numFmtId="4" fontId="6" fillId="0" borderId="19" xfId="0" applyNumberFormat="1" applyFont="1" applyBorder="1" applyAlignment="1">
      <alignment vertical="center"/>
    </xf>
    <xf numFmtId="4" fontId="7" fillId="0" borderId="19" xfId="0" applyNumberFormat="1" applyFont="1" applyBorder="1" applyAlignment="1">
      <alignment vertical="center"/>
    </xf>
    <xf numFmtId="4" fontId="7" fillId="10" borderId="19" xfId="0" applyNumberFormat="1" applyFont="1" applyFill="1" applyBorder="1" applyAlignment="1">
      <alignment vertical="center"/>
    </xf>
    <xf numFmtId="0" fontId="6" fillId="0" borderId="55" xfId="0" applyFont="1" applyBorder="1" applyAlignment="1">
      <alignment vertical="center"/>
    </xf>
    <xf numFmtId="4" fontId="6" fillId="0" borderId="55" xfId="0" applyNumberFormat="1" applyFont="1" applyBorder="1" applyAlignment="1">
      <alignment vertical="center"/>
    </xf>
    <xf numFmtId="4" fontId="7" fillId="0" borderId="55" xfId="0" applyNumberFormat="1" applyFont="1" applyBorder="1" applyAlignment="1">
      <alignment vertical="center"/>
    </xf>
    <xf numFmtId="9" fontId="6" fillId="0" borderId="38" xfId="5" applyFont="1" applyBorder="1" applyAlignment="1" applyProtection="1">
      <alignment vertical="center"/>
    </xf>
    <xf numFmtId="9" fontId="7" fillId="0" borderId="38" xfId="5" applyFont="1" applyFill="1" applyBorder="1" applyAlignment="1" applyProtection="1">
      <alignment vertical="center"/>
    </xf>
    <xf numFmtId="9" fontId="6" fillId="0" borderId="55" xfId="5" applyFont="1" applyBorder="1" applyAlignment="1" applyProtection="1">
      <alignment vertical="center"/>
    </xf>
    <xf numFmtId="9" fontId="7" fillId="0" borderId="55" xfId="5" applyFont="1" applyFill="1" applyBorder="1" applyAlignment="1" applyProtection="1">
      <alignment vertical="center"/>
    </xf>
    <xf numFmtId="4" fontId="7" fillId="10" borderId="38" xfId="0" applyNumberFormat="1" applyFont="1" applyFill="1" applyBorder="1" applyAlignment="1">
      <alignment vertical="center"/>
    </xf>
    <xf numFmtId="4" fontId="7" fillId="10" borderId="55" xfId="0" applyNumberFormat="1" applyFont="1" applyFill="1" applyBorder="1" applyAlignment="1">
      <alignment vertical="center"/>
    </xf>
    <xf numFmtId="2" fontId="6" fillId="0" borderId="22" xfId="5" applyNumberFormat="1" applyFont="1" applyBorder="1" applyAlignment="1" applyProtection="1">
      <alignment vertical="center"/>
    </xf>
    <xf numFmtId="0" fontId="7" fillId="0" borderId="0" xfId="11" applyFont="1" applyAlignment="1" applyProtection="1">
      <alignment vertical="center"/>
      <protection locked="0"/>
    </xf>
    <xf numFmtId="0" fontId="7" fillId="0" borderId="0" xfId="11" applyFont="1" applyAlignment="1" applyProtection="1">
      <alignment horizontal="left" vertical="center"/>
      <protection locked="0"/>
    </xf>
    <xf numFmtId="0" fontId="7" fillId="15" borderId="19" xfId="0" applyFont="1" applyFill="1" applyBorder="1" applyAlignment="1">
      <alignment vertical="center" textRotation="90" wrapText="1"/>
    </xf>
    <xf numFmtId="0" fontId="7" fillId="0" borderId="0" xfId="0" applyFont="1" applyAlignment="1" applyProtection="1">
      <alignment vertical="center"/>
      <protection locked="0"/>
    </xf>
    <xf numFmtId="17" fontId="7" fillId="0" borderId="0" xfId="0" applyNumberFormat="1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 wrapText="1"/>
      <protection locked="0"/>
    </xf>
    <xf numFmtId="0" fontId="7" fillId="0" borderId="0" xfId="0" applyFont="1" applyAlignment="1" applyProtection="1">
      <alignment horizontal="left" vertical="center"/>
      <protection locked="0"/>
    </xf>
    <xf numFmtId="15" fontId="7" fillId="0" borderId="0" xfId="0" applyNumberFormat="1" applyFont="1" applyAlignment="1" applyProtection="1">
      <alignment horizontal="left" vertical="center"/>
      <protection locked="0"/>
    </xf>
    <xf numFmtId="0" fontId="7" fillId="12" borderId="48" xfId="0" applyFont="1" applyFill="1" applyBorder="1" applyAlignment="1" applyProtection="1">
      <alignment horizontal="center" vertical="center" textRotation="90" wrapText="1"/>
      <protection locked="0"/>
    </xf>
    <xf numFmtId="0" fontId="7" fillId="12" borderId="53" xfId="0" applyFont="1" applyFill="1" applyBorder="1" applyAlignment="1" applyProtection="1">
      <alignment horizontal="center" vertical="center" textRotation="90" wrapText="1"/>
      <protection locked="0"/>
    </xf>
    <xf numFmtId="0" fontId="7" fillId="12" borderId="54" xfId="0" applyFont="1" applyFill="1" applyBorder="1" applyAlignment="1" applyProtection="1">
      <alignment horizontal="center" vertical="center" textRotation="90" wrapText="1"/>
      <protection locked="0"/>
    </xf>
    <xf numFmtId="0" fontId="15" fillId="0" borderId="0" xfId="0" applyFont="1" applyAlignment="1">
      <alignment textRotation="90" wrapText="1"/>
    </xf>
    <xf numFmtId="0" fontId="7" fillId="4" borderId="51" xfId="0" applyFont="1" applyFill="1" applyBorder="1" applyAlignment="1">
      <alignment vertical="center" wrapText="1"/>
    </xf>
    <xf numFmtId="0" fontId="7" fillId="4" borderId="45" xfId="0" applyFont="1" applyFill="1" applyBorder="1" applyAlignment="1">
      <alignment vertical="center" wrapText="1"/>
    </xf>
    <xf numFmtId="0" fontId="7" fillId="11" borderId="95" xfId="0" applyFont="1" applyFill="1" applyBorder="1" applyAlignment="1">
      <alignment horizontal="center" vertical="center" wrapText="1"/>
    </xf>
    <xf numFmtId="0" fontId="7" fillId="11" borderId="96" xfId="0" applyFont="1" applyFill="1" applyBorder="1" applyAlignment="1">
      <alignment horizontal="center" vertical="center" wrapText="1"/>
    </xf>
    <xf numFmtId="0" fontId="7" fillId="11" borderId="112" xfId="0" applyFont="1" applyFill="1" applyBorder="1" applyAlignment="1">
      <alignment horizontal="center" vertical="center" wrapText="1"/>
    </xf>
    <xf numFmtId="0" fontId="7" fillId="11" borderId="113" xfId="0" applyFont="1" applyFill="1" applyBorder="1" applyAlignment="1">
      <alignment horizontal="center" vertical="center" wrapText="1"/>
    </xf>
    <xf numFmtId="0" fontId="6" fillId="0" borderId="22" xfId="0" applyFont="1" applyBorder="1" applyAlignment="1" applyProtection="1">
      <alignment vertical="center"/>
      <protection locked="0"/>
    </xf>
    <xf numFmtId="0" fontId="6" fillId="9" borderId="22" xfId="0" applyFont="1" applyFill="1" applyBorder="1" applyAlignment="1" applyProtection="1">
      <alignment vertical="center"/>
      <protection locked="0"/>
    </xf>
    <xf numFmtId="0" fontId="6" fillId="0" borderId="94" xfId="0" applyFont="1" applyBorder="1" applyAlignment="1" applyProtection="1">
      <alignment vertical="center"/>
      <protection locked="0"/>
    </xf>
    <xf numFmtId="0" fontId="7" fillId="3" borderId="20" xfId="0" applyFont="1" applyFill="1" applyBorder="1" applyAlignment="1">
      <alignment horizontal="center" vertical="center" wrapText="1"/>
    </xf>
    <xf numFmtId="0" fontId="7" fillId="3" borderId="115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 applyProtection="1">
      <alignment horizontal="center" vertical="center" wrapText="1"/>
      <protection locked="0"/>
    </xf>
    <xf numFmtId="0" fontId="7" fillId="3" borderId="6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7" fillId="13" borderId="97" xfId="0" applyFont="1" applyFill="1" applyBorder="1" applyAlignment="1">
      <alignment horizontal="center" vertical="center" wrapText="1"/>
    </xf>
    <xf numFmtId="0" fontId="7" fillId="18" borderId="97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 applyProtection="1">
      <alignment horizontal="center" vertical="center" wrapText="1"/>
      <protection locked="0"/>
    </xf>
    <xf numFmtId="0" fontId="7" fillId="4" borderId="93" xfId="0" applyFont="1" applyFill="1" applyBorder="1" applyAlignment="1" applyProtection="1">
      <alignment vertical="center" wrapText="1"/>
      <protection locked="0"/>
    </xf>
    <xf numFmtId="0" fontId="7" fillId="4" borderId="1" xfId="0" applyFont="1" applyFill="1" applyBorder="1" applyAlignment="1" applyProtection="1">
      <alignment vertical="center" wrapText="1"/>
      <protection locked="0"/>
    </xf>
    <xf numFmtId="16" fontId="6" fillId="4" borderId="1" xfId="0" applyNumberFormat="1" applyFont="1" applyFill="1" applyBorder="1" applyAlignment="1" applyProtection="1">
      <alignment vertical="center" wrapText="1"/>
      <protection locked="0"/>
    </xf>
    <xf numFmtId="16" fontId="6" fillId="4" borderId="2" xfId="0" applyNumberFormat="1" applyFont="1" applyFill="1" applyBorder="1" applyAlignment="1" applyProtection="1">
      <alignment vertical="center" wrapText="1"/>
      <protection locked="0"/>
    </xf>
    <xf numFmtId="0" fontId="6" fillId="0" borderId="47" xfId="0" applyFont="1" applyBorder="1" applyAlignment="1">
      <alignment vertical="center"/>
    </xf>
    <xf numFmtId="2" fontId="6" fillId="0" borderId="22" xfId="13" applyNumberFormat="1" applyFont="1" applyBorder="1" applyAlignment="1">
      <alignment vertical="center"/>
    </xf>
    <xf numFmtId="0" fontId="42" fillId="0" borderId="0" xfId="11" applyFont="1" applyAlignment="1" applyProtection="1">
      <alignment horizontal="left" vertical="center"/>
      <protection locked="0"/>
    </xf>
    <xf numFmtId="0" fontId="42" fillId="0" borderId="0" xfId="11" applyFont="1" applyAlignment="1" applyProtection="1">
      <alignment vertical="center"/>
      <protection locked="0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0" fontId="44" fillId="0" borderId="0" xfId="0" applyFont="1" applyAlignment="1">
      <alignment horizontal="center" vertical="center"/>
    </xf>
    <xf numFmtId="171" fontId="14" fillId="0" borderId="0" xfId="8" applyNumberFormat="1" applyFont="1" applyAlignment="1">
      <alignment horizontal="center" vertical="center"/>
    </xf>
    <xf numFmtId="166" fontId="14" fillId="0" borderId="0" xfId="1" applyFont="1" applyAlignment="1">
      <alignment horizontal="center" vertical="center"/>
    </xf>
    <xf numFmtId="0" fontId="45" fillId="0" borderId="0" xfId="0" applyFont="1" applyAlignment="1">
      <alignment vertical="center"/>
    </xf>
    <xf numFmtId="0" fontId="14" fillId="0" borderId="82" xfId="0" applyFont="1" applyBorder="1" applyAlignment="1">
      <alignment vertical="center"/>
    </xf>
    <xf numFmtId="0" fontId="45" fillId="0" borderId="82" xfId="0" applyFont="1" applyBorder="1" applyAlignment="1">
      <alignment vertical="center"/>
    </xf>
    <xf numFmtId="0" fontId="45" fillId="0" borderId="51" xfId="0" applyFont="1" applyBorder="1" applyAlignment="1">
      <alignment vertical="center"/>
    </xf>
    <xf numFmtId="165" fontId="46" fillId="0" borderId="0" xfId="8" applyFont="1" applyFill="1" applyBorder="1" applyAlignment="1">
      <alignment horizontal="left" vertical="center"/>
    </xf>
    <xf numFmtId="0" fontId="45" fillId="0" borderId="106" xfId="0" applyFont="1" applyBorder="1" applyAlignment="1">
      <alignment vertical="center"/>
    </xf>
    <xf numFmtId="0" fontId="50" fillId="0" borderId="0" xfId="0" applyFont="1" applyAlignment="1">
      <alignment horizontal="center" vertical="center"/>
    </xf>
    <xf numFmtId="172" fontId="47" fillId="0" borderId="111" xfId="9" applyNumberFormat="1" applyFont="1" applyBorder="1" applyAlignment="1">
      <alignment horizontal="center" vertical="center"/>
    </xf>
    <xf numFmtId="0" fontId="51" fillId="0" borderId="51" xfId="0" applyFont="1" applyBorder="1" applyAlignment="1">
      <alignment vertical="center"/>
    </xf>
    <xf numFmtId="0" fontId="52" fillId="0" borderId="0" xfId="0" applyFont="1" applyAlignment="1">
      <alignment vertical="center"/>
    </xf>
    <xf numFmtId="0" fontId="51" fillId="12" borderId="51" xfId="0" applyFont="1" applyFill="1" applyBorder="1" applyAlignment="1">
      <alignment vertical="center"/>
    </xf>
    <xf numFmtId="165" fontId="51" fillId="0" borderId="93" xfId="8" applyFont="1" applyFill="1" applyBorder="1" applyAlignment="1">
      <alignment horizontal="left" vertical="center"/>
    </xf>
    <xf numFmtId="165" fontId="51" fillId="0" borderId="107" xfId="8" applyFont="1" applyFill="1" applyBorder="1" applyAlignment="1">
      <alignment vertical="center"/>
    </xf>
    <xf numFmtId="172" fontId="51" fillId="0" borderId="108" xfId="9" applyNumberFormat="1" applyFont="1" applyBorder="1" applyAlignment="1">
      <alignment horizontal="center" vertical="center"/>
    </xf>
    <xf numFmtId="0" fontId="45" fillId="12" borderId="51" xfId="0" applyFont="1" applyFill="1" applyBorder="1" applyAlignment="1">
      <alignment vertical="center"/>
    </xf>
    <xf numFmtId="0" fontId="45" fillId="0" borderId="0" xfId="0" applyFont="1" applyAlignment="1">
      <alignment horizontal="center" vertical="center"/>
    </xf>
    <xf numFmtId="165" fontId="45" fillId="0" borderId="93" xfId="8" applyFont="1" applyFill="1" applyBorder="1" applyAlignment="1">
      <alignment horizontal="left" vertical="center"/>
    </xf>
    <xf numFmtId="165" fontId="45" fillId="0" borderId="107" xfId="8" applyFont="1" applyFill="1" applyBorder="1" applyAlignment="1">
      <alignment vertical="center"/>
    </xf>
    <xf numFmtId="172" fontId="45" fillId="0" borderId="108" xfId="9" applyNumberFormat="1" applyFont="1" applyBorder="1" applyAlignment="1">
      <alignment horizontal="center" vertical="center"/>
    </xf>
    <xf numFmtId="0" fontId="45" fillId="17" borderId="93" xfId="0" applyFont="1" applyFill="1" applyBorder="1" applyAlignment="1">
      <alignment vertical="center"/>
    </xf>
    <xf numFmtId="0" fontId="45" fillId="17" borderId="100" xfId="0" applyFont="1" applyFill="1" applyBorder="1" applyAlignment="1">
      <alignment horizontal="center" vertical="center"/>
    </xf>
    <xf numFmtId="0" fontId="45" fillId="17" borderId="11" xfId="0" applyFont="1" applyFill="1" applyBorder="1" applyAlignment="1">
      <alignment horizontal="center" vertical="center"/>
    </xf>
    <xf numFmtId="0" fontId="45" fillId="17" borderId="51" xfId="0" applyFont="1" applyFill="1" applyBorder="1" applyAlignment="1">
      <alignment vertical="center"/>
    </xf>
    <xf numFmtId="168" fontId="7" fillId="0" borderId="49" xfId="0" applyNumberFormat="1" applyFont="1" applyBorder="1" applyAlignment="1">
      <alignment horizontal="center" vertical="center"/>
    </xf>
    <xf numFmtId="168" fontId="7" fillId="0" borderId="30" xfId="0" applyNumberFormat="1" applyFont="1" applyBorder="1" applyAlignment="1">
      <alignment vertical="center" wrapText="1"/>
    </xf>
    <xf numFmtId="168" fontId="7" fillId="0" borderId="0" xfId="0" applyNumberFormat="1" applyFont="1" applyAlignment="1">
      <alignment vertical="center" wrapText="1"/>
    </xf>
    <xf numFmtId="168" fontId="7" fillId="0" borderId="0" xfId="0" applyNumberFormat="1" applyFont="1" applyAlignment="1">
      <alignment horizontal="center" vertical="center"/>
    </xf>
    <xf numFmtId="168" fontId="7" fillId="0" borderId="38" xfId="0" applyNumberFormat="1" applyFont="1" applyBorder="1" applyAlignment="1">
      <alignment horizontal="center" vertical="center"/>
    </xf>
    <xf numFmtId="168" fontId="7" fillId="0" borderId="38" xfId="0" applyNumberFormat="1" applyFont="1" applyBorder="1" applyAlignment="1">
      <alignment vertical="center"/>
    </xf>
    <xf numFmtId="168" fontId="7" fillId="0" borderId="38" xfId="0" applyNumberFormat="1" applyFont="1" applyBorder="1" applyAlignment="1">
      <alignment vertical="center" wrapText="1"/>
    </xf>
    <xf numFmtId="168" fontId="53" fillId="17" borderId="38" xfId="10" applyNumberFormat="1" applyFont="1" applyFill="1" applyBorder="1" applyAlignment="1">
      <alignment vertical="center"/>
    </xf>
    <xf numFmtId="168" fontId="7" fillId="0" borderId="19" xfId="0" applyNumberFormat="1" applyFont="1" applyBorder="1" applyAlignment="1">
      <alignment vertical="center" wrapText="1"/>
    </xf>
    <xf numFmtId="168" fontId="7" fillId="0" borderId="19" xfId="0" applyNumberFormat="1" applyFont="1" applyBorder="1" applyAlignment="1">
      <alignment horizontal="left" vertical="center"/>
    </xf>
    <xf numFmtId="168" fontId="6" fillId="0" borderId="19" xfId="0" applyNumberFormat="1" applyFont="1" applyBorder="1" applyAlignment="1">
      <alignment horizontal="left" vertical="center" wrapText="1"/>
    </xf>
    <xf numFmtId="0" fontId="7" fillId="0" borderId="102" xfId="0" applyFont="1" applyBorder="1" applyAlignment="1">
      <alignment vertical="center"/>
    </xf>
    <xf numFmtId="0" fontId="7" fillId="0" borderId="0" xfId="0" applyFont="1" applyAlignment="1">
      <alignment vertical="center"/>
    </xf>
    <xf numFmtId="168" fontId="53" fillId="17" borderId="104" xfId="10" applyNumberFormat="1" applyFont="1" applyFill="1" applyBorder="1" applyAlignment="1">
      <alignment vertical="center"/>
    </xf>
    <xf numFmtId="0" fontId="54" fillId="17" borderId="145" xfId="10" applyFont="1" applyFill="1" applyBorder="1" applyAlignment="1">
      <alignment horizontal="center" vertical="center" wrapText="1"/>
    </xf>
    <xf numFmtId="0" fontId="54" fillId="17" borderId="96" xfId="10" applyFont="1" applyFill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168" fontId="7" fillId="2" borderId="38" xfId="0" applyNumberFormat="1" applyFont="1" applyFill="1" applyBorder="1" applyAlignment="1">
      <alignment horizontal="left" vertical="center"/>
    </xf>
    <xf numFmtId="0" fontId="7" fillId="0" borderId="19" xfId="0" applyFont="1" applyBorder="1" applyAlignment="1">
      <alignment horizontal="center" vertical="center"/>
    </xf>
    <xf numFmtId="168" fontId="55" fillId="0" borderId="19" xfId="0" applyNumberFormat="1" applyFont="1" applyBorder="1" applyAlignment="1">
      <alignment horizontal="right" vertical="center"/>
    </xf>
    <xf numFmtId="0" fontId="7" fillId="0" borderId="55" xfId="0" applyFont="1" applyBorder="1" applyAlignment="1">
      <alignment horizontal="center" vertical="center"/>
    </xf>
    <xf numFmtId="168" fontId="55" fillId="0" borderId="55" xfId="0" applyNumberFormat="1" applyFont="1" applyBorder="1" applyAlignment="1">
      <alignment horizontal="right" vertical="center"/>
    </xf>
    <xf numFmtId="168" fontId="7" fillId="17" borderId="7" xfId="0" applyNumberFormat="1" applyFont="1" applyFill="1" applyBorder="1" applyAlignment="1">
      <alignment vertical="center"/>
    </xf>
    <xf numFmtId="0" fontId="7" fillId="0" borderId="43" xfId="0" applyFont="1" applyBorder="1" applyAlignment="1">
      <alignment horizontal="center" vertical="center"/>
    </xf>
    <xf numFmtId="168" fontId="7" fillId="2" borderId="43" xfId="0" applyNumberFormat="1" applyFont="1" applyFill="1" applyBorder="1" applyAlignment="1">
      <alignment vertical="center"/>
    </xf>
    <xf numFmtId="173" fontId="6" fillId="20" borderId="136" xfId="0" applyNumberFormat="1" applyFont="1" applyFill="1" applyBorder="1" applyAlignment="1">
      <alignment horizontal="left" vertical="center"/>
    </xf>
    <xf numFmtId="173" fontId="6" fillId="20" borderId="137" xfId="0" applyNumberFormat="1" applyFont="1" applyFill="1" applyBorder="1" applyAlignment="1">
      <alignment horizontal="left" vertical="center"/>
    </xf>
    <xf numFmtId="168" fontId="7" fillId="20" borderId="135" xfId="0" applyNumberFormat="1" applyFont="1" applyFill="1" applyBorder="1" applyAlignment="1">
      <alignment vertical="center"/>
    </xf>
    <xf numFmtId="0" fontId="7" fillId="0" borderId="22" xfId="0" applyFont="1" applyBorder="1" applyAlignment="1">
      <alignment horizontal="center" vertical="center" wrapText="1"/>
    </xf>
    <xf numFmtId="168" fontId="7" fillId="0" borderId="22" xfId="0" applyNumberFormat="1" applyFont="1" applyBorder="1" applyAlignment="1">
      <alignment vertical="center"/>
    </xf>
    <xf numFmtId="168" fontId="53" fillId="17" borderId="28" xfId="10" applyNumberFormat="1" applyFont="1" applyFill="1" applyBorder="1" applyAlignment="1">
      <alignment vertical="center"/>
    </xf>
    <xf numFmtId="0" fontId="7" fillId="0" borderId="22" xfId="0" applyFont="1" applyBorder="1" applyAlignment="1">
      <alignment horizontal="center" vertical="center"/>
    </xf>
    <xf numFmtId="174" fontId="6" fillId="20" borderId="136" xfId="0" applyNumberFormat="1" applyFont="1" applyFill="1" applyBorder="1" applyAlignment="1">
      <alignment horizontal="right" vertical="center"/>
    </xf>
    <xf numFmtId="168" fontId="7" fillId="20" borderId="134" xfId="0" applyNumberFormat="1" applyFont="1" applyFill="1" applyBorder="1" applyAlignment="1">
      <alignment vertical="center"/>
    </xf>
    <xf numFmtId="168" fontId="6" fillId="0" borderId="19" xfId="0" applyNumberFormat="1" applyFont="1" applyBorder="1" applyAlignment="1">
      <alignment horizontal="right" vertical="center"/>
    </xf>
    <xf numFmtId="168" fontId="6" fillId="0" borderId="55" xfId="0" applyNumberFormat="1" applyFont="1" applyBorder="1" applyAlignment="1">
      <alignment horizontal="right" vertical="center"/>
    </xf>
    <xf numFmtId="0" fontId="7" fillId="0" borderId="25" xfId="0" applyFont="1" applyBorder="1" applyAlignment="1">
      <alignment horizontal="center" vertical="center"/>
    </xf>
    <xf numFmtId="168" fontId="7" fillId="0" borderId="25" xfId="0" applyNumberFormat="1" applyFont="1" applyBorder="1" applyAlignment="1">
      <alignment vertical="center"/>
    </xf>
    <xf numFmtId="168" fontId="7" fillId="20" borderId="138" xfId="0" applyNumberFormat="1" applyFont="1" applyFill="1" applyBorder="1" applyAlignment="1">
      <alignment vertical="center"/>
    </xf>
    <xf numFmtId="168" fontId="6" fillId="20" borderId="136" xfId="0" applyNumberFormat="1" applyFont="1" applyFill="1" applyBorder="1" applyAlignment="1">
      <alignment vertical="center"/>
    </xf>
    <xf numFmtId="168" fontId="6" fillId="20" borderId="137" xfId="0" applyNumberFormat="1" applyFont="1" applyFill="1" applyBorder="1" applyAlignment="1">
      <alignment vertical="center"/>
    </xf>
    <xf numFmtId="168" fontId="7" fillId="17" borderId="108" xfId="0" applyNumberFormat="1" applyFont="1" applyFill="1" applyBorder="1" applyAlignment="1">
      <alignment vertical="center"/>
    </xf>
    <xf numFmtId="168" fontId="7" fillId="17" borderId="139" xfId="0" applyNumberFormat="1" applyFont="1" applyFill="1" applyBorder="1" applyAlignment="1">
      <alignment vertical="center"/>
    </xf>
    <xf numFmtId="0" fontId="7" fillId="0" borderId="28" xfId="0" applyFont="1" applyBorder="1" applyAlignment="1">
      <alignment horizontal="center" vertical="center"/>
    </xf>
    <xf numFmtId="168" fontId="7" fillId="0" borderId="28" xfId="0" applyNumberFormat="1" applyFont="1" applyBorder="1" applyAlignment="1">
      <alignment vertical="center"/>
    </xf>
    <xf numFmtId="168" fontId="6" fillId="2" borderId="19" xfId="0" applyNumberFormat="1" applyFont="1" applyFill="1" applyBorder="1" applyAlignment="1">
      <alignment horizontal="right" vertical="center"/>
    </xf>
    <xf numFmtId="168" fontId="6" fillId="2" borderId="55" xfId="0" applyNumberFormat="1" applyFont="1" applyFill="1" applyBorder="1" applyAlignment="1">
      <alignment horizontal="right" vertical="center"/>
    </xf>
    <xf numFmtId="168" fontId="7" fillId="2" borderId="22" xfId="0" applyNumberFormat="1" applyFont="1" applyFill="1" applyBorder="1" applyAlignment="1">
      <alignment horizontal="left" vertical="center"/>
    </xf>
    <xf numFmtId="168" fontId="7" fillId="20" borderId="140" xfId="0" applyNumberFormat="1" applyFont="1" applyFill="1" applyBorder="1" applyAlignment="1">
      <alignment vertical="center"/>
    </xf>
    <xf numFmtId="0" fontId="7" fillId="0" borderId="47" xfId="0" applyFont="1" applyBorder="1" applyAlignment="1">
      <alignment horizontal="center" vertical="center"/>
    </xf>
    <xf numFmtId="168" fontId="6" fillId="2" borderId="47" xfId="0" applyNumberFormat="1" applyFont="1" applyFill="1" applyBorder="1" applyAlignment="1">
      <alignment horizontal="right" vertical="center"/>
    </xf>
    <xf numFmtId="173" fontId="6" fillId="20" borderId="142" xfId="0" applyNumberFormat="1" applyFont="1" applyFill="1" applyBorder="1" applyAlignment="1">
      <alignment horizontal="left" vertical="center"/>
    </xf>
    <xf numFmtId="0" fontId="7" fillId="0" borderId="43" xfId="0" applyFont="1" applyBorder="1" applyAlignment="1">
      <alignment horizontal="center" vertical="center" wrapText="1"/>
    </xf>
    <xf numFmtId="168" fontId="7" fillId="0" borderId="43" xfId="0" applyNumberFormat="1" applyFont="1" applyBorder="1" applyAlignment="1">
      <alignment vertical="center"/>
    </xf>
    <xf numFmtId="0" fontId="7" fillId="2" borderId="3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55" xfId="0" applyFont="1" applyFill="1" applyBorder="1" applyAlignment="1">
      <alignment horizontal="center" vertical="center"/>
    </xf>
    <xf numFmtId="0" fontId="7" fillId="2" borderId="100" xfId="0" applyFont="1" applyFill="1" applyBorder="1" applyAlignment="1">
      <alignment horizontal="center" vertical="center"/>
    </xf>
    <xf numFmtId="168" fontId="7" fillId="0" borderId="100" xfId="0" applyNumberFormat="1" applyFont="1" applyBorder="1" applyAlignment="1">
      <alignment vertical="center"/>
    </xf>
    <xf numFmtId="168" fontId="7" fillId="20" borderId="133" xfId="0" applyNumberFormat="1" applyFont="1" applyFill="1" applyBorder="1" applyAlignment="1">
      <alignment vertical="center"/>
    </xf>
    <xf numFmtId="0" fontId="7" fillId="2" borderId="43" xfId="0" applyFont="1" applyFill="1" applyBorder="1" applyAlignment="1">
      <alignment horizontal="center" vertical="center"/>
    </xf>
    <xf numFmtId="168" fontId="7" fillId="20" borderId="141" xfId="0" applyNumberFormat="1" applyFont="1" applyFill="1" applyBorder="1" applyAlignment="1">
      <alignment vertical="center"/>
    </xf>
    <xf numFmtId="0" fontId="7" fillId="2" borderId="22" xfId="0" applyFont="1" applyFill="1" applyBorder="1" applyAlignment="1">
      <alignment horizontal="center" vertical="center"/>
    </xf>
    <xf numFmtId="168" fontId="6" fillId="20" borderId="135" xfId="0" applyNumberFormat="1" applyFont="1" applyFill="1" applyBorder="1" applyAlignment="1">
      <alignment vertical="center"/>
    </xf>
    <xf numFmtId="173" fontId="6" fillId="20" borderId="134" xfId="0" applyNumberFormat="1" applyFont="1" applyFill="1" applyBorder="1" applyAlignment="1">
      <alignment horizontal="left" vertical="center"/>
    </xf>
    <xf numFmtId="168" fontId="6" fillId="20" borderId="134" xfId="0" applyNumberFormat="1" applyFont="1" applyFill="1" applyBorder="1" applyAlignment="1">
      <alignment vertical="center"/>
    </xf>
    <xf numFmtId="168" fontId="6" fillId="20" borderId="140" xfId="0" applyNumberFormat="1" applyFont="1" applyFill="1" applyBorder="1" applyAlignment="1">
      <alignment vertical="center"/>
    </xf>
    <xf numFmtId="168" fontId="6" fillId="20" borderId="141" xfId="0" applyNumberFormat="1" applyFont="1" applyFill="1" applyBorder="1" applyAlignment="1">
      <alignment vertical="center"/>
    </xf>
    <xf numFmtId="0" fontId="6" fillId="18" borderId="38" xfId="0" applyFont="1" applyFill="1" applyBorder="1" applyAlignment="1">
      <alignment vertical="center"/>
    </xf>
    <xf numFmtId="0" fontId="6" fillId="18" borderId="135" xfId="0" applyFont="1" applyFill="1" applyBorder="1" applyAlignment="1">
      <alignment vertical="center"/>
    </xf>
    <xf numFmtId="0" fontId="6" fillId="18" borderId="46" xfId="0" applyFont="1" applyFill="1" applyBorder="1" applyAlignment="1">
      <alignment vertical="center"/>
    </xf>
    <xf numFmtId="0" fontId="6" fillId="21" borderId="47" xfId="0" applyFont="1" applyFill="1" applyBorder="1" applyAlignment="1">
      <alignment vertical="center"/>
    </xf>
    <xf numFmtId="0" fontId="6" fillId="21" borderId="142" xfId="0" applyFont="1" applyFill="1" applyBorder="1" applyAlignment="1">
      <alignment vertical="center"/>
    </xf>
    <xf numFmtId="0" fontId="6" fillId="21" borderId="66" xfId="0" applyFont="1" applyFill="1" applyBorder="1" applyAlignment="1">
      <alignment vertical="center"/>
    </xf>
    <xf numFmtId="0" fontId="7" fillId="17" borderId="6" xfId="0" applyFont="1" applyFill="1" applyBorder="1" applyAlignment="1">
      <alignment vertical="center"/>
    </xf>
    <xf numFmtId="0" fontId="7" fillId="17" borderId="7" xfId="0" applyFont="1" applyFill="1" applyBorder="1" applyAlignment="1">
      <alignment vertical="center"/>
    </xf>
    <xf numFmtId="0" fontId="7" fillId="17" borderId="144" xfId="0" applyFont="1" applyFill="1" applyBorder="1" applyAlignment="1">
      <alignment vertical="center"/>
    </xf>
    <xf numFmtId="0" fontId="7" fillId="17" borderId="95" xfId="0" applyFont="1" applyFill="1" applyBorder="1" applyAlignment="1">
      <alignment vertical="center" wrapText="1"/>
    </xf>
    <xf numFmtId="0" fontId="7" fillId="17" borderId="100" xfId="0" applyFont="1" applyFill="1" applyBorder="1" applyAlignment="1">
      <alignment horizontal="center" vertical="center" wrapText="1"/>
    </xf>
    <xf numFmtId="0" fontId="7" fillId="17" borderId="100" xfId="0" applyFont="1" applyFill="1" applyBorder="1" applyAlignment="1">
      <alignment vertical="center"/>
    </xf>
    <xf numFmtId="0" fontId="7" fillId="17" borderId="133" xfId="0" applyFont="1" applyFill="1" applyBorder="1" applyAlignment="1">
      <alignment vertical="center" wrapText="1"/>
    </xf>
    <xf numFmtId="0" fontId="7" fillId="0" borderId="125" xfId="0" applyFont="1" applyBorder="1" applyAlignment="1">
      <alignment horizontal="center" vertical="center"/>
    </xf>
    <xf numFmtId="0" fontId="6" fillId="20" borderId="135" xfId="0" applyFont="1" applyFill="1" applyBorder="1" applyAlignment="1">
      <alignment vertical="center"/>
    </xf>
    <xf numFmtId="0" fontId="6" fillId="19" borderId="22" xfId="0" applyFont="1" applyFill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6" fillId="20" borderId="136" xfId="0" applyFont="1" applyFill="1" applyBorder="1" applyAlignment="1">
      <alignment vertical="center"/>
    </xf>
    <xf numFmtId="0" fontId="6" fillId="0" borderId="127" xfId="0" applyFont="1" applyBorder="1" applyAlignment="1">
      <alignment vertical="center"/>
    </xf>
    <xf numFmtId="0" fontId="6" fillId="20" borderId="137" xfId="0" applyFont="1" applyFill="1" applyBorder="1" applyAlignment="1">
      <alignment vertical="center"/>
    </xf>
    <xf numFmtId="0" fontId="7" fillId="17" borderId="6" xfId="0" applyFont="1" applyFill="1" applyBorder="1" applyAlignment="1">
      <alignment horizontal="center" vertical="center"/>
    </xf>
    <xf numFmtId="0" fontId="7" fillId="17" borderId="7" xfId="0" applyFont="1" applyFill="1" applyBorder="1" applyAlignment="1">
      <alignment horizontal="center" vertical="center"/>
    </xf>
    <xf numFmtId="0" fontId="7" fillId="17" borderId="144" xfId="0" applyFont="1" applyFill="1" applyBorder="1" applyAlignment="1">
      <alignment horizontal="center" vertical="center"/>
    </xf>
    <xf numFmtId="9" fontId="6" fillId="11" borderId="22" xfId="9" applyFont="1" applyFill="1" applyBorder="1" applyAlignment="1">
      <alignment vertical="center"/>
    </xf>
    <xf numFmtId="0" fontId="7" fillId="0" borderId="129" xfId="0" applyFont="1" applyBorder="1" applyAlignment="1">
      <alignment horizontal="center" vertical="center"/>
    </xf>
    <xf numFmtId="0" fontId="6" fillId="20" borderId="141" xfId="0" applyFont="1" applyFill="1" applyBorder="1" applyAlignment="1">
      <alignment vertical="center"/>
    </xf>
    <xf numFmtId="0" fontId="7" fillId="0" borderId="91" xfId="0" applyFont="1" applyBorder="1" applyAlignment="1">
      <alignment horizontal="center" vertical="center"/>
    </xf>
    <xf numFmtId="0" fontId="6" fillId="20" borderId="134" xfId="0" applyFont="1" applyFill="1" applyBorder="1" applyAlignment="1">
      <alignment vertical="center"/>
    </xf>
    <xf numFmtId="0" fontId="6" fillId="0" borderId="102" xfId="0" applyFont="1" applyBorder="1" applyAlignment="1">
      <alignment vertical="center"/>
    </xf>
    <xf numFmtId="0" fontId="6" fillId="0" borderId="143" xfId="0" applyFont="1" applyBorder="1" applyAlignment="1">
      <alignment vertical="center"/>
    </xf>
    <xf numFmtId="0" fontId="6" fillId="0" borderId="153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7" fillId="17" borderId="112" xfId="0" applyFont="1" applyFill="1" applyBorder="1" applyAlignment="1">
      <alignment vertical="center"/>
    </xf>
    <xf numFmtId="0" fontId="7" fillId="17" borderId="108" xfId="0" applyFont="1" applyFill="1" applyBorder="1" applyAlignment="1">
      <alignment vertical="center"/>
    </xf>
    <xf numFmtId="0" fontId="7" fillId="17" borderId="139" xfId="0" applyFont="1" applyFill="1" applyBorder="1" applyAlignment="1">
      <alignment vertical="center"/>
    </xf>
    <xf numFmtId="0" fontId="6" fillId="17" borderId="95" xfId="0" applyFont="1" applyFill="1" applyBorder="1" applyAlignment="1">
      <alignment vertical="center" wrapText="1"/>
    </xf>
    <xf numFmtId="0" fontId="6" fillId="17" borderId="100" xfId="0" applyFont="1" applyFill="1" applyBorder="1" applyAlignment="1">
      <alignment horizontal="center" vertical="center" wrapText="1"/>
    </xf>
    <xf numFmtId="0" fontId="6" fillId="17" borderId="100" xfId="0" applyFont="1" applyFill="1" applyBorder="1" applyAlignment="1">
      <alignment vertical="center"/>
    </xf>
    <xf numFmtId="0" fontId="6" fillId="17" borderId="133" xfId="0" applyFont="1" applyFill="1" applyBorder="1" applyAlignment="1">
      <alignment vertical="center" wrapText="1"/>
    </xf>
    <xf numFmtId="0" fontId="6" fillId="0" borderId="91" xfId="0" applyFont="1" applyBorder="1" applyAlignment="1">
      <alignment vertical="center"/>
    </xf>
    <xf numFmtId="0" fontId="6" fillId="18" borderId="29" xfId="0" applyFont="1" applyFill="1" applyBorder="1" applyAlignment="1">
      <alignment vertical="center"/>
    </xf>
    <xf numFmtId="0" fontId="6" fillId="0" borderId="125" xfId="0" applyFont="1" applyBorder="1" applyAlignment="1">
      <alignment vertical="center"/>
    </xf>
    <xf numFmtId="0" fontId="6" fillId="0" borderId="92" xfId="0" applyFont="1" applyBorder="1" applyAlignment="1">
      <alignment vertical="center"/>
    </xf>
    <xf numFmtId="0" fontId="7" fillId="17" borderId="112" xfId="0" applyFont="1" applyFill="1" applyBorder="1" applyAlignment="1">
      <alignment horizontal="center" vertical="center"/>
    </xf>
    <xf numFmtId="9" fontId="6" fillId="11" borderId="29" xfId="9" applyFont="1" applyFill="1" applyBorder="1" applyAlignment="1">
      <alignment vertical="center"/>
    </xf>
    <xf numFmtId="0" fontId="6" fillId="0" borderId="90" xfId="0" applyFont="1" applyBorder="1" applyAlignment="1">
      <alignment vertical="center"/>
    </xf>
    <xf numFmtId="0" fontId="6" fillId="20" borderId="140" xfId="0" applyFont="1" applyFill="1" applyBorder="1" applyAlignment="1">
      <alignment vertical="center"/>
    </xf>
    <xf numFmtId="0" fontId="6" fillId="0" borderId="131" xfId="0" applyFont="1" applyBorder="1" applyAlignment="1">
      <alignment vertical="center"/>
    </xf>
    <xf numFmtId="9" fontId="6" fillId="0" borderId="0" xfId="9" applyFont="1" applyAlignment="1">
      <alignment vertical="center"/>
    </xf>
    <xf numFmtId="9" fontId="6" fillId="0" borderId="0" xfId="9" applyFont="1" applyFill="1" applyAlignment="1">
      <alignment vertical="center"/>
    </xf>
    <xf numFmtId="171" fontId="6" fillId="0" borderId="0" xfId="0" applyNumberFormat="1" applyFont="1" applyAlignment="1">
      <alignment vertical="center"/>
    </xf>
    <xf numFmtId="164" fontId="6" fillId="0" borderId="0" xfId="0" applyNumberFormat="1" applyFont="1" applyAlignment="1">
      <alignment vertical="center"/>
    </xf>
    <xf numFmtId="9" fontId="6" fillId="0" borderId="0" xfId="9" applyFont="1" applyFill="1" applyBorder="1" applyAlignment="1">
      <alignment vertical="center"/>
    </xf>
    <xf numFmtId="0" fontId="6" fillId="0" borderId="95" xfId="0" applyFont="1" applyBorder="1" applyAlignment="1">
      <alignment vertical="center"/>
    </xf>
    <xf numFmtId="0" fontId="6" fillId="0" borderId="129" xfId="0" applyFont="1" applyBorder="1" applyAlignment="1">
      <alignment vertical="center"/>
    </xf>
    <xf numFmtId="0" fontId="6" fillId="18" borderId="33" xfId="0" applyFont="1" applyFill="1" applyBorder="1" applyAlignment="1">
      <alignment vertical="center"/>
    </xf>
    <xf numFmtId="0" fontId="6" fillId="21" borderId="33" xfId="0" applyFont="1" applyFill="1" applyBorder="1" applyAlignment="1">
      <alignment vertical="center"/>
    </xf>
    <xf numFmtId="171" fontId="6" fillId="0" borderId="0" xfId="15" applyNumberFormat="1" applyFont="1" applyAlignment="1">
      <alignment vertical="center"/>
    </xf>
    <xf numFmtId="171" fontId="6" fillId="0" borderId="157" xfId="15" applyNumberFormat="1" applyFont="1" applyBorder="1" applyAlignment="1">
      <alignment vertical="center"/>
    </xf>
    <xf numFmtId="171" fontId="6" fillId="0" borderId="5" xfId="15" applyNumberFormat="1" applyFont="1" applyBorder="1" applyAlignment="1">
      <alignment vertical="center"/>
    </xf>
    <xf numFmtId="0" fontId="18" fillId="17" borderId="28" xfId="0" applyFont="1" applyFill="1" applyBorder="1" applyAlignment="1">
      <alignment horizontal="center" vertical="center" wrapText="1"/>
    </xf>
    <xf numFmtId="0" fontId="18" fillId="17" borderId="32" xfId="0" applyFont="1" applyFill="1" applyBorder="1" applyAlignment="1">
      <alignment horizontal="right" vertical="center" wrapText="1"/>
    </xf>
    <xf numFmtId="167" fontId="18" fillId="17" borderId="71" xfId="0" applyNumberFormat="1" applyFont="1" applyFill="1" applyBorder="1" applyAlignment="1">
      <alignment horizontal="right" vertical="center" wrapText="1"/>
    </xf>
    <xf numFmtId="9" fontId="18" fillId="17" borderId="72" xfId="0" applyNumberFormat="1" applyFont="1" applyFill="1" applyBorder="1" applyAlignment="1" applyProtection="1">
      <alignment horizontal="right" vertical="center" wrapText="1"/>
      <protection locked="0"/>
    </xf>
    <xf numFmtId="3" fontId="18" fillId="17" borderId="71" xfId="0" applyNumberFormat="1" applyFont="1" applyFill="1" applyBorder="1" applyAlignment="1">
      <alignment horizontal="right" vertical="center" wrapText="1"/>
    </xf>
    <xf numFmtId="3" fontId="10" fillId="17" borderId="73" xfId="0" applyNumberFormat="1" applyFont="1" applyFill="1" applyBorder="1" applyAlignment="1">
      <alignment horizontal="right" vertical="center" wrapText="1"/>
    </xf>
    <xf numFmtId="4" fontId="18" fillId="17" borderId="74" xfId="0" applyNumberFormat="1" applyFont="1" applyFill="1" applyBorder="1" applyAlignment="1">
      <alignment horizontal="right" vertical="center" wrapText="1"/>
    </xf>
    <xf numFmtId="0" fontId="18" fillId="17" borderId="75" xfId="0" applyFont="1" applyFill="1" applyBorder="1" applyAlignment="1">
      <alignment horizontal="center" vertical="center" wrapText="1"/>
    </xf>
    <xf numFmtId="4" fontId="18" fillId="17" borderId="75" xfId="0" applyNumberFormat="1" applyFont="1" applyFill="1" applyBorder="1" applyAlignment="1">
      <alignment horizontal="right" vertical="center" wrapText="1"/>
    </xf>
    <xf numFmtId="4" fontId="18" fillId="17" borderId="73" xfId="0" applyNumberFormat="1" applyFont="1" applyFill="1" applyBorder="1" applyAlignment="1">
      <alignment vertical="center" wrapText="1"/>
    </xf>
    <xf numFmtId="3" fontId="18" fillId="17" borderId="75" xfId="0" applyNumberFormat="1" applyFont="1" applyFill="1" applyBorder="1" applyAlignment="1">
      <alignment horizontal="right" vertical="center" wrapText="1"/>
    </xf>
    <xf numFmtId="3" fontId="18" fillId="17" borderId="72" xfId="0" applyNumberFormat="1" applyFont="1" applyFill="1" applyBorder="1" applyAlignment="1">
      <alignment horizontal="right" vertical="center" wrapText="1"/>
    </xf>
    <xf numFmtId="3" fontId="18" fillId="17" borderId="73" xfId="0" applyNumberFormat="1" applyFont="1" applyFill="1" applyBorder="1" applyAlignment="1">
      <alignment horizontal="right" vertical="center" wrapText="1"/>
    </xf>
    <xf numFmtId="0" fontId="18" fillId="17" borderId="22" xfId="0" applyFont="1" applyFill="1" applyBorder="1" applyAlignment="1">
      <alignment vertical="center"/>
    </xf>
    <xf numFmtId="0" fontId="6" fillId="10" borderId="51" xfId="10" applyFont="1" applyFill="1" applyBorder="1" applyAlignment="1">
      <alignment vertical="center"/>
    </xf>
    <xf numFmtId="168" fontId="12" fillId="10" borderId="8" xfId="10" applyNumberFormat="1" applyFont="1" applyFill="1" applyBorder="1" applyAlignment="1">
      <alignment vertical="center"/>
    </xf>
    <xf numFmtId="168" fontId="7" fillId="10" borderId="8" xfId="10" applyNumberFormat="1" applyFont="1" applyFill="1" applyBorder="1" applyAlignment="1">
      <alignment vertical="center"/>
    </xf>
    <xf numFmtId="0" fontId="6" fillId="10" borderId="8" xfId="10" applyFont="1" applyFill="1" applyBorder="1" applyAlignment="1">
      <alignment horizontal="center" vertical="center"/>
    </xf>
    <xf numFmtId="0" fontId="13" fillId="10" borderId="51" xfId="10" applyFont="1" applyFill="1" applyBorder="1" applyAlignment="1">
      <alignment vertical="center"/>
    </xf>
    <xf numFmtId="0" fontId="6" fillId="10" borderId="45" xfId="10" applyFont="1" applyFill="1" applyBorder="1" applyAlignment="1">
      <alignment horizontal="center" vertical="center"/>
    </xf>
    <xf numFmtId="0" fontId="7" fillId="17" borderId="20" xfId="0" applyFont="1" applyFill="1" applyBorder="1" applyAlignment="1">
      <alignment horizontal="center" vertical="center"/>
    </xf>
    <xf numFmtId="168" fontId="7" fillId="17" borderId="21" xfId="0" applyNumberFormat="1" applyFont="1" applyFill="1" applyBorder="1" applyAlignment="1">
      <alignment vertical="center"/>
    </xf>
    <xf numFmtId="0" fontId="7" fillId="17" borderId="21" xfId="0" applyFont="1" applyFill="1" applyBorder="1" applyAlignment="1">
      <alignment horizontal="center" vertical="center"/>
    </xf>
    <xf numFmtId="0" fontId="7" fillId="17" borderId="160" xfId="0" applyFont="1" applyFill="1" applyBorder="1" applyAlignment="1">
      <alignment horizontal="center" vertical="center"/>
    </xf>
    <xf numFmtId="4" fontId="16" fillId="10" borderId="10" xfId="0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4" fontId="18" fillId="17" borderId="12" xfId="0" applyNumberFormat="1" applyFont="1" applyFill="1" applyBorder="1" applyAlignment="1">
      <alignment horizontal="center" vertical="center" wrapText="1"/>
    </xf>
    <xf numFmtId="4" fontId="18" fillId="17" borderId="41" xfId="0" applyNumberFormat="1" applyFont="1" applyFill="1" applyBorder="1" applyAlignment="1">
      <alignment horizontal="center" vertical="center" wrapText="1"/>
    </xf>
    <xf numFmtId="0" fontId="18" fillId="17" borderId="48" xfId="0" applyFont="1" applyFill="1" applyBorder="1" applyAlignment="1">
      <alignment horizontal="center" vertical="center" wrapText="1"/>
    </xf>
    <xf numFmtId="0" fontId="18" fillId="17" borderId="53" xfId="0" applyFont="1" applyFill="1" applyBorder="1" applyAlignment="1">
      <alignment horizontal="center" vertical="center" wrapText="1"/>
    </xf>
    <xf numFmtId="0" fontId="18" fillId="17" borderId="54" xfId="0" applyFont="1" applyFill="1" applyBorder="1" applyAlignment="1">
      <alignment horizontal="center" vertical="center" wrapText="1"/>
    </xf>
    <xf numFmtId="9" fontId="18" fillId="17" borderId="48" xfId="6" applyFont="1" applyFill="1" applyBorder="1" applyAlignment="1" applyProtection="1">
      <alignment horizontal="center" vertical="center" wrapText="1"/>
    </xf>
    <xf numFmtId="4" fontId="18" fillId="17" borderId="53" xfId="0" applyNumberFormat="1" applyFont="1" applyFill="1" applyBorder="1" applyAlignment="1">
      <alignment horizontal="center" vertical="center" wrapText="1"/>
    </xf>
    <xf numFmtId="4" fontId="18" fillId="17" borderId="54" xfId="0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0" fontId="16" fillId="6" borderId="17" xfId="0" applyFont="1" applyFill="1" applyBorder="1" applyAlignment="1">
      <alignment horizontal="right" vertical="center" wrapText="1"/>
    </xf>
    <xf numFmtId="167" fontId="16" fillId="6" borderId="80" xfId="0" applyNumberFormat="1" applyFont="1" applyFill="1" applyBorder="1" applyAlignment="1">
      <alignment horizontal="right" vertical="center" wrapText="1"/>
    </xf>
    <xf numFmtId="9" fontId="16" fillId="6" borderId="81" xfId="6" applyFont="1" applyFill="1" applyBorder="1" applyAlignment="1" applyProtection="1">
      <alignment horizontal="right" vertical="center" wrapText="1"/>
    </xf>
    <xf numFmtId="3" fontId="16" fillId="6" borderId="60" xfId="0" applyNumberFormat="1" applyFont="1" applyFill="1" applyBorder="1" applyAlignment="1">
      <alignment horizontal="right" vertical="center" wrapText="1"/>
    </xf>
    <xf numFmtId="3" fontId="16" fillId="6" borderId="80" xfId="0" applyNumberFormat="1" applyFont="1" applyFill="1" applyBorder="1" applyAlignment="1">
      <alignment horizontal="right" vertical="center" wrapText="1"/>
    </xf>
    <xf numFmtId="167" fontId="7" fillId="14" borderId="0" xfId="0" applyNumberFormat="1" applyFont="1" applyFill="1" applyAlignment="1">
      <alignment vertical="center" wrapText="1"/>
    </xf>
    <xf numFmtId="168" fontId="53" fillId="17" borderId="22" xfId="10" applyNumberFormat="1" applyFont="1" applyFill="1" applyBorder="1" applyAlignment="1">
      <alignment vertical="center"/>
    </xf>
    <xf numFmtId="0" fontId="7" fillId="14" borderId="0" xfId="0" applyFont="1" applyFill="1" applyAlignment="1">
      <alignment vertical="center" wrapText="1"/>
    </xf>
    <xf numFmtId="170" fontId="16" fillId="10" borderId="45" xfId="0" applyNumberFormat="1" applyFont="1" applyFill="1" applyBorder="1" applyAlignment="1">
      <alignment horizontal="center" vertical="center" wrapText="1"/>
    </xf>
    <xf numFmtId="0" fontId="16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vertical="center" wrapText="1"/>
      <protection locked="0"/>
    </xf>
    <xf numFmtId="0" fontId="6" fillId="0" borderId="0" xfId="0" applyFont="1" applyAlignment="1" applyProtection="1">
      <alignment vertical="center" wrapText="1"/>
      <protection locked="0"/>
    </xf>
    <xf numFmtId="0" fontId="18" fillId="0" borderId="0" xfId="0" applyFont="1" applyAlignment="1" applyProtection="1">
      <alignment vertical="center" wrapText="1"/>
      <protection locked="0"/>
    </xf>
    <xf numFmtId="9" fontId="6" fillId="0" borderId="0" xfId="5" applyFont="1" applyFill="1" applyAlignment="1" applyProtection="1">
      <alignment vertical="center" wrapText="1"/>
      <protection locked="0"/>
    </xf>
    <xf numFmtId="3" fontId="6" fillId="0" borderId="0" xfId="0" applyNumberFormat="1" applyFont="1" applyAlignment="1" applyProtection="1">
      <alignment vertical="center" wrapText="1"/>
      <protection locked="0"/>
    </xf>
    <xf numFmtId="2" fontId="18" fillId="0" borderId="0" xfId="0" applyNumberFormat="1" applyFont="1" applyAlignment="1" applyProtection="1">
      <alignment vertical="center" wrapText="1"/>
      <protection locked="0"/>
    </xf>
    <xf numFmtId="0" fontId="16" fillId="0" borderId="0" xfId="0" applyFont="1" applyAlignment="1" applyProtection="1">
      <alignment vertical="center" wrapText="1"/>
      <protection locked="0"/>
    </xf>
    <xf numFmtId="0" fontId="6" fillId="16" borderId="17" xfId="0" applyFont="1" applyFill="1" applyBorder="1" applyAlignment="1" applyProtection="1">
      <alignment vertical="center" wrapText="1"/>
      <protection locked="0"/>
    </xf>
    <xf numFmtId="167" fontId="6" fillId="16" borderId="29" xfId="0" applyNumberFormat="1" applyFont="1" applyFill="1" applyBorder="1" applyAlignment="1" applyProtection="1">
      <alignment vertical="center" wrapText="1"/>
      <protection locked="0"/>
    </xf>
    <xf numFmtId="9" fontId="6" fillId="0" borderId="0" xfId="6" applyFont="1" applyFill="1" applyAlignment="1" applyProtection="1">
      <alignment vertical="center" wrapText="1"/>
      <protection locked="0"/>
    </xf>
    <xf numFmtId="0" fontId="6" fillId="17" borderId="25" xfId="0" applyFont="1" applyFill="1" applyBorder="1" applyAlignment="1">
      <alignment horizontal="center" vertical="center"/>
    </xf>
    <xf numFmtId="0" fontId="6" fillId="17" borderId="24" xfId="0" applyFont="1" applyFill="1" applyBorder="1" applyAlignment="1">
      <alignment horizontal="center" vertical="center"/>
    </xf>
    <xf numFmtId="0" fontId="6" fillId="17" borderId="28" xfId="0" applyFont="1" applyFill="1" applyBorder="1" applyAlignment="1">
      <alignment horizontal="center" vertical="center"/>
    </xf>
    <xf numFmtId="0" fontId="6" fillId="17" borderId="22" xfId="0" applyFont="1" applyFill="1" applyBorder="1" applyAlignment="1">
      <alignment horizontal="center" vertical="center"/>
    </xf>
    <xf numFmtId="0" fontId="6" fillId="17" borderId="32" xfId="0" applyFont="1" applyFill="1" applyBorder="1" applyAlignment="1">
      <alignment horizontal="center" vertical="center"/>
    </xf>
    <xf numFmtId="0" fontId="6" fillId="17" borderId="33" xfId="0" applyFont="1" applyFill="1" applyBorder="1" applyAlignment="1">
      <alignment horizontal="center" vertical="center"/>
    </xf>
    <xf numFmtId="0" fontId="7" fillId="17" borderId="22" xfId="0" applyFont="1" applyFill="1" applyBorder="1" applyAlignment="1">
      <alignment horizontal="right" vertical="center"/>
    </xf>
    <xf numFmtId="2" fontId="7" fillId="17" borderId="16" xfId="0" applyNumberFormat="1" applyFont="1" applyFill="1" applyBorder="1" applyAlignment="1">
      <alignment horizontal="right" vertical="center"/>
    </xf>
    <xf numFmtId="2" fontId="7" fillId="17" borderId="22" xfId="0" applyNumberFormat="1" applyFont="1" applyFill="1" applyBorder="1" applyAlignment="1">
      <alignment horizontal="right" vertical="center"/>
    </xf>
    <xf numFmtId="2" fontId="7" fillId="17" borderId="22" xfId="0" quotePrefix="1" applyNumberFormat="1" applyFont="1" applyFill="1" applyBorder="1" applyAlignment="1">
      <alignment vertical="center"/>
    </xf>
    <xf numFmtId="0" fontId="15" fillId="0" borderId="0" xfId="0" applyFont="1" applyAlignment="1">
      <alignment horizontal="center" vertical="center"/>
    </xf>
    <xf numFmtId="2" fontId="18" fillId="0" borderId="0" xfId="0" applyNumberFormat="1" applyFont="1" applyAlignment="1">
      <alignment vertical="center"/>
    </xf>
    <xf numFmtId="0" fontId="18" fillId="17" borderId="22" xfId="0" applyFont="1" applyFill="1" applyBorder="1" applyAlignment="1">
      <alignment horizontal="centerContinuous" vertical="center"/>
    </xf>
    <xf numFmtId="168" fontId="56" fillId="17" borderId="95" xfId="10" applyNumberFormat="1" applyFont="1" applyFill="1" applyBorder="1" applyAlignment="1">
      <alignment vertical="center"/>
    </xf>
    <xf numFmtId="0" fontId="7" fillId="14" borderId="96" xfId="0" applyFont="1" applyFill="1" applyBorder="1" applyAlignment="1">
      <alignment horizontal="center" vertical="center"/>
    </xf>
    <xf numFmtId="44" fontId="16" fillId="17" borderId="22" xfId="13" applyFont="1" applyFill="1" applyBorder="1" applyAlignment="1">
      <alignment vertical="center"/>
    </xf>
    <xf numFmtId="0" fontId="15" fillId="0" borderId="30" xfId="0" applyFont="1" applyBorder="1" applyAlignment="1" applyProtection="1">
      <alignment vertical="center" wrapText="1"/>
      <protection locked="0"/>
    </xf>
    <xf numFmtId="0" fontId="16" fillId="6" borderId="16" xfId="0" applyFont="1" applyFill="1" applyBorder="1" applyAlignment="1">
      <alignment horizontal="right" vertical="center" wrapText="1"/>
    </xf>
    <xf numFmtId="0" fontId="7" fillId="16" borderId="0" xfId="0" applyFont="1" applyFill="1" applyAlignment="1" applyProtection="1">
      <alignment vertical="center" wrapText="1"/>
      <protection locked="0"/>
    </xf>
    <xf numFmtId="167" fontId="7" fillId="16" borderId="0" xfId="0" applyNumberFormat="1" applyFont="1" applyFill="1" applyAlignment="1" applyProtection="1">
      <alignment vertical="center" wrapText="1"/>
      <protection locked="0"/>
    </xf>
    <xf numFmtId="2" fontId="6" fillId="0" borderId="28" xfId="0" applyNumberFormat="1" applyFont="1" applyBorder="1" applyAlignment="1" applyProtection="1">
      <alignment vertical="center"/>
      <protection locked="0"/>
    </xf>
    <xf numFmtId="175" fontId="7" fillId="14" borderId="0" xfId="0" applyNumberFormat="1" applyFont="1" applyFill="1" applyAlignment="1">
      <alignment vertical="center" wrapText="1"/>
    </xf>
    <xf numFmtId="0" fontId="6" fillId="0" borderId="116" xfId="0" applyFont="1" applyBorder="1"/>
    <xf numFmtId="0" fontId="23" fillId="0" borderId="0" xfId="0" applyFont="1"/>
    <xf numFmtId="0" fontId="23" fillId="7" borderId="0" xfId="0" applyFont="1" applyFill="1"/>
    <xf numFmtId="4" fontId="19" fillId="10" borderId="10" xfId="0" applyNumberFormat="1" applyFont="1" applyFill="1" applyBorder="1" applyAlignment="1" applyProtection="1">
      <alignment horizontal="center" vertical="center"/>
      <protection locked="0"/>
    </xf>
    <xf numFmtId="14" fontId="19" fillId="10" borderId="9" xfId="0" applyNumberFormat="1" applyFont="1" applyFill="1" applyBorder="1" applyAlignment="1" applyProtection="1">
      <alignment vertical="center"/>
      <protection locked="0"/>
    </xf>
    <xf numFmtId="0" fontId="18" fillId="17" borderId="25" xfId="0" applyFont="1" applyFill="1" applyBorder="1" applyAlignment="1">
      <alignment vertical="center"/>
    </xf>
    <xf numFmtId="17" fontId="18" fillId="17" borderId="25" xfId="0" applyNumberFormat="1" applyFont="1" applyFill="1" applyBorder="1" applyAlignment="1">
      <alignment vertical="center"/>
    </xf>
    <xf numFmtId="17" fontId="18" fillId="17" borderId="87" xfId="0" applyNumberFormat="1" applyFont="1" applyFill="1" applyBorder="1" applyAlignment="1">
      <alignment vertical="center"/>
    </xf>
    <xf numFmtId="0" fontId="16" fillId="17" borderId="72" xfId="0" applyFont="1" applyFill="1" applyBorder="1"/>
    <xf numFmtId="0" fontId="15" fillId="17" borderId="75" xfId="0" applyFont="1" applyFill="1" applyBorder="1"/>
    <xf numFmtId="0" fontId="7" fillId="14" borderId="98" xfId="0" applyFont="1" applyFill="1" applyBorder="1" applyAlignment="1">
      <alignment vertical="center"/>
    </xf>
    <xf numFmtId="0" fontId="7" fillId="14" borderId="116" xfId="0" applyFont="1" applyFill="1" applyBorder="1" applyAlignment="1">
      <alignment horizontal="left" vertical="center"/>
    </xf>
    <xf numFmtId="44" fontId="14" fillId="0" borderId="22" xfId="15" applyFont="1" applyBorder="1" applyAlignment="1">
      <alignment vertical="center"/>
    </xf>
    <xf numFmtId="44" fontId="14" fillId="0" borderId="22" xfId="15" applyFont="1" applyFill="1" applyBorder="1" applyAlignment="1">
      <alignment vertical="center"/>
    </xf>
    <xf numFmtId="44" fontId="14" fillId="0" borderId="0" xfId="15" applyFont="1" applyAlignment="1">
      <alignment vertical="center"/>
    </xf>
    <xf numFmtId="44" fontId="48" fillId="0" borderId="101" xfId="15" applyFont="1" applyBorder="1" applyAlignment="1">
      <alignment vertical="center"/>
    </xf>
    <xf numFmtId="44" fontId="48" fillId="0" borderId="35" xfId="15" applyFont="1" applyBorder="1" applyAlignment="1">
      <alignment vertical="center"/>
    </xf>
    <xf numFmtId="44" fontId="45" fillId="0" borderId="7" xfId="15" applyFont="1" applyBorder="1" applyAlignment="1">
      <alignment vertical="center"/>
    </xf>
    <xf numFmtId="44" fontId="51" fillId="0" borderId="11" xfId="15" applyFont="1" applyBorder="1" applyAlignment="1">
      <alignment vertical="center"/>
    </xf>
    <xf numFmtId="44" fontId="45" fillId="0" borderId="8" xfId="15" applyFont="1" applyBorder="1" applyAlignment="1">
      <alignment vertical="center"/>
    </xf>
    <xf numFmtId="44" fontId="49" fillId="0" borderId="0" xfId="15" applyFont="1" applyBorder="1" applyAlignment="1">
      <alignment vertical="center"/>
    </xf>
    <xf numFmtId="44" fontId="45" fillId="17" borderId="8" xfId="15" applyFont="1" applyFill="1" applyBorder="1" applyAlignment="1">
      <alignment vertical="center"/>
    </xf>
    <xf numFmtId="44" fontId="14" fillId="0" borderId="100" xfId="15" applyFont="1" applyBorder="1" applyAlignment="1">
      <alignment vertical="center"/>
    </xf>
    <xf numFmtId="44" fontId="14" fillId="0" borderId="100" xfId="15" applyFont="1" applyFill="1" applyBorder="1" applyAlignment="1">
      <alignment vertical="center"/>
    </xf>
    <xf numFmtId="44" fontId="14" fillId="0" borderId="101" xfId="15" applyFont="1" applyBorder="1" applyAlignment="1">
      <alignment vertical="center"/>
    </xf>
    <xf numFmtId="44" fontId="14" fillId="0" borderId="35" xfId="15" applyFont="1" applyBorder="1" applyAlignment="1">
      <alignment vertical="center"/>
    </xf>
    <xf numFmtId="44" fontId="14" fillId="0" borderId="25" xfId="15" applyFont="1" applyBorder="1" applyAlignment="1">
      <alignment vertical="center"/>
    </xf>
    <xf numFmtId="44" fontId="14" fillId="0" borderId="111" xfId="15" applyFont="1" applyBorder="1" applyAlignment="1">
      <alignment vertical="center"/>
    </xf>
    <xf numFmtId="44" fontId="45" fillId="0" borderId="11" xfId="15" applyFont="1" applyBorder="1" applyAlignment="1">
      <alignment vertical="center"/>
    </xf>
    <xf numFmtId="44" fontId="51" fillId="0" borderId="7" xfId="15" applyFont="1" applyBorder="1" applyAlignment="1">
      <alignment vertical="center"/>
    </xf>
    <xf numFmtId="44" fontId="52" fillId="0" borderId="0" xfId="15" applyFont="1" applyAlignment="1">
      <alignment vertical="center"/>
    </xf>
    <xf numFmtId="44" fontId="46" fillId="0" borderId="0" xfId="15" applyFont="1" applyBorder="1" applyAlignment="1">
      <alignment vertical="center"/>
    </xf>
    <xf numFmtId="44" fontId="45" fillId="17" borderId="7" xfId="15" applyFont="1" applyFill="1" applyBorder="1" applyAlignment="1">
      <alignment vertical="center"/>
    </xf>
    <xf numFmtId="44" fontId="47" fillId="17" borderId="11" xfId="15" applyFont="1" applyFill="1" applyBorder="1" applyAlignment="1">
      <alignment vertical="center"/>
    </xf>
    <xf numFmtId="44" fontId="45" fillId="0" borderId="28" xfId="15" applyFont="1" applyBorder="1" applyAlignment="1">
      <alignment vertical="center"/>
    </xf>
    <xf numFmtId="44" fontId="45" fillId="0" borderId="31" xfId="15" applyFont="1" applyBorder="1" applyAlignment="1">
      <alignment vertical="center"/>
    </xf>
    <xf numFmtId="44" fontId="47" fillId="0" borderId="89" xfId="15" applyFont="1" applyBorder="1" applyAlignment="1">
      <alignment vertical="center"/>
    </xf>
    <xf numFmtId="44" fontId="45" fillId="0" borderId="22" xfId="15" applyFont="1" applyBorder="1" applyAlignment="1">
      <alignment vertical="center"/>
    </xf>
    <xf numFmtId="44" fontId="45" fillId="0" borderId="17" xfId="15" applyFont="1" applyBorder="1" applyAlignment="1">
      <alignment vertical="center"/>
    </xf>
    <xf numFmtId="44" fontId="51" fillId="12" borderId="7" xfId="15" applyFont="1" applyFill="1" applyBorder="1" applyAlignment="1">
      <alignment vertical="center"/>
    </xf>
    <xf numFmtId="44" fontId="51" fillId="12" borderId="103" xfId="15" applyFont="1" applyFill="1" applyBorder="1" applyAlignment="1">
      <alignment vertical="center"/>
    </xf>
    <xf numFmtId="44" fontId="51" fillId="12" borderId="11" xfId="15" applyFont="1" applyFill="1" applyBorder="1" applyAlignment="1">
      <alignment vertical="center"/>
    </xf>
    <xf numFmtId="44" fontId="50" fillId="0" borderId="0" xfId="15" applyFont="1" applyAlignment="1">
      <alignment vertical="center"/>
    </xf>
    <xf numFmtId="44" fontId="51" fillId="0" borderId="100" xfId="15" applyFont="1" applyBorder="1" applyAlignment="1">
      <alignment horizontal="center" vertical="center"/>
    </xf>
    <xf numFmtId="44" fontId="47" fillId="0" borderId="101" xfId="15" applyFont="1" applyBorder="1" applyAlignment="1">
      <alignment vertical="center"/>
    </xf>
    <xf numFmtId="176" fontId="6" fillId="18" borderId="46" xfId="15" applyNumberFormat="1" applyFont="1" applyFill="1" applyBorder="1" applyAlignment="1">
      <alignment vertical="center"/>
    </xf>
    <xf numFmtId="176" fontId="6" fillId="18" borderId="38" xfId="15" applyNumberFormat="1" applyFont="1" applyFill="1" applyBorder="1" applyAlignment="1">
      <alignment vertical="center"/>
    </xf>
    <xf numFmtId="176" fontId="6" fillId="18" borderId="57" xfId="15" applyNumberFormat="1" applyFont="1" applyFill="1" applyBorder="1" applyAlignment="1">
      <alignment vertical="center"/>
    </xf>
    <xf numFmtId="176" fontId="6" fillId="18" borderId="147" xfId="15" applyNumberFormat="1" applyFont="1" applyFill="1" applyBorder="1" applyAlignment="1">
      <alignment horizontal="center" vertical="center"/>
    </xf>
    <xf numFmtId="176" fontId="6" fillId="21" borderId="68" xfId="15" applyNumberFormat="1" applyFont="1" applyFill="1" applyBorder="1" applyAlignment="1">
      <alignment vertical="center"/>
    </xf>
    <xf numFmtId="176" fontId="6" fillId="21" borderId="47" xfId="15" applyNumberFormat="1" applyFont="1" applyFill="1" applyBorder="1" applyAlignment="1">
      <alignment vertical="center"/>
    </xf>
    <xf numFmtId="176" fontId="6" fillId="21" borderId="67" xfId="15" applyNumberFormat="1" applyFont="1" applyFill="1" applyBorder="1" applyAlignment="1">
      <alignment vertical="center"/>
    </xf>
    <xf numFmtId="176" fontId="6" fillId="21" borderId="156" xfId="15" applyNumberFormat="1" applyFont="1" applyFill="1" applyBorder="1" applyAlignment="1">
      <alignment horizontal="center" vertical="center"/>
    </xf>
    <xf numFmtId="176" fontId="6" fillId="17" borderId="10" xfId="15" applyNumberFormat="1" applyFont="1" applyFill="1" applyBorder="1" applyAlignment="1">
      <alignment vertical="center"/>
    </xf>
    <xf numFmtId="176" fontId="6" fillId="17" borderId="7" xfId="15" applyNumberFormat="1" applyFont="1" applyFill="1" applyBorder="1" applyAlignment="1">
      <alignment vertical="center"/>
    </xf>
    <xf numFmtId="176" fontId="6" fillId="17" borderId="103" xfId="15" applyNumberFormat="1" applyFont="1" applyFill="1" applyBorder="1" applyAlignment="1">
      <alignment vertical="center"/>
    </xf>
    <xf numFmtId="176" fontId="7" fillId="17" borderId="151" xfId="15" applyNumberFormat="1" applyFont="1" applyFill="1" applyBorder="1" applyAlignment="1">
      <alignment horizontal="center" vertical="center"/>
    </xf>
    <xf numFmtId="176" fontId="7" fillId="17" borderId="158" xfId="15" applyNumberFormat="1" applyFont="1" applyFill="1" applyBorder="1" applyAlignment="1">
      <alignment horizontal="center" vertical="center"/>
    </xf>
    <xf numFmtId="176" fontId="6" fillId="17" borderId="97" xfId="15" applyNumberFormat="1" applyFont="1" applyFill="1" applyBorder="1" applyAlignment="1">
      <alignment horizontal="center" vertical="center"/>
    </xf>
    <xf numFmtId="176" fontId="7" fillId="17" borderId="97" xfId="15" applyNumberFormat="1" applyFont="1" applyFill="1" applyBorder="1" applyAlignment="1">
      <alignment horizontal="center" vertical="center"/>
    </xf>
    <xf numFmtId="176" fontId="6" fillId="17" borderId="0" xfId="15" applyNumberFormat="1" applyFont="1" applyFill="1" applyAlignment="1">
      <alignment vertical="center"/>
    </xf>
    <xf numFmtId="176" fontId="6" fillId="17" borderId="110" xfId="15" applyNumberFormat="1" applyFont="1" applyFill="1" applyBorder="1" applyAlignment="1">
      <alignment vertical="center"/>
    </xf>
    <xf numFmtId="176" fontId="6" fillId="17" borderId="108" xfId="15" applyNumberFormat="1" applyFont="1" applyFill="1" applyBorder="1" applyAlignment="1">
      <alignment vertical="center"/>
    </xf>
    <xf numFmtId="176" fontId="7" fillId="17" borderId="154" xfId="15" applyNumberFormat="1" applyFont="1" applyFill="1" applyBorder="1" applyAlignment="1">
      <alignment horizontal="center" vertical="center"/>
    </xf>
    <xf numFmtId="176" fontId="7" fillId="17" borderId="113" xfId="15" applyNumberFormat="1" applyFont="1" applyFill="1" applyBorder="1" applyAlignment="1">
      <alignment horizontal="center" vertical="center"/>
    </xf>
    <xf numFmtId="44" fontId="6" fillId="0" borderId="19" xfId="15" applyFont="1" applyBorder="1" applyAlignment="1" applyProtection="1">
      <alignment horizontal="right" vertical="center"/>
      <protection locked="0"/>
    </xf>
    <xf numFmtId="44" fontId="6" fillId="0" borderId="46" xfId="15" applyFont="1" applyBorder="1" applyAlignment="1">
      <alignment horizontal="right" vertical="center"/>
    </xf>
    <xf numFmtId="44" fontId="6" fillId="0" borderId="42" xfId="15" applyFont="1" applyBorder="1" applyAlignment="1">
      <alignment horizontal="right" vertical="center"/>
    </xf>
    <xf numFmtId="44" fontId="7" fillId="17" borderId="22" xfId="15" applyFont="1" applyFill="1" applyBorder="1" applyAlignment="1">
      <alignment horizontal="right" vertical="center"/>
    </xf>
    <xf numFmtId="44" fontId="7" fillId="17" borderId="16" xfId="15" applyFont="1" applyFill="1" applyBorder="1" applyAlignment="1">
      <alignment horizontal="right" vertical="center"/>
    </xf>
    <xf numFmtId="2" fontId="6" fillId="0" borderId="47" xfId="13" applyNumberFormat="1" applyFont="1" applyBorder="1" applyAlignment="1">
      <alignment vertical="center"/>
    </xf>
    <xf numFmtId="2" fontId="6" fillId="0" borderId="19" xfId="13" applyNumberFormat="1" applyFont="1" applyBorder="1" applyAlignment="1">
      <alignment vertical="center"/>
    </xf>
    <xf numFmtId="2" fontId="6" fillId="0" borderId="55" xfId="13" applyNumberFormat="1" applyFont="1" applyBorder="1" applyAlignment="1">
      <alignment vertical="center"/>
    </xf>
    <xf numFmtId="2" fontId="6" fillId="0" borderId="67" xfId="13" applyNumberFormat="1" applyFont="1" applyBorder="1" applyAlignment="1">
      <alignment vertical="center"/>
    </xf>
    <xf numFmtId="2" fontId="6" fillId="0" borderId="44" xfId="13" applyNumberFormat="1" applyFont="1" applyBorder="1" applyAlignment="1">
      <alignment vertical="center"/>
    </xf>
    <xf numFmtId="2" fontId="6" fillId="0" borderId="58" xfId="13" applyNumberFormat="1" applyFont="1" applyBorder="1" applyAlignment="1">
      <alignment vertical="center"/>
    </xf>
    <xf numFmtId="2" fontId="16" fillId="17" borderId="22" xfId="13" applyNumberFormat="1" applyFont="1" applyFill="1" applyBorder="1" applyAlignment="1">
      <alignment vertical="center"/>
    </xf>
    <xf numFmtId="2" fontId="16" fillId="17" borderId="17" xfId="13" applyNumberFormat="1" applyFont="1" applyFill="1" applyBorder="1" applyAlignment="1">
      <alignment vertical="center"/>
    </xf>
    <xf numFmtId="44" fontId="6" fillId="0" borderId="47" xfId="15" applyFont="1" applyBorder="1" applyAlignment="1">
      <alignment vertical="center"/>
    </xf>
    <xf numFmtId="44" fontId="6" fillId="0" borderId="19" xfId="15" applyFont="1" applyBorder="1" applyAlignment="1">
      <alignment vertical="center"/>
    </xf>
    <xf numFmtId="44" fontId="6" fillId="0" borderId="55" xfId="15" applyFont="1" applyBorder="1" applyAlignment="1">
      <alignment vertical="center"/>
    </xf>
    <xf numFmtId="44" fontId="7" fillId="0" borderId="131" xfId="15" applyFont="1" applyBorder="1" applyAlignment="1">
      <alignment vertical="center"/>
    </xf>
    <xf numFmtId="44" fontId="7" fillId="14" borderId="159" xfId="15" applyFont="1" applyFill="1" applyBorder="1" applyAlignment="1">
      <alignment horizontal="center" vertical="center"/>
    </xf>
    <xf numFmtId="44" fontId="7" fillId="0" borderId="18" xfId="15" applyFont="1" applyBorder="1" applyAlignment="1">
      <alignment vertical="center"/>
    </xf>
    <xf numFmtId="44" fontId="7" fillId="14" borderId="159" xfId="15" quotePrefix="1" applyFont="1" applyFill="1" applyBorder="1" applyAlignment="1">
      <alignment horizontal="center" vertical="center"/>
    </xf>
    <xf numFmtId="44" fontId="16" fillId="17" borderId="6" xfId="15" applyFont="1" applyFill="1" applyBorder="1" applyAlignment="1">
      <alignment vertical="center"/>
    </xf>
    <xf numFmtId="44" fontId="10" fillId="14" borderId="9" xfId="15" applyFont="1" applyFill="1" applyBorder="1" applyAlignment="1">
      <alignment horizontal="center" vertical="center"/>
    </xf>
    <xf numFmtId="44" fontId="22" fillId="0" borderId="27" xfId="15" applyFont="1" applyBorder="1" applyAlignment="1" applyProtection="1">
      <alignment horizontal="right" vertical="center"/>
      <protection locked="0"/>
    </xf>
    <xf numFmtId="44" fontId="7" fillId="14" borderId="117" xfId="15" applyFont="1" applyFill="1" applyBorder="1" applyAlignment="1">
      <alignment vertical="center" wrapText="1"/>
    </xf>
    <xf numFmtId="44" fontId="6" fillId="0" borderId="70" xfId="15" applyFont="1" applyBorder="1"/>
    <xf numFmtId="44" fontId="6" fillId="0" borderId="99" xfId="15" applyFont="1" applyBorder="1"/>
    <xf numFmtId="2" fontId="6" fillId="0" borderId="98" xfId="0" applyNumberFormat="1" applyFont="1" applyBorder="1"/>
    <xf numFmtId="2" fontId="7" fillId="14" borderId="98" xfId="0" applyNumberFormat="1" applyFont="1" applyFill="1" applyBorder="1" applyAlignment="1">
      <alignment vertical="center"/>
    </xf>
    <xf numFmtId="2" fontId="6" fillId="0" borderId="116" xfId="0" applyNumberFormat="1" applyFont="1" applyBorder="1"/>
    <xf numFmtId="2" fontId="6" fillId="0" borderId="61" xfId="0" applyNumberFormat="1" applyFont="1" applyBorder="1"/>
    <xf numFmtId="44" fontId="5" fillId="0" borderId="61" xfId="15" applyFont="1" applyBorder="1" applyAlignment="1" applyProtection="1">
      <alignment horizontal="right" vertical="center" indent="1"/>
      <protection locked="0"/>
    </xf>
    <xf numFmtId="44" fontId="6" fillId="0" borderId="61" xfId="15" applyFont="1" applyBorder="1" applyAlignment="1" applyProtection="1">
      <alignment horizontal="center" vertical="center"/>
      <protection locked="0"/>
    </xf>
    <xf numFmtId="44" fontId="5" fillId="0" borderId="98" xfId="15" applyFont="1" applyBorder="1" applyAlignment="1" applyProtection="1">
      <alignment horizontal="right" vertical="center" indent="1"/>
      <protection locked="0"/>
    </xf>
    <xf numFmtId="44" fontId="6" fillId="0" borderId="98" xfId="15" applyFont="1" applyBorder="1" applyAlignment="1" applyProtection="1">
      <alignment horizontal="center" vertical="center"/>
      <protection locked="0"/>
    </xf>
    <xf numFmtId="44" fontId="23" fillId="0" borderId="98" xfId="15" applyFont="1" applyBorder="1" applyAlignment="1" applyProtection="1">
      <alignment horizontal="right" vertical="center" indent="1"/>
      <protection locked="0"/>
    </xf>
    <xf numFmtId="44" fontId="23" fillId="0" borderId="116" xfId="15" applyFont="1" applyBorder="1" applyAlignment="1" applyProtection="1">
      <alignment horizontal="right" vertical="center" indent="1"/>
      <protection locked="0"/>
    </xf>
    <xf numFmtId="44" fontId="6" fillId="0" borderId="116" xfId="15" applyFont="1" applyBorder="1" applyAlignment="1" applyProtection="1">
      <alignment horizontal="center" vertical="center"/>
      <protection locked="0"/>
    </xf>
    <xf numFmtId="44" fontId="23" fillId="0" borderId="61" xfId="15" applyFont="1" applyBorder="1" applyAlignment="1" applyProtection="1">
      <alignment horizontal="right" vertical="center" indent="1"/>
      <protection locked="0"/>
    </xf>
    <xf numFmtId="44" fontId="16" fillId="17" borderId="75" xfId="15" applyFont="1" applyFill="1" applyBorder="1"/>
    <xf numFmtId="44" fontId="15" fillId="17" borderId="73" xfId="15" applyFont="1" applyFill="1" applyBorder="1"/>
    <xf numFmtId="171" fontId="6" fillId="0" borderId="147" xfId="2" applyNumberFormat="1" applyFont="1" applyBorder="1" applyAlignment="1">
      <alignment horizontal="right" vertical="center"/>
    </xf>
    <xf numFmtId="171" fontId="6" fillId="0" borderId="148" xfId="2" applyNumberFormat="1" applyFont="1" applyBorder="1" applyAlignment="1">
      <alignment horizontal="right" vertical="center"/>
    </xf>
    <xf numFmtId="171" fontId="6" fillId="11" borderId="44" xfId="2" applyNumberFormat="1" applyFont="1" applyFill="1" applyBorder="1" applyAlignment="1">
      <alignment horizontal="right" vertical="center"/>
    </xf>
    <xf numFmtId="171" fontId="6" fillId="0" borderId="149" xfId="2" applyNumberFormat="1" applyFont="1" applyBorder="1" applyAlignment="1">
      <alignment horizontal="right" vertical="center"/>
    </xf>
    <xf numFmtId="171" fontId="6" fillId="11" borderId="58" xfId="2" applyNumberFormat="1" applyFont="1" applyFill="1" applyBorder="1" applyAlignment="1">
      <alignment horizontal="right" vertical="center"/>
    </xf>
    <xf numFmtId="171" fontId="7" fillId="17" borderId="151" xfId="2" applyNumberFormat="1" applyFont="1" applyFill="1" applyBorder="1" applyAlignment="1">
      <alignment horizontal="right" vertical="center"/>
    </xf>
    <xf numFmtId="171" fontId="7" fillId="17" borderId="103" xfId="2" applyNumberFormat="1" applyFont="1" applyFill="1" applyBorder="1" applyAlignment="1">
      <alignment horizontal="right" vertical="center"/>
    </xf>
    <xf numFmtId="171" fontId="6" fillId="0" borderId="152" xfId="2" applyNumberFormat="1" applyFont="1" applyBorder="1" applyAlignment="1">
      <alignment horizontal="right" vertical="center"/>
    </xf>
    <xf numFmtId="171" fontId="6" fillId="14" borderId="123" xfId="2" applyNumberFormat="1" applyFont="1" applyFill="1" applyBorder="1" applyAlignment="1">
      <alignment horizontal="right" vertical="center"/>
    </xf>
    <xf numFmtId="171" fontId="6" fillId="0" borderId="146" xfId="2" applyNumberFormat="1" applyFont="1" applyBorder="1" applyAlignment="1">
      <alignment horizontal="right" vertical="center"/>
    </xf>
    <xf numFmtId="171" fontId="6" fillId="14" borderId="17" xfId="2" applyNumberFormat="1" applyFont="1" applyFill="1" applyBorder="1" applyAlignment="1">
      <alignment horizontal="right" vertical="center"/>
    </xf>
    <xf numFmtId="171" fontId="6" fillId="0" borderId="155" xfId="2" applyNumberFormat="1" applyFont="1" applyBorder="1" applyAlignment="1">
      <alignment horizontal="right" vertical="center"/>
    </xf>
    <xf numFmtId="171" fontId="7" fillId="17" borderId="154" xfId="2" applyNumberFormat="1" applyFont="1" applyFill="1" applyBorder="1" applyAlignment="1">
      <alignment horizontal="right" vertical="center"/>
    </xf>
    <xf numFmtId="171" fontId="7" fillId="17" borderId="113" xfId="2" applyNumberFormat="1" applyFont="1" applyFill="1" applyBorder="1" applyAlignment="1">
      <alignment horizontal="right" vertical="center"/>
    </xf>
    <xf numFmtId="171" fontId="6" fillId="0" borderId="150" xfId="2" applyNumberFormat="1" applyFont="1" applyBorder="1" applyAlignment="1">
      <alignment horizontal="right" vertical="center"/>
    </xf>
    <xf numFmtId="171" fontId="7" fillId="17" borderId="161" xfId="2" applyNumberFormat="1" applyFont="1" applyFill="1" applyBorder="1" applyAlignment="1">
      <alignment horizontal="right" vertical="center"/>
    </xf>
    <xf numFmtId="171" fontId="6" fillId="0" borderId="145" xfId="2" applyNumberFormat="1" applyFont="1" applyBorder="1" applyAlignment="1">
      <alignment horizontal="right" vertical="center"/>
    </xf>
    <xf numFmtId="171" fontId="6" fillId="0" borderId="152" xfId="2" applyNumberFormat="1" applyFont="1" applyFill="1" applyBorder="1" applyAlignment="1">
      <alignment horizontal="right" vertical="center"/>
    </xf>
    <xf numFmtId="2" fontId="7" fillId="14" borderId="0" xfId="0" applyNumberFormat="1" applyFont="1" applyFill="1" applyAlignment="1">
      <alignment vertical="center" wrapText="1"/>
    </xf>
    <xf numFmtId="44" fontId="45" fillId="0" borderId="22" xfId="13" applyFont="1" applyBorder="1" applyAlignment="1">
      <alignment vertical="center"/>
    </xf>
    <xf numFmtId="44" fontId="45" fillId="12" borderId="7" xfId="13" applyFont="1" applyFill="1" applyBorder="1" applyAlignment="1">
      <alignment vertical="center"/>
    </xf>
    <xf numFmtId="44" fontId="45" fillId="0" borderId="0" xfId="13" applyFont="1" applyAlignment="1">
      <alignment vertical="center"/>
    </xf>
    <xf numFmtId="44" fontId="45" fillId="0" borderId="100" xfId="13" applyFont="1" applyBorder="1" applyAlignment="1">
      <alignment horizontal="center" vertical="center"/>
    </xf>
    <xf numFmtId="3" fontId="6" fillId="0" borderId="47" xfId="0" applyNumberFormat="1" applyFont="1" applyBorder="1" applyAlignment="1">
      <alignment vertical="center"/>
    </xf>
    <xf numFmtId="3" fontId="7" fillId="0" borderId="47" xfId="0" applyNumberFormat="1" applyFont="1" applyBorder="1" applyAlignment="1">
      <alignment vertical="center"/>
    </xf>
    <xf numFmtId="0" fontId="18" fillId="0" borderId="22" xfId="0" applyFont="1" applyBorder="1" applyAlignment="1">
      <alignment vertical="center"/>
    </xf>
    <xf numFmtId="3" fontId="18" fillId="0" borderId="22" xfId="0" applyNumberFormat="1" applyFont="1" applyBorder="1" applyAlignment="1">
      <alignment vertical="center"/>
    </xf>
    <xf numFmtId="3" fontId="18" fillId="8" borderId="22" xfId="0" applyNumberFormat="1" applyFont="1" applyFill="1" applyBorder="1" applyAlignment="1">
      <alignment vertical="center"/>
    </xf>
    <xf numFmtId="0" fontId="6" fillId="14" borderId="22" xfId="0" applyFont="1" applyFill="1" applyBorder="1" applyAlignment="1">
      <alignment horizontal="center" vertical="center"/>
    </xf>
    <xf numFmtId="44" fontId="6" fillId="14" borderId="22" xfId="0" applyNumberFormat="1" applyFont="1" applyFill="1" applyBorder="1" applyAlignment="1">
      <alignment horizontal="center" vertical="center"/>
    </xf>
    <xf numFmtId="171" fontId="6" fillId="0" borderId="29" xfId="2" applyNumberFormat="1" applyFont="1" applyBorder="1" applyAlignment="1">
      <alignment horizontal="right" vertical="center"/>
    </xf>
    <xf numFmtId="171" fontId="6" fillId="0" borderId="22" xfId="2" applyNumberFormat="1" applyFont="1" applyBorder="1" applyAlignment="1">
      <alignment horizontal="right" vertical="center"/>
    </xf>
    <xf numFmtId="171" fontId="6" fillId="0" borderId="17" xfId="2" applyNumberFormat="1" applyFont="1" applyBorder="1" applyAlignment="1">
      <alignment horizontal="right" vertical="center"/>
    </xf>
    <xf numFmtId="171" fontId="6" fillId="0" borderId="46" xfId="2" applyNumberFormat="1" applyFont="1" applyBorder="1" applyAlignment="1">
      <alignment horizontal="right" vertical="center"/>
    </xf>
    <xf numFmtId="171" fontId="6" fillId="0" borderId="38" xfId="2" applyNumberFormat="1" applyFont="1" applyBorder="1" applyAlignment="1">
      <alignment horizontal="right" vertical="center"/>
    </xf>
    <xf numFmtId="171" fontId="6" fillId="0" borderId="57" xfId="2" applyNumberFormat="1" applyFont="1" applyBorder="1" applyAlignment="1">
      <alignment horizontal="right" vertical="center"/>
    </xf>
    <xf numFmtId="171" fontId="6" fillId="0" borderId="42" xfId="2" applyNumberFormat="1" applyFont="1" applyBorder="1" applyAlignment="1">
      <alignment horizontal="right" vertical="center"/>
    </xf>
    <xf numFmtId="171" fontId="6" fillId="0" borderId="19" xfId="2" applyNumberFormat="1" applyFont="1" applyBorder="1" applyAlignment="1">
      <alignment horizontal="right" vertical="center"/>
    </xf>
    <xf numFmtId="171" fontId="6" fillId="0" borderId="44" xfId="2" applyNumberFormat="1" applyFont="1" applyBorder="1" applyAlignment="1">
      <alignment horizontal="right" vertical="center"/>
    </xf>
    <xf numFmtId="171" fontId="6" fillId="0" borderId="66" xfId="2" applyNumberFormat="1" applyFont="1" applyBorder="1" applyAlignment="1">
      <alignment horizontal="right" vertical="center"/>
    </xf>
    <xf numFmtId="171" fontId="6" fillId="0" borderId="55" xfId="2" applyNumberFormat="1" applyFont="1" applyBorder="1" applyAlignment="1">
      <alignment horizontal="right" vertical="center"/>
    </xf>
    <xf numFmtId="171" fontId="6" fillId="0" borderId="58" xfId="2" applyNumberFormat="1" applyFont="1" applyBorder="1" applyAlignment="1">
      <alignment horizontal="right" vertical="center"/>
    </xf>
    <xf numFmtId="171" fontId="6" fillId="0" borderId="24" xfId="2" applyNumberFormat="1" applyFont="1" applyBorder="1" applyAlignment="1">
      <alignment horizontal="right" vertical="center"/>
    </xf>
    <xf numFmtId="171" fontId="6" fillId="0" borderId="25" xfId="2" applyNumberFormat="1" applyFont="1" applyBorder="1" applyAlignment="1">
      <alignment horizontal="right" vertical="center"/>
    </xf>
    <xf numFmtId="171" fontId="6" fillId="0" borderId="56" xfId="2" applyNumberFormat="1" applyFont="1" applyBorder="1" applyAlignment="1">
      <alignment horizontal="right" vertical="center"/>
    </xf>
    <xf numFmtId="171" fontId="6" fillId="17" borderId="110" xfId="2" applyNumberFormat="1" applyFont="1" applyFill="1" applyBorder="1" applyAlignment="1">
      <alignment horizontal="right" vertical="center"/>
    </xf>
    <xf numFmtId="171" fontId="6" fillId="17" borderId="108" xfId="2" applyNumberFormat="1" applyFont="1" applyFill="1" applyBorder="1" applyAlignment="1">
      <alignment horizontal="right" vertical="center"/>
    </xf>
    <xf numFmtId="171" fontId="6" fillId="17" borderId="109" xfId="2" applyNumberFormat="1" applyFont="1" applyFill="1" applyBorder="1" applyAlignment="1">
      <alignment horizontal="right" vertical="center"/>
    </xf>
    <xf numFmtId="171" fontId="6" fillId="0" borderId="33" xfId="2" applyNumberFormat="1" applyFont="1" applyBorder="1" applyAlignment="1">
      <alignment horizontal="right" vertical="center"/>
    </xf>
    <xf numFmtId="171" fontId="6" fillId="0" borderId="28" xfId="2" applyNumberFormat="1" applyFont="1" applyBorder="1" applyAlignment="1">
      <alignment horizontal="right" vertical="center"/>
    </xf>
    <xf numFmtId="171" fontId="6" fillId="0" borderId="31" xfId="2" applyNumberFormat="1" applyFont="1" applyBorder="1" applyAlignment="1">
      <alignment horizontal="right" vertical="center"/>
    </xf>
    <xf numFmtId="171" fontId="6" fillId="17" borderId="115" xfId="2" applyNumberFormat="1" applyFont="1" applyFill="1" applyBorder="1" applyAlignment="1">
      <alignment horizontal="right" vertical="center"/>
    </xf>
    <xf numFmtId="171" fontId="6" fillId="17" borderId="21" xfId="2" applyNumberFormat="1" applyFont="1" applyFill="1" applyBorder="1" applyAlignment="1">
      <alignment horizontal="right" vertical="center"/>
    </xf>
    <xf numFmtId="171" fontId="6" fillId="17" borderId="4" xfId="2" applyNumberFormat="1" applyFont="1" applyFill="1" applyBorder="1" applyAlignment="1">
      <alignment horizontal="right" vertical="center"/>
    </xf>
    <xf numFmtId="171" fontId="6" fillId="0" borderId="68" xfId="2" applyNumberFormat="1" applyFont="1" applyBorder="1" applyAlignment="1">
      <alignment horizontal="right" vertical="center"/>
    </xf>
    <xf numFmtId="171" fontId="6" fillId="0" borderId="47" xfId="2" applyNumberFormat="1" applyFont="1" applyBorder="1" applyAlignment="1">
      <alignment horizontal="right" vertical="center"/>
    </xf>
    <xf numFmtId="171" fontId="6" fillId="0" borderId="67" xfId="2" applyNumberFormat="1" applyFont="1" applyBorder="1" applyAlignment="1">
      <alignment horizontal="right" vertical="center"/>
    </xf>
    <xf numFmtId="171" fontId="6" fillId="0" borderId="124" xfId="2" applyNumberFormat="1" applyFont="1" applyBorder="1" applyAlignment="1">
      <alignment horizontal="right" vertical="center"/>
    </xf>
    <xf numFmtId="171" fontId="6" fillId="0" borderId="43" xfId="2" applyNumberFormat="1" applyFont="1" applyBorder="1" applyAlignment="1">
      <alignment horizontal="right" vertical="center"/>
    </xf>
    <xf numFmtId="171" fontId="6" fillId="0" borderId="123" xfId="2" applyNumberFormat="1" applyFont="1" applyBorder="1" applyAlignment="1">
      <alignment horizontal="right" vertical="center"/>
    </xf>
    <xf numFmtId="171" fontId="6" fillId="0" borderId="104" xfId="2" applyNumberFormat="1" applyFont="1" applyBorder="1" applyAlignment="1">
      <alignment horizontal="right" vertical="center"/>
    </xf>
    <xf numFmtId="171" fontId="6" fillId="0" borderId="100" xfId="2" applyNumberFormat="1" applyFont="1" applyBorder="1" applyAlignment="1">
      <alignment horizontal="right" vertical="center"/>
    </xf>
    <xf numFmtId="171" fontId="6" fillId="0" borderId="105" xfId="2" applyNumberFormat="1" applyFont="1" applyBorder="1" applyAlignment="1">
      <alignment horizontal="right" vertical="center"/>
    </xf>
    <xf numFmtId="171" fontId="6" fillId="0" borderId="124" xfId="2" applyNumberFormat="1" applyFont="1" applyFill="1" applyBorder="1" applyAlignment="1">
      <alignment horizontal="right" vertical="center"/>
    </xf>
    <xf numFmtId="171" fontId="6" fillId="0" borderId="43" xfId="2" applyNumberFormat="1" applyFont="1" applyFill="1" applyBorder="1" applyAlignment="1">
      <alignment horizontal="right" vertical="center"/>
    </xf>
    <xf numFmtId="171" fontId="6" fillId="0" borderId="123" xfId="2" applyNumberFormat="1" applyFont="1" applyFill="1" applyBorder="1" applyAlignment="1">
      <alignment horizontal="right" vertical="center"/>
    </xf>
    <xf numFmtId="171" fontId="6" fillId="0" borderId="46" xfId="2" applyNumberFormat="1" applyFont="1" applyBorder="1" applyAlignment="1">
      <alignment vertical="center"/>
    </xf>
    <xf numFmtId="171" fontId="6" fillId="0" borderId="38" xfId="2" applyNumberFormat="1" applyFont="1" applyBorder="1" applyAlignment="1">
      <alignment vertical="center"/>
    </xf>
    <xf numFmtId="171" fontId="6" fillId="0" borderId="42" xfId="2" applyNumberFormat="1" applyFont="1" applyBorder="1" applyAlignment="1">
      <alignment vertical="center"/>
    </xf>
    <xf numFmtId="171" fontId="6" fillId="0" borderId="19" xfId="2" applyNumberFormat="1" applyFont="1" applyBorder="1" applyAlignment="1">
      <alignment vertical="center"/>
    </xf>
    <xf numFmtId="171" fontId="6" fillId="0" borderId="66" xfId="2" applyNumberFormat="1" applyFont="1" applyBorder="1" applyAlignment="1">
      <alignment vertical="center"/>
    </xf>
    <xf numFmtId="171" fontId="6" fillId="0" borderId="55" xfId="2" applyNumberFormat="1" applyFont="1" applyBorder="1" applyAlignment="1">
      <alignment vertical="center"/>
    </xf>
    <xf numFmtId="171" fontId="6" fillId="17" borderId="10" xfId="2" applyNumberFormat="1" applyFont="1" applyFill="1" applyBorder="1" applyAlignment="1">
      <alignment vertical="center"/>
    </xf>
    <xf numFmtId="171" fontId="6" fillId="17" borderId="7" xfId="2" applyNumberFormat="1" applyFont="1" applyFill="1" applyBorder="1" applyAlignment="1">
      <alignment vertical="center"/>
    </xf>
    <xf numFmtId="171" fontId="6" fillId="0" borderId="124" xfId="2" applyNumberFormat="1" applyFont="1" applyBorder="1" applyAlignment="1">
      <alignment vertical="center"/>
    </xf>
    <xf numFmtId="171" fontId="6" fillId="0" borderId="43" xfId="2" applyNumberFormat="1" applyFont="1" applyBorder="1" applyAlignment="1">
      <alignment vertical="center"/>
    </xf>
    <xf numFmtId="171" fontId="6" fillId="0" borderId="29" xfId="2" applyNumberFormat="1" applyFont="1" applyBorder="1" applyAlignment="1">
      <alignment vertical="center"/>
    </xf>
    <xf numFmtId="171" fontId="6" fillId="0" borderId="22" xfId="2" applyNumberFormat="1" applyFont="1" applyBorder="1" applyAlignment="1">
      <alignment vertical="center"/>
    </xf>
    <xf numFmtId="0" fontId="3" fillId="0" borderId="0" xfId="11" applyProtection="1">
      <protection locked="0"/>
    </xf>
    <xf numFmtId="0" fontId="43" fillId="0" borderId="0" xfId="11" applyFont="1" applyProtection="1">
      <protection locked="0"/>
    </xf>
    <xf numFmtId="171" fontId="6" fillId="6" borderId="42" xfId="2" applyNumberFormat="1" applyFont="1" applyFill="1" applyBorder="1" applyAlignment="1">
      <alignment vertical="center"/>
    </xf>
    <xf numFmtId="171" fontId="6" fillId="6" borderId="33" xfId="2" applyNumberFormat="1" applyFont="1" applyFill="1" applyBorder="1" applyAlignment="1">
      <alignment horizontal="right" vertical="center"/>
    </xf>
    <xf numFmtId="171" fontId="6" fillId="6" borderId="46" xfId="2" applyNumberFormat="1" applyFont="1" applyFill="1" applyBorder="1" applyAlignment="1">
      <alignment vertical="center"/>
    </xf>
    <xf numFmtId="0" fontId="58" fillId="0" borderId="0" xfId="0" applyFont="1"/>
    <xf numFmtId="0" fontId="59" fillId="0" borderId="0" xfId="0" applyFont="1"/>
    <xf numFmtId="0" fontId="60" fillId="0" borderId="0" xfId="0" applyFont="1"/>
    <xf numFmtId="14" fontId="61" fillId="0" borderId="0" xfId="0" applyNumberFormat="1" applyFont="1"/>
    <xf numFmtId="0" fontId="3" fillId="0" borderId="0" xfId="0" applyFont="1"/>
    <xf numFmtId="44" fontId="0" fillId="0" borderId="0" xfId="15" applyFont="1"/>
    <xf numFmtId="177" fontId="0" fillId="0" borderId="0" xfId="0" applyNumberFormat="1"/>
    <xf numFmtId="178" fontId="0" fillId="0" borderId="0" xfId="0" applyNumberFormat="1"/>
    <xf numFmtId="0" fontId="7" fillId="22" borderId="19" xfId="0" applyFont="1" applyFill="1" applyBorder="1" applyAlignment="1">
      <alignment vertical="center" textRotation="90" wrapText="1"/>
    </xf>
    <xf numFmtId="0" fontId="7" fillId="0" borderId="28" xfId="0" applyFont="1" applyBorder="1" applyAlignment="1">
      <alignment vertical="center" textRotation="90" wrapText="1"/>
    </xf>
    <xf numFmtId="168" fontId="7" fillId="0" borderId="28" xfId="0" applyNumberFormat="1" applyFont="1" applyBorder="1" applyAlignment="1">
      <alignment horizontal="left" vertical="center"/>
    </xf>
    <xf numFmtId="168" fontId="6" fillId="0" borderId="28" xfId="0" applyNumberFormat="1" applyFont="1" applyBorder="1" applyAlignment="1">
      <alignment horizontal="left" vertical="center" wrapText="1"/>
    </xf>
    <xf numFmtId="1" fontId="6" fillId="16" borderId="19" xfId="0" applyNumberFormat="1" applyFont="1" applyFill="1" applyBorder="1" applyAlignment="1">
      <alignment vertical="center"/>
    </xf>
    <xf numFmtId="0" fontId="6" fillId="0" borderId="162" xfId="0" applyFont="1" applyBorder="1" applyAlignment="1">
      <alignment vertical="center"/>
    </xf>
    <xf numFmtId="1" fontId="6" fillId="6" borderId="19" xfId="0" applyNumberFormat="1" applyFont="1" applyFill="1" applyBorder="1" applyAlignment="1">
      <alignment vertical="center"/>
    </xf>
    <xf numFmtId="0" fontId="7" fillId="6" borderId="19" xfId="0" applyFont="1" applyFill="1" applyBorder="1" applyAlignment="1">
      <alignment vertical="center" textRotation="90" wrapText="1"/>
    </xf>
    <xf numFmtId="0" fontId="7" fillId="23" borderId="28" xfId="0" applyFont="1" applyFill="1" applyBorder="1" applyAlignment="1">
      <alignment vertical="center" textRotation="90" wrapText="1"/>
    </xf>
    <xf numFmtId="1" fontId="6" fillId="23" borderId="19" xfId="0" applyNumberFormat="1" applyFont="1" applyFill="1" applyBorder="1" applyAlignment="1">
      <alignment vertical="center"/>
    </xf>
    <xf numFmtId="1" fontId="7" fillId="14" borderId="0" xfId="0" applyNumberFormat="1" applyFont="1" applyFill="1" applyAlignment="1">
      <alignment vertical="center" wrapText="1"/>
    </xf>
    <xf numFmtId="171" fontId="6" fillId="6" borderId="66" xfId="2" applyNumberFormat="1" applyFont="1" applyFill="1" applyBorder="1" applyAlignment="1">
      <alignment horizontal="right" vertical="center"/>
    </xf>
    <xf numFmtId="0" fontId="0" fillId="19" borderId="0" xfId="0" applyFill="1"/>
    <xf numFmtId="0" fontId="16" fillId="0" borderId="0" xfId="0" applyFont="1" applyAlignment="1">
      <alignment horizontal="right" vertical="center" wrapText="1"/>
    </xf>
    <xf numFmtId="0" fontId="7" fillId="0" borderId="0" xfId="0" applyFont="1" applyAlignment="1">
      <alignment horizontal="right" vertical="center" wrapText="1"/>
    </xf>
    <xf numFmtId="0" fontId="7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167" fontId="15" fillId="16" borderId="39" xfId="0" applyNumberFormat="1" applyFont="1" applyFill="1" applyBorder="1" applyAlignment="1">
      <alignment horizontal="right" vertical="center" wrapText="1"/>
    </xf>
    <xf numFmtId="4" fontId="6" fillId="16" borderId="50" xfId="0" applyNumberFormat="1" applyFont="1" applyFill="1" applyBorder="1" applyAlignment="1">
      <alignment horizontal="right" vertical="center" wrapText="1"/>
    </xf>
    <xf numFmtId="0" fontId="6" fillId="16" borderId="0" xfId="0" applyFont="1" applyFill="1" applyAlignment="1">
      <alignment vertical="center" wrapText="1"/>
    </xf>
    <xf numFmtId="0" fontId="63" fillId="0" borderId="0" xfId="0" applyFont="1"/>
    <xf numFmtId="171" fontId="6" fillId="8" borderId="19" xfId="2" applyNumberFormat="1" applyFont="1" applyFill="1" applyBorder="1" applyAlignment="1">
      <alignment horizontal="right" vertical="center"/>
    </xf>
    <xf numFmtId="167" fontId="15" fillId="20" borderId="39" xfId="0" applyNumberFormat="1" applyFont="1" applyFill="1" applyBorder="1" applyAlignment="1">
      <alignment horizontal="right" vertical="center" wrapText="1"/>
    </xf>
    <xf numFmtId="171" fontId="6" fillId="8" borderId="22" xfId="2" applyNumberFormat="1" applyFont="1" applyFill="1" applyBorder="1" applyAlignment="1">
      <alignment horizontal="right" vertical="center"/>
    </xf>
    <xf numFmtId="0" fontId="18" fillId="24" borderId="0" xfId="0" applyFont="1" applyFill="1" applyAlignment="1">
      <alignment vertical="center" wrapText="1"/>
    </xf>
    <xf numFmtId="14" fontId="18" fillId="0" borderId="0" xfId="0" applyNumberFormat="1" applyFont="1" applyAlignment="1">
      <alignment horizontal="center" vertical="center" wrapText="1"/>
    </xf>
    <xf numFmtId="171" fontId="6" fillId="8" borderId="55" xfId="2" applyNumberFormat="1" applyFont="1" applyFill="1" applyBorder="1" applyAlignment="1">
      <alignment horizontal="right" vertical="center"/>
    </xf>
    <xf numFmtId="171" fontId="6" fillId="0" borderId="42" xfId="2" applyNumberFormat="1" applyFont="1" applyFill="1" applyBorder="1" applyAlignment="1">
      <alignment vertical="center"/>
    </xf>
    <xf numFmtId="171" fontId="6" fillId="6" borderId="66" xfId="2" applyNumberFormat="1" applyFont="1" applyFill="1" applyBorder="1" applyAlignment="1">
      <alignment vertical="center"/>
    </xf>
    <xf numFmtId="179" fontId="15" fillId="0" borderId="0" xfId="0" applyNumberFormat="1" applyFont="1" applyAlignment="1">
      <alignment horizontal="center" vertical="center" wrapText="1"/>
    </xf>
    <xf numFmtId="167" fontId="6" fillId="8" borderId="39" xfId="0" applyNumberFormat="1" applyFont="1" applyFill="1" applyBorder="1" applyAlignment="1">
      <alignment horizontal="right" vertical="center" wrapText="1"/>
    </xf>
    <xf numFmtId="0" fontId="19" fillId="0" borderId="0" xfId="0" applyFont="1" applyAlignment="1">
      <alignment horizontal="center" vertical="center" wrapText="1"/>
    </xf>
    <xf numFmtId="4" fontId="16" fillId="0" borderId="0" xfId="0" applyNumberFormat="1" applyFont="1" applyAlignment="1">
      <alignment horizontal="center" vertical="center" wrapText="1"/>
    </xf>
    <xf numFmtId="14" fontId="16" fillId="0" borderId="0" xfId="0" applyNumberFormat="1" applyFont="1" applyAlignment="1" applyProtection="1">
      <alignment horizontal="center" vertical="center" wrapText="1"/>
      <protection locked="0"/>
    </xf>
    <xf numFmtId="0" fontId="19" fillId="8" borderId="0" xfId="0" applyFont="1" applyFill="1" applyAlignment="1">
      <alignment horizontal="center" vertical="center" wrapText="1"/>
    </xf>
    <xf numFmtId="0" fontId="18" fillId="0" borderId="30" xfId="0" applyFont="1" applyBorder="1" applyAlignment="1">
      <alignment horizontal="center" vertical="center" wrapText="1"/>
    </xf>
    <xf numFmtId="0" fontId="15" fillId="0" borderId="121" xfId="0" applyFont="1" applyBorder="1" applyAlignment="1" applyProtection="1">
      <alignment vertical="center" wrapText="1"/>
      <protection locked="0"/>
    </xf>
    <xf numFmtId="167" fontId="6" fillId="0" borderId="122" xfId="0" applyNumberFormat="1" applyFont="1" applyBorder="1" applyAlignment="1">
      <alignment horizontal="right" vertical="center" wrapText="1"/>
    </xf>
    <xf numFmtId="0" fontId="6" fillId="0" borderId="121" xfId="0" applyFont="1" applyBorder="1" applyAlignment="1" applyProtection="1">
      <alignment vertical="center" wrapText="1"/>
      <protection locked="0"/>
    </xf>
    <xf numFmtId="9" fontId="15" fillId="0" borderId="118" xfId="0" applyNumberFormat="1" applyFont="1" applyBorder="1" applyAlignment="1" applyProtection="1">
      <alignment horizontal="right" vertical="center" wrapText="1"/>
      <protection locked="0"/>
    </xf>
    <xf numFmtId="3" fontId="15" fillId="0" borderId="121" xfId="0" applyNumberFormat="1" applyFont="1" applyBorder="1" applyAlignment="1">
      <alignment horizontal="right" vertical="center" wrapText="1"/>
    </xf>
    <xf numFmtId="3" fontId="15" fillId="0" borderId="121" xfId="0" applyNumberFormat="1" applyFont="1" applyBorder="1" applyAlignment="1" applyProtection="1">
      <alignment horizontal="right" vertical="center" wrapText="1"/>
      <protection locked="0"/>
    </xf>
    <xf numFmtId="3" fontId="15" fillId="0" borderId="99" xfId="0" applyNumberFormat="1" applyFont="1" applyBorder="1" applyAlignment="1">
      <alignment horizontal="right" vertical="center" wrapText="1"/>
    </xf>
    <xf numFmtId="9" fontId="15" fillId="0" borderId="118" xfId="6" applyFont="1" applyBorder="1" applyAlignment="1" applyProtection="1">
      <alignment horizontal="right" vertical="center" wrapText="1"/>
      <protection locked="0"/>
    </xf>
    <xf numFmtId="9" fontId="6" fillId="0" borderId="0" xfId="5" applyFont="1" applyAlignment="1" applyProtection="1">
      <alignment vertical="center" wrapText="1"/>
      <protection locked="0"/>
    </xf>
    <xf numFmtId="3" fontId="15" fillId="6" borderId="12" xfId="0" applyNumberFormat="1" applyFont="1" applyFill="1" applyBorder="1" applyAlignment="1" applyProtection="1">
      <alignment horizontal="right" vertical="center" wrapText="1"/>
      <protection locked="0"/>
    </xf>
    <xf numFmtId="3" fontId="15" fillId="6" borderId="121" xfId="0" applyNumberFormat="1" applyFont="1" applyFill="1" applyBorder="1" applyAlignment="1" applyProtection="1">
      <alignment horizontal="right" vertical="center" wrapText="1"/>
      <protection locked="0"/>
    </xf>
    <xf numFmtId="0" fontId="68" fillId="11" borderId="0" xfId="0" applyFont="1" applyFill="1"/>
    <xf numFmtId="0" fontId="3" fillId="11" borderId="0" xfId="0" applyFont="1" applyFill="1"/>
    <xf numFmtId="0" fontId="67" fillId="11" borderId="0" xfId="0" applyFont="1" applyFill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" fontId="3" fillId="0" borderId="0" xfId="0" applyNumberFormat="1" applyFont="1" applyAlignment="1">
      <alignment horizontal="left" vertical="center"/>
    </xf>
    <xf numFmtId="1" fontId="0" fillId="0" borderId="0" xfId="0" applyNumberFormat="1" applyAlignment="1">
      <alignment horizontal="left" vertical="center"/>
    </xf>
    <xf numFmtId="0" fontId="69" fillId="0" borderId="0" xfId="0" applyFont="1" applyAlignment="1">
      <alignment horizontal="left" vertical="center"/>
    </xf>
    <xf numFmtId="9" fontId="7" fillId="0" borderId="19" xfId="0" applyNumberFormat="1" applyFont="1" applyBorder="1" applyAlignment="1">
      <alignment horizontal="center" vertical="center"/>
    </xf>
    <xf numFmtId="9" fontId="6" fillId="0" borderId="18" xfId="0" applyNumberFormat="1" applyFont="1" applyBorder="1" applyAlignment="1">
      <alignment vertical="center"/>
    </xf>
    <xf numFmtId="9" fontId="6" fillId="0" borderId="127" xfId="0" applyNumberFormat="1" applyFont="1" applyBorder="1" applyAlignment="1">
      <alignment vertical="center"/>
    </xf>
    <xf numFmtId="0" fontId="68" fillId="0" borderId="0" xfId="0" applyFont="1"/>
    <xf numFmtId="0" fontId="0" fillId="16" borderId="0" xfId="0" applyFill="1"/>
    <xf numFmtId="14" fontId="0" fillId="0" borderId="0" xfId="0" applyNumberFormat="1"/>
    <xf numFmtId="0" fontId="69" fillId="0" borderId="0" xfId="0" applyFont="1"/>
    <xf numFmtId="14" fontId="45" fillId="17" borderId="100" xfId="0" applyNumberFormat="1" applyFont="1" applyFill="1" applyBorder="1" applyAlignment="1">
      <alignment horizontal="center" vertical="center"/>
    </xf>
    <xf numFmtId="0" fontId="45" fillId="17" borderId="100" xfId="0" applyFont="1" applyFill="1" applyBorder="1" applyAlignment="1">
      <alignment horizontal="center" vertical="center" wrapText="1"/>
    </xf>
    <xf numFmtId="181" fontId="0" fillId="0" borderId="165" xfId="0" applyNumberFormat="1" applyBorder="1" applyAlignment="1" applyProtection="1">
      <alignment horizontal="center" vertical="center"/>
      <protection locked="0"/>
    </xf>
    <xf numFmtId="181" fontId="0" fillId="0" borderId="166" xfId="0" applyNumberFormat="1" applyBorder="1" applyAlignment="1" applyProtection="1">
      <alignment horizontal="center" vertical="center"/>
      <protection locked="0"/>
    </xf>
    <xf numFmtId="181" fontId="0" fillId="0" borderId="167" xfId="0" applyNumberFormat="1" applyBorder="1" applyAlignment="1" applyProtection="1">
      <alignment horizontal="center" vertical="center"/>
      <protection locked="0"/>
    </xf>
    <xf numFmtId="181" fontId="0" fillId="0" borderId="168" xfId="0" applyNumberFormat="1" applyBorder="1" applyAlignment="1" applyProtection="1">
      <alignment horizontal="center" vertical="center"/>
      <protection locked="0"/>
    </xf>
    <xf numFmtId="181" fontId="0" fillId="0" borderId="169" xfId="0" applyNumberFormat="1" applyBorder="1" applyAlignment="1" applyProtection="1">
      <alignment horizontal="center" vertical="center"/>
      <protection locked="0"/>
    </xf>
    <xf numFmtId="181" fontId="0" fillId="0" borderId="170" xfId="0" applyNumberFormat="1" applyBorder="1" applyAlignment="1" applyProtection="1">
      <alignment horizontal="center" vertical="center"/>
      <protection locked="0"/>
    </xf>
    <xf numFmtId="171" fontId="6" fillId="0" borderId="25" xfId="2" applyNumberFormat="1" applyFont="1" applyFill="1" applyBorder="1" applyAlignment="1">
      <alignment horizontal="right" vertical="center"/>
    </xf>
    <xf numFmtId="167" fontId="6" fillId="6" borderId="39" xfId="0" applyNumberFormat="1" applyFont="1" applyFill="1" applyBorder="1" applyAlignment="1">
      <alignment horizontal="right" vertical="center" wrapText="1"/>
    </xf>
    <xf numFmtId="167" fontId="6" fillId="6" borderId="122" xfId="0" applyNumberFormat="1" applyFont="1" applyFill="1" applyBorder="1" applyAlignment="1">
      <alignment horizontal="right" vertical="center" wrapText="1"/>
    </xf>
    <xf numFmtId="3" fontId="15" fillId="0" borderId="76" xfId="0" applyNumberFormat="1" applyFont="1" applyBorder="1" applyAlignment="1">
      <alignment horizontal="right" vertical="center" wrapText="1"/>
    </xf>
    <xf numFmtId="3" fontId="15" fillId="0" borderId="76" xfId="0" applyNumberFormat="1" applyFont="1" applyBorder="1" applyAlignment="1" applyProtection="1">
      <alignment horizontal="right" vertical="center" wrapText="1"/>
      <protection locked="0"/>
    </xf>
    <xf numFmtId="3" fontId="15" fillId="0" borderId="79" xfId="0" applyNumberFormat="1" applyFont="1" applyBorder="1" applyAlignment="1">
      <alignment horizontal="right" vertical="center" wrapText="1"/>
    </xf>
    <xf numFmtId="9" fontId="15" fillId="0" borderId="77" xfId="6" applyFont="1" applyFill="1" applyBorder="1" applyAlignment="1" applyProtection="1">
      <alignment horizontal="right" vertical="center" wrapText="1"/>
      <protection locked="0"/>
    </xf>
    <xf numFmtId="167" fontId="6" fillId="16" borderId="122" xfId="0" applyNumberFormat="1" applyFont="1" applyFill="1" applyBorder="1" applyAlignment="1">
      <alignment horizontal="right" vertical="center" wrapText="1"/>
    </xf>
    <xf numFmtId="0" fontId="6" fillId="8" borderId="12" xfId="0" applyFont="1" applyFill="1" applyBorder="1" applyAlignment="1" applyProtection="1">
      <alignment vertical="center" wrapText="1"/>
      <protection locked="0"/>
    </xf>
    <xf numFmtId="171" fontId="6" fillId="8" borderId="38" xfId="2" applyNumberFormat="1" applyFont="1" applyFill="1" applyBorder="1" applyAlignment="1">
      <alignment horizontal="right" vertical="center"/>
    </xf>
    <xf numFmtId="0" fontId="6" fillId="8" borderId="0" xfId="0" applyFont="1" applyFill="1" applyAlignment="1">
      <alignment vertical="center" wrapText="1"/>
    </xf>
    <xf numFmtId="0" fontId="7" fillId="12" borderId="119" xfId="0" applyFont="1" applyFill="1" applyBorder="1" applyAlignment="1" applyProtection="1">
      <alignment horizontal="center" vertical="center" textRotation="90" wrapText="1"/>
      <protection locked="0"/>
    </xf>
    <xf numFmtId="0" fontId="7" fillId="12" borderId="116" xfId="0" applyFont="1" applyFill="1" applyBorder="1" applyAlignment="1" applyProtection="1">
      <alignment horizontal="center" vertical="center" textRotation="90" wrapText="1"/>
      <protection locked="0"/>
    </xf>
    <xf numFmtId="0" fontId="7" fillId="12" borderId="117" xfId="0" applyFont="1" applyFill="1" applyBorder="1" applyAlignment="1" applyProtection="1">
      <alignment horizontal="center" vertical="center" textRotation="90" wrapText="1"/>
      <protection locked="0"/>
    </xf>
    <xf numFmtId="0" fontId="18" fillId="8" borderId="0" xfId="0" applyFont="1" applyFill="1" applyAlignment="1">
      <alignment horizontal="center" vertical="center" wrapText="1"/>
    </xf>
    <xf numFmtId="0" fontId="66" fillId="0" borderId="0" xfId="0" applyFont="1" applyAlignment="1">
      <alignment horizontal="center" vertical="center" wrapText="1"/>
    </xf>
    <xf numFmtId="44" fontId="23" fillId="0" borderId="61" xfId="15" applyFont="1" applyBorder="1" applyAlignment="1" applyProtection="1">
      <alignment horizontal="left" vertical="center" indent="1"/>
      <protection locked="0"/>
    </xf>
    <xf numFmtId="171" fontId="6" fillId="6" borderId="28" xfId="2" applyNumberFormat="1" applyFont="1" applyFill="1" applyBorder="1" applyAlignment="1">
      <alignment horizontal="right" vertical="center"/>
    </xf>
    <xf numFmtId="171" fontId="6" fillId="6" borderId="19" xfId="2" applyNumberFormat="1" applyFont="1" applyFill="1" applyBorder="1" applyAlignment="1">
      <alignment horizontal="right" vertical="center"/>
    </xf>
    <xf numFmtId="171" fontId="6" fillId="6" borderId="22" xfId="2" applyNumberFormat="1" applyFont="1" applyFill="1" applyBorder="1" applyAlignment="1">
      <alignment horizontal="right" vertical="center"/>
    </xf>
    <xf numFmtId="171" fontId="6" fillId="6" borderId="38" xfId="2" applyNumberFormat="1" applyFont="1" applyFill="1" applyBorder="1" applyAlignment="1">
      <alignment horizontal="right" vertical="center"/>
    </xf>
    <xf numFmtId="171" fontId="6" fillId="6" borderId="25" xfId="2" applyNumberFormat="1" applyFont="1" applyFill="1" applyBorder="1" applyAlignment="1">
      <alignment horizontal="right" vertical="center"/>
    </xf>
    <xf numFmtId="171" fontId="6" fillId="6" borderId="19" xfId="2" applyNumberFormat="1" applyFont="1" applyFill="1" applyBorder="1" applyAlignment="1">
      <alignment vertical="center"/>
    </xf>
    <xf numFmtId="2" fontId="6" fillId="6" borderId="47" xfId="13" applyNumberFormat="1" applyFont="1" applyFill="1" applyBorder="1" applyAlignment="1">
      <alignment vertical="center"/>
    </xf>
    <xf numFmtId="2" fontId="6" fillId="6" borderId="19" xfId="13" applyNumberFormat="1" applyFont="1" applyFill="1" applyBorder="1" applyAlignment="1">
      <alignment vertical="center"/>
    </xf>
    <xf numFmtId="44" fontId="6" fillId="6" borderId="19" xfId="15" applyFont="1" applyFill="1" applyBorder="1" applyAlignment="1" applyProtection="1">
      <alignment horizontal="right" vertical="center"/>
      <protection locked="0"/>
    </xf>
    <xf numFmtId="171" fontId="6" fillId="0" borderId="19" xfId="2" applyNumberFormat="1" applyFont="1" applyFill="1" applyBorder="1" applyAlignment="1">
      <alignment horizontal="right" vertical="center"/>
    </xf>
    <xf numFmtId="171" fontId="6" fillId="6" borderId="43" xfId="2" applyNumberFormat="1" applyFont="1" applyFill="1" applyBorder="1" applyAlignment="1">
      <alignment horizontal="right" vertical="center"/>
    </xf>
    <xf numFmtId="2" fontId="6" fillId="6" borderId="55" xfId="13" applyNumberFormat="1" applyFont="1" applyFill="1" applyBorder="1" applyAlignment="1">
      <alignment vertical="center"/>
    </xf>
    <xf numFmtId="171" fontId="6" fillId="6" borderId="55" xfId="2" applyNumberFormat="1" applyFont="1" applyFill="1" applyBorder="1" applyAlignment="1">
      <alignment horizontal="right" vertical="center"/>
    </xf>
    <xf numFmtId="171" fontId="6" fillId="6" borderId="22" xfId="2" applyNumberFormat="1" applyFont="1" applyFill="1" applyBorder="1" applyAlignment="1">
      <alignment vertical="center"/>
    </xf>
    <xf numFmtId="4" fontId="6" fillId="6" borderId="38" xfId="0" applyNumberFormat="1" applyFont="1" applyFill="1" applyBorder="1" applyAlignment="1">
      <alignment vertical="center"/>
    </xf>
    <xf numFmtId="4" fontId="6" fillId="6" borderId="19" xfId="0" applyNumberFormat="1" applyFont="1" applyFill="1" applyBorder="1" applyAlignment="1">
      <alignment vertical="center"/>
    </xf>
    <xf numFmtId="4" fontId="6" fillId="6" borderId="55" xfId="0" applyNumberFormat="1" applyFont="1" applyFill="1" applyBorder="1" applyAlignment="1">
      <alignment vertical="center"/>
    </xf>
    <xf numFmtId="3" fontId="6" fillId="8" borderId="47" xfId="0" applyNumberFormat="1" applyFont="1" applyFill="1" applyBorder="1" applyAlignment="1">
      <alignment vertical="center"/>
    </xf>
    <xf numFmtId="0" fontId="6" fillId="8" borderId="0" xfId="0" applyFont="1" applyFill="1" applyAlignment="1">
      <alignment vertical="center"/>
    </xf>
    <xf numFmtId="0" fontId="20" fillId="8" borderId="0" xfId="0" applyFont="1" applyFill="1" applyAlignment="1">
      <alignment vertical="center"/>
    </xf>
    <xf numFmtId="0" fontId="6" fillId="27" borderId="8" xfId="0" applyFont="1" applyFill="1" applyBorder="1" applyAlignment="1" applyProtection="1">
      <alignment horizontal="center" vertical="center"/>
      <protection locked="0"/>
    </xf>
    <xf numFmtId="171" fontId="6" fillId="6" borderId="38" xfId="2" applyNumberFormat="1" applyFont="1" applyFill="1" applyBorder="1" applyAlignment="1">
      <alignment vertical="center"/>
    </xf>
    <xf numFmtId="44" fontId="6" fillId="0" borderId="0" xfId="0" applyNumberFormat="1" applyFont="1" applyAlignment="1" applyProtection="1">
      <alignment vertical="center"/>
      <protection locked="0"/>
    </xf>
    <xf numFmtId="0" fontId="6" fillId="0" borderId="118" xfId="0" applyFont="1" applyBorder="1" applyAlignment="1" applyProtection="1">
      <alignment horizontal="left" vertical="center" wrapText="1" indent="2"/>
      <protection locked="0"/>
    </xf>
    <xf numFmtId="171" fontId="20" fillId="0" borderId="43" xfId="2" applyNumberFormat="1" applyFont="1" applyBorder="1" applyAlignment="1">
      <alignment horizontal="right" vertical="center"/>
    </xf>
    <xf numFmtId="171" fontId="20" fillId="0" borderId="43" xfId="2" applyNumberFormat="1" applyFont="1" applyBorder="1" applyAlignment="1">
      <alignment horizontal="left" vertical="center"/>
    </xf>
    <xf numFmtId="0" fontId="1" fillId="0" borderId="0" xfId="16"/>
    <xf numFmtId="0" fontId="1" fillId="0" borderId="22" xfId="16" applyBorder="1"/>
    <xf numFmtId="44" fontId="72" fillId="0" borderId="22" xfId="16" applyNumberFormat="1" applyFont="1" applyBorder="1"/>
    <xf numFmtId="44" fontId="0" fillId="7" borderId="22" xfId="17" applyFont="1" applyFill="1" applyBorder="1"/>
    <xf numFmtId="0" fontId="1" fillId="7" borderId="22" xfId="16" applyFill="1" applyBorder="1"/>
    <xf numFmtId="44" fontId="0" fillId="0" borderId="22" xfId="17" applyFont="1" applyBorder="1"/>
    <xf numFmtId="0" fontId="73" fillId="0" borderId="22" xfId="16" applyFont="1" applyBorder="1" applyAlignment="1">
      <alignment horizontal="center" vertical="center"/>
    </xf>
    <xf numFmtId="171" fontId="15" fillId="6" borderId="22" xfId="2" applyNumberFormat="1" applyFont="1" applyFill="1" applyBorder="1" applyAlignment="1">
      <alignment horizontal="right" vertical="center"/>
    </xf>
    <xf numFmtId="44" fontId="6" fillId="16" borderId="19" xfId="15" applyFont="1" applyFill="1" applyBorder="1" applyAlignment="1" applyProtection="1">
      <alignment horizontal="right" vertical="center"/>
      <protection locked="0"/>
    </xf>
    <xf numFmtId="171" fontId="20" fillId="0" borderId="22" xfId="2" applyNumberFormat="1" applyFont="1" applyBorder="1" applyAlignment="1">
      <alignment vertical="center"/>
    </xf>
    <xf numFmtId="171" fontId="20" fillId="0" borderId="42" xfId="2" applyNumberFormat="1" applyFont="1" applyBorder="1" applyAlignment="1">
      <alignment vertical="center"/>
    </xf>
    <xf numFmtId="171" fontId="6" fillId="0" borderId="38" xfId="2" applyNumberFormat="1" applyFont="1" applyFill="1" applyBorder="1" applyAlignment="1">
      <alignment horizontal="right" vertical="center"/>
    </xf>
    <xf numFmtId="171" fontId="6" fillId="0" borderId="55" xfId="2" applyNumberFormat="1" applyFont="1" applyFill="1" applyBorder="1" applyAlignment="1">
      <alignment horizontal="right" vertical="center"/>
    </xf>
    <xf numFmtId="171" fontId="6" fillId="0" borderId="28" xfId="2" applyNumberFormat="1" applyFont="1" applyFill="1" applyBorder="1" applyAlignment="1">
      <alignment horizontal="right" vertical="center"/>
    </xf>
    <xf numFmtId="171" fontId="20" fillId="0" borderId="19" xfId="2" applyNumberFormat="1" applyFont="1" applyBorder="1" applyAlignment="1">
      <alignment horizontal="right" vertical="center"/>
    </xf>
    <xf numFmtId="171" fontId="20" fillId="0" borderId="55" xfId="2" applyNumberFormat="1" applyFont="1" applyBorder="1" applyAlignment="1">
      <alignment horizontal="right" vertical="center"/>
    </xf>
    <xf numFmtId="17" fontId="6" fillId="0" borderId="0" xfId="0" quotePrefix="1" applyNumberFormat="1" applyFont="1" applyAlignment="1">
      <alignment vertical="center" wrapText="1"/>
    </xf>
    <xf numFmtId="171" fontId="20" fillId="14" borderId="57" xfId="2" applyNumberFormat="1" applyFont="1" applyFill="1" applyBorder="1" applyAlignment="1">
      <alignment horizontal="right" vertical="center"/>
    </xf>
    <xf numFmtId="171" fontId="20" fillId="0" borderId="47" xfId="2" applyNumberFormat="1" applyFont="1" applyBorder="1" applyAlignment="1">
      <alignment horizontal="right" vertical="center"/>
    </xf>
    <xf numFmtId="0" fontId="6" fillId="0" borderId="0" xfId="8" applyNumberFormat="1" applyFont="1" applyFill="1" applyAlignment="1">
      <alignment vertical="center"/>
    </xf>
    <xf numFmtId="171" fontId="20" fillId="0" borderId="19" xfId="2" applyNumberFormat="1" applyFont="1" applyBorder="1" applyAlignment="1">
      <alignment vertical="center"/>
    </xf>
    <xf numFmtId="0" fontId="20" fillId="0" borderId="0" xfId="0" applyFont="1" applyAlignment="1" applyProtection="1">
      <alignment vertical="center" wrapText="1"/>
      <protection locked="0"/>
    </xf>
    <xf numFmtId="171" fontId="15" fillId="14" borderId="126" xfId="2" applyNumberFormat="1" applyFont="1" applyFill="1" applyBorder="1" applyAlignment="1">
      <alignment horizontal="right" vertical="center"/>
    </xf>
    <xf numFmtId="167" fontId="16" fillId="14" borderId="0" xfId="0" applyNumberFormat="1" applyFont="1" applyFill="1" applyAlignment="1">
      <alignment vertical="center" wrapText="1"/>
    </xf>
    <xf numFmtId="44" fontId="23" fillId="6" borderId="98" xfId="15" applyFont="1" applyFill="1" applyBorder="1" applyAlignment="1" applyProtection="1">
      <alignment horizontal="right" vertical="center" indent="1"/>
      <protection locked="0"/>
    </xf>
    <xf numFmtId="171" fontId="15" fillId="8" borderId="43" xfId="2" applyNumberFormat="1" applyFont="1" applyFill="1" applyBorder="1" applyAlignment="1">
      <alignment horizontal="right" vertical="center"/>
    </xf>
    <xf numFmtId="0" fontId="6" fillId="8" borderId="0" xfId="0" applyFont="1" applyFill="1"/>
    <xf numFmtId="8" fontId="6" fillId="8" borderId="0" xfId="0" applyNumberFormat="1" applyFont="1" applyFill="1"/>
    <xf numFmtId="171" fontId="15" fillId="6" borderId="28" xfId="2" applyNumberFormat="1" applyFont="1" applyFill="1" applyBorder="1" applyAlignment="1">
      <alignment horizontal="right" vertical="center"/>
    </xf>
    <xf numFmtId="171" fontId="15" fillId="6" borderId="38" xfId="2" applyNumberFormat="1" applyFont="1" applyFill="1" applyBorder="1" applyAlignment="1">
      <alignment horizontal="right" vertical="center"/>
    </xf>
    <xf numFmtId="44" fontId="23" fillId="0" borderId="98" xfId="15" applyFont="1" applyFill="1" applyBorder="1" applyAlignment="1" applyProtection="1">
      <alignment horizontal="right" vertical="center" indent="1"/>
      <protection locked="0"/>
    </xf>
    <xf numFmtId="171" fontId="6" fillId="8" borderId="25" xfId="2" applyNumberFormat="1" applyFont="1" applyFill="1" applyBorder="1" applyAlignment="1">
      <alignment horizontal="right" vertical="center"/>
    </xf>
    <xf numFmtId="171" fontId="15" fillId="6" borderId="43" xfId="2" applyNumberFormat="1" applyFont="1" applyFill="1" applyBorder="1" applyAlignment="1">
      <alignment horizontal="right" vertical="center"/>
    </xf>
    <xf numFmtId="171" fontId="15" fillId="0" borderId="22" xfId="2" applyNumberFormat="1" applyFont="1" applyBorder="1" applyAlignment="1">
      <alignment horizontal="right" vertical="center"/>
    </xf>
    <xf numFmtId="171" fontId="15" fillId="11" borderId="128" xfId="2" applyNumberFormat="1" applyFont="1" applyFill="1" applyBorder="1" applyAlignment="1">
      <alignment horizontal="right" vertical="center"/>
    </xf>
    <xf numFmtId="171" fontId="15" fillId="11" borderId="13" xfId="2" applyNumberFormat="1" applyFont="1" applyFill="1" applyBorder="1" applyAlignment="1">
      <alignment horizontal="right" vertical="center"/>
    </xf>
    <xf numFmtId="171" fontId="15" fillId="14" borderId="87" xfId="2" applyNumberFormat="1" applyFont="1" applyFill="1" applyBorder="1" applyAlignment="1">
      <alignment horizontal="right" vertical="center"/>
    </xf>
    <xf numFmtId="171" fontId="15" fillId="14" borderId="94" xfId="2" applyNumberFormat="1" applyFont="1" applyFill="1" applyBorder="1" applyAlignment="1">
      <alignment horizontal="right" vertical="center"/>
    </xf>
    <xf numFmtId="171" fontId="16" fillId="17" borderId="113" xfId="2" applyNumberFormat="1" applyFont="1" applyFill="1" applyBorder="1" applyAlignment="1">
      <alignment horizontal="right" vertical="center"/>
    </xf>
    <xf numFmtId="171" fontId="15" fillId="14" borderId="31" xfId="2" applyNumberFormat="1" applyFont="1" applyFill="1" applyBorder="1" applyAlignment="1">
      <alignment horizontal="right" vertical="center"/>
    </xf>
    <xf numFmtId="171" fontId="15" fillId="14" borderId="57" xfId="2" applyNumberFormat="1" applyFont="1" applyFill="1" applyBorder="1" applyAlignment="1">
      <alignment horizontal="right" vertical="center"/>
    </xf>
    <xf numFmtId="171" fontId="15" fillId="11" borderId="44" xfId="2" applyNumberFormat="1" applyFont="1" applyFill="1" applyBorder="1" applyAlignment="1">
      <alignment horizontal="right" vertical="center"/>
    </xf>
    <xf numFmtId="171" fontId="15" fillId="11" borderId="58" xfId="2" applyNumberFormat="1" applyFont="1" applyFill="1" applyBorder="1" applyAlignment="1">
      <alignment horizontal="right" vertical="center"/>
    </xf>
    <xf numFmtId="171" fontId="15" fillId="14" borderId="17" xfId="2" applyNumberFormat="1" applyFont="1" applyFill="1" applyBorder="1" applyAlignment="1">
      <alignment horizontal="right" vertical="center"/>
    </xf>
    <xf numFmtId="171" fontId="16" fillId="17" borderId="4" xfId="2" applyNumberFormat="1" applyFont="1" applyFill="1" applyBorder="1" applyAlignment="1">
      <alignment horizontal="right" vertical="center"/>
    </xf>
    <xf numFmtId="171" fontId="15" fillId="14" borderId="88" xfId="2" applyNumberFormat="1" applyFont="1" applyFill="1" applyBorder="1" applyAlignment="1">
      <alignment horizontal="right" vertical="center"/>
    </xf>
    <xf numFmtId="171" fontId="15" fillId="11" borderId="55" xfId="2" applyNumberFormat="1" applyFont="1" applyFill="1" applyBorder="1" applyAlignment="1">
      <alignment horizontal="right" vertical="center"/>
    </xf>
    <xf numFmtId="171" fontId="15" fillId="14" borderId="96" xfId="2" applyNumberFormat="1" applyFont="1" applyFill="1" applyBorder="1" applyAlignment="1">
      <alignment horizontal="right" vertical="center"/>
    </xf>
    <xf numFmtId="171" fontId="15" fillId="14" borderId="130" xfId="2" applyNumberFormat="1" applyFont="1" applyFill="1" applyBorder="1" applyAlignment="1">
      <alignment horizontal="right" vertical="center"/>
    </xf>
    <xf numFmtId="171" fontId="15" fillId="11" borderId="132" xfId="2" applyNumberFormat="1" applyFont="1" applyFill="1" applyBorder="1" applyAlignment="1">
      <alignment horizontal="right" vertical="center"/>
    </xf>
    <xf numFmtId="171" fontId="15" fillId="14" borderId="22" xfId="2" applyNumberFormat="1" applyFont="1" applyFill="1" applyBorder="1" applyAlignment="1">
      <alignment horizontal="right" vertical="center"/>
    </xf>
    <xf numFmtId="0" fontId="12" fillId="10" borderId="51" xfId="11" applyFont="1" applyFill="1" applyBorder="1" applyAlignment="1">
      <alignment horizontal="center" vertical="center"/>
    </xf>
    <xf numFmtId="0" fontId="12" fillId="10" borderId="8" xfId="11" applyFont="1" applyFill="1" applyBorder="1" applyAlignment="1">
      <alignment horizontal="center" vertical="center"/>
    </xf>
    <xf numFmtId="0" fontId="12" fillId="10" borderId="45" xfId="11" applyFont="1" applyFill="1" applyBorder="1" applyAlignment="1">
      <alignment horizontal="center" vertical="center"/>
    </xf>
    <xf numFmtId="171" fontId="20" fillId="0" borderId="44" xfId="2" applyNumberFormat="1" applyFont="1" applyBorder="1" applyAlignment="1">
      <alignment horizontal="center" vertical="center"/>
    </xf>
    <xf numFmtId="171" fontId="20" fillId="0" borderId="36" xfId="2" applyNumberFormat="1" applyFont="1" applyBorder="1" applyAlignment="1">
      <alignment horizontal="center" vertical="center"/>
    </xf>
    <xf numFmtId="171" fontId="20" fillId="0" borderId="42" xfId="2" applyNumberFormat="1" applyFont="1" applyBorder="1" applyAlignment="1">
      <alignment horizontal="center" vertical="center"/>
    </xf>
    <xf numFmtId="0" fontId="19" fillId="10" borderId="51" xfId="0" applyFont="1" applyFill="1" applyBorder="1" applyAlignment="1">
      <alignment horizontal="center" vertical="center"/>
    </xf>
    <xf numFmtId="0" fontId="19" fillId="10" borderId="8" xfId="0" applyFont="1" applyFill="1" applyBorder="1" applyAlignment="1">
      <alignment horizontal="center" vertical="center"/>
    </xf>
    <xf numFmtId="0" fontId="19" fillId="10" borderId="45" xfId="0" applyFont="1" applyFill="1" applyBorder="1" applyAlignment="1">
      <alignment horizontal="center" vertical="center"/>
    </xf>
    <xf numFmtId="0" fontId="7" fillId="3" borderId="51" xfId="0" applyFont="1" applyFill="1" applyBorder="1" applyAlignment="1" applyProtection="1">
      <alignment horizontal="center" vertical="center" wrapText="1"/>
      <protection locked="0"/>
    </xf>
    <xf numFmtId="0" fontId="7" fillId="3" borderId="8" xfId="0" applyFont="1" applyFill="1" applyBorder="1" applyAlignment="1" applyProtection="1">
      <alignment horizontal="center" vertical="center" wrapText="1"/>
      <protection locked="0"/>
    </xf>
    <xf numFmtId="0" fontId="7" fillId="13" borderId="51" xfId="0" applyFont="1" applyFill="1" applyBorder="1" applyAlignment="1" applyProtection="1">
      <alignment horizontal="center" vertical="center" wrapText="1"/>
      <protection locked="0"/>
    </xf>
    <xf numFmtId="0" fontId="7" fillId="13" borderId="8" xfId="0" applyFont="1" applyFill="1" applyBorder="1" applyAlignment="1" applyProtection="1">
      <alignment horizontal="center" vertical="center" wrapText="1"/>
      <protection locked="0"/>
    </xf>
    <xf numFmtId="0" fontId="7" fillId="13" borderId="45" xfId="0" applyFont="1" applyFill="1" applyBorder="1" applyAlignment="1" applyProtection="1">
      <alignment horizontal="center" vertical="center" wrapText="1"/>
      <protection locked="0"/>
    </xf>
    <xf numFmtId="0" fontId="7" fillId="18" borderId="51" xfId="0" applyFont="1" applyFill="1" applyBorder="1" applyAlignment="1" applyProtection="1">
      <alignment horizontal="center" vertical="center" wrapText="1"/>
      <protection locked="0"/>
    </xf>
    <xf numFmtId="0" fontId="7" fillId="18" borderId="8" xfId="0" applyFont="1" applyFill="1" applyBorder="1" applyAlignment="1" applyProtection="1">
      <alignment horizontal="center" vertical="center" wrapText="1"/>
      <protection locked="0"/>
    </xf>
    <xf numFmtId="0" fontId="7" fillId="18" borderId="45" xfId="0" applyFont="1" applyFill="1" applyBorder="1" applyAlignment="1" applyProtection="1">
      <alignment horizontal="center" vertical="center" wrapText="1"/>
      <protection locked="0"/>
    </xf>
    <xf numFmtId="0" fontId="16" fillId="6" borderId="51" xfId="0" applyFont="1" applyFill="1" applyBorder="1" applyAlignment="1">
      <alignment horizontal="center" vertical="center"/>
    </xf>
    <xf numFmtId="0" fontId="16" fillId="6" borderId="45" xfId="0" applyFont="1" applyFill="1" applyBorder="1" applyAlignment="1">
      <alignment horizontal="center" vertical="center"/>
    </xf>
    <xf numFmtId="0" fontId="7" fillId="0" borderId="93" xfId="0" applyFont="1" applyBorder="1" applyAlignment="1" applyProtection="1">
      <alignment horizontal="right" vertical="center" wrapText="1"/>
      <protection locked="0"/>
    </xf>
    <xf numFmtId="0" fontId="7" fillId="0" borderId="1" xfId="0" applyFont="1" applyBorder="1" applyAlignment="1" applyProtection="1">
      <alignment horizontal="right" vertical="center" wrapText="1"/>
      <protection locked="0"/>
    </xf>
    <xf numFmtId="0" fontId="7" fillId="0" borderId="2" xfId="0" applyFont="1" applyBorder="1" applyAlignment="1" applyProtection="1">
      <alignment horizontal="right" vertical="center" wrapText="1"/>
      <protection locked="0"/>
    </xf>
    <xf numFmtId="0" fontId="7" fillId="0" borderId="3" xfId="0" applyFont="1" applyBorder="1" applyAlignment="1" applyProtection="1">
      <alignment horizontal="right" vertical="center" wrapText="1"/>
      <protection locked="0"/>
    </xf>
    <xf numFmtId="0" fontId="7" fillId="0" borderId="14" xfId="0" applyFont="1" applyBorder="1" applyAlignment="1" applyProtection="1">
      <alignment horizontal="right" vertical="center" wrapText="1"/>
      <protection locked="0"/>
    </xf>
    <xf numFmtId="0" fontId="7" fillId="0" borderId="34" xfId="0" applyFont="1" applyBorder="1" applyAlignment="1" applyProtection="1">
      <alignment horizontal="right" vertical="center" wrapText="1"/>
      <protection locked="0"/>
    </xf>
    <xf numFmtId="180" fontId="70" fillId="12" borderId="27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2" borderId="28" xfId="0" applyNumberFormat="1" applyFont="1" applyFill="1" applyBorder="1" applyAlignment="1" applyProtection="1">
      <alignment horizontal="center" vertical="center" textRotation="90" wrapText="1"/>
      <protection locked="0"/>
    </xf>
    <xf numFmtId="0" fontId="16" fillId="0" borderId="57" xfId="0" applyFont="1" applyBorder="1" applyAlignment="1">
      <alignment horizontal="center" vertical="center"/>
    </xf>
    <xf numFmtId="0" fontId="16" fillId="0" borderId="37" xfId="0" applyFont="1" applyBorder="1" applyAlignment="1">
      <alignment horizontal="center" vertical="center"/>
    </xf>
    <xf numFmtId="0" fontId="16" fillId="0" borderId="46" xfId="0" applyFont="1" applyBorder="1" applyAlignment="1">
      <alignment horizontal="center" vertical="center"/>
    </xf>
    <xf numFmtId="49" fontId="7" fillId="11" borderId="93" xfId="0" applyNumberFormat="1" applyFont="1" applyFill="1" applyBorder="1" applyAlignment="1">
      <alignment horizontal="center" vertical="center" textRotation="90" wrapText="1"/>
    </xf>
    <xf numFmtId="49" fontId="7" fillId="11" borderId="1" xfId="0" applyNumberFormat="1" applyFont="1" applyFill="1" applyBorder="1" applyAlignment="1">
      <alignment horizontal="center" vertical="center" textRotation="90" wrapText="1"/>
    </xf>
    <xf numFmtId="0" fontId="7" fillId="11" borderId="83" xfId="0" applyFont="1" applyFill="1" applyBorder="1" applyAlignment="1" applyProtection="1">
      <alignment horizontal="center" vertical="center" wrapText="1"/>
      <protection locked="0"/>
    </xf>
    <xf numFmtId="0" fontId="7" fillId="11" borderId="23" xfId="0" applyFont="1" applyFill="1" applyBorder="1" applyAlignment="1" applyProtection="1">
      <alignment horizontal="center" vertical="center" wrapText="1"/>
      <protection locked="0"/>
    </xf>
    <xf numFmtId="0" fontId="7" fillId="11" borderId="52" xfId="0" applyFont="1" applyFill="1" applyBorder="1" applyAlignment="1" applyProtection="1">
      <alignment horizontal="center" vertical="center" wrapText="1"/>
      <protection locked="0"/>
    </xf>
    <xf numFmtId="180" fontId="70" fillId="26" borderId="27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6" borderId="28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5" borderId="27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5" borderId="28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6" borderId="164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6" borderId="150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7" borderId="26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7" borderId="33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5" borderId="164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5" borderId="150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8" borderId="26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8" borderId="33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5" borderId="163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5" borderId="140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5" borderId="26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25" borderId="33" xfId="0" applyNumberFormat="1" applyFont="1" applyFill="1" applyBorder="1" applyAlignment="1" applyProtection="1">
      <alignment horizontal="center" vertical="center" textRotation="90" wrapText="1"/>
      <protection locked="0"/>
    </xf>
    <xf numFmtId="0" fontId="26" fillId="0" borderId="51" xfId="0" applyFont="1" applyBorder="1" applyAlignment="1" applyProtection="1">
      <alignment horizontal="center" vertical="center"/>
      <protection locked="0"/>
    </xf>
    <xf numFmtId="0" fontId="26" fillId="0" borderId="8" xfId="0" applyFont="1" applyBorder="1" applyAlignment="1" applyProtection="1">
      <alignment horizontal="center" vertical="center"/>
      <protection locked="0"/>
    </xf>
    <xf numFmtId="0" fontId="26" fillId="0" borderId="45" xfId="0" applyFont="1" applyBorder="1" applyAlignment="1" applyProtection="1">
      <alignment horizontal="center" vertical="center"/>
      <protection locked="0"/>
    </xf>
    <xf numFmtId="0" fontId="6" fillId="27" borderId="51" xfId="0" applyFont="1" applyFill="1" applyBorder="1" applyAlignment="1" applyProtection="1">
      <alignment horizontal="center" vertical="center"/>
      <protection locked="0"/>
    </xf>
    <xf numFmtId="0" fontId="6" fillId="27" borderId="8" xfId="0" applyFont="1" applyFill="1" applyBorder="1" applyAlignment="1" applyProtection="1">
      <alignment horizontal="center" vertical="center"/>
      <protection locked="0"/>
    </xf>
    <xf numFmtId="0" fontId="6" fillId="23" borderId="51" xfId="0" applyFont="1" applyFill="1" applyBorder="1" applyAlignment="1" applyProtection="1">
      <alignment horizontal="center" vertical="center"/>
      <protection locked="0"/>
    </xf>
    <xf numFmtId="0" fontId="6" fillId="23" borderId="8" xfId="0" applyFont="1" applyFill="1" applyBorder="1" applyAlignment="1" applyProtection="1">
      <alignment horizontal="center" vertical="center"/>
      <protection locked="0"/>
    </xf>
    <xf numFmtId="0" fontId="6" fillId="23" borderId="45" xfId="0" applyFont="1" applyFill="1" applyBorder="1" applyAlignment="1" applyProtection="1">
      <alignment horizontal="center" vertical="center"/>
      <protection locked="0"/>
    </xf>
    <xf numFmtId="0" fontId="6" fillId="18" borderId="51" xfId="0" applyFont="1" applyFill="1" applyBorder="1" applyAlignment="1" applyProtection="1">
      <alignment horizontal="center" vertical="center"/>
      <protection locked="0"/>
    </xf>
    <xf numFmtId="0" fontId="6" fillId="18" borderId="8" xfId="0" applyFont="1" applyFill="1" applyBorder="1" applyAlignment="1" applyProtection="1">
      <alignment horizontal="center" vertical="center"/>
      <protection locked="0"/>
    </xf>
    <xf numFmtId="0" fontId="6" fillId="17" borderId="51" xfId="0" applyFont="1" applyFill="1" applyBorder="1" applyAlignment="1" applyProtection="1">
      <alignment horizontal="center" vertical="center"/>
      <protection locked="0"/>
    </xf>
    <xf numFmtId="0" fontId="6" fillId="17" borderId="8" xfId="0" applyFont="1" applyFill="1" applyBorder="1" applyAlignment="1" applyProtection="1">
      <alignment horizontal="center" vertical="center"/>
      <protection locked="0"/>
    </xf>
    <xf numFmtId="0" fontId="6" fillId="28" borderId="51" xfId="0" applyFont="1" applyFill="1" applyBorder="1" applyAlignment="1" applyProtection="1">
      <alignment horizontal="center" vertical="center"/>
      <protection locked="0"/>
    </xf>
    <xf numFmtId="0" fontId="6" fillId="28" borderId="8" xfId="0" applyFont="1" applyFill="1" applyBorder="1" applyAlignment="1" applyProtection="1">
      <alignment horizontal="center" vertical="center"/>
      <protection locked="0"/>
    </xf>
    <xf numFmtId="0" fontId="6" fillId="18" borderId="45" xfId="0" applyFont="1" applyFill="1" applyBorder="1" applyAlignment="1" applyProtection="1">
      <alignment horizontal="center" vertical="center"/>
      <protection locked="0"/>
    </xf>
    <xf numFmtId="180" fontId="70" fillId="12" borderId="172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2" borderId="163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2" borderId="140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2" borderId="173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2" borderId="174" xfId="0" applyNumberFormat="1" applyFont="1" applyFill="1" applyBorder="1" applyAlignment="1" applyProtection="1">
      <alignment horizontal="center" vertical="center" textRotation="90" wrapText="1"/>
      <protection locked="0"/>
    </xf>
    <xf numFmtId="180" fontId="70" fillId="12" borderId="175" xfId="0" applyNumberFormat="1" applyFont="1" applyFill="1" applyBorder="1" applyAlignment="1" applyProtection="1">
      <alignment horizontal="center" vertical="center" textRotation="90" wrapText="1"/>
      <protection locked="0"/>
    </xf>
    <xf numFmtId="0" fontId="12" fillId="10" borderId="6" xfId="0" applyFont="1" applyFill="1" applyBorder="1" applyAlignment="1">
      <alignment horizontal="center" vertical="center"/>
    </xf>
    <xf numFmtId="0" fontId="12" fillId="10" borderId="7" xfId="0" applyFont="1" applyFill="1" applyBorder="1" applyAlignment="1">
      <alignment horizontal="center" vertical="center"/>
    </xf>
    <xf numFmtId="0" fontId="12" fillId="10" borderId="9" xfId="0" applyFont="1" applyFill="1" applyBorder="1" applyAlignment="1">
      <alignment horizontal="center" vertical="center"/>
    </xf>
    <xf numFmtId="0" fontId="71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6" fillId="0" borderId="171" xfId="0" applyFont="1" applyBorder="1" applyAlignment="1">
      <alignment horizontal="center" vertical="center" wrapText="1"/>
    </xf>
    <xf numFmtId="0" fontId="6" fillId="0" borderId="77" xfId="0" applyFont="1" applyBorder="1" applyAlignment="1">
      <alignment horizontal="center" vertical="center" wrapText="1"/>
    </xf>
    <xf numFmtId="0" fontId="18" fillId="17" borderId="65" xfId="0" applyFont="1" applyFill="1" applyBorder="1" applyAlignment="1">
      <alignment horizontal="center" vertical="center" wrapText="1"/>
    </xf>
    <xf numFmtId="0" fontId="18" fillId="17" borderId="61" xfId="0" applyFont="1" applyFill="1" applyBorder="1" applyAlignment="1">
      <alignment horizontal="center" vertical="center" wrapText="1"/>
    </xf>
    <xf numFmtId="0" fontId="18" fillId="17" borderId="70" xfId="0" applyFont="1" applyFill="1" applyBorder="1" applyAlignment="1">
      <alignment horizontal="center" vertical="center" wrapText="1"/>
    </xf>
    <xf numFmtId="0" fontId="18" fillId="17" borderId="40" xfId="0" applyFont="1" applyFill="1" applyBorder="1" applyAlignment="1">
      <alignment horizontal="center" vertical="center" wrapText="1"/>
    </xf>
    <xf numFmtId="0" fontId="18" fillId="17" borderId="12" xfId="0" applyFont="1" applyFill="1" applyBorder="1" applyAlignment="1">
      <alignment horizontal="center" vertical="center" wrapText="1"/>
    </xf>
    <xf numFmtId="0" fontId="18" fillId="17" borderId="41" xfId="0" applyFont="1" applyFill="1" applyBorder="1" applyAlignment="1">
      <alignment horizontal="center" vertical="center" wrapText="1"/>
    </xf>
    <xf numFmtId="0" fontId="18" fillId="17" borderId="48" xfId="0" applyFont="1" applyFill="1" applyBorder="1" applyAlignment="1">
      <alignment horizontal="center" vertical="center" wrapText="1"/>
    </xf>
    <xf numFmtId="0" fontId="18" fillId="17" borderId="53" xfId="0" applyFont="1" applyFill="1" applyBorder="1" applyAlignment="1">
      <alignment horizontal="center" vertical="center" wrapText="1"/>
    </xf>
    <xf numFmtId="0" fontId="18" fillId="17" borderId="54" xfId="0" applyFont="1" applyFill="1" applyBorder="1" applyAlignment="1">
      <alignment horizontal="center" vertical="center" wrapText="1"/>
    </xf>
    <xf numFmtId="4" fontId="18" fillId="17" borderId="50" xfId="0" applyNumberFormat="1" applyFont="1" applyFill="1" applyBorder="1" applyAlignment="1">
      <alignment horizontal="center" vertical="center" wrapText="1"/>
    </xf>
    <xf numFmtId="4" fontId="18" fillId="17" borderId="63" xfId="0" applyNumberFormat="1" applyFont="1" applyFill="1" applyBorder="1" applyAlignment="1">
      <alignment horizontal="center" vertical="center" wrapText="1"/>
    </xf>
    <xf numFmtId="0" fontId="6" fillId="0" borderId="56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19" fillId="10" borderId="51" xfId="0" applyFont="1" applyFill="1" applyBorder="1" applyAlignment="1">
      <alignment horizontal="center" vertical="center" wrapText="1"/>
    </xf>
    <xf numFmtId="0" fontId="19" fillId="10" borderId="8" xfId="0" applyFont="1" applyFill="1" applyBorder="1" applyAlignment="1">
      <alignment horizontal="center" vertical="center" wrapText="1"/>
    </xf>
    <xf numFmtId="0" fontId="19" fillId="10" borderId="45" xfId="0" applyFont="1" applyFill="1" applyBorder="1" applyAlignment="1">
      <alignment horizontal="center" vertical="center" wrapText="1"/>
    </xf>
    <xf numFmtId="14" fontId="16" fillId="10" borderId="103" xfId="0" applyNumberFormat="1" applyFont="1" applyFill="1" applyBorder="1" applyAlignment="1" applyProtection="1">
      <alignment horizontal="center" vertical="center" wrapText="1"/>
      <protection locked="0"/>
    </xf>
    <xf numFmtId="14" fontId="16" fillId="10" borderId="8" xfId="0" applyNumberFormat="1" applyFont="1" applyFill="1" applyBorder="1" applyAlignment="1" applyProtection="1">
      <alignment horizontal="center" vertical="center" wrapText="1"/>
      <protection locked="0"/>
    </xf>
    <xf numFmtId="14" fontId="16" fillId="10" borderId="45" xfId="0" applyNumberFormat="1" applyFont="1" applyFill="1" applyBorder="1" applyAlignment="1" applyProtection="1">
      <alignment horizontal="center" vertical="center" wrapText="1"/>
      <protection locked="0"/>
    </xf>
    <xf numFmtId="0" fontId="18" fillId="17" borderId="22" xfId="0" applyFont="1" applyFill="1" applyBorder="1" applyAlignment="1">
      <alignment horizontal="center" vertical="center" wrapText="1"/>
    </xf>
    <xf numFmtId="0" fontId="18" fillId="17" borderId="37" xfId="0" applyFont="1" applyFill="1" applyBorder="1" applyAlignment="1">
      <alignment horizontal="center" vertical="center" wrapText="1"/>
    </xf>
    <xf numFmtId="0" fontId="18" fillId="17" borderId="36" xfId="0" applyFont="1" applyFill="1" applyBorder="1" applyAlignment="1">
      <alignment horizontal="center" vertical="center" wrapText="1"/>
    </xf>
    <xf numFmtId="0" fontId="18" fillId="17" borderId="59" xfId="0" applyFont="1" applyFill="1" applyBorder="1" applyAlignment="1">
      <alignment horizontal="center" vertical="center" wrapText="1"/>
    </xf>
    <xf numFmtId="167" fontId="18" fillId="17" borderId="62" xfId="0" applyNumberFormat="1" applyFont="1" applyFill="1" applyBorder="1" applyAlignment="1">
      <alignment horizontal="center" vertical="center" wrapText="1"/>
    </xf>
    <xf numFmtId="167" fontId="18" fillId="17" borderId="39" xfId="0" applyNumberFormat="1" applyFont="1" applyFill="1" applyBorder="1" applyAlignment="1">
      <alignment horizontal="center" vertical="center" wrapText="1"/>
    </xf>
    <xf numFmtId="167" fontId="18" fillId="17" borderId="64" xfId="0" applyNumberFormat="1" applyFont="1" applyFill="1" applyBorder="1" applyAlignment="1">
      <alignment horizontal="center" vertical="center" wrapText="1"/>
    </xf>
    <xf numFmtId="0" fontId="18" fillId="17" borderId="69" xfId="0" applyFont="1" applyFill="1" applyBorder="1" applyAlignment="1">
      <alignment horizontal="center" vertical="center" wrapText="1"/>
    </xf>
    <xf numFmtId="0" fontId="15" fillId="0" borderId="171" xfId="0" applyFont="1" applyBorder="1" applyAlignment="1">
      <alignment horizontal="center" vertical="center" wrapText="1"/>
    </xf>
    <xf numFmtId="0" fontId="15" fillId="0" borderId="77" xfId="0" applyFont="1" applyBorder="1" applyAlignment="1">
      <alignment horizontal="center" vertical="center" wrapText="1"/>
    </xf>
    <xf numFmtId="0" fontId="6" fillId="0" borderId="84" xfId="0" applyFont="1" applyBorder="1" applyAlignment="1">
      <alignment horizontal="center" vertical="center" wrapText="1"/>
    </xf>
    <xf numFmtId="0" fontId="7" fillId="14" borderId="0" xfId="0" applyFont="1" applyFill="1" applyAlignment="1">
      <alignment horizontal="left" vertical="center" wrapText="1"/>
    </xf>
    <xf numFmtId="0" fontId="74" fillId="0" borderId="22" xfId="16" applyFont="1" applyBorder="1" applyAlignment="1">
      <alignment horizontal="center"/>
    </xf>
    <xf numFmtId="0" fontId="6" fillId="0" borderId="118" xfId="0" applyFont="1" applyBorder="1" applyAlignment="1">
      <alignment horizontal="center" vertical="center" wrapText="1"/>
    </xf>
    <xf numFmtId="0" fontId="6" fillId="0" borderId="40" xfId="0" applyFont="1" applyBorder="1" applyAlignment="1">
      <alignment horizontal="center" vertical="center" wrapText="1"/>
    </xf>
    <xf numFmtId="9" fontId="6" fillId="0" borderId="30" xfId="5" applyFont="1" applyBorder="1" applyAlignment="1" applyProtection="1">
      <alignment horizontal="center" vertical="center" wrapText="1"/>
      <protection locked="0"/>
    </xf>
    <xf numFmtId="9" fontId="6" fillId="0" borderId="0" xfId="5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16" fillId="0" borderId="17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2" fontId="6" fillId="17" borderId="25" xfId="0" applyNumberFormat="1" applyFont="1" applyFill="1" applyBorder="1" applyAlignment="1">
      <alignment horizontal="center" vertical="center"/>
    </xf>
    <xf numFmtId="2" fontId="6" fillId="17" borderId="27" xfId="0" applyNumberFormat="1" applyFont="1" applyFill="1" applyBorder="1" applyAlignment="1">
      <alignment horizontal="center" vertical="center"/>
    </xf>
    <xf numFmtId="0" fontId="6" fillId="17" borderId="17" xfId="0" applyFont="1" applyFill="1" applyBorder="1" applyAlignment="1">
      <alignment horizontal="center" vertical="center"/>
    </xf>
    <xf numFmtId="0" fontId="6" fillId="17" borderId="29" xfId="0" applyFont="1" applyFill="1" applyBorder="1" applyAlignment="1">
      <alignment horizontal="center" vertical="center"/>
    </xf>
    <xf numFmtId="0" fontId="6" fillId="17" borderId="25" xfId="0" applyFont="1" applyFill="1" applyBorder="1" applyAlignment="1">
      <alignment horizontal="center" vertical="center"/>
    </xf>
    <xf numFmtId="0" fontId="6" fillId="17" borderId="28" xfId="0" applyFont="1" applyFill="1" applyBorder="1" applyAlignment="1">
      <alignment horizontal="center" vertical="center"/>
    </xf>
    <xf numFmtId="44" fontId="5" fillId="0" borderId="61" xfId="15" applyFont="1" applyBorder="1" applyAlignment="1" applyProtection="1">
      <alignment horizontal="center" vertical="center"/>
      <protection locked="0"/>
    </xf>
    <xf numFmtId="44" fontId="5" fillId="0" borderId="98" xfId="15" applyFont="1" applyBorder="1" applyAlignment="1" applyProtection="1">
      <alignment horizontal="center" vertical="center"/>
      <protection locked="0"/>
    </xf>
    <xf numFmtId="44" fontId="5" fillId="0" borderId="116" xfId="15" applyFont="1" applyBorder="1" applyAlignment="1" applyProtection="1">
      <alignment horizontal="center" vertical="center"/>
      <protection locked="0"/>
    </xf>
    <xf numFmtId="0" fontId="19" fillId="10" borderId="51" xfId="0" applyFont="1" applyFill="1" applyBorder="1" applyAlignment="1" applyProtection="1">
      <alignment horizontal="center" vertical="center"/>
      <protection locked="0"/>
    </xf>
    <xf numFmtId="0" fontId="19" fillId="10" borderId="8" xfId="0" applyFont="1" applyFill="1" applyBorder="1" applyAlignment="1" applyProtection="1">
      <alignment horizontal="center" vertical="center"/>
      <protection locked="0"/>
    </xf>
    <xf numFmtId="0" fontId="19" fillId="10" borderId="10" xfId="0" applyFont="1" applyFill="1" applyBorder="1" applyAlignment="1" applyProtection="1">
      <alignment horizontal="center" vertical="center"/>
      <protection locked="0"/>
    </xf>
    <xf numFmtId="17" fontId="18" fillId="17" borderId="25" xfId="0" applyNumberFormat="1" applyFont="1" applyFill="1" applyBorder="1" applyAlignment="1">
      <alignment horizontal="center" vertical="center"/>
    </xf>
    <xf numFmtId="44" fontId="5" fillId="0" borderId="120" xfId="15" applyFont="1" applyBorder="1" applyAlignment="1" applyProtection="1">
      <alignment horizontal="center" vertical="center"/>
      <protection locked="0"/>
    </xf>
    <xf numFmtId="44" fontId="5" fillId="0" borderId="78" xfId="15" applyFont="1" applyBorder="1" applyAlignment="1" applyProtection="1">
      <alignment horizontal="center" vertical="center"/>
      <protection locked="0"/>
    </xf>
    <xf numFmtId="44" fontId="5" fillId="0" borderId="75" xfId="15" applyFont="1" applyBorder="1" applyAlignment="1" applyProtection="1">
      <alignment horizontal="center" vertical="center"/>
      <protection locked="0"/>
    </xf>
    <xf numFmtId="0" fontId="7" fillId="14" borderId="0" xfId="0" applyFont="1" applyFill="1" applyAlignment="1">
      <alignment horizontal="left" vertical="center"/>
    </xf>
    <xf numFmtId="0" fontId="0" fillId="0" borderId="85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7" fillId="0" borderId="86" xfId="0" applyFont="1" applyBorder="1" applyAlignment="1">
      <alignment horizontal="left" vertical="center" wrapText="1"/>
    </xf>
    <xf numFmtId="0" fontId="37" fillId="0" borderId="27" xfId="0" applyFont="1" applyBorder="1" applyAlignment="1">
      <alignment horizontal="left" vertical="center" wrapText="1"/>
    </xf>
    <xf numFmtId="0" fontId="37" fillId="0" borderId="21" xfId="0" applyFont="1" applyBorder="1" applyAlignment="1">
      <alignment horizontal="left" vertical="center" wrapText="1"/>
    </xf>
    <xf numFmtId="0" fontId="31" fillId="0" borderId="51" xfId="0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31" fillId="0" borderId="45" xfId="0" applyFont="1" applyBorder="1" applyAlignment="1">
      <alignment horizontal="center" vertical="center"/>
    </xf>
    <xf numFmtId="49" fontId="37" fillId="0" borderId="114" xfId="0" applyNumberFormat="1" applyFont="1" applyBorder="1" applyAlignment="1">
      <alignment horizontal="left" vertical="center" wrapText="1"/>
    </xf>
    <xf numFmtId="49" fontId="37" fillId="0" borderId="4" xfId="0" applyNumberFormat="1" applyFont="1" applyBorder="1" applyAlignment="1">
      <alignment horizontal="left" vertical="center" wrapText="1"/>
    </xf>
    <xf numFmtId="0" fontId="37" fillId="0" borderId="114" xfId="0" applyFont="1" applyBorder="1" applyAlignment="1">
      <alignment horizontal="left" vertical="center" wrapText="1"/>
    </xf>
    <xf numFmtId="0" fontId="37" fillId="0" borderId="30" xfId="0" applyFont="1" applyBorder="1" applyAlignment="1">
      <alignment horizontal="left" vertical="center" wrapText="1"/>
    </xf>
    <xf numFmtId="0" fontId="37" fillId="0" borderId="4" xfId="0" applyFont="1" applyBorder="1" applyAlignment="1">
      <alignment horizontal="left" vertical="center" wrapText="1"/>
    </xf>
    <xf numFmtId="0" fontId="39" fillId="0" borderId="86" xfId="0" applyFont="1" applyBorder="1" applyAlignment="1">
      <alignment horizontal="left" vertical="center" wrapText="1"/>
    </xf>
    <xf numFmtId="0" fontId="39" fillId="0" borderId="27" xfId="0" applyFont="1" applyBorder="1" applyAlignment="1">
      <alignment horizontal="left" vertical="center" wrapText="1"/>
    </xf>
    <xf numFmtId="0" fontId="39" fillId="0" borderId="21" xfId="0" applyFont="1" applyBorder="1" applyAlignment="1">
      <alignment horizontal="left" vertical="center" wrapText="1"/>
    </xf>
    <xf numFmtId="0" fontId="37" fillId="0" borderId="86" xfId="0" applyFont="1" applyBorder="1" applyAlignment="1">
      <alignment horizontal="left" vertical="center"/>
    </xf>
    <xf numFmtId="0" fontId="37" fillId="0" borderId="27" xfId="0" applyFont="1" applyBorder="1" applyAlignment="1">
      <alignment horizontal="left" vertical="center"/>
    </xf>
    <xf numFmtId="0" fontId="37" fillId="0" borderId="21" xfId="0" applyFont="1" applyBorder="1" applyAlignment="1">
      <alignment horizontal="left" vertical="center"/>
    </xf>
    <xf numFmtId="0" fontId="0" fillId="0" borderId="93" xfId="0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9" fillId="0" borderId="86" xfId="0" applyFont="1" applyBorder="1" applyAlignment="1">
      <alignment horizontal="left" vertical="center"/>
    </xf>
    <xf numFmtId="0" fontId="39" fillId="0" borderId="27" xfId="0" applyFont="1" applyBorder="1" applyAlignment="1">
      <alignment horizontal="left" vertical="center"/>
    </xf>
    <xf numFmtId="0" fontId="39" fillId="0" borderId="21" xfId="0" applyFont="1" applyBorder="1" applyAlignment="1">
      <alignment horizontal="left" vertical="center"/>
    </xf>
  </cellXfs>
  <cellStyles count="18">
    <cellStyle name="20 % - Accent1 2" xfId="10" xr:uid="{00000000-0005-0000-0000-000000000000}"/>
    <cellStyle name="Euro" xfId="1" xr:uid="{00000000-0005-0000-0000-000001000000}"/>
    <cellStyle name="Milliers" xfId="2" builtinId="3"/>
    <cellStyle name="Milliers 2" xfId="3" xr:uid="{00000000-0005-0000-0000-000003000000}"/>
    <cellStyle name="Milliers 2 2" xfId="12" xr:uid="{00000000-0005-0000-0000-000004000000}"/>
    <cellStyle name="Milliers 3" xfId="8" xr:uid="{00000000-0005-0000-0000-000005000000}"/>
    <cellStyle name="Monétaire" xfId="15" builtinId="4"/>
    <cellStyle name="Monétaire 2" xfId="4" xr:uid="{00000000-0005-0000-0000-000006000000}"/>
    <cellStyle name="Monétaire 2 2" xfId="13" xr:uid="{00000000-0005-0000-0000-000007000000}"/>
    <cellStyle name="Monétaire 3" xfId="17" xr:uid="{9B4241D3-F9F3-4265-A7E2-43EC31DD312F}"/>
    <cellStyle name="Normal" xfId="0" builtinId="0"/>
    <cellStyle name="Normal 2" xfId="11" xr:uid="{00000000-0005-0000-0000-000009000000}"/>
    <cellStyle name="Normal 3" xfId="16" xr:uid="{DBCCC403-CCF0-418B-BDAF-7F61E7B01505}"/>
    <cellStyle name="Pourcentage" xfId="5" builtinId="5"/>
    <cellStyle name="Pourcentage 2" xfId="6" xr:uid="{00000000-0005-0000-0000-00000C000000}"/>
    <cellStyle name="Pourcentage 2 2" xfId="14" xr:uid="{00000000-0005-0000-0000-00000D000000}"/>
    <cellStyle name="Pourcentage 3" xfId="7" xr:uid="{00000000-0005-0000-0000-00000E000000}"/>
    <cellStyle name="Pourcentage 4" xfId="9" xr:uid="{00000000-0005-0000-0000-00000F000000}"/>
  </cellStyles>
  <dxfs count="21">
    <dxf>
      <font>
        <color theme="1"/>
      </font>
      <fill>
        <patternFill>
          <bgColor rgb="FF00FF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1"/>
      </font>
      <fill>
        <patternFill>
          <bgColor rgb="FF00FF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1"/>
      </font>
      <fill>
        <patternFill>
          <bgColor rgb="FF00FF00"/>
        </patternFill>
      </fill>
    </dxf>
    <dxf>
      <font>
        <color auto="1"/>
      </font>
      <fill>
        <patternFill>
          <bgColor rgb="FFFF0000"/>
        </patternFill>
      </fill>
    </dxf>
    <dxf>
      <font>
        <color theme="1"/>
      </font>
      <fill>
        <patternFill>
          <bgColor rgb="FF00FF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00FF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0" tint="-0.14996795556505021"/>
        </top>
        <bottom style="thin">
          <color theme="1" tint="0.499984740745262"/>
        </bottom>
        <vertical style="thin">
          <color theme="0" tint="-0.14996795556505021"/>
        </vertical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1" tint="0.499984740745262"/>
        </top>
        <bottom style="thin">
          <color theme="0" tint="-0.14996795556505021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14996795556505021"/>
        </vertical>
        <horizontal/>
      </border>
    </dxf>
  </dxfs>
  <tableStyles count="1" defaultTableStyle="TableStyleMedium2" defaultPivotStyle="PivotStyleLight16">
    <tableStyle name="Summary Table" pivot="0" count="5" xr9:uid="{00000000-0011-0000-FFFF-FFFF00000000}">
      <tableStyleElement type="wholeTable" dxfId="20"/>
      <tableStyleElement type="headerRow" dxfId="19"/>
      <tableStyleElement type="totalRow" dxfId="18"/>
      <tableStyleElement type="firstColumn" dxfId="17"/>
      <tableStyleElement type="firstColumnStripe" dxfId="16"/>
    </tableStyle>
  </tableStyles>
  <colors>
    <mruColors>
      <color rgb="FFCDB2E8"/>
      <color rgb="FFFFFFA3"/>
      <color rgb="FF4FA7FF"/>
      <color rgb="FFABD5FF"/>
      <color rgb="FF2994FF"/>
      <color rgb="FF0066FF"/>
      <color rgb="FF0000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17/10/relationships/person" Target="persons/perso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'Evol générale'!$A$33</c:f>
              <c:strCache>
                <c:ptCount val="1"/>
                <c:pt idx="0">
                  <c:v> MARGE BRUTE </c:v>
                </c:pt>
              </c:strCache>
            </c:strRef>
          </c:tx>
          <c:spPr>
            <a:ln w="66675" cap="rnd" cmpd="sng" algn="ctr">
              <a:solidFill>
                <a:schemeClr val="accent1">
                  <a:shade val="95000"/>
                  <a:satMod val="105000"/>
                </a:schemeClr>
              </a:solidFill>
              <a:prstDash val="solid"/>
              <a:round/>
            </a:ln>
            <a:effectLst/>
          </c:spPr>
          <c:marker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1">
                    <a:shade val="95000"/>
                    <a:satMod val="105000"/>
                  </a:schemeClr>
                </a:solidFill>
                <a:prstDash val="solid"/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Lbls>
            <c:dLbl>
              <c:idx val="0"/>
              <c:layout>
                <c:manualLayout>
                  <c:x val="-5.6632200284925258E-2"/>
                  <c:y val="-5.023634430454447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8D2C-419F-9197-D2BC01BBCBE1}"/>
                </c:ext>
              </c:extLst>
            </c:dLbl>
            <c:dLbl>
              <c:idx val="1"/>
              <c:layout>
                <c:manualLayout>
                  <c:x val="-1.5108885447896471E-2"/>
                  <c:y val="3.3303908760283892E-2"/>
                </c:manualLayout>
              </c:layout>
              <c:numFmt formatCode="#,##0\ \€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000" b="0" i="0" u="none" strike="noStrike" kern="1200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8D2C-419F-9197-D2BC01BBCBE1}"/>
                </c:ext>
              </c:extLst>
            </c:dLbl>
            <c:dLbl>
              <c:idx val="2"/>
              <c:layout>
                <c:manualLayout>
                  <c:x val="-5.0794047739740687E-2"/>
                  <c:y val="-4.758973513960974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8D2C-419F-9197-D2BC01BBCBE1}"/>
                </c:ext>
              </c:extLst>
            </c:dLbl>
            <c:dLbl>
              <c:idx val="3"/>
              <c:layout>
                <c:manualLayout>
                  <c:x val="-8.9420657181800881E-2"/>
                  <c:y val="-2.7466858122555766E-3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8D2C-419F-9197-D2BC01BBCBE1}"/>
                </c:ext>
              </c:extLst>
            </c:dLbl>
            <c:dLbl>
              <c:idx val="4"/>
              <c:numFmt formatCode="#,##0\ \€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000" b="0" i="0" u="none" strike="noStrike" kern="1200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95B2-495D-AEFF-54E72A5DEA6C}"/>
                </c:ext>
              </c:extLst>
            </c:dLbl>
            <c:dLbl>
              <c:idx val="5"/>
              <c:numFmt formatCode="#,##0\ \€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000" b="0" i="0" u="none" strike="noStrike" kern="1200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95B2-495D-AEFF-54E72A5DEA6C}"/>
                </c:ext>
              </c:extLst>
            </c:dLbl>
            <c:numFmt formatCode="#,##0\ \€" sourceLinked="0"/>
            <c:spPr>
              <a:noFill/>
              <a:ln w="25400"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'Evol générale'!$B$6:$O$6</c:f>
              <c:strCache>
                <c:ptCount val="14"/>
                <c:pt idx="0">
                  <c:v>Etude de prix 29/03/2024</c:v>
                </c:pt>
                <c:pt idx="1">
                  <c:v>Contre étude Tx 14/06/24</c:v>
                </c:pt>
                <c:pt idx="2">
                  <c:v>06-09-2024</c:v>
                </c:pt>
                <c:pt idx="3">
                  <c:v>04-02-2025</c:v>
                </c:pt>
                <c:pt idx="4">
                  <c:v>13-03-2025</c:v>
                </c:pt>
                <c:pt idx="5">
                  <c:v>Suivi 4</c:v>
                </c:pt>
                <c:pt idx="6">
                  <c:v>Suivi 5</c:v>
                </c:pt>
                <c:pt idx="7">
                  <c:v>Suivi 6</c:v>
                </c:pt>
                <c:pt idx="8">
                  <c:v>Suivi 7</c:v>
                </c:pt>
                <c:pt idx="9">
                  <c:v>Suivi 8</c:v>
                </c:pt>
                <c:pt idx="10">
                  <c:v>Suivi 9</c:v>
                </c:pt>
                <c:pt idx="11">
                  <c:v>Suivi 10</c:v>
                </c:pt>
                <c:pt idx="12">
                  <c:v>Suivi 11</c:v>
                </c:pt>
                <c:pt idx="13">
                  <c:v>Suivi 12</c:v>
                </c:pt>
              </c:strCache>
            </c:strRef>
          </c:cat>
          <c:val>
            <c:numRef>
              <c:f>'Evol générale'!$B$33:$O$33</c:f>
              <c:numCache>
                <c:formatCode>_("€"* #,##0.00_);_("€"* \(#,##0.00\);_("€"* "-"??_);_(@_)</c:formatCode>
                <c:ptCount val="14"/>
                <c:pt idx="0">
                  <c:v>1115938.6659480017</c:v>
                </c:pt>
                <c:pt idx="1">
                  <c:v>1359952.4631250016</c:v>
                </c:pt>
                <c:pt idx="2">
                  <c:v>1060832.638975</c:v>
                </c:pt>
                <c:pt idx="3">
                  <c:v>819612.30204520188</c:v>
                </c:pt>
                <c:pt idx="4">
                  <c:v>1008061.7733692005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8D2C-419F-9197-D2BC01BBCBE1}"/>
            </c:ext>
          </c:extLst>
        </c:ser>
        <c:ser>
          <c:idx val="1"/>
          <c:order val="1"/>
          <c:tx>
            <c:strRef>
              <c:f>'Evol générale'!$A$40</c:f>
              <c:strCache>
                <c:ptCount val="1"/>
                <c:pt idx="0">
                  <c:v> MB cpis prorata, révision, sinistre </c:v>
                </c:pt>
              </c:strCache>
            </c:strRef>
          </c:tx>
          <c:spPr>
            <a:ln w="66675" cap="rnd" cmpd="sng" algn="ctr">
              <a:solidFill>
                <a:schemeClr val="accent2">
                  <a:shade val="95000"/>
                  <a:satMod val="105000"/>
                </a:schemeClr>
              </a:solidFill>
              <a:prstDash val="solid"/>
              <a:round/>
            </a:ln>
            <a:effectLst/>
          </c:spPr>
          <c:marker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 cap="flat" cmpd="sng" algn="ctr">
                <a:solidFill>
                  <a:schemeClr val="accent2">
                    <a:shade val="95000"/>
                    <a:satMod val="105000"/>
                  </a:schemeClr>
                </a:solidFill>
                <a:prstDash val="solid"/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val>
            <c:numRef>
              <c:f>'Evol générale'!$B$40:$O$40</c:f>
              <c:numCache>
                <c:formatCode>_("€"* #,##0.00_);_("€"* \(#,##0.00\);_("€"* "-"??_);_(@_)</c:formatCode>
                <c:ptCount val="14"/>
                <c:pt idx="0">
                  <c:v>1115938.6659480017</c:v>
                </c:pt>
                <c:pt idx="1">
                  <c:v>1359952.4631250016</c:v>
                </c:pt>
                <c:pt idx="2">
                  <c:v>1060832.638975</c:v>
                </c:pt>
                <c:pt idx="3">
                  <c:v>829368.56204520166</c:v>
                </c:pt>
                <c:pt idx="4">
                  <c:v>1021340.1433691997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AA8-4254-9064-91A735CB1B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297600"/>
        <c:axId val="102299136"/>
      </c:lineChart>
      <c:catAx>
        <c:axId val="1022976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tint val="75000"/>
                  <a:shade val="95000"/>
                  <a:satMod val="10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tint val="75000"/>
                <a:shade val="95000"/>
                <a:satMod val="10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1" i="0" u="none" strike="noStrike" kern="1200" baseline="0">
                <a:solidFill>
                  <a:srgbClr val="003366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2299136"/>
        <c:crosses val="autoZero"/>
        <c:auto val="1"/>
        <c:lblAlgn val="ctr"/>
        <c:lblOffset val="100"/>
        <c:noMultiLvlLbl val="0"/>
      </c:catAx>
      <c:valAx>
        <c:axId val="102299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tint val="75000"/>
                  <a:shade val="95000"/>
                  <a:satMod val="105000"/>
                </a:schemeClr>
              </a:solidFill>
              <a:prstDash val="solid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tint val="50000"/>
                  <a:shade val="95000"/>
                  <a:satMod val="105000"/>
                </a:schemeClr>
              </a:solidFill>
              <a:prstDash val="solid"/>
              <a:round/>
            </a:ln>
            <a:effectLst/>
          </c:spPr>
        </c:minorGridlines>
        <c:numFmt formatCode="#,##0\ \€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tint val="75000"/>
                <a:shade val="95000"/>
                <a:satMod val="10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1" i="0" u="none" strike="noStrike" kern="1200" baseline="0">
                <a:solidFill>
                  <a:srgbClr val="003366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2297600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275148281967628"/>
          <c:y val="0.51837573136005821"/>
          <c:w val="0.14724852107277073"/>
          <c:h val="4.344719943454701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4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tint val="75000"/>
          <a:shade val="95000"/>
          <a:satMod val="10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</a:t>
            </a:r>
            <a:r>
              <a:rPr lang="fr-FR" baseline="0"/>
              <a:t> Magasin / MP / PF / PO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Ratios!$A$12</c:f>
              <c:strCache>
                <c:ptCount val="1"/>
                <c:pt idx="0">
                  <c:v>Ratio moyen calculé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Ratios!$C$12:$Z$12</c:f>
              <c:numCache>
                <c:formatCode>[$-40C]mmm\-yy;@</c:formatCode>
                <c:ptCount val="24"/>
                <c:pt idx="0">
                  <c:v>45383</c:v>
                </c:pt>
                <c:pt idx="1">
                  <c:v>45413</c:v>
                </c:pt>
                <c:pt idx="2">
                  <c:v>45444</c:v>
                </c:pt>
                <c:pt idx="3">
                  <c:v>45474</c:v>
                </c:pt>
                <c:pt idx="4">
                  <c:v>45505</c:v>
                </c:pt>
                <c:pt idx="5">
                  <c:v>45536</c:v>
                </c:pt>
                <c:pt idx="6">
                  <c:v>45566</c:v>
                </c:pt>
                <c:pt idx="7">
                  <c:v>45597</c:v>
                </c:pt>
                <c:pt idx="8">
                  <c:v>45627</c:v>
                </c:pt>
                <c:pt idx="9">
                  <c:v>45658</c:v>
                </c:pt>
                <c:pt idx="10">
                  <c:v>45689</c:v>
                </c:pt>
                <c:pt idx="11">
                  <c:v>45717</c:v>
                </c:pt>
                <c:pt idx="12">
                  <c:v>45748</c:v>
                </c:pt>
                <c:pt idx="13">
                  <c:v>45778</c:v>
                </c:pt>
                <c:pt idx="14">
                  <c:v>45809</c:v>
                </c:pt>
                <c:pt idx="15">
                  <c:v>45839</c:v>
                </c:pt>
                <c:pt idx="16">
                  <c:v>45870</c:v>
                </c:pt>
                <c:pt idx="17">
                  <c:v>45901</c:v>
                </c:pt>
                <c:pt idx="18">
                  <c:v>45931</c:v>
                </c:pt>
                <c:pt idx="19">
                  <c:v>45962</c:v>
                </c:pt>
                <c:pt idx="20">
                  <c:v>45992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cat>
          <c:val>
            <c:numRef>
              <c:f>Ratios!$C$18:$Z$18</c:f>
              <c:numCache>
                <c:formatCode>0.00</c:formatCode>
                <c:ptCount val="24"/>
                <c:pt idx="0">
                  <c:v>0</c:v>
                </c:pt>
                <c:pt idx="1">
                  <c:v>130.33192307692306</c:v>
                </c:pt>
                <c:pt idx="2">
                  <c:v>126.35542553191488</c:v>
                </c:pt>
                <c:pt idx="3">
                  <c:v>46.809339735894355</c:v>
                </c:pt>
                <c:pt idx="4">
                  <c:v>39.541408450704218</c:v>
                </c:pt>
                <c:pt idx="5">
                  <c:v>22.113311008790287</c:v>
                </c:pt>
                <c:pt idx="6">
                  <c:v>17.053353104726597</c:v>
                </c:pt>
                <c:pt idx="7">
                  <c:v>15.194737543298693</c:v>
                </c:pt>
                <c:pt idx="8">
                  <c:v>14.299202826543006</c:v>
                </c:pt>
                <c:pt idx="9">
                  <c:v>11.333497855955192</c:v>
                </c:pt>
                <c:pt idx="10">
                  <c:v>13.615531635599893</c:v>
                </c:pt>
                <c:pt idx="11">
                  <c:v>13.615531635599893</c:v>
                </c:pt>
                <c:pt idx="12">
                  <c:v>13.615531635599893</c:v>
                </c:pt>
                <c:pt idx="13">
                  <c:v>13.615531635599893</c:v>
                </c:pt>
                <c:pt idx="14">
                  <c:v>13.615531635599893</c:v>
                </c:pt>
                <c:pt idx="15">
                  <c:v>13.615531635599893</c:v>
                </c:pt>
                <c:pt idx="16">
                  <c:v>13.615531635599893</c:v>
                </c:pt>
                <c:pt idx="17">
                  <c:v>13.615531635599893</c:v>
                </c:pt>
                <c:pt idx="18">
                  <c:v>13.615531635599893</c:v>
                </c:pt>
                <c:pt idx="19">
                  <c:v>13.615531635599893</c:v>
                </c:pt>
                <c:pt idx="20">
                  <c:v>13.615531635599893</c:v>
                </c:pt>
                <c:pt idx="21">
                  <c:v>13.615531635599893</c:v>
                </c:pt>
                <c:pt idx="22">
                  <c:v>13.615531635599893</c:v>
                </c:pt>
                <c:pt idx="23">
                  <c:v>13.615531635599893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65C-46D4-8F90-7BE9A4DC7BC6}"/>
            </c:ext>
          </c:extLst>
        </c:ser>
        <c:ser>
          <c:idx val="1"/>
          <c:order val="1"/>
          <c:tx>
            <c:strRef>
              <c:f>Ratios!$B$41</c:f>
              <c:strCache>
                <c:ptCount val="1"/>
                <c:pt idx="0">
                  <c:v>Ratio estimé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Ratios!$C$12:$Z$12</c:f>
              <c:numCache>
                <c:formatCode>[$-40C]mmm\-yy;@</c:formatCode>
                <c:ptCount val="24"/>
                <c:pt idx="0">
                  <c:v>45383</c:v>
                </c:pt>
                <c:pt idx="1">
                  <c:v>45413</c:v>
                </c:pt>
                <c:pt idx="2">
                  <c:v>45444</c:v>
                </c:pt>
                <c:pt idx="3">
                  <c:v>45474</c:v>
                </c:pt>
                <c:pt idx="4">
                  <c:v>45505</c:v>
                </c:pt>
                <c:pt idx="5">
                  <c:v>45536</c:v>
                </c:pt>
                <c:pt idx="6">
                  <c:v>45566</c:v>
                </c:pt>
                <c:pt idx="7">
                  <c:v>45597</c:v>
                </c:pt>
                <c:pt idx="8">
                  <c:v>45627</c:v>
                </c:pt>
                <c:pt idx="9">
                  <c:v>45658</c:v>
                </c:pt>
                <c:pt idx="10">
                  <c:v>45689</c:v>
                </c:pt>
                <c:pt idx="11">
                  <c:v>45717</c:v>
                </c:pt>
                <c:pt idx="12">
                  <c:v>45748</c:v>
                </c:pt>
                <c:pt idx="13">
                  <c:v>45778</c:v>
                </c:pt>
                <c:pt idx="14">
                  <c:v>45809</c:v>
                </c:pt>
                <c:pt idx="15">
                  <c:v>45839</c:v>
                </c:pt>
                <c:pt idx="16">
                  <c:v>45870</c:v>
                </c:pt>
                <c:pt idx="17">
                  <c:v>45901</c:v>
                </c:pt>
                <c:pt idx="18">
                  <c:v>45931</c:v>
                </c:pt>
                <c:pt idx="19">
                  <c:v>45962</c:v>
                </c:pt>
                <c:pt idx="20">
                  <c:v>45992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cat>
          <c:val>
            <c:numRef>
              <c:f>Ratios!$C$41:$Z$41</c:f>
              <c:numCache>
                <c:formatCode>_("€"* #,##0.00_);_("€"* \(#,##0.00\);_("€"* "-"??_);_(@_)</c:formatCode>
                <c:ptCount val="24"/>
                <c:pt idx="0">
                  <c:v>4.5</c:v>
                </c:pt>
                <c:pt idx="1">
                  <c:v>4.5</c:v>
                </c:pt>
                <c:pt idx="2">
                  <c:v>4.5</c:v>
                </c:pt>
                <c:pt idx="3">
                  <c:v>4.5</c:v>
                </c:pt>
                <c:pt idx="4">
                  <c:v>4.5</c:v>
                </c:pt>
                <c:pt idx="5">
                  <c:v>4.5</c:v>
                </c:pt>
                <c:pt idx="6">
                  <c:v>4.5</c:v>
                </c:pt>
                <c:pt idx="7">
                  <c:v>4.5</c:v>
                </c:pt>
                <c:pt idx="8">
                  <c:v>4.5</c:v>
                </c:pt>
                <c:pt idx="9">
                  <c:v>4.5</c:v>
                </c:pt>
                <c:pt idx="10">
                  <c:v>4.5</c:v>
                </c:pt>
                <c:pt idx="11">
                  <c:v>4.5</c:v>
                </c:pt>
                <c:pt idx="12">
                  <c:v>4.5</c:v>
                </c:pt>
                <c:pt idx="13">
                  <c:v>4.5</c:v>
                </c:pt>
                <c:pt idx="14">
                  <c:v>4.5</c:v>
                </c:pt>
                <c:pt idx="15">
                  <c:v>4.5</c:v>
                </c:pt>
                <c:pt idx="16">
                  <c:v>4.5</c:v>
                </c:pt>
                <c:pt idx="17">
                  <c:v>4.5</c:v>
                </c:pt>
                <c:pt idx="18">
                  <c:v>4.5</c:v>
                </c:pt>
                <c:pt idx="19">
                  <c:v>4.5</c:v>
                </c:pt>
                <c:pt idx="20">
                  <c:v>4.5</c:v>
                </c:pt>
                <c:pt idx="21">
                  <c:v>4.5</c:v>
                </c:pt>
                <c:pt idx="22">
                  <c:v>4.5</c:v>
                </c:pt>
                <c:pt idx="23">
                  <c:v>4.5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65C-46D4-8F90-7BE9A4DC7B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6355760"/>
        <c:axId val="426357920"/>
      </c:lineChart>
      <c:dateAx>
        <c:axId val="426355760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357920"/>
        <c:crosses val="autoZero"/>
        <c:auto val="1"/>
        <c:lblOffset val="100"/>
        <c:baseTimeUnit val="months"/>
      </c:dateAx>
      <c:valAx>
        <c:axId val="426357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355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129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1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 mods="ignoreCSTransforms">
      <cs:styleClr val="0">
        <a:shade val="25000"/>
      </cs:styl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 mods="ignoreCSTransforms">
      <cs:styleClr val="0">
        <a:tint val="25000"/>
      </cs:styl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542925</xdr:colOff>
      <xdr:row>5</xdr:row>
      <xdr:rowOff>85725</xdr:rowOff>
    </xdr:from>
    <xdr:to>
      <xdr:col>4</xdr:col>
      <xdr:colOff>219075</xdr:colOff>
      <xdr:row>8</xdr:row>
      <xdr:rowOff>19050</xdr:rowOff>
    </xdr:to>
    <xdr:sp macro="[0]!acc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0EB73A9-7436-487C-B4A2-DDECC72E90FA}"/>
            </a:ext>
          </a:extLst>
        </xdr:cNvPr>
        <xdr:cNvSpPr/>
      </xdr:nvSpPr>
      <xdr:spPr>
        <a:xfrm>
          <a:off x="1304925" y="895350"/>
          <a:ext cx="1962150" cy="41910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2917339</xdr:colOff>
      <xdr:row>43</xdr:row>
      <xdr:rowOff>0</xdr:rowOff>
    </xdr:from>
    <xdr:to>
      <xdr:col>17</xdr:col>
      <xdr:colOff>478043</xdr:colOff>
      <xdr:row>59</xdr:row>
      <xdr:rowOff>268941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1128208</xdr:colOff>
      <xdr:row>19</xdr:row>
      <xdr:rowOff>51773</xdr:rowOff>
    </xdr:from>
    <xdr:to>
      <xdr:col>26</xdr:col>
      <xdr:colOff>69141</xdr:colOff>
      <xdr:row>34</xdr:row>
      <xdr:rowOff>92226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FAE3C9D8-A01E-EF53-FF52-4D0BDFFBBA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Justine LAMBERT" id="{9E9F45C4-5E21-40F6-9066-F090FBB5D832}" userId="S::jlambert@cmeg.fr::f7cf7700-48cd-47c7-a121-55696ef427dc" providerId="AD"/>
  <person displayName="Emilie MARCHADOUR" id="{54644B1B-2746-421C-98DE-DD50AF20D700}" userId="S::emarchadour@cmeg.fr::5e39380a-68cd-4fc6-8b28-38705c2dbb75" providerId="AD"/>
</personList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29" dT="2024-06-10T15:38:59.69" personId="{54644B1B-2746-421C-98DE-DD50AF20D700}" id="{EA20B0C6-28BF-447D-BF0B-847371CC2252}">
    <text>Achat pied de scellement BC BP du 07/06/24</text>
  </threadedComment>
  <threadedComment ref="F31" dT="2024-07-15T08:03:33.70" personId="{54644B1B-2746-421C-98DE-DD50AF20D700}" id="{1A5697A4-97C5-4F48-AFD5-D624C1A69B3B}">
    <text>Compris montage</text>
  </threadedComment>
  <threadedComment ref="I34" dT="2024-08-20T09:42:27.72" personId="{54644B1B-2746-421C-98DE-DD50AF20D700}" id="{6513DFB9-0425-46C4-AAF4-639D52C25B04}">
    <text xml:space="preserve">Pour pose pied de scellement
</text>
  </threadedComment>
  <threadedComment ref="I34" dT="2025-01-28T10:10:41.39" personId="{9E9F45C4-5E21-40F6-9066-F090FBB5D832}" id="{F7EDC994-3E32-475F-AD50-2F4D0FBF6EA0}" parentId="{6513DFB9-0425-46C4-AAF4-639D52C25B04}">
    <text xml:space="preserve">Mauvaise imputation GLA septembre - 6135100 - demande de changement fait </text>
  </threadedComment>
  <threadedComment ref="M40" dT="2025-01-10T13:14:57.53" personId="{54644B1B-2746-421C-98DE-DD50AF20D700}" id="{BECAB4AB-6565-4DD7-8C3D-915E6B929A13}">
    <text>1er passage caméra passé en 611000</text>
  </threadedComment>
  <threadedComment ref="K61" dT="2024-12-02T09:29:50.30" personId="{54644B1B-2746-421C-98DE-DD50AF20D700}" id="{03F3551C-3898-4B6B-BB52-7CF315A6A75A}">
    <text>Balayeuse 2 interventions en septembre facturées sur octobre</text>
  </threadedComment>
  <threadedComment ref="M61" dT="2024-12-02T09:46:32.21" personId="{54644B1B-2746-421C-98DE-DD50AF20D700}" id="{B0033982-D79D-4F35-A539-69B4E1BCFAFF}">
    <text xml:space="preserve">Beaussire soutènement
</text>
  </threadedComment>
  <threadedComment ref="N61" dT="2024-12-02T09:46:32.21" personId="{54644B1B-2746-421C-98DE-DD50AF20D700}" id="{312FA585-4E2E-4C74-ABEE-6D43220F7C73}">
    <text xml:space="preserve">Beaussire soutènement
</text>
  </threadedComment>
  <threadedComment ref="N61" dT="2025-02-12T09:18:52.95" personId="{9E9F45C4-5E21-40F6-9066-F090FBB5D832}" id="{33398DA6-C3FD-4B46-B40C-8602116DD202}" parentId="{312FA585-4E2E-4C74-ABEE-6D43220F7C73}">
    <text xml:space="preserve">CFBTP - BRH 2501250
</text>
  </threadedComment>
  <threadedComment ref="P61" dT="2024-12-02T09:46:32.21" personId="{54644B1B-2746-421C-98DE-DD50AF20D700}" id="{203F9B38-3CCC-432E-907A-BA91D5C97BB0}">
    <text xml:space="preserve">Beaussire soutènement
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F28" dT="2024-06-07T11:25:30.79" personId="{54644B1B-2746-421C-98DE-DD50AF20D700}" id="{08756658-15D2-42B6-9C30-AF7DCFC7BFE4}">
    <text>Géomètre 1500€ + huissier 1057.67€ facture reçue</text>
  </threadedComment>
  <threadedComment ref="I28" dT="2024-11-29T14:28:28.03" personId="{54644B1B-2746-421C-98DE-DD50AF20D700}" id="{47D34237-12FD-4C95-A745-7635182B3CAE}">
    <text>géomètre</text>
  </threadedComment>
  <threadedComment ref="I28" dT="2025-01-28T10:18:43.31" personId="{9E9F45C4-5E21-40F6-9066-F090FBB5D832}" id="{45CDE449-C4E3-41E2-834B-A52A7F86CFDD}" parentId="{47D34237-12FD-4C95-A745-7635182B3CAE}">
    <text xml:space="preserve">Pas de facture dans GLA 09
</text>
  </threadedComment>
  <threadedComment ref="J28" dT="2024-06-07T11:26:13.51" personId="{54644B1B-2746-421C-98DE-DD50AF20D700}" id="{21EF3657-953B-4A82-8FC9-6471CC9F2872}">
    <text>Géotechnicien G4?</text>
  </threadedComment>
  <threadedComment ref="J28" dT="2025-01-28T10:18:53.83" personId="{9E9F45C4-5E21-40F6-9066-F090FBB5D832}" id="{0438B81F-64CC-4B0F-80CE-BF0D59DCC902}" parentId="{21EF3657-953B-4A82-8FC9-6471CC9F2872}">
    <text>Pas de facture dans GLA 09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4" Type="http://schemas.microsoft.com/office/2017/10/relationships/threadedComment" Target="../threadedComments/threadedComment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Relationship Id="rId4" Type="http://schemas.microsoft.com/office/2017/10/relationships/threadedComment" Target="../threadedComments/threadedComment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BF2CC-3BA1-4054-968C-4B6E61A4EE01}">
  <sheetPr codeName="Feuil27"/>
  <dimension ref="A1"/>
  <sheetViews>
    <sheetView tabSelected="1" workbookViewId="0">
      <selection activeCell="I14" sqref="I14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15E9DA-8835-4EEE-A5C1-F515E78CEE73}">
  <sheetPr codeName="Feuil1">
    <pageSetUpPr fitToPage="1"/>
  </sheetPr>
  <dimension ref="B2:D25"/>
  <sheetViews>
    <sheetView workbookViewId="0">
      <selection activeCell="C19" sqref="C19"/>
    </sheetView>
  </sheetViews>
  <sheetFormatPr baseColWidth="10" defaultRowHeight="12.75" x14ac:dyDescent="0.2"/>
  <cols>
    <col min="3" max="3" width="54.28515625" bestFit="1" customWidth="1"/>
  </cols>
  <sheetData>
    <row r="2" spans="2:4" ht="18" x14ac:dyDescent="0.25">
      <c r="C2" s="689" t="s">
        <v>815</v>
      </c>
    </row>
    <row r="5" spans="2:4" ht="23.45" customHeight="1" x14ac:dyDescent="0.2">
      <c r="B5" s="681">
        <v>1</v>
      </c>
      <c r="C5" s="665" t="s">
        <v>735</v>
      </c>
    </row>
    <row r="6" spans="2:4" ht="23.45" customHeight="1" x14ac:dyDescent="0.2">
      <c r="B6" s="681">
        <v>2</v>
      </c>
      <c r="C6" s="665" t="s">
        <v>751</v>
      </c>
      <c r="D6" s="665" t="s">
        <v>812</v>
      </c>
    </row>
    <row r="7" spans="2:4" ht="23.45" customHeight="1" x14ac:dyDescent="0.2">
      <c r="B7">
        <v>3</v>
      </c>
      <c r="C7" s="665" t="s">
        <v>822</v>
      </c>
    </row>
    <row r="8" spans="2:4" ht="23.45" customHeight="1" x14ac:dyDescent="0.2">
      <c r="B8" s="681">
        <v>4</v>
      </c>
      <c r="C8" s="665" t="s">
        <v>750</v>
      </c>
      <c r="D8" s="665" t="s">
        <v>813</v>
      </c>
    </row>
    <row r="9" spans="2:4" ht="23.45" customHeight="1" x14ac:dyDescent="0.2">
      <c r="B9">
        <v>5</v>
      </c>
      <c r="C9" s="665" t="s">
        <v>752</v>
      </c>
    </row>
    <row r="10" spans="2:4" ht="23.45" customHeight="1" x14ac:dyDescent="0.2">
      <c r="B10">
        <v>6</v>
      </c>
      <c r="C10" s="665" t="s">
        <v>749</v>
      </c>
    </row>
    <row r="11" spans="2:4" ht="23.45" customHeight="1" x14ac:dyDescent="0.2">
      <c r="B11">
        <v>7</v>
      </c>
      <c r="C11" s="665" t="s">
        <v>753</v>
      </c>
    </row>
    <row r="12" spans="2:4" ht="23.45" customHeight="1" x14ac:dyDescent="0.2">
      <c r="B12" s="681">
        <v>8</v>
      </c>
      <c r="C12" s="665" t="s">
        <v>814</v>
      </c>
    </row>
    <row r="13" spans="2:4" ht="23.45" customHeight="1" x14ac:dyDescent="0.2">
      <c r="B13">
        <v>9</v>
      </c>
      <c r="C13" s="665" t="s">
        <v>816</v>
      </c>
    </row>
    <row r="14" spans="2:4" ht="23.45" customHeight="1" x14ac:dyDescent="0.2">
      <c r="B14">
        <v>10</v>
      </c>
      <c r="C14" s="665" t="s">
        <v>817</v>
      </c>
    </row>
    <row r="15" spans="2:4" ht="23.45" customHeight="1" x14ac:dyDescent="0.2">
      <c r="B15" s="681">
        <v>11</v>
      </c>
      <c r="C15" s="665" t="s">
        <v>818</v>
      </c>
      <c r="D15" s="665" t="s">
        <v>819</v>
      </c>
    </row>
    <row r="16" spans="2:4" ht="26.45" customHeight="1" x14ac:dyDescent="0.2">
      <c r="B16">
        <v>12</v>
      </c>
      <c r="C16" s="665" t="s">
        <v>820</v>
      </c>
    </row>
    <row r="17" spans="2:3" ht="26.45" customHeight="1" x14ac:dyDescent="0.2">
      <c r="B17">
        <v>13</v>
      </c>
      <c r="C17" s="665" t="s">
        <v>821</v>
      </c>
    </row>
    <row r="18" spans="2:3" ht="23.45" customHeight="1" x14ac:dyDescent="0.2">
      <c r="B18">
        <v>14</v>
      </c>
      <c r="C18" s="665" t="s">
        <v>823</v>
      </c>
    </row>
    <row r="19" spans="2:3" ht="23.45" customHeight="1" x14ac:dyDescent="0.2"/>
    <row r="20" spans="2:3" ht="23.45" customHeight="1" x14ac:dyDescent="0.2"/>
    <row r="21" spans="2:3" ht="23.45" customHeight="1" x14ac:dyDescent="0.2"/>
    <row r="22" spans="2:3" ht="23.45" customHeight="1" x14ac:dyDescent="0.2"/>
    <row r="23" spans="2:3" ht="23.45" customHeight="1" x14ac:dyDescent="0.2"/>
    <row r="24" spans="2:3" ht="23.45" customHeight="1" x14ac:dyDescent="0.2"/>
    <row r="25" spans="2:3" ht="23.45" customHeight="1" x14ac:dyDescent="0.2"/>
  </sheetData>
  <pageMargins left="0.70866141732283472" right="0.70866141732283472" top="0.74803149606299213" bottom="0.74803149606299213" header="0.31496062992125984" footer="0.31496062992125984"/>
  <pageSetup paperSize="8" scale="8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C795A8-A7AB-4250-8A3B-7B3CAE04DCFD}">
  <sheetPr codeName="Feuil2">
    <pageSetUpPr fitToPage="1"/>
  </sheetPr>
  <dimension ref="B3:C65"/>
  <sheetViews>
    <sheetView topLeftCell="A8" workbookViewId="0">
      <selection activeCell="A61" sqref="A61:XFD63"/>
    </sheetView>
  </sheetViews>
  <sheetFormatPr baseColWidth="10" defaultRowHeight="12.75" x14ac:dyDescent="0.2"/>
  <cols>
    <col min="2" max="2" width="16.42578125" bestFit="1" customWidth="1"/>
    <col min="3" max="3" width="12.7109375" bestFit="1" customWidth="1"/>
  </cols>
  <sheetData>
    <row r="3" spans="2:2" ht="20.25" x14ac:dyDescent="0.3">
      <c r="B3" s="663" t="s">
        <v>670</v>
      </c>
    </row>
    <row r="4" spans="2:2" ht="15" x14ac:dyDescent="0.2">
      <c r="B4" s="664">
        <v>45387</v>
      </c>
    </row>
    <row r="5" spans="2:2" ht="20.25" x14ac:dyDescent="0.3">
      <c r="B5" s="663" t="s">
        <v>675</v>
      </c>
    </row>
    <row r="8" spans="2:2" x14ac:dyDescent="0.2">
      <c r="B8" s="662" t="s">
        <v>671</v>
      </c>
    </row>
    <row r="10" spans="2:2" x14ac:dyDescent="0.2">
      <c r="B10" t="s">
        <v>672</v>
      </c>
    </row>
    <row r="12" spans="2:2" x14ac:dyDescent="0.2">
      <c r="B12" s="665" t="s">
        <v>688</v>
      </c>
    </row>
    <row r="14" spans="2:2" x14ac:dyDescent="0.2">
      <c r="B14" t="s">
        <v>673</v>
      </c>
    </row>
    <row r="16" spans="2:2" x14ac:dyDescent="0.2">
      <c r="B16" t="s">
        <v>674</v>
      </c>
    </row>
    <row r="17" spans="2:3" x14ac:dyDescent="0.2">
      <c r="B17" t="s">
        <v>693</v>
      </c>
    </row>
    <row r="18" spans="2:3" x14ac:dyDescent="0.2">
      <c r="B18" t="s">
        <v>698</v>
      </c>
    </row>
    <row r="19" spans="2:3" x14ac:dyDescent="0.2">
      <c r="B19" t="s">
        <v>700</v>
      </c>
      <c r="C19" s="667">
        <v>3464</v>
      </c>
    </row>
    <row r="20" spans="2:3" x14ac:dyDescent="0.2">
      <c r="B20" t="s">
        <v>699</v>
      </c>
      <c r="C20" s="666">
        <f>148*3464</f>
        <v>512672</v>
      </c>
    </row>
    <row r="21" spans="2:3" x14ac:dyDescent="0.2">
      <c r="B21" s="665" t="s">
        <v>701</v>
      </c>
      <c r="C21" s="668">
        <f>+C20/C19</f>
        <v>148</v>
      </c>
    </row>
    <row r="23" spans="2:3" x14ac:dyDescent="0.2">
      <c r="B23" t="s">
        <v>694</v>
      </c>
    </row>
    <row r="24" spans="2:3" x14ac:dyDescent="0.2">
      <c r="B24" t="s">
        <v>696</v>
      </c>
      <c r="C24" s="665" t="s">
        <v>697</v>
      </c>
    </row>
    <row r="25" spans="2:3" x14ac:dyDescent="0.2">
      <c r="B25" t="s">
        <v>695</v>
      </c>
      <c r="C25" s="665" t="s">
        <v>702</v>
      </c>
    </row>
    <row r="26" spans="2:3" x14ac:dyDescent="0.2">
      <c r="B26" t="s">
        <v>700</v>
      </c>
      <c r="C26" s="667">
        <f>2345+755</f>
        <v>3100</v>
      </c>
    </row>
    <row r="27" spans="2:3" x14ac:dyDescent="0.2">
      <c r="B27" t="s">
        <v>699</v>
      </c>
      <c r="C27" s="666">
        <f>2345*143+755*187</f>
        <v>476520</v>
      </c>
    </row>
    <row r="28" spans="2:3" x14ac:dyDescent="0.2">
      <c r="B28" s="665" t="s">
        <v>701</v>
      </c>
      <c r="C28" s="668">
        <f>+C27/C26</f>
        <v>153.71612903225807</v>
      </c>
    </row>
    <row r="29" spans="2:3" ht="19.899999999999999" customHeight="1" x14ac:dyDescent="0.2"/>
    <row r="30" spans="2:3" ht="18.600000000000001" customHeight="1" x14ac:dyDescent="0.2"/>
    <row r="31" spans="2:3" x14ac:dyDescent="0.2">
      <c r="B31" s="665" t="s">
        <v>703</v>
      </c>
    </row>
    <row r="35" spans="2:2" x14ac:dyDescent="0.2">
      <c r="B35" s="662" t="s">
        <v>676</v>
      </c>
    </row>
    <row r="36" spans="2:2" x14ac:dyDescent="0.2">
      <c r="B36" s="662"/>
    </row>
    <row r="37" spans="2:2" x14ac:dyDescent="0.2">
      <c r="B37" s="661" t="s">
        <v>691</v>
      </c>
    </row>
    <row r="38" spans="2:2" ht="7.15" customHeight="1" x14ac:dyDescent="0.2"/>
    <row r="39" spans="2:2" x14ac:dyDescent="0.2">
      <c r="B39" s="665" t="s">
        <v>677</v>
      </c>
    </row>
    <row r="40" spans="2:2" x14ac:dyDescent="0.2">
      <c r="B40" t="s">
        <v>678</v>
      </c>
    </row>
    <row r="41" spans="2:2" ht="4.9000000000000004" customHeight="1" x14ac:dyDescent="0.2"/>
    <row r="42" spans="2:2" x14ac:dyDescent="0.2">
      <c r="B42" s="665" t="s">
        <v>689</v>
      </c>
    </row>
    <row r="43" spans="2:2" ht="7.15" customHeight="1" x14ac:dyDescent="0.2"/>
    <row r="44" spans="2:2" x14ac:dyDescent="0.2">
      <c r="B44" s="665" t="s">
        <v>690</v>
      </c>
    </row>
    <row r="47" spans="2:2" x14ac:dyDescent="0.2">
      <c r="B47" s="661" t="s">
        <v>692</v>
      </c>
    </row>
    <row r="49" spans="2:2" x14ac:dyDescent="0.2">
      <c r="B49" s="665" t="s">
        <v>679</v>
      </c>
    </row>
    <row r="51" spans="2:2" x14ac:dyDescent="0.2">
      <c r="B51" s="665" t="s">
        <v>680</v>
      </c>
    </row>
    <row r="52" spans="2:2" x14ac:dyDescent="0.2">
      <c r="B52" s="665" t="s">
        <v>681</v>
      </c>
    </row>
    <row r="53" spans="2:2" ht="7.15" customHeight="1" x14ac:dyDescent="0.2"/>
    <row r="54" spans="2:2" x14ac:dyDescent="0.2">
      <c r="B54" s="665" t="s">
        <v>704</v>
      </c>
    </row>
    <row r="56" spans="2:2" x14ac:dyDescent="0.2">
      <c r="B56" s="665" t="s">
        <v>682</v>
      </c>
    </row>
    <row r="58" spans="2:2" x14ac:dyDescent="0.2">
      <c r="B58" s="665" t="s">
        <v>683</v>
      </c>
    </row>
    <row r="59" spans="2:2" x14ac:dyDescent="0.2">
      <c r="B59" s="665" t="s">
        <v>684</v>
      </c>
    </row>
    <row r="61" spans="2:2" x14ac:dyDescent="0.2">
      <c r="B61" s="665" t="s">
        <v>685</v>
      </c>
    </row>
    <row r="63" spans="2:2" x14ac:dyDescent="0.2">
      <c r="B63" s="665" t="s">
        <v>686</v>
      </c>
    </row>
    <row r="65" spans="2:2" x14ac:dyDescent="0.2">
      <c r="B65" s="665" t="s">
        <v>687</v>
      </c>
    </row>
  </sheetData>
  <pageMargins left="0.70866141732283472" right="0.70866141732283472" top="0.74803149606299213" bottom="0.74803149606299213" header="0.31496062992125984" footer="0.31496062992125984"/>
  <pageSetup paperSize="9" scale="9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3" tint="0.59999389629810485"/>
    <pageSetUpPr fitToPage="1"/>
  </sheetPr>
  <dimension ref="A2:A115"/>
  <sheetViews>
    <sheetView zoomScale="70" zoomScaleNormal="70" workbookViewId="0">
      <selection activeCell="B12" sqref="B12"/>
    </sheetView>
  </sheetViews>
  <sheetFormatPr baseColWidth="10" defaultRowHeight="12.75" x14ac:dyDescent="0.2"/>
  <cols>
    <col min="1" max="1" width="11.5703125" style="656"/>
    <col min="2" max="2" width="40.42578125" style="656" bestFit="1" customWidth="1"/>
    <col min="3" max="3" width="19.28515625" style="656" customWidth="1"/>
    <col min="4" max="4" width="18.140625" style="656" customWidth="1"/>
    <col min="5" max="5" width="16" style="656" customWidth="1"/>
    <col min="6" max="6" width="21" style="656" customWidth="1"/>
    <col min="7" max="7" width="60.7109375" style="656" customWidth="1"/>
    <col min="8" max="8" width="21" style="656" customWidth="1"/>
    <col min="9" max="9" width="44" style="656" customWidth="1"/>
    <col min="10" max="10" width="11.5703125" style="656"/>
    <col min="11" max="11" width="40.42578125" style="656" bestFit="1" customWidth="1"/>
    <col min="12" max="12" width="20" style="656" customWidth="1"/>
    <col min="13" max="14" width="16" style="656" customWidth="1"/>
    <col min="15" max="15" width="20.28515625" style="656" customWidth="1"/>
    <col min="16" max="16" width="60.7109375" style="656" customWidth="1"/>
    <col min="17" max="17" width="11.5703125" style="656"/>
    <col min="18" max="18" width="34.7109375" style="656" bestFit="1" customWidth="1"/>
    <col min="19" max="19" width="13.42578125" style="656" bestFit="1" customWidth="1"/>
    <col min="20" max="20" width="16.28515625" style="656" bestFit="1" customWidth="1"/>
    <col min="21" max="21" width="13.42578125" style="656" bestFit="1" customWidth="1"/>
    <col min="22" max="261" width="11.5703125" style="656"/>
    <col min="262" max="262" width="6.140625" style="656" customWidth="1"/>
    <col min="263" max="263" width="38.5703125" style="656" bestFit="1" customWidth="1"/>
    <col min="264" max="267" width="16" style="656" customWidth="1"/>
    <col min="268" max="268" width="18.7109375" style="656" customWidth="1"/>
    <col min="269" max="270" width="30.140625" style="656" customWidth="1"/>
    <col min="271" max="271" width="15.5703125" style="656" customWidth="1"/>
    <col min="272" max="517" width="11.5703125" style="656"/>
    <col min="518" max="518" width="6.140625" style="656" customWidth="1"/>
    <col min="519" max="519" width="38.5703125" style="656" bestFit="1" customWidth="1"/>
    <col min="520" max="523" width="16" style="656" customWidth="1"/>
    <col min="524" max="524" width="18.7109375" style="656" customWidth="1"/>
    <col min="525" max="526" width="30.140625" style="656" customWidth="1"/>
    <col min="527" max="527" width="15.5703125" style="656" customWidth="1"/>
    <col min="528" max="773" width="11.5703125" style="656"/>
    <col min="774" max="774" width="6.140625" style="656" customWidth="1"/>
    <col min="775" max="775" width="38.5703125" style="656" bestFit="1" customWidth="1"/>
    <col min="776" max="779" width="16" style="656" customWidth="1"/>
    <col min="780" max="780" width="18.7109375" style="656" customWidth="1"/>
    <col min="781" max="782" width="30.140625" style="656" customWidth="1"/>
    <col min="783" max="783" width="15.5703125" style="656" customWidth="1"/>
    <col min="784" max="1029" width="11.5703125" style="656"/>
    <col min="1030" max="1030" width="6.140625" style="656" customWidth="1"/>
    <col min="1031" max="1031" width="38.5703125" style="656" bestFit="1" customWidth="1"/>
    <col min="1032" max="1035" width="16" style="656" customWidth="1"/>
    <col min="1036" max="1036" width="18.7109375" style="656" customWidth="1"/>
    <col min="1037" max="1038" width="30.140625" style="656" customWidth="1"/>
    <col min="1039" max="1039" width="15.5703125" style="656" customWidth="1"/>
    <col min="1040" max="1285" width="11.5703125" style="656"/>
    <col min="1286" max="1286" width="6.140625" style="656" customWidth="1"/>
    <col min="1287" max="1287" width="38.5703125" style="656" bestFit="1" customWidth="1"/>
    <col min="1288" max="1291" width="16" style="656" customWidth="1"/>
    <col min="1292" max="1292" width="18.7109375" style="656" customWidth="1"/>
    <col min="1293" max="1294" width="30.140625" style="656" customWidth="1"/>
    <col min="1295" max="1295" width="15.5703125" style="656" customWidth="1"/>
    <col min="1296" max="1541" width="11.5703125" style="656"/>
    <col min="1542" max="1542" width="6.140625" style="656" customWidth="1"/>
    <col min="1543" max="1543" width="38.5703125" style="656" bestFit="1" customWidth="1"/>
    <col min="1544" max="1547" width="16" style="656" customWidth="1"/>
    <col min="1548" max="1548" width="18.7109375" style="656" customWidth="1"/>
    <col min="1549" max="1550" width="30.140625" style="656" customWidth="1"/>
    <col min="1551" max="1551" width="15.5703125" style="656" customWidth="1"/>
    <col min="1552" max="1797" width="11.5703125" style="656"/>
    <col min="1798" max="1798" width="6.140625" style="656" customWidth="1"/>
    <col min="1799" max="1799" width="38.5703125" style="656" bestFit="1" customWidth="1"/>
    <col min="1800" max="1803" width="16" style="656" customWidth="1"/>
    <col min="1804" max="1804" width="18.7109375" style="656" customWidth="1"/>
    <col min="1805" max="1806" width="30.140625" style="656" customWidth="1"/>
    <col min="1807" max="1807" width="15.5703125" style="656" customWidth="1"/>
    <col min="1808" max="2053" width="11.5703125" style="656"/>
    <col min="2054" max="2054" width="6.140625" style="656" customWidth="1"/>
    <col min="2055" max="2055" width="38.5703125" style="656" bestFit="1" customWidth="1"/>
    <col min="2056" max="2059" width="16" style="656" customWidth="1"/>
    <col min="2060" max="2060" width="18.7109375" style="656" customWidth="1"/>
    <col min="2061" max="2062" width="30.140625" style="656" customWidth="1"/>
    <col min="2063" max="2063" width="15.5703125" style="656" customWidth="1"/>
    <col min="2064" max="2309" width="11.5703125" style="656"/>
    <col min="2310" max="2310" width="6.140625" style="656" customWidth="1"/>
    <col min="2311" max="2311" width="38.5703125" style="656" bestFit="1" customWidth="1"/>
    <col min="2312" max="2315" width="16" style="656" customWidth="1"/>
    <col min="2316" max="2316" width="18.7109375" style="656" customWidth="1"/>
    <col min="2317" max="2318" width="30.140625" style="656" customWidth="1"/>
    <col min="2319" max="2319" width="15.5703125" style="656" customWidth="1"/>
    <col min="2320" max="2565" width="11.5703125" style="656"/>
    <col min="2566" max="2566" width="6.140625" style="656" customWidth="1"/>
    <col min="2567" max="2567" width="38.5703125" style="656" bestFit="1" customWidth="1"/>
    <col min="2568" max="2571" width="16" style="656" customWidth="1"/>
    <col min="2572" max="2572" width="18.7109375" style="656" customWidth="1"/>
    <col min="2573" max="2574" width="30.140625" style="656" customWidth="1"/>
    <col min="2575" max="2575" width="15.5703125" style="656" customWidth="1"/>
    <col min="2576" max="2821" width="11.5703125" style="656"/>
    <col min="2822" max="2822" width="6.140625" style="656" customWidth="1"/>
    <col min="2823" max="2823" width="38.5703125" style="656" bestFit="1" customWidth="1"/>
    <col min="2824" max="2827" width="16" style="656" customWidth="1"/>
    <col min="2828" max="2828" width="18.7109375" style="656" customWidth="1"/>
    <col min="2829" max="2830" width="30.140625" style="656" customWidth="1"/>
    <col min="2831" max="2831" width="15.5703125" style="656" customWidth="1"/>
    <col min="2832" max="3077" width="11.5703125" style="656"/>
    <col min="3078" max="3078" width="6.140625" style="656" customWidth="1"/>
    <col min="3079" max="3079" width="38.5703125" style="656" bestFit="1" customWidth="1"/>
    <col min="3080" max="3083" width="16" style="656" customWidth="1"/>
    <col min="3084" max="3084" width="18.7109375" style="656" customWidth="1"/>
    <col min="3085" max="3086" width="30.140625" style="656" customWidth="1"/>
    <col min="3087" max="3087" width="15.5703125" style="656" customWidth="1"/>
    <col min="3088" max="3333" width="11.5703125" style="656"/>
    <col min="3334" max="3334" width="6.140625" style="656" customWidth="1"/>
    <col min="3335" max="3335" width="38.5703125" style="656" bestFit="1" customWidth="1"/>
    <col min="3336" max="3339" width="16" style="656" customWidth="1"/>
    <col min="3340" max="3340" width="18.7109375" style="656" customWidth="1"/>
    <col min="3341" max="3342" width="30.140625" style="656" customWidth="1"/>
    <col min="3343" max="3343" width="15.5703125" style="656" customWidth="1"/>
    <col min="3344" max="3589" width="11.5703125" style="656"/>
    <col min="3590" max="3590" width="6.140625" style="656" customWidth="1"/>
    <col min="3591" max="3591" width="38.5703125" style="656" bestFit="1" customWidth="1"/>
    <col min="3592" max="3595" width="16" style="656" customWidth="1"/>
    <col min="3596" max="3596" width="18.7109375" style="656" customWidth="1"/>
    <col min="3597" max="3598" width="30.140625" style="656" customWidth="1"/>
    <col min="3599" max="3599" width="15.5703125" style="656" customWidth="1"/>
    <col min="3600" max="3845" width="11.5703125" style="656"/>
    <col min="3846" max="3846" width="6.140625" style="656" customWidth="1"/>
    <col min="3847" max="3847" width="38.5703125" style="656" bestFit="1" customWidth="1"/>
    <col min="3848" max="3851" width="16" style="656" customWidth="1"/>
    <col min="3852" max="3852" width="18.7109375" style="656" customWidth="1"/>
    <col min="3853" max="3854" width="30.140625" style="656" customWidth="1"/>
    <col min="3855" max="3855" width="15.5703125" style="656" customWidth="1"/>
    <col min="3856" max="4101" width="11.5703125" style="656"/>
    <col min="4102" max="4102" width="6.140625" style="656" customWidth="1"/>
    <col min="4103" max="4103" width="38.5703125" style="656" bestFit="1" customWidth="1"/>
    <col min="4104" max="4107" width="16" style="656" customWidth="1"/>
    <col min="4108" max="4108" width="18.7109375" style="656" customWidth="1"/>
    <col min="4109" max="4110" width="30.140625" style="656" customWidth="1"/>
    <col min="4111" max="4111" width="15.5703125" style="656" customWidth="1"/>
    <col min="4112" max="4357" width="11.5703125" style="656"/>
    <col min="4358" max="4358" width="6.140625" style="656" customWidth="1"/>
    <col min="4359" max="4359" width="38.5703125" style="656" bestFit="1" customWidth="1"/>
    <col min="4360" max="4363" width="16" style="656" customWidth="1"/>
    <col min="4364" max="4364" width="18.7109375" style="656" customWidth="1"/>
    <col min="4365" max="4366" width="30.140625" style="656" customWidth="1"/>
    <col min="4367" max="4367" width="15.5703125" style="656" customWidth="1"/>
    <col min="4368" max="4613" width="11.5703125" style="656"/>
    <col min="4614" max="4614" width="6.140625" style="656" customWidth="1"/>
    <col min="4615" max="4615" width="38.5703125" style="656" bestFit="1" customWidth="1"/>
    <col min="4616" max="4619" width="16" style="656" customWidth="1"/>
    <col min="4620" max="4620" width="18.7109375" style="656" customWidth="1"/>
    <col min="4621" max="4622" width="30.140625" style="656" customWidth="1"/>
    <col min="4623" max="4623" width="15.5703125" style="656" customWidth="1"/>
    <col min="4624" max="4869" width="11.5703125" style="656"/>
    <col min="4870" max="4870" width="6.140625" style="656" customWidth="1"/>
    <col min="4871" max="4871" width="38.5703125" style="656" bestFit="1" customWidth="1"/>
    <col min="4872" max="4875" width="16" style="656" customWidth="1"/>
    <col min="4876" max="4876" width="18.7109375" style="656" customWidth="1"/>
    <col min="4877" max="4878" width="30.140625" style="656" customWidth="1"/>
    <col min="4879" max="4879" width="15.5703125" style="656" customWidth="1"/>
    <col min="4880" max="5125" width="11.5703125" style="656"/>
    <col min="5126" max="5126" width="6.140625" style="656" customWidth="1"/>
    <col min="5127" max="5127" width="38.5703125" style="656" bestFit="1" customWidth="1"/>
    <col min="5128" max="5131" width="16" style="656" customWidth="1"/>
    <col min="5132" max="5132" width="18.7109375" style="656" customWidth="1"/>
    <col min="5133" max="5134" width="30.140625" style="656" customWidth="1"/>
    <col min="5135" max="5135" width="15.5703125" style="656" customWidth="1"/>
    <col min="5136" max="5381" width="11.5703125" style="656"/>
    <col min="5382" max="5382" width="6.140625" style="656" customWidth="1"/>
    <col min="5383" max="5383" width="38.5703125" style="656" bestFit="1" customWidth="1"/>
    <col min="5384" max="5387" width="16" style="656" customWidth="1"/>
    <col min="5388" max="5388" width="18.7109375" style="656" customWidth="1"/>
    <col min="5389" max="5390" width="30.140625" style="656" customWidth="1"/>
    <col min="5391" max="5391" width="15.5703125" style="656" customWidth="1"/>
    <col min="5392" max="5637" width="11.5703125" style="656"/>
    <col min="5638" max="5638" width="6.140625" style="656" customWidth="1"/>
    <col min="5639" max="5639" width="38.5703125" style="656" bestFit="1" customWidth="1"/>
    <col min="5640" max="5643" width="16" style="656" customWidth="1"/>
    <col min="5644" max="5644" width="18.7109375" style="656" customWidth="1"/>
    <col min="5645" max="5646" width="30.140625" style="656" customWidth="1"/>
    <col min="5647" max="5647" width="15.5703125" style="656" customWidth="1"/>
    <col min="5648" max="5893" width="11.5703125" style="656"/>
    <col min="5894" max="5894" width="6.140625" style="656" customWidth="1"/>
    <col min="5895" max="5895" width="38.5703125" style="656" bestFit="1" customWidth="1"/>
    <col min="5896" max="5899" width="16" style="656" customWidth="1"/>
    <col min="5900" max="5900" width="18.7109375" style="656" customWidth="1"/>
    <col min="5901" max="5902" width="30.140625" style="656" customWidth="1"/>
    <col min="5903" max="5903" width="15.5703125" style="656" customWidth="1"/>
    <col min="5904" max="6149" width="11.5703125" style="656"/>
    <col min="6150" max="6150" width="6.140625" style="656" customWidth="1"/>
    <col min="6151" max="6151" width="38.5703125" style="656" bestFit="1" customWidth="1"/>
    <col min="6152" max="6155" width="16" style="656" customWidth="1"/>
    <col min="6156" max="6156" width="18.7109375" style="656" customWidth="1"/>
    <col min="6157" max="6158" width="30.140625" style="656" customWidth="1"/>
    <col min="6159" max="6159" width="15.5703125" style="656" customWidth="1"/>
    <col min="6160" max="6405" width="11.5703125" style="656"/>
    <col min="6406" max="6406" width="6.140625" style="656" customWidth="1"/>
    <col min="6407" max="6407" width="38.5703125" style="656" bestFit="1" customWidth="1"/>
    <col min="6408" max="6411" width="16" style="656" customWidth="1"/>
    <col min="6412" max="6412" width="18.7109375" style="656" customWidth="1"/>
    <col min="6413" max="6414" width="30.140625" style="656" customWidth="1"/>
    <col min="6415" max="6415" width="15.5703125" style="656" customWidth="1"/>
    <col min="6416" max="6661" width="11.5703125" style="656"/>
    <col min="6662" max="6662" width="6.140625" style="656" customWidth="1"/>
    <col min="6663" max="6663" width="38.5703125" style="656" bestFit="1" customWidth="1"/>
    <col min="6664" max="6667" width="16" style="656" customWidth="1"/>
    <col min="6668" max="6668" width="18.7109375" style="656" customWidth="1"/>
    <col min="6669" max="6670" width="30.140625" style="656" customWidth="1"/>
    <col min="6671" max="6671" width="15.5703125" style="656" customWidth="1"/>
    <col min="6672" max="6917" width="11.5703125" style="656"/>
    <col min="6918" max="6918" width="6.140625" style="656" customWidth="1"/>
    <col min="6919" max="6919" width="38.5703125" style="656" bestFit="1" customWidth="1"/>
    <col min="6920" max="6923" width="16" style="656" customWidth="1"/>
    <col min="6924" max="6924" width="18.7109375" style="656" customWidth="1"/>
    <col min="6925" max="6926" width="30.140625" style="656" customWidth="1"/>
    <col min="6927" max="6927" width="15.5703125" style="656" customWidth="1"/>
    <col min="6928" max="7173" width="11.5703125" style="656"/>
    <col min="7174" max="7174" width="6.140625" style="656" customWidth="1"/>
    <col min="7175" max="7175" width="38.5703125" style="656" bestFit="1" customWidth="1"/>
    <col min="7176" max="7179" width="16" style="656" customWidth="1"/>
    <col min="7180" max="7180" width="18.7109375" style="656" customWidth="1"/>
    <col min="7181" max="7182" width="30.140625" style="656" customWidth="1"/>
    <col min="7183" max="7183" width="15.5703125" style="656" customWidth="1"/>
    <col min="7184" max="7429" width="11.5703125" style="656"/>
    <col min="7430" max="7430" width="6.140625" style="656" customWidth="1"/>
    <col min="7431" max="7431" width="38.5703125" style="656" bestFit="1" customWidth="1"/>
    <col min="7432" max="7435" width="16" style="656" customWidth="1"/>
    <col min="7436" max="7436" width="18.7109375" style="656" customWidth="1"/>
    <col min="7437" max="7438" width="30.140625" style="656" customWidth="1"/>
    <col min="7439" max="7439" width="15.5703125" style="656" customWidth="1"/>
    <col min="7440" max="7685" width="11.5703125" style="656"/>
    <col min="7686" max="7686" width="6.140625" style="656" customWidth="1"/>
    <col min="7687" max="7687" width="38.5703125" style="656" bestFit="1" customWidth="1"/>
    <col min="7688" max="7691" width="16" style="656" customWidth="1"/>
    <col min="7692" max="7692" width="18.7109375" style="656" customWidth="1"/>
    <col min="7693" max="7694" width="30.140625" style="656" customWidth="1"/>
    <col min="7695" max="7695" width="15.5703125" style="656" customWidth="1"/>
    <col min="7696" max="7941" width="11.5703125" style="656"/>
    <col min="7942" max="7942" width="6.140625" style="656" customWidth="1"/>
    <col min="7943" max="7943" width="38.5703125" style="656" bestFit="1" customWidth="1"/>
    <col min="7944" max="7947" width="16" style="656" customWidth="1"/>
    <col min="7948" max="7948" width="18.7109375" style="656" customWidth="1"/>
    <col min="7949" max="7950" width="30.140625" style="656" customWidth="1"/>
    <col min="7951" max="7951" width="15.5703125" style="656" customWidth="1"/>
    <col min="7952" max="8197" width="11.5703125" style="656"/>
    <col min="8198" max="8198" width="6.140625" style="656" customWidth="1"/>
    <col min="8199" max="8199" width="38.5703125" style="656" bestFit="1" customWidth="1"/>
    <col min="8200" max="8203" width="16" style="656" customWidth="1"/>
    <col min="8204" max="8204" width="18.7109375" style="656" customWidth="1"/>
    <col min="8205" max="8206" width="30.140625" style="656" customWidth="1"/>
    <col min="8207" max="8207" width="15.5703125" style="656" customWidth="1"/>
    <col min="8208" max="8453" width="11.5703125" style="656"/>
    <col min="8454" max="8454" width="6.140625" style="656" customWidth="1"/>
    <col min="8455" max="8455" width="38.5703125" style="656" bestFit="1" customWidth="1"/>
    <col min="8456" max="8459" width="16" style="656" customWidth="1"/>
    <col min="8460" max="8460" width="18.7109375" style="656" customWidth="1"/>
    <col min="8461" max="8462" width="30.140625" style="656" customWidth="1"/>
    <col min="8463" max="8463" width="15.5703125" style="656" customWidth="1"/>
    <col min="8464" max="8709" width="11.5703125" style="656"/>
    <col min="8710" max="8710" width="6.140625" style="656" customWidth="1"/>
    <col min="8711" max="8711" width="38.5703125" style="656" bestFit="1" customWidth="1"/>
    <col min="8712" max="8715" width="16" style="656" customWidth="1"/>
    <col min="8716" max="8716" width="18.7109375" style="656" customWidth="1"/>
    <col min="8717" max="8718" width="30.140625" style="656" customWidth="1"/>
    <col min="8719" max="8719" width="15.5703125" style="656" customWidth="1"/>
    <col min="8720" max="8965" width="11.5703125" style="656"/>
    <col min="8966" max="8966" width="6.140625" style="656" customWidth="1"/>
    <col min="8967" max="8967" width="38.5703125" style="656" bestFit="1" customWidth="1"/>
    <col min="8968" max="8971" width="16" style="656" customWidth="1"/>
    <col min="8972" max="8972" width="18.7109375" style="656" customWidth="1"/>
    <col min="8973" max="8974" width="30.140625" style="656" customWidth="1"/>
    <col min="8975" max="8975" width="15.5703125" style="656" customWidth="1"/>
    <col min="8976" max="9221" width="11.5703125" style="656"/>
    <col min="9222" max="9222" width="6.140625" style="656" customWidth="1"/>
    <col min="9223" max="9223" width="38.5703125" style="656" bestFit="1" customWidth="1"/>
    <col min="9224" max="9227" width="16" style="656" customWidth="1"/>
    <col min="9228" max="9228" width="18.7109375" style="656" customWidth="1"/>
    <col min="9229" max="9230" width="30.140625" style="656" customWidth="1"/>
    <col min="9231" max="9231" width="15.5703125" style="656" customWidth="1"/>
    <col min="9232" max="9477" width="11.5703125" style="656"/>
    <col min="9478" max="9478" width="6.140625" style="656" customWidth="1"/>
    <col min="9479" max="9479" width="38.5703125" style="656" bestFit="1" customWidth="1"/>
    <col min="9480" max="9483" width="16" style="656" customWidth="1"/>
    <col min="9484" max="9484" width="18.7109375" style="656" customWidth="1"/>
    <col min="9485" max="9486" width="30.140625" style="656" customWidth="1"/>
    <col min="9487" max="9487" width="15.5703125" style="656" customWidth="1"/>
    <col min="9488" max="9733" width="11.5703125" style="656"/>
    <col min="9734" max="9734" width="6.140625" style="656" customWidth="1"/>
    <col min="9735" max="9735" width="38.5703125" style="656" bestFit="1" customWidth="1"/>
    <col min="9736" max="9739" width="16" style="656" customWidth="1"/>
    <col min="9740" max="9740" width="18.7109375" style="656" customWidth="1"/>
    <col min="9741" max="9742" width="30.140625" style="656" customWidth="1"/>
    <col min="9743" max="9743" width="15.5703125" style="656" customWidth="1"/>
    <col min="9744" max="9989" width="11.5703125" style="656"/>
    <col min="9990" max="9990" width="6.140625" style="656" customWidth="1"/>
    <col min="9991" max="9991" width="38.5703125" style="656" bestFit="1" customWidth="1"/>
    <col min="9992" max="9995" width="16" style="656" customWidth="1"/>
    <col min="9996" max="9996" width="18.7109375" style="656" customWidth="1"/>
    <col min="9997" max="9998" width="30.140625" style="656" customWidth="1"/>
    <col min="9999" max="9999" width="15.5703125" style="656" customWidth="1"/>
    <col min="10000" max="10245" width="11.5703125" style="656"/>
    <col min="10246" max="10246" width="6.140625" style="656" customWidth="1"/>
    <col min="10247" max="10247" width="38.5703125" style="656" bestFit="1" customWidth="1"/>
    <col min="10248" max="10251" width="16" style="656" customWidth="1"/>
    <col min="10252" max="10252" width="18.7109375" style="656" customWidth="1"/>
    <col min="10253" max="10254" width="30.140625" style="656" customWidth="1"/>
    <col min="10255" max="10255" width="15.5703125" style="656" customWidth="1"/>
    <col min="10256" max="10501" width="11.5703125" style="656"/>
    <col min="10502" max="10502" width="6.140625" style="656" customWidth="1"/>
    <col min="10503" max="10503" width="38.5703125" style="656" bestFit="1" customWidth="1"/>
    <col min="10504" max="10507" width="16" style="656" customWidth="1"/>
    <col min="10508" max="10508" width="18.7109375" style="656" customWidth="1"/>
    <col min="10509" max="10510" width="30.140625" style="656" customWidth="1"/>
    <col min="10511" max="10511" width="15.5703125" style="656" customWidth="1"/>
    <col min="10512" max="10757" width="11.5703125" style="656"/>
    <col min="10758" max="10758" width="6.140625" style="656" customWidth="1"/>
    <col min="10759" max="10759" width="38.5703125" style="656" bestFit="1" customWidth="1"/>
    <col min="10760" max="10763" width="16" style="656" customWidth="1"/>
    <col min="10764" max="10764" width="18.7109375" style="656" customWidth="1"/>
    <col min="10765" max="10766" width="30.140625" style="656" customWidth="1"/>
    <col min="10767" max="10767" width="15.5703125" style="656" customWidth="1"/>
    <col min="10768" max="11013" width="11.5703125" style="656"/>
    <col min="11014" max="11014" width="6.140625" style="656" customWidth="1"/>
    <col min="11015" max="11015" width="38.5703125" style="656" bestFit="1" customWidth="1"/>
    <col min="11016" max="11019" width="16" style="656" customWidth="1"/>
    <col min="11020" max="11020" width="18.7109375" style="656" customWidth="1"/>
    <col min="11021" max="11022" width="30.140625" style="656" customWidth="1"/>
    <col min="11023" max="11023" width="15.5703125" style="656" customWidth="1"/>
    <col min="11024" max="11269" width="11.5703125" style="656"/>
    <col min="11270" max="11270" width="6.140625" style="656" customWidth="1"/>
    <col min="11271" max="11271" width="38.5703125" style="656" bestFit="1" customWidth="1"/>
    <col min="11272" max="11275" width="16" style="656" customWidth="1"/>
    <col min="11276" max="11276" width="18.7109375" style="656" customWidth="1"/>
    <col min="11277" max="11278" width="30.140625" style="656" customWidth="1"/>
    <col min="11279" max="11279" width="15.5703125" style="656" customWidth="1"/>
    <col min="11280" max="11525" width="11.5703125" style="656"/>
    <col min="11526" max="11526" width="6.140625" style="656" customWidth="1"/>
    <col min="11527" max="11527" width="38.5703125" style="656" bestFit="1" customWidth="1"/>
    <col min="11528" max="11531" width="16" style="656" customWidth="1"/>
    <col min="11532" max="11532" width="18.7109375" style="656" customWidth="1"/>
    <col min="11533" max="11534" width="30.140625" style="656" customWidth="1"/>
    <col min="11535" max="11535" width="15.5703125" style="656" customWidth="1"/>
    <col min="11536" max="11781" width="11.5703125" style="656"/>
    <col min="11782" max="11782" width="6.140625" style="656" customWidth="1"/>
    <col min="11783" max="11783" width="38.5703125" style="656" bestFit="1" customWidth="1"/>
    <col min="11784" max="11787" width="16" style="656" customWidth="1"/>
    <col min="11788" max="11788" width="18.7109375" style="656" customWidth="1"/>
    <col min="11789" max="11790" width="30.140625" style="656" customWidth="1"/>
    <col min="11791" max="11791" width="15.5703125" style="656" customWidth="1"/>
    <col min="11792" max="12037" width="11.5703125" style="656"/>
    <col min="12038" max="12038" width="6.140625" style="656" customWidth="1"/>
    <col min="12039" max="12039" width="38.5703125" style="656" bestFit="1" customWidth="1"/>
    <col min="12040" max="12043" width="16" style="656" customWidth="1"/>
    <col min="12044" max="12044" width="18.7109375" style="656" customWidth="1"/>
    <col min="12045" max="12046" width="30.140625" style="656" customWidth="1"/>
    <col min="12047" max="12047" width="15.5703125" style="656" customWidth="1"/>
    <col min="12048" max="12293" width="11.5703125" style="656"/>
    <col min="12294" max="12294" width="6.140625" style="656" customWidth="1"/>
    <col min="12295" max="12295" width="38.5703125" style="656" bestFit="1" customWidth="1"/>
    <col min="12296" max="12299" width="16" style="656" customWidth="1"/>
    <col min="12300" max="12300" width="18.7109375" style="656" customWidth="1"/>
    <col min="12301" max="12302" width="30.140625" style="656" customWidth="1"/>
    <col min="12303" max="12303" width="15.5703125" style="656" customWidth="1"/>
    <col min="12304" max="12549" width="11.5703125" style="656"/>
    <col min="12550" max="12550" width="6.140625" style="656" customWidth="1"/>
    <col min="12551" max="12551" width="38.5703125" style="656" bestFit="1" customWidth="1"/>
    <col min="12552" max="12555" width="16" style="656" customWidth="1"/>
    <col min="12556" max="12556" width="18.7109375" style="656" customWidth="1"/>
    <col min="12557" max="12558" width="30.140625" style="656" customWidth="1"/>
    <col min="12559" max="12559" width="15.5703125" style="656" customWidth="1"/>
    <col min="12560" max="12805" width="11.5703125" style="656"/>
    <col min="12806" max="12806" width="6.140625" style="656" customWidth="1"/>
    <col min="12807" max="12807" width="38.5703125" style="656" bestFit="1" customWidth="1"/>
    <col min="12808" max="12811" width="16" style="656" customWidth="1"/>
    <col min="12812" max="12812" width="18.7109375" style="656" customWidth="1"/>
    <col min="12813" max="12814" width="30.140625" style="656" customWidth="1"/>
    <col min="12815" max="12815" width="15.5703125" style="656" customWidth="1"/>
    <col min="12816" max="13061" width="11.5703125" style="656"/>
    <col min="13062" max="13062" width="6.140625" style="656" customWidth="1"/>
    <col min="13063" max="13063" width="38.5703125" style="656" bestFit="1" customWidth="1"/>
    <col min="13064" max="13067" width="16" style="656" customWidth="1"/>
    <col min="13068" max="13068" width="18.7109375" style="656" customWidth="1"/>
    <col min="13069" max="13070" width="30.140625" style="656" customWidth="1"/>
    <col min="13071" max="13071" width="15.5703125" style="656" customWidth="1"/>
    <col min="13072" max="13317" width="11.5703125" style="656"/>
    <col min="13318" max="13318" width="6.140625" style="656" customWidth="1"/>
    <col min="13319" max="13319" width="38.5703125" style="656" bestFit="1" customWidth="1"/>
    <col min="13320" max="13323" width="16" style="656" customWidth="1"/>
    <col min="13324" max="13324" width="18.7109375" style="656" customWidth="1"/>
    <col min="13325" max="13326" width="30.140625" style="656" customWidth="1"/>
    <col min="13327" max="13327" width="15.5703125" style="656" customWidth="1"/>
    <col min="13328" max="13573" width="11.5703125" style="656"/>
    <col min="13574" max="13574" width="6.140625" style="656" customWidth="1"/>
    <col min="13575" max="13575" width="38.5703125" style="656" bestFit="1" customWidth="1"/>
    <col min="13576" max="13579" width="16" style="656" customWidth="1"/>
    <col min="13580" max="13580" width="18.7109375" style="656" customWidth="1"/>
    <col min="13581" max="13582" width="30.140625" style="656" customWidth="1"/>
    <col min="13583" max="13583" width="15.5703125" style="656" customWidth="1"/>
    <col min="13584" max="13829" width="11.5703125" style="656"/>
    <col min="13830" max="13830" width="6.140625" style="656" customWidth="1"/>
    <col min="13831" max="13831" width="38.5703125" style="656" bestFit="1" customWidth="1"/>
    <col min="13832" max="13835" width="16" style="656" customWidth="1"/>
    <col min="13836" max="13836" width="18.7109375" style="656" customWidth="1"/>
    <col min="13837" max="13838" width="30.140625" style="656" customWidth="1"/>
    <col min="13839" max="13839" width="15.5703125" style="656" customWidth="1"/>
    <col min="13840" max="14085" width="11.5703125" style="656"/>
    <col min="14086" max="14086" width="6.140625" style="656" customWidth="1"/>
    <col min="14087" max="14087" width="38.5703125" style="656" bestFit="1" customWidth="1"/>
    <col min="14088" max="14091" width="16" style="656" customWidth="1"/>
    <col min="14092" max="14092" width="18.7109375" style="656" customWidth="1"/>
    <col min="14093" max="14094" width="30.140625" style="656" customWidth="1"/>
    <col min="14095" max="14095" width="15.5703125" style="656" customWidth="1"/>
    <col min="14096" max="14341" width="11.5703125" style="656"/>
    <col min="14342" max="14342" width="6.140625" style="656" customWidth="1"/>
    <col min="14343" max="14343" width="38.5703125" style="656" bestFit="1" customWidth="1"/>
    <col min="14344" max="14347" width="16" style="656" customWidth="1"/>
    <col min="14348" max="14348" width="18.7109375" style="656" customWidth="1"/>
    <col min="14349" max="14350" width="30.140625" style="656" customWidth="1"/>
    <col min="14351" max="14351" width="15.5703125" style="656" customWidth="1"/>
    <col min="14352" max="14597" width="11.5703125" style="656"/>
    <col min="14598" max="14598" width="6.140625" style="656" customWidth="1"/>
    <col min="14599" max="14599" width="38.5703125" style="656" bestFit="1" customWidth="1"/>
    <col min="14600" max="14603" width="16" style="656" customWidth="1"/>
    <col min="14604" max="14604" width="18.7109375" style="656" customWidth="1"/>
    <col min="14605" max="14606" width="30.140625" style="656" customWidth="1"/>
    <col min="14607" max="14607" width="15.5703125" style="656" customWidth="1"/>
    <col min="14608" max="14853" width="11.5703125" style="656"/>
    <col min="14854" max="14854" width="6.140625" style="656" customWidth="1"/>
    <col min="14855" max="14855" width="38.5703125" style="656" bestFit="1" customWidth="1"/>
    <col min="14856" max="14859" width="16" style="656" customWidth="1"/>
    <col min="14860" max="14860" width="18.7109375" style="656" customWidth="1"/>
    <col min="14861" max="14862" width="30.140625" style="656" customWidth="1"/>
    <col min="14863" max="14863" width="15.5703125" style="656" customWidth="1"/>
    <col min="14864" max="15109" width="11.5703125" style="656"/>
    <col min="15110" max="15110" width="6.140625" style="656" customWidth="1"/>
    <col min="15111" max="15111" width="38.5703125" style="656" bestFit="1" customWidth="1"/>
    <col min="15112" max="15115" width="16" style="656" customWidth="1"/>
    <col min="15116" max="15116" width="18.7109375" style="656" customWidth="1"/>
    <col min="15117" max="15118" width="30.140625" style="656" customWidth="1"/>
    <col min="15119" max="15119" width="15.5703125" style="656" customWidth="1"/>
    <col min="15120" max="15365" width="11.5703125" style="656"/>
    <col min="15366" max="15366" width="6.140625" style="656" customWidth="1"/>
    <col min="15367" max="15367" width="38.5703125" style="656" bestFit="1" customWidth="1"/>
    <col min="15368" max="15371" width="16" style="656" customWidth="1"/>
    <col min="15372" max="15372" width="18.7109375" style="656" customWidth="1"/>
    <col min="15373" max="15374" width="30.140625" style="656" customWidth="1"/>
    <col min="15375" max="15375" width="15.5703125" style="656" customWidth="1"/>
    <col min="15376" max="15621" width="11.5703125" style="656"/>
    <col min="15622" max="15622" width="6.140625" style="656" customWidth="1"/>
    <col min="15623" max="15623" width="38.5703125" style="656" bestFit="1" customWidth="1"/>
    <col min="15624" max="15627" width="16" style="656" customWidth="1"/>
    <col min="15628" max="15628" width="18.7109375" style="656" customWidth="1"/>
    <col min="15629" max="15630" width="30.140625" style="656" customWidth="1"/>
    <col min="15631" max="15631" width="15.5703125" style="656" customWidth="1"/>
    <col min="15632" max="15877" width="11.5703125" style="656"/>
    <col min="15878" max="15878" width="6.140625" style="656" customWidth="1"/>
    <col min="15879" max="15879" width="38.5703125" style="656" bestFit="1" customWidth="1"/>
    <col min="15880" max="15883" width="16" style="656" customWidth="1"/>
    <col min="15884" max="15884" width="18.7109375" style="656" customWidth="1"/>
    <col min="15885" max="15886" width="30.140625" style="656" customWidth="1"/>
    <col min="15887" max="15887" width="15.5703125" style="656" customWidth="1"/>
    <col min="15888" max="16133" width="11.5703125" style="656"/>
    <col min="16134" max="16134" width="6.140625" style="656" customWidth="1"/>
    <col min="16135" max="16135" width="38.5703125" style="656" bestFit="1" customWidth="1"/>
    <col min="16136" max="16139" width="16" style="656" customWidth="1"/>
    <col min="16140" max="16140" width="18.7109375" style="656" customWidth="1"/>
    <col min="16141" max="16142" width="30.140625" style="656" customWidth="1"/>
    <col min="16143" max="16143" width="15.5703125" style="656" customWidth="1"/>
    <col min="16144" max="16384" width="11.5703125" style="656"/>
  </cols>
  <sheetData>
    <row r="2" s="657" customFormat="1" x14ac:dyDescent="0.2"/>
    <row r="74" ht="94.9" customHeight="1" x14ac:dyDescent="0.2"/>
    <row r="110" ht="24" customHeight="1" x14ac:dyDescent="0.2"/>
    <row r="115" ht="110.45" customHeight="1" x14ac:dyDescent="0.2"/>
  </sheetData>
  <sheetProtection formatCells="0" formatColumns="0" formatRows="0" insertColumns="0" insertRows="0" insertHyperlinks="0" deleteColumns="0" deleteRows="0" sort="0" autoFilter="0" pivotTables="0"/>
  <phoneticPr fontId="62" type="noConversion"/>
  <pageMargins left="0.70866141732283472" right="0.70866141732283472" top="0.74803149606299213" bottom="0.74803149606299213" header="0.31496062992125984" footer="0.31496062992125984"/>
  <pageSetup paperSize="8" scale="4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D673C-B4EF-4425-86E2-101670FC0727}">
  <sheetPr codeName="Feuil4">
    <pageSetUpPr fitToPage="1"/>
  </sheetPr>
  <dimension ref="A2:I85"/>
  <sheetViews>
    <sheetView topLeftCell="A65" workbookViewId="0">
      <selection activeCell="E85" sqref="E85"/>
    </sheetView>
  </sheetViews>
  <sheetFormatPr baseColWidth="10" defaultRowHeight="12.75" x14ac:dyDescent="0.2"/>
  <cols>
    <col min="3" max="3" width="54.28515625" bestFit="1" customWidth="1"/>
    <col min="4" max="4" width="18.28515625" style="719" customWidth="1"/>
    <col min="5" max="5" width="15" customWidth="1"/>
    <col min="6" max="6" width="14.28515625" customWidth="1"/>
  </cols>
  <sheetData>
    <row r="2" spans="1:4" ht="18" x14ac:dyDescent="0.25">
      <c r="C2" s="689" t="s">
        <v>908</v>
      </c>
    </row>
    <row r="5" spans="1:4" x14ac:dyDescent="0.2">
      <c r="B5" s="716" t="s">
        <v>943</v>
      </c>
      <c r="C5" s="717"/>
    </row>
    <row r="6" spans="1:4" x14ac:dyDescent="0.2">
      <c r="B6" s="729"/>
      <c r="C6" s="665"/>
    </row>
    <row r="7" spans="1:4" x14ac:dyDescent="0.2">
      <c r="B7" s="681"/>
      <c r="C7" s="665" t="s">
        <v>944</v>
      </c>
    </row>
    <row r="8" spans="1:4" x14ac:dyDescent="0.2">
      <c r="B8" s="730"/>
      <c r="C8" s="665" t="s">
        <v>945</v>
      </c>
    </row>
    <row r="10" spans="1:4" ht="23.45" customHeight="1" x14ac:dyDescent="0.2">
      <c r="B10" s="681">
        <v>1</v>
      </c>
      <c r="C10" s="665" t="s">
        <v>735</v>
      </c>
    </row>
    <row r="11" spans="1:4" ht="23.45" customHeight="1" x14ac:dyDescent="0.2">
      <c r="B11" s="681">
        <v>2</v>
      </c>
      <c r="C11" s="665" t="s">
        <v>751</v>
      </c>
      <c r="D11" s="720" t="s">
        <v>812</v>
      </c>
    </row>
    <row r="12" spans="1:4" ht="23.45" customHeight="1" x14ac:dyDescent="0.2">
      <c r="A12" s="731">
        <v>45476</v>
      </c>
      <c r="B12" s="730">
        <v>3</v>
      </c>
      <c r="C12" s="665" t="s">
        <v>822</v>
      </c>
      <c r="D12" s="720" t="s">
        <v>946</v>
      </c>
    </row>
    <row r="13" spans="1:4" ht="23.45" customHeight="1" x14ac:dyDescent="0.2">
      <c r="B13" s="681">
        <v>4</v>
      </c>
      <c r="C13" s="665" t="s">
        <v>750</v>
      </c>
      <c r="D13" s="720" t="s">
        <v>813</v>
      </c>
    </row>
    <row r="14" spans="1:4" ht="23.45" customHeight="1" x14ac:dyDescent="0.2">
      <c r="A14" s="731">
        <v>45476</v>
      </c>
      <c r="B14" s="730">
        <v>5</v>
      </c>
      <c r="C14" s="665" t="s">
        <v>752</v>
      </c>
      <c r="D14" s="720" t="s">
        <v>947</v>
      </c>
    </row>
    <row r="15" spans="1:4" ht="23.45" customHeight="1" x14ac:dyDescent="0.2">
      <c r="B15">
        <v>6</v>
      </c>
      <c r="C15" s="665" t="s">
        <v>749</v>
      </c>
      <c r="D15" s="719" t="s">
        <v>964</v>
      </c>
    </row>
    <row r="16" spans="1:4" ht="23.45" customHeight="1" x14ac:dyDescent="0.2">
      <c r="B16" s="730">
        <v>7</v>
      </c>
      <c r="C16" s="665" t="s">
        <v>753</v>
      </c>
    </row>
    <row r="17" spans="1:4" ht="23.45" customHeight="1" x14ac:dyDescent="0.2">
      <c r="B17" s="681">
        <v>8</v>
      </c>
      <c r="C17" s="665" t="s">
        <v>814</v>
      </c>
    </row>
    <row r="18" spans="1:4" ht="23.45" customHeight="1" x14ac:dyDescent="0.2">
      <c r="B18">
        <v>9</v>
      </c>
      <c r="C18" s="665" t="s">
        <v>816</v>
      </c>
      <c r="D18" s="719" t="s">
        <v>964</v>
      </c>
    </row>
    <row r="19" spans="1:4" ht="23.45" customHeight="1" x14ac:dyDescent="0.2">
      <c r="B19">
        <v>10</v>
      </c>
      <c r="C19" s="665" t="s">
        <v>817</v>
      </c>
      <c r="D19" s="719" t="s">
        <v>964</v>
      </c>
    </row>
    <row r="20" spans="1:4" ht="23.45" customHeight="1" x14ac:dyDescent="0.2">
      <c r="B20" s="681">
        <v>11</v>
      </c>
      <c r="C20" s="665" t="s">
        <v>818</v>
      </c>
      <c r="D20" s="720" t="s">
        <v>819</v>
      </c>
    </row>
    <row r="21" spans="1:4" ht="26.45" customHeight="1" x14ac:dyDescent="0.2">
      <c r="A21" s="731">
        <v>45504</v>
      </c>
      <c r="B21" s="730">
        <v>12</v>
      </c>
      <c r="C21" s="665" t="s">
        <v>820</v>
      </c>
      <c r="D21" s="720" t="s">
        <v>948</v>
      </c>
    </row>
    <row r="22" spans="1:4" ht="26.45" customHeight="1" x14ac:dyDescent="0.2">
      <c r="B22">
        <v>13</v>
      </c>
      <c r="C22" s="665" t="s">
        <v>821</v>
      </c>
      <c r="D22" s="719" t="s">
        <v>964</v>
      </c>
    </row>
    <row r="23" spans="1:4" ht="23.45" customHeight="1" x14ac:dyDescent="0.2">
      <c r="A23" s="731">
        <v>45476</v>
      </c>
      <c r="B23" s="730">
        <v>14</v>
      </c>
      <c r="C23" s="665" t="s">
        <v>823</v>
      </c>
      <c r="D23" s="720" t="s">
        <v>947</v>
      </c>
    </row>
    <row r="24" spans="1:4" ht="23.45" customHeight="1" x14ac:dyDescent="0.2"/>
    <row r="25" spans="1:4" ht="23.45" customHeight="1" x14ac:dyDescent="0.2"/>
    <row r="26" spans="1:4" ht="23.45" customHeight="1" x14ac:dyDescent="0.2">
      <c r="B26" s="662" t="s">
        <v>909</v>
      </c>
    </row>
    <row r="27" spans="1:4" ht="23.45" customHeight="1" x14ac:dyDescent="0.2">
      <c r="C27" s="661" t="s">
        <v>910</v>
      </c>
    </row>
    <row r="28" spans="1:4" ht="23.45" customHeight="1" x14ac:dyDescent="0.2">
      <c r="C28" s="661" t="s">
        <v>911</v>
      </c>
    </row>
    <row r="29" spans="1:4" ht="26.45" customHeight="1" x14ac:dyDescent="0.2">
      <c r="C29" s="665" t="s">
        <v>956</v>
      </c>
    </row>
    <row r="30" spans="1:4" ht="26.45" customHeight="1" x14ac:dyDescent="0.2">
      <c r="C30" s="665" t="s">
        <v>916</v>
      </c>
    </row>
    <row r="31" spans="1:4" ht="26.45" customHeight="1" x14ac:dyDescent="0.2">
      <c r="C31" s="665" t="s">
        <v>918</v>
      </c>
    </row>
    <row r="32" spans="1:4" ht="26.45" customHeight="1" x14ac:dyDescent="0.2">
      <c r="C32" s="665" t="s">
        <v>915</v>
      </c>
    </row>
    <row r="33" spans="2:9" ht="26.45" customHeight="1" x14ac:dyDescent="0.2"/>
    <row r="34" spans="2:9" s="721" customFormat="1" ht="26.45" customHeight="1" x14ac:dyDescent="0.2">
      <c r="C34" s="722" t="s">
        <v>912</v>
      </c>
    </row>
    <row r="35" spans="2:9" s="721" customFormat="1" ht="26.45" customHeight="1" x14ac:dyDescent="0.2">
      <c r="C35" s="722" t="s">
        <v>913</v>
      </c>
    </row>
    <row r="36" spans="2:9" s="721" customFormat="1" ht="26.45" customHeight="1" x14ac:dyDescent="0.2">
      <c r="C36" s="722" t="s">
        <v>914</v>
      </c>
    </row>
    <row r="37" spans="2:9" s="721" customFormat="1" ht="26.45" customHeight="1" x14ac:dyDescent="0.2">
      <c r="C37" s="722" t="s">
        <v>917</v>
      </c>
      <c r="D37" s="722" t="s">
        <v>922</v>
      </c>
      <c r="E37" s="725" t="s">
        <v>928</v>
      </c>
      <c r="F37" s="725"/>
      <c r="G37" s="725"/>
      <c r="H37" s="725"/>
    </row>
    <row r="38" spans="2:9" s="721" customFormat="1" ht="26.45" customHeight="1" x14ac:dyDescent="0.2">
      <c r="C38" s="722" t="s">
        <v>919</v>
      </c>
    </row>
    <row r="39" spans="2:9" s="721" customFormat="1" ht="26.45" customHeight="1" x14ac:dyDescent="0.2">
      <c r="C39" s="722" t="s">
        <v>920</v>
      </c>
      <c r="D39" s="722" t="s">
        <v>921</v>
      </c>
    </row>
    <row r="40" spans="2:9" s="721" customFormat="1" ht="26.45" customHeight="1" x14ac:dyDescent="0.2"/>
    <row r="41" spans="2:9" s="721" customFormat="1" ht="26.45" customHeight="1" x14ac:dyDescent="0.2">
      <c r="C41" s="722" t="s">
        <v>923</v>
      </c>
      <c r="D41" s="723"/>
      <c r="E41" s="724"/>
    </row>
    <row r="42" spans="2:9" s="721" customFormat="1" ht="26.45" customHeight="1" x14ac:dyDescent="0.2">
      <c r="C42" s="722" t="s">
        <v>924</v>
      </c>
      <c r="D42" s="723"/>
      <c r="E42" s="724"/>
    </row>
    <row r="43" spans="2:9" s="721" customFormat="1" ht="26.45" customHeight="1" x14ac:dyDescent="0.2">
      <c r="C43" s="722" t="s">
        <v>925</v>
      </c>
      <c r="D43" s="723" t="s">
        <v>926</v>
      </c>
      <c r="E43" s="723" t="s">
        <v>927</v>
      </c>
      <c r="F43" s="722"/>
    </row>
    <row r="44" spans="2:9" s="721" customFormat="1" ht="26.45" customHeight="1" x14ac:dyDescent="0.2">
      <c r="C44" s="722" t="s">
        <v>932</v>
      </c>
    </row>
    <row r="45" spans="2:9" s="721" customFormat="1" ht="25.15" customHeight="1" x14ac:dyDescent="0.2">
      <c r="C45" s="722" t="s">
        <v>933</v>
      </c>
    </row>
    <row r="46" spans="2:9" s="721" customFormat="1" ht="26.45" customHeight="1" x14ac:dyDescent="0.2">
      <c r="C46" s="722" t="s">
        <v>934</v>
      </c>
      <c r="D46" s="725" t="s">
        <v>930</v>
      </c>
      <c r="E46" s="725"/>
      <c r="F46" s="725"/>
      <c r="G46" s="725" t="s">
        <v>931</v>
      </c>
      <c r="H46" s="725"/>
      <c r="I46" s="725"/>
    </row>
    <row r="47" spans="2:9" ht="26.45" customHeight="1" x14ac:dyDescent="0.2">
      <c r="C47" s="665"/>
    </row>
    <row r="48" spans="2:9" ht="26.45" customHeight="1" x14ac:dyDescent="0.2">
      <c r="B48" s="716" t="s">
        <v>929</v>
      </c>
      <c r="C48" s="717"/>
    </row>
    <row r="49" spans="2:3" ht="26.45" customHeight="1" x14ac:dyDescent="0.2">
      <c r="B49" s="718" t="s">
        <v>685</v>
      </c>
      <c r="C49" s="718"/>
    </row>
    <row r="50" spans="2:3" ht="26.45" customHeight="1" x14ac:dyDescent="0.2">
      <c r="B50" s="718" t="s">
        <v>686</v>
      </c>
      <c r="C50" s="718"/>
    </row>
    <row r="53" spans="2:3" x14ac:dyDescent="0.2">
      <c r="B53" s="662" t="s">
        <v>952</v>
      </c>
    </row>
    <row r="55" spans="2:3" x14ac:dyDescent="0.2">
      <c r="B55">
        <v>1</v>
      </c>
      <c r="C55" s="732" t="s">
        <v>949</v>
      </c>
    </row>
    <row r="56" spans="2:3" x14ac:dyDescent="0.2">
      <c r="C56" s="732" t="s">
        <v>950</v>
      </c>
    </row>
    <row r="57" spans="2:3" x14ac:dyDescent="0.2">
      <c r="C57" s="732" t="s">
        <v>955</v>
      </c>
    </row>
    <row r="59" spans="2:3" x14ac:dyDescent="0.2">
      <c r="B59">
        <v>2</v>
      </c>
      <c r="C59" s="665" t="s">
        <v>951</v>
      </c>
    </row>
    <row r="60" spans="2:3" x14ac:dyDescent="0.2">
      <c r="C60" s="665"/>
    </row>
    <row r="61" spans="2:3" x14ac:dyDescent="0.2">
      <c r="B61" s="662" t="s">
        <v>960</v>
      </c>
      <c r="C61" s="665"/>
    </row>
    <row r="62" spans="2:3" x14ac:dyDescent="0.2">
      <c r="C62" s="665"/>
    </row>
    <row r="63" spans="2:3" x14ac:dyDescent="0.2">
      <c r="B63" s="665">
        <v>1</v>
      </c>
      <c r="C63" s="732" t="s">
        <v>961</v>
      </c>
    </row>
    <row r="64" spans="2:3" x14ac:dyDescent="0.2">
      <c r="B64" s="665"/>
      <c r="C64" s="732"/>
    </row>
    <row r="65" spans="2:3" x14ac:dyDescent="0.2">
      <c r="B65" s="665">
        <v>2</v>
      </c>
      <c r="C65" s="732" t="s">
        <v>962</v>
      </c>
    </row>
    <row r="68" spans="2:3" x14ac:dyDescent="0.2">
      <c r="B68" s="662" t="s">
        <v>629</v>
      </c>
    </row>
    <row r="70" spans="2:3" x14ac:dyDescent="0.2">
      <c r="B70">
        <v>1</v>
      </c>
      <c r="C70" s="732" t="s">
        <v>953</v>
      </c>
    </row>
    <row r="72" spans="2:3" x14ac:dyDescent="0.2">
      <c r="B72">
        <v>2</v>
      </c>
      <c r="C72" s="732" t="s">
        <v>954</v>
      </c>
    </row>
    <row r="74" spans="2:3" ht="12.6" customHeight="1" x14ac:dyDescent="0.2"/>
    <row r="75" spans="2:3" x14ac:dyDescent="0.2">
      <c r="B75" s="662" t="s">
        <v>957</v>
      </c>
    </row>
    <row r="77" spans="2:3" x14ac:dyDescent="0.2">
      <c r="B77">
        <v>1</v>
      </c>
      <c r="C77" s="665" t="s">
        <v>963</v>
      </c>
    </row>
    <row r="79" spans="2:3" x14ac:dyDescent="0.2">
      <c r="B79">
        <v>2</v>
      </c>
      <c r="C79" s="665" t="s">
        <v>958</v>
      </c>
    </row>
    <row r="80" spans="2:3" x14ac:dyDescent="0.2">
      <c r="C80" s="665" t="s">
        <v>959</v>
      </c>
    </row>
    <row r="83" spans="2:3" x14ac:dyDescent="0.2">
      <c r="B83" s="662"/>
    </row>
    <row r="85" spans="2:3" x14ac:dyDescent="0.2">
      <c r="C85" s="665"/>
    </row>
  </sheetData>
  <pageMargins left="0.70866141732283472" right="0.70866141732283472" top="0.74803149606299213" bottom="0.74803149606299213" header="0.31496062992125984" footer="0.31496062992125984"/>
  <pageSetup paperSize="8" scale="7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Q42"/>
  <sheetViews>
    <sheetView topLeftCell="A34" zoomScale="65" zoomScaleNormal="85" zoomScalePageLayoutView="85" workbookViewId="0">
      <selection activeCell="E38" sqref="E38"/>
    </sheetView>
  </sheetViews>
  <sheetFormatPr baseColWidth="10" defaultRowHeight="25.15" customHeight="1" x14ac:dyDescent="0.2"/>
  <cols>
    <col min="1" max="1" width="47.28515625" style="243" bestFit="1" customWidth="1"/>
    <col min="2" max="2" width="19" style="238" customWidth="1"/>
    <col min="3" max="6" width="17.7109375" style="238" bestFit="1" customWidth="1"/>
    <col min="7" max="14" width="11.85546875" style="238" bestFit="1" customWidth="1"/>
    <col min="15" max="15" width="9.42578125" style="238" bestFit="1" customWidth="1"/>
    <col min="16" max="16" width="7.28515625" style="238" bestFit="1" customWidth="1"/>
    <col min="17" max="17" width="16.85546875" style="238" bestFit="1" customWidth="1"/>
    <col min="18" max="258" width="11.42578125" style="238"/>
    <col min="259" max="259" width="7.28515625" style="238" customWidth="1"/>
    <col min="260" max="261" width="11.7109375" style="238" customWidth="1"/>
    <col min="262" max="262" width="45.42578125" style="238" customWidth="1"/>
    <col min="263" max="263" width="17.28515625" style="238" customWidth="1"/>
    <col min="264" max="270" width="16.42578125" style="238" customWidth="1"/>
    <col min="271" max="271" width="18.5703125" style="238" customWidth="1"/>
    <col min="272" max="272" width="11.42578125" style="238"/>
    <col min="273" max="273" width="17" style="238" bestFit="1" customWidth="1"/>
    <col min="274" max="514" width="11.42578125" style="238"/>
    <col min="515" max="515" width="7.28515625" style="238" customWidth="1"/>
    <col min="516" max="517" width="11.7109375" style="238" customWidth="1"/>
    <col min="518" max="518" width="45.42578125" style="238" customWidth="1"/>
    <col min="519" max="519" width="17.28515625" style="238" customWidth="1"/>
    <col min="520" max="526" width="16.42578125" style="238" customWidth="1"/>
    <col min="527" max="527" width="18.5703125" style="238" customWidth="1"/>
    <col min="528" max="528" width="11.42578125" style="238"/>
    <col min="529" max="529" width="17" style="238" bestFit="1" customWidth="1"/>
    <col min="530" max="770" width="11.42578125" style="238"/>
    <col min="771" max="771" width="7.28515625" style="238" customWidth="1"/>
    <col min="772" max="773" width="11.7109375" style="238" customWidth="1"/>
    <col min="774" max="774" width="45.42578125" style="238" customWidth="1"/>
    <col min="775" max="775" width="17.28515625" style="238" customWidth="1"/>
    <col min="776" max="782" width="16.42578125" style="238" customWidth="1"/>
    <col min="783" max="783" width="18.5703125" style="238" customWidth="1"/>
    <col min="784" max="784" width="11.42578125" style="238"/>
    <col min="785" max="785" width="17" style="238" bestFit="1" customWidth="1"/>
    <col min="786" max="1026" width="11.42578125" style="238"/>
    <col min="1027" max="1027" width="7.28515625" style="238" customWidth="1"/>
    <col min="1028" max="1029" width="11.7109375" style="238" customWidth="1"/>
    <col min="1030" max="1030" width="45.42578125" style="238" customWidth="1"/>
    <col min="1031" max="1031" width="17.28515625" style="238" customWidth="1"/>
    <col min="1032" max="1038" width="16.42578125" style="238" customWidth="1"/>
    <col min="1039" max="1039" width="18.5703125" style="238" customWidth="1"/>
    <col min="1040" max="1040" width="11.42578125" style="238"/>
    <col min="1041" max="1041" width="17" style="238" bestFit="1" customWidth="1"/>
    <col min="1042" max="1282" width="11.42578125" style="238"/>
    <col min="1283" max="1283" width="7.28515625" style="238" customWidth="1"/>
    <col min="1284" max="1285" width="11.7109375" style="238" customWidth="1"/>
    <col min="1286" max="1286" width="45.42578125" style="238" customWidth="1"/>
    <col min="1287" max="1287" width="17.28515625" style="238" customWidth="1"/>
    <col min="1288" max="1294" width="16.42578125" style="238" customWidth="1"/>
    <col min="1295" max="1295" width="18.5703125" style="238" customWidth="1"/>
    <col min="1296" max="1296" width="11.42578125" style="238"/>
    <col min="1297" max="1297" width="17" style="238" bestFit="1" customWidth="1"/>
    <col min="1298" max="1538" width="11.42578125" style="238"/>
    <col min="1539" max="1539" width="7.28515625" style="238" customWidth="1"/>
    <col min="1540" max="1541" width="11.7109375" style="238" customWidth="1"/>
    <col min="1542" max="1542" width="45.42578125" style="238" customWidth="1"/>
    <col min="1543" max="1543" width="17.28515625" style="238" customWidth="1"/>
    <col min="1544" max="1550" width="16.42578125" style="238" customWidth="1"/>
    <col min="1551" max="1551" width="18.5703125" style="238" customWidth="1"/>
    <col min="1552" max="1552" width="11.42578125" style="238"/>
    <col min="1553" max="1553" width="17" style="238" bestFit="1" customWidth="1"/>
    <col min="1554" max="1794" width="11.42578125" style="238"/>
    <col min="1795" max="1795" width="7.28515625" style="238" customWidth="1"/>
    <col min="1796" max="1797" width="11.7109375" style="238" customWidth="1"/>
    <col min="1798" max="1798" width="45.42578125" style="238" customWidth="1"/>
    <col min="1799" max="1799" width="17.28515625" style="238" customWidth="1"/>
    <col min="1800" max="1806" width="16.42578125" style="238" customWidth="1"/>
    <col min="1807" max="1807" width="18.5703125" style="238" customWidth="1"/>
    <col min="1808" max="1808" width="11.42578125" style="238"/>
    <col min="1809" max="1809" width="17" style="238" bestFit="1" customWidth="1"/>
    <col min="1810" max="2050" width="11.42578125" style="238"/>
    <col min="2051" max="2051" width="7.28515625" style="238" customWidth="1"/>
    <col min="2052" max="2053" width="11.7109375" style="238" customWidth="1"/>
    <col min="2054" max="2054" width="45.42578125" style="238" customWidth="1"/>
    <col min="2055" max="2055" width="17.28515625" style="238" customWidth="1"/>
    <col min="2056" max="2062" width="16.42578125" style="238" customWidth="1"/>
    <col min="2063" max="2063" width="18.5703125" style="238" customWidth="1"/>
    <col min="2064" max="2064" width="11.42578125" style="238"/>
    <col min="2065" max="2065" width="17" style="238" bestFit="1" customWidth="1"/>
    <col min="2066" max="2306" width="11.42578125" style="238"/>
    <col min="2307" max="2307" width="7.28515625" style="238" customWidth="1"/>
    <col min="2308" max="2309" width="11.7109375" style="238" customWidth="1"/>
    <col min="2310" max="2310" width="45.42578125" style="238" customWidth="1"/>
    <col min="2311" max="2311" width="17.28515625" style="238" customWidth="1"/>
    <col min="2312" max="2318" width="16.42578125" style="238" customWidth="1"/>
    <col min="2319" max="2319" width="18.5703125" style="238" customWidth="1"/>
    <col min="2320" max="2320" width="11.42578125" style="238"/>
    <col min="2321" max="2321" width="17" style="238" bestFit="1" customWidth="1"/>
    <col min="2322" max="2562" width="11.42578125" style="238"/>
    <col min="2563" max="2563" width="7.28515625" style="238" customWidth="1"/>
    <col min="2564" max="2565" width="11.7109375" style="238" customWidth="1"/>
    <col min="2566" max="2566" width="45.42578125" style="238" customWidth="1"/>
    <col min="2567" max="2567" width="17.28515625" style="238" customWidth="1"/>
    <col min="2568" max="2574" width="16.42578125" style="238" customWidth="1"/>
    <col min="2575" max="2575" width="18.5703125" style="238" customWidth="1"/>
    <col min="2576" max="2576" width="11.42578125" style="238"/>
    <col min="2577" max="2577" width="17" style="238" bestFit="1" customWidth="1"/>
    <col min="2578" max="2818" width="11.42578125" style="238"/>
    <col min="2819" max="2819" width="7.28515625" style="238" customWidth="1"/>
    <col min="2820" max="2821" width="11.7109375" style="238" customWidth="1"/>
    <col min="2822" max="2822" width="45.42578125" style="238" customWidth="1"/>
    <col min="2823" max="2823" width="17.28515625" style="238" customWidth="1"/>
    <col min="2824" max="2830" width="16.42578125" style="238" customWidth="1"/>
    <col min="2831" max="2831" width="18.5703125" style="238" customWidth="1"/>
    <col min="2832" max="2832" width="11.42578125" style="238"/>
    <col min="2833" max="2833" width="17" style="238" bestFit="1" customWidth="1"/>
    <col min="2834" max="3074" width="11.42578125" style="238"/>
    <col min="3075" max="3075" width="7.28515625" style="238" customWidth="1"/>
    <col min="3076" max="3077" width="11.7109375" style="238" customWidth="1"/>
    <col min="3078" max="3078" width="45.42578125" style="238" customWidth="1"/>
    <col min="3079" max="3079" width="17.28515625" style="238" customWidth="1"/>
    <col min="3080" max="3086" width="16.42578125" style="238" customWidth="1"/>
    <col min="3087" max="3087" width="18.5703125" style="238" customWidth="1"/>
    <col min="3088" max="3088" width="11.42578125" style="238"/>
    <col min="3089" max="3089" width="17" style="238" bestFit="1" customWidth="1"/>
    <col min="3090" max="3330" width="11.42578125" style="238"/>
    <col min="3331" max="3331" width="7.28515625" style="238" customWidth="1"/>
    <col min="3332" max="3333" width="11.7109375" style="238" customWidth="1"/>
    <col min="3334" max="3334" width="45.42578125" style="238" customWidth="1"/>
    <col min="3335" max="3335" width="17.28515625" style="238" customWidth="1"/>
    <col min="3336" max="3342" width="16.42578125" style="238" customWidth="1"/>
    <col min="3343" max="3343" width="18.5703125" style="238" customWidth="1"/>
    <col min="3344" max="3344" width="11.42578125" style="238"/>
    <col min="3345" max="3345" width="17" style="238" bestFit="1" customWidth="1"/>
    <col min="3346" max="3586" width="11.42578125" style="238"/>
    <col min="3587" max="3587" width="7.28515625" style="238" customWidth="1"/>
    <col min="3588" max="3589" width="11.7109375" style="238" customWidth="1"/>
    <col min="3590" max="3590" width="45.42578125" style="238" customWidth="1"/>
    <col min="3591" max="3591" width="17.28515625" style="238" customWidth="1"/>
    <col min="3592" max="3598" width="16.42578125" style="238" customWidth="1"/>
    <col min="3599" max="3599" width="18.5703125" style="238" customWidth="1"/>
    <col min="3600" max="3600" width="11.42578125" style="238"/>
    <col min="3601" max="3601" width="17" style="238" bestFit="1" customWidth="1"/>
    <col min="3602" max="3842" width="11.42578125" style="238"/>
    <col min="3843" max="3843" width="7.28515625" style="238" customWidth="1"/>
    <col min="3844" max="3845" width="11.7109375" style="238" customWidth="1"/>
    <col min="3846" max="3846" width="45.42578125" style="238" customWidth="1"/>
    <col min="3847" max="3847" width="17.28515625" style="238" customWidth="1"/>
    <col min="3848" max="3854" width="16.42578125" style="238" customWidth="1"/>
    <col min="3855" max="3855" width="18.5703125" style="238" customWidth="1"/>
    <col min="3856" max="3856" width="11.42578125" style="238"/>
    <col min="3857" max="3857" width="17" style="238" bestFit="1" customWidth="1"/>
    <col min="3858" max="4098" width="11.42578125" style="238"/>
    <col min="4099" max="4099" width="7.28515625" style="238" customWidth="1"/>
    <col min="4100" max="4101" width="11.7109375" style="238" customWidth="1"/>
    <col min="4102" max="4102" width="45.42578125" style="238" customWidth="1"/>
    <col min="4103" max="4103" width="17.28515625" style="238" customWidth="1"/>
    <col min="4104" max="4110" width="16.42578125" style="238" customWidth="1"/>
    <col min="4111" max="4111" width="18.5703125" style="238" customWidth="1"/>
    <col min="4112" max="4112" width="11.42578125" style="238"/>
    <col min="4113" max="4113" width="17" style="238" bestFit="1" customWidth="1"/>
    <col min="4114" max="4354" width="11.42578125" style="238"/>
    <col min="4355" max="4355" width="7.28515625" style="238" customWidth="1"/>
    <col min="4356" max="4357" width="11.7109375" style="238" customWidth="1"/>
    <col min="4358" max="4358" width="45.42578125" style="238" customWidth="1"/>
    <col min="4359" max="4359" width="17.28515625" style="238" customWidth="1"/>
    <col min="4360" max="4366" width="16.42578125" style="238" customWidth="1"/>
    <col min="4367" max="4367" width="18.5703125" style="238" customWidth="1"/>
    <col min="4368" max="4368" width="11.42578125" style="238"/>
    <col min="4369" max="4369" width="17" style="238" bestFit="1" customWidth="1"/>
    <col min="4370" max="4610" width="11.42578125" style="238"/>
    <col min="4611" max="4611" width="7.28515625" style="238" customWidth="1"/>
    <col min="4612" max="4613" width="11.7109375" style="238" customWidth="1"/>
    <col min="4614" max="4614" width="45.42578125" style="238" customWidth="1"/>
    <col min="4615" max="4615" width="17.28515625" style="238" customWidth="1"/>
    <col min="4616" max="4622" width="16.42578125" style="238" customWidth="1"/>
    <col min="4623" max="4623" width="18.5703125" style="238" customWidth="1"/>
    <col min="4624" max="4624" width="11.42578125" style="238"/>
    <col min="4625" max="4625" width="17" style="238" bestFit="1" customWidth="1"/>
    <col min="4626" max="4866" width="11.42578125" style="238"/>
    <col min="4867" max="4867" width="7.28515625" style="238" customWidth="1"/>
    <col min="4868" max="4869" width="11.7109375" style="238" customWidth="1"/>
    <col min="4870" max="4870" width="45.42578125" style="238" customWidth="1"/>
    <col min="4871" max="4871" width="17.28515625" style="238" customWidth="1"/>
    <col min="4872" max="4878" width="16.42578125" style="238" customWidth="1"/>
    <col min="4879" max="4879" width="18.5703125" style="238" customWidth="1"/>
    <col min="4880" max="4880" width="11.42578125" style="238"/>
    <col min="4881" max="4881" width="17" style="238" bestFit="1" customWidth="1"/>
    <col min="4882" max="5122" width="11.42578125" style="238"/>
    <col min="5123" max="5123" width="7.28515625" style="238" customWidth="1"/>
    <col min="5124" max="5125" width="11.7109375" style="238" customWidth="1"/>
    <col min="5126" max="5126" width="45.42578125" style="238" customWidth="1"/>
    <col min="5127" max="5127" width="17.28515625" style="238" customWidth="1"/>
    <col min="5128" max="5134" width="16.42578125" style="238" customWidth="1"/>
    <col min="5135" max="5135" width="18.5703125" style="238" customWidth="1"/>
    <col min="5136" max="5136" width="11.42578125" style="238"/>
    <col min="5137" max="5137" width="17" style="238" bestFit="1" customWidth="1"/>
    <col min="5138" max="5378" width="11.42578125" style="238"/>
    <col min="5379" max="5379" width="7.28515625" style="238" customWidth="1"/>
    <col min="5380" max="5381" width="11.7109375" style="238" customWidth="1"/>
    <col min="5382" max="5382" width="45.42578125" style="238" customWidth="1"/>
    <col min="5383" max="5383" width="17.28515625" style="238" customWidth="1"/>
    <col min="5384" max="5390" width="16.42578125" style="238" customWidth="1"/>
    <col min="5391" max="5391" width="18.5703125" style="238" customWidth="1"/>
    <col min="5392" max="5392" width="11.42578125" style="238"/>
    <col min="5393" max="5393" width="17" style="238" bestFit="1" customWidth="1"/>
    <col min="5394" max="5634" width="11.42578125" style="238"/>
    <col min="5635" max="5635" width="7.28515625" style="238" customWidth="1"/>
    <col min="5636" max="5637" width="11.7109375" style="238" customWidth="1"/>
    <col min="5638" max="5638" width="45.42578125" style="238" customWidth="1"/>
    <col min="5639" max="5639" width="17.28515625" style="238" customWidth="1"/>
    <col min="5640" max="5646" width="16.42578125" style="238" customWidth="1"/>
    <col min="5647" max="5647" width="18.5703125" style="238" customWidth="1"/>
    <col min="5648" max="5648" width="11.42578125" style="238"/>
    <col min="5649" max="5649" width="17" style="238" bestFit="1" customWidth="1"/>
    <col min="5650" max="5890" width="11.42578125" style="238"/>
    <col min="5891" max="5891" width="7.28515625" style="238" customWidth="1"/>
    <col min="5892" max="5893" width="11.7109375" style="238" customWidth="1"/>
    <col min="5894" max="5894" width="45.42578125" style="238" customWidth="1"/>
    <col min="5895" max="5895" width="17.28515625" style="238" customWidth="1"/>
    <col min="5896" max="5902" width="16.42578125" style="238" customWidth="1"/>
    <col min="5903" max="5903" width="18.5703125" style="238" customWidth="1"/>
    <col min="5904" max="5904" width="11.42578125" style="238"/>
    <col min="5905" max="5905" width="17" style="238" bestFit="1" customWidth="1"/>
    <col min="5906" max="6146" width="11.42578125" style="238"/>
    <col min="6147" max="6147" width="7.28515625" style="238" customWidth="1"/>
    <col min="6148" max="6149" width="11.7109375" style="238" customWidth="1"/>
    <col min="6150" max="6150" width="45.42578125" style="238" customWidth="1"/>
    <col min="6151" max="6151" width="17.28515625" style="238" customWidth="1"/>
    <col min="6152" max="6158" width="16.42578125" style="238" customWidth="1"/>
    <col min="6159" max="6159" width="18.5703125" style="238" customWidth="1"/>
    <col min="6160" max="6160" width="11.42578125" style="238"/>
    <col min="6161" max="6161" width="17" style="238" bestFit="1" customWidth="1"/>
    <col min="6162" max="6402" width="11.42578125" style="238"/>
    <col min="6403" max="6403" width="7.28515625" style="238" customWidth="1"/>
    <col min="6404" max="6405" width="11.7109375" style="238" customWidth="1"/>
    <col min="6406" max="6406" width="45.42578125" style="238" customWidth="1"/>
    <col min="6407" max="6407" width="17.28515625" style="238" customWidth="1"/>
    <col min="6408" max="6414" width="16.42578125" style="238" customWidth="1"/>
    <col min="6415" max="6415" width="18.5703125" style="238" customWidth="1"/>
    <col min="6416" max="6416" width="11.42578125" style="238"/>
    <col min="6417" max="6417" width="17" style="238" bestFit="1" customWidth="1"/>
    <col min="6418" max="6658" width="11.42578125" style="238"/>
    <col min="6659" max="6659" width="7.28515625" style="238" customWidth="1"/>
    <col min="6660" max="6661" width="11.7109375" style="238" customWidth="1"/>
    <col min="6662" max="6662" width="45.42578125" style="238" customWidth="1"/>
    <col min="6663" max="6663" width="17.28515625" style="238" customWidth="1"/>
    <col min="6664" max="6670" width="16.42578125" style="238" customWidth="1"/>
    <col min="6671" max="6671" width="18.5703125" style="238" customWidth="1"/>
    <col min="6672" max="6672" width="11.42578125" style="238"/>
    <col min="6673" max="6673" width="17" style="238" bestFit="1" customWidth="1"/>
    <col min="6674" max="6914" width="11.42578125" style="238"/>
    <col min="6915" max="6915" width="7.28515625" style="238" customWidth="1"/>
    <col min="6916" max="6917" width="11.7109375" style="238" customWidth="1"/>
    <col min="6918" max="6918" width="45.42578125" style="238" customWidth="1"/>
    <col min="6919" max="6919" width="17.28515625" style="238" customWidth="1"/>
    <col min="6920" max="6926" width="16.42578125" style="238" customWidth="1"/>
    <col min="6927" max="6927" width="18.5703125" style="238" customWidth="1"/>
    <col min="6928" max="6928" width="11.42578125" style="238"/>
    <col min="6929" max="6929" width="17" style="238" bestFit="1" customWidth="1"/>
    <col min="6930" max="7170" width="11.42578125" style="238"/>
    <col min="7171" max="7171" width="7.28515625" style="238" customWidth="1"/>
    <col min="7172" max="7173" width="11.7109375" style="238" customWidth="1"/>
    <col min="7174" max="7174" width="45.42578125" style="238" customWidth="1"/>
    <col min="7175" max="7175" width="17.28515625" style="238" customWidth="1"/>
    <col min="7176" max="7182" width="16.42578125" style="238" customWidth="1"/>
    <col min="7183" max="7183" width="18.5703125" style="238" customWidth="1"/>
    <col min="7184" max="7184" width="11.42578125" style="238"/>
    <col min="7185" max="7185" width="17" style="238" bestFit="1" customWidth="1"/>
    <col min="7186" max="7426" width="11.42578125" style="238"/>
    <col min="7427" max="7427" width="7.28515625" style="238" customWidth="1"/>
    <col min="7428" max="7429" width="11.7109375" style="238" customWidth="1"/>
    <col min="7430" max="7430" width="45.42578125" style="238" customWidth="1"/>
    <col min="7431" max="7431" width="17.28515625" style="238" customWidth="1"/>
    <col min="7432" max="7438" width="16.42578125" style="238" customWidth="1"/>
    <col min="7439" max="7439" width="18.5703125" style="238" customWidth="1"/>
    <col min="7440" max="7440" width="11.42578125" style="238"/>
    <col min="7441" max="7441" width="17" style="238" bestFit="1" customWidth="1"/>
    <col min="7442" max="7682" width="11.42578125" style="238"/>
    <col min="7683" max="7683" width="7.28515625" style="238" customWidth="1"/>
    <col min="7684" max="7685" width="11.7109375" style="238" customWidth="1"/>
    <col min="7686" max="7686" width="45.42578125" style="238" customWidth="1"/>
    <col min="7687" max="7687" width="17.28515625" style="238" customWidth="1"/>
    <col min="7688" max="7694" width="16.42578125" style="238" customWidth="1"/>
    <col min="7695" max="7695" width="18.5703125" style="238" customWidth="1"/>
    <col min="7696" max="7696" width="11.42578125" style="238"/>
    <col min="7697" max="7697" width="17" style="238" bestFit="1" customWidth="1"/>
    <col min="7698" max="7938" width="11.42578125" style="238"/>
    <col min="7939" max="7939" width="7.28515625" style="238" customWidth="1"/>
    <col min="7940" max="7941" width="11.7109375" style="238" customWidth="1"/>
    <col min="7942" max="7942" width="45.42578125" style="238" customWidth="1"/>
    <col min="7943" max="7943" width="17.28515625" style="238" customWidth="1"/>
    <col min="7944" max="7950" width="16.42578125" style="238" customWidth="1"/>
    <col min="7951" max="7951" width="18.5703125" style="238" customWidth="1"/>
    <col min="7952" max="7952" width="11.42578125" style="238"/>
    <col min="7953" max="7953" width="17" style="238" bestFit="1" customWidth="1"/>
    <col min="7954" max="8194" width="11.42578125" style="238"/>
    <col min="8195" max="8195" width="7.28515625" style="238" customWidth="1"/>
    <col min="8196" max="8197" width="11.7109375" style="238" customWidth="1"/>
    <col min="8198" max="8198" width="45.42578125" style="238" customWidth="1"/>
    <col min="8199" max="8199" width="17.28515625" style="238" customWidth="1"/>
    <col min="8200" max="8206" width="16.42578125" style="238" customWidth="1"/>
    <col min="8207" max="8207" width="18.5703125" style="238" customWidth="1"/>
    <col min="8208" max="8208" width="11.42578125" style="238"/>
    <col min="8209" max="8209" width="17" style="238" bestFit="1" customWidth="1"/>
    <col min="8210" max="8450" width="11.42578125" style="238"/>
    <col min="8451" max="8451" width="7.28515625" style="238" customWidth="1"/>
    <col min="8452" max="8453" width="11.7109375" style="238" customWidth="1"/>
    <col min="8454" max="8454" width="45.42578125" style="238" customWidth="1"/>
    <col min="8455" max="8455" width="17.28515625" style="238" customWidth="1"/>
    <col min="8456" max="8462" width="16.42578125" style="238" customWidth="1"/>
    <col min="8463" max="8463" width="18.5703125" style="238" customWidth="1"/>
    <col min="8464" max="8464" width="11.42578125" style="238"/>
    <col min="8465" max="8465" width="17" style="238" bestFit="1" customWidth="1"/>
    <col min="8466" max="8706" width="11.42578125" style="238"/>
    <col min="8707" max="8707" width="7.28515625" style="238" customWidth="1"/>
    <col min="8708" max="8709" width="11.7109375" style="238" customWidth="1"/>
    <col min="8710" max="8710" width="45.42578125" style="238" customWidth="1"/>
    <col min="8711" max="8711" width="17.28515625" style="238" customWidth="1"/>
    <col min="8712" max="8718" width="16.42578125" style="238" customWidth="1"/>
    <col min="8719" max="8719" width="18.5703125" style="238" customWidth="1"/>
    <col min="8720" max="8720" width="11.42578125" style="238"/>
    <col min="8721" max="8721" width="17" style="238" bestFit="1" customWidth="1"/>
    <col min="8722" max="8962" width="11.42578125" style="238"/>
    <col min="8963" max="8963" width="7.28515625" style="238" customWidth="1"/>
    <col min="8964" max="8965" width="11.7109375" style="238" customWidth="1"/>
    <col min="8966" max="8966" width="45.42578125" style="238" customWidth="1"/>
    <col min="8967" max="8967" width="17.28515625" style="238" customWidth="1"/>
    <col min="8968" max="8974" width="16.42578125" style="238" customWidth="1"/>
    <col min="8975" max="8975" width="18.5703125" style="238" customWidth="1"/>
    <col min="8976" max="8976" width="11.42578125" style="238"/>
    <col min="8977" max="8977" width="17" style="238" bestFit="1" customWidth="1"/>
    <col min="8978" max="9218" width="11.42578125" style="238"/>
    <col min="9219" max="9219" width="7.28515625" style="238" customWidth="1"/>
    <col min="9220" max="9221" width="11.7109375" style="238" customWidth="1"/>
    <col min="9222" max="9222" width="45.42578125" style="238" customWidth="1"/>
    <col min="9223" max="9223" width="17.28515625" style="238" customWidth="1"/>
    <col min="9224" max="9230" width="16.42578125" style="238" customWidth="1"/>
    <col min="9231" max="9231" width="18.5703125" style="238" customWidth="1"/>
    <col min="9232" max="9232" width="11.42578125" style="238"/>
    <col min="9233" max="9233" width="17" style="238" bestFit="1" customWidth="1"/>
    <col min="9234" max="9474" width="11.42578125" style="238"/>
    <col min="9475" max="9475" width="7.28515625" style="238" customWidth="1"/>
    <col min="9476" max="9477" width="11.7109375" style="238" customWidth="1"/>
    <col min="9478" max="9478" width="45.42578125" style="238" customWidth="1"/>
    <col min="9479" max="9479" width="17.28515625" style="238" customWidth="1"/>
    <col min="9480" max="9486" width="16.42578125" style="238" customWidth="1"/>
    <col min="9487" max="9487" width="18.5703125" style="238" customWidth="1"/>
    <col min="9488" max="9488" width="11.42578125" style="238"/>
    <col min="9489" max="9489" width="17" style="238" bestFit="1" customWidth="1"/>
    <col min="9490" max="9730" width="11.42578125" style="238"/>
    <col min="9731" max="9731" width="7.28515625" style="238" customWidth="1"/>
    <col min="9732" max="9733" width="11.7109375" style="238" customWidth="1"/>
    <col min="9734" max="9734" width="45.42578125" style="238" customWidth="1"/>
    <col min="9735" max="9735" width="17.28515625" style="238" customWidth="1"/>
    <col min="9736" max="9742" width="16.42578125" style="238" customWidth="1"/>
    <col min="9743" max="9743" width="18.5703125" style="238" customWidth="1"/>
    <col min="9744" max="9744" width="11.42578125" style="238"/>
    <col min="9745" max="9745" width="17" style="238" bestFit="1" customWidth="1"/>
    <col min="9746" max="9986" width="11.42578125" style="238"/>
    <col min="9987" max="9987" width="7.28515625" style="238" customWidth="1"/>
    <col min="9988" max="9989" width="11.7109375" style="238" customWidth="1"/>
    <col min="9990" max="9990" width="45.42578125" style="238" customWidth="1"/>
    <col min="9991" max="9991" width="17.28515625" style="238" customWidth="1"/>
    <col min="9992" max="9998" width="16.42578125" style="238" customWidth="1"/>
    <col min="9999" max="9999" width="18.5703125" style="238" customWidth="1"/>
    <col min="10000" max="10000" width="11.42578125" style="238"/>
    <col min="10001" max="10001" width="17" style="238" bestFit="1" customWidth="1"/>
    <col min="10002" max="10242" width="11.42578125" style="238"/>
    <col min="10243" max="10243" width="7.28515625" style="238" customWidth="1"/>
    <col min="10244" max="10245" width="11.7109375" style="238" customWidth="1"/>
    <col min="10246" max="10246" width="45.42578125" style="238" customWidth="1"/>
    <col min="10247" max="10247" width="17.28515625" style="238" customWidth="1"/>
    <col min="10248" max="10254" width="16.42578125" style="238" customWidth="1"/>
    <col min="10255" max="10255" width="18.5703125" style="238" customWidth="1"/>
    <col min="10256" max="10256" width="11.42578125" style="238"/>
    <col min="10257" max="10257" width="17" style="238" bestFit="1" customWidth="1"/>
    <col min="10258" max="10498" width="11.42578125" style="238"/>
    <col min="10499" max="10499" width="7.28515625" style="238" customWidth="1"/>
    <col min="10500" max="10501" width="11.7109375" style="238" customWidth="1"/>
    <col min="10502" max="10502" width="45.42578125" style="238" customWidth="1"/>
    <col min="10503" max="10503" width="17.28515625" style="238" customWidth="1"/>
    <col min="10504" max="10510" width="16.42578125" style="238" customWidth="1"/>
    <col min="10511" max="10511" width="18.5703125" style="238" customWidth="1"/>
    <col min="10512" max="10512" width="11.42578125" style="238"/>
    <col min="10513" max="10513" width="17" style="238" bestFit="1" customWidth="1"/>
    <col min="10514" max="10754" width="11.42578125" style="238"/>
    <col min="10755" max="10755" width="7.28515625" style="238" customWidth="1"/>
    <col min="10756" max="10757" width="11.7109375" style="238" customWidth="1"/>
    <col min="10758" max="10758" width="45.42578125" style="238" customWidth="1"/>
    <col min="10759" max="10759" width="17.28515625" style="238" customWidth="1"/>
    <col min="10760" max="10766" width="16.42578125" style="238" customWidth="1"/>
    <col min="10767" max="10767" width="18.5703125" style="238" customWidth="1"/>
    <col min="10768" max="10768" width="11.42578125" style="238"/>
    <col min="10769" max="10769" width="17" style="238" bestFit="1" customWidth="1"/>
    <col min="10770" max="11010" width="11.42578125" style="238"/>
    <col min="11011" max="11011" width="7.28515625" style="238" customWidth="1"/>
    <col min="11012" max="11013" width="11.7109375" style="238" customWidth="1"/>
    <col min="11014" max="11014" width="45.42578125" style="238" customWidth="1"/>
    <col min="11015" max="11015" width="17.28515625" style="238" customWidth="1"/>
    <col min="11016" max="11022" width="16.42578125" style="238" customWidth="1"/>
    <col min="11023" max="11023" width="18.5703125" style="238" customWidth="1"/>
    <col min="11024" max="11024" width="11.42578125" style="238"/>
    <col min="11025" max="11025" width="17" style="238" bestFit="1" customWidth="1"/>
    <col min="11026" max="11266" width="11.42578125" style="238"/>
    <col min="11267" max="11267" width="7.28515625" style="238" customWidth="1"/>
    <col min="11268" max="11269" width="11.7109375" style="238" customWidth="1"/>
    <col min="11270" max="11270" width="45.42578125" style="238" customWidth="1"/>
    <col min="11271" max="11271" width="17.28515625" style="238" customWidth="1"/>
    <col min="11272" max="11278" width="16.42578125" style="238" customWidth="1"/>
    <col min="11279" max="11279" width="18.5703125" style="238" customWidth="1"/>
    <col min="11280" max="11280" width="11.42578125" style="238"/>
    <col min="11281" max="11281" width="17" style="238" bestFit="1" customWidth="1"/>
    <col min="11282" max="11522" width="11.42578125" style="238"/>
    <col min="11523" max="11523" width="7.28515625" style="238" customWidth="1"/>
    <col min="11524" max="11525" width="11.7109375" style="238" customWidth="1"/>
    <col min="11526" max="11526" width="45.42578125" style="238" customWidth="1"/>
    <col min="11527" max="11527" width="17.28515625" style="238" customWidth="1"/>
    <col min="11528" max="11534" width="16.42578125" style="238" customWidth="1"/>
    <col min="11535" max="11535" width="18.5703125" style="238" customWidth="1"/>
    <col min="11536" max="11536" width="11.42578125" style="238"/>
    <col min="11537" max="11537" width="17" style="238" bestFit="1" customWidth="1"/>
    <col min="11538" max="11778" width="11.42578125" style="238"/>
    <col min="11779" max="11779" width="7.28515625" style="238" customWidth="1"/>
    <col min="11780" max="11781" width="11.7109375" style="238" customWidth="1"/>
    <col min="11782" max="11782" width="45.42578125" style="238" customWidth="1"/>
    <col min="11783" max="11783" width="17.28515625" style="238" customWidth="1"/>
    <col min="11784" max="11790" width="16.42578125" style="238" customWidth="1"/>
    <col min="11791" max="11791" width="18.5703125" style="238" customWidth="1"/>
    <col min="11792" max="11792" width="11.42578125" style="238"/>
    <col min="11793" max="11793" width="17" style="238" bestFit="1" customWidth="1"/>
    <col min="11794" max="12034" width="11.42578125" style="238"/>
    <col min="12035" max="12035" width="7.28515625" style="238" customWidth="1"/>
    <col min="12036" max="12037" width="11.7109375" style="238" customWidth="1"/>
    <col min="12038" max="12038" width="45.42578125" style="238" customWidth="1"/>
    <col min="12039" max="12039" width="17.28515625" style="238" customWidth="1"/>
    <col min="12040" max="12046" width="16.42578125" style="238" customWidth="1"/>
    <col min="12047" max="12047" width="18.5703125" style="238" customWidth="1"/>
    <col min="12048" max="12048" width="11.42578125" style="238"/>
    <col min="12049" max="12049" width="17" style="238" bestFit="1" customWidth="1"/>
    <col min="12050" max="12290" width="11.42578125" style="238"/>
    <col min="12291" max="12291" width="7.28515625" style="238" customWidth="1"/>
    <col min="12292" max="12293" width="11.7109375" style="238" customWidth="1"/>
    <col min="12294" max="12294" width="45.42578125" style="238" customWidth="1"/>
    <col min="12295" max="12295" width="17.28515625" style="238" customWidth="1"/>
    <col min="12296" max="12302" width="16.42578125" style="238" customWidth="1"/>
    <col min="12303" max="12303" width="18.5703125" style="238" customWidth="1"/>
    <col min="12304" max="12304" width="11.42578125" style="238"/>
    <col min="12305" max="12305" width="17" style="238" bestFit="1" customWidth="1"/>
    <col min="12306" max="12546" width="11.42578125" style="238"/>
    <col min="12547" max="12547" width="7.28515625" style="238" customWidth="1"/>
    <col min="12548" max="12549" width="11.7109375" style="238" customWidth="1"/>
    <col min="12550" max="12550" width="45.42578125" style="238" customWidth="1"/>
    <col min="12551" max="12551" width="17.28515625" style="238" customWidth="1"/>
    <col min="12552" max="12558" width="16.42578125" style="238" customWidth="1"/>
    <col min="12559" max="12559" width="18.5703125" style="238" customWidth="1"/>
    <col min="12560" max="12560" width="11.42578125" style="238"/>
    <col min="12561" max="12561" width="17" style="238" bestFit="1" customWidth="1"/>
    <col min="12562" max="12802" width="11.42578125" style="238"/>
    <col min="12803" max="12803" width="7.28515625" style="238" customWidth="1"/>
    <col min="12804" max="12805" width="11.7109375" style="238" customWidth="1"/>
    <col min="12806" max="12806" width="45.42578125" style="238" customWidth="1"/>
    <col min="12807" max="12807" width="17.28515625" style="238" customWidth="1"/>
    <col min="12808" max="12814" width="16.42578125" style="238" customWidth="1"/>
    <col min="12815" max="12815" width="18.5703125" style="238" customWidth="1"/>
    <col min="12816" max="12816" width="11.42578125" style="238"/>
    <col min="12817" max="12817" width="17" style="238" bestFit="1" customWidth="1"/>
    <col min="12818" max="13058" width="11.42578125" style="238"/>
    <col min="13059" max="13059" width="7.28515625" style="238" customWidth="1"/>
    <col min="13060" max="13061" width="11.7109375" style="238" customWidth="1"/>
    <col min="13062" max="13062" width="45.42578125" style="238" customWidth="1"/>
    <col min="13063" max="13063" width="17.28515625" style="238" customWidth="1"/>
    <col min="13064" max="13070" width="16.42578125" style="238" customWidth="1"/>
    <col min="13071" max="13071" width="18.5703125" style="238" customWidth="1"/>
    <col min="13072" max="13072" width="11.42578125" style="238"/>
    <col min="13073" max="13073" width="17" style="238" bestFit="1" customWidth="1"/>
    <col min="13074" max="13314" width="11.42578125" style="238"/>
    <col min="13315" max="13315" width="7.28515625" style="238" customWidth="1"/>
    <col min="13316" max="13317" width="11.7109375" style="238" customWidth="1"/>
    <col min="13318" max="13318" width="45.42578125" style="238" customWidth="1"/>
    <col min="13319" max="13319" width="17.28515625" style="238" customWidth="1"/>
    <col min="13320" max="13326" width="16.42578125" style="238" customWidth="1"/>
    <col min="13327" max="13327" width="18.5703125" style="238" customWidth="1"/>
    <col min="13328" max="13328" width="11.42578125" style="238"/>
    <col min="13329" max="13329" width="17" style="238" bestFit="1" customWidth="1"/>
    <col min="13330" max="13570" width="11.42578125" style="238"/>
    <col min="13571" max="13571" width="7.28515625" style="238" customWidth="1"/>
    <col min="13572" max="13573" width="11.7109375" style="238" customWidth="1"/>
    <col min="13574" max="13574" width="45.42578125" style="238" customWidth="1"/>
    <col min="13575" max="13575" width="17.28515625" style="238" customWidth="1"/>
    <col min="13576" max="13582" width="16.42578125" style="238" customWidth="1"/>
    <col min="13583" max="13583" width="18.5703125" style="238" customWidth="1"/>
    <col min="13584" max="13584" width="11.42578125" style="238"/>
    <col min="13585" max="13585" width="17" style="238" bestFit="1" customWidth="1"/>
    <col min="13586" max="13826" width="11.42578125" style="238"/>
    <col min="13827" max="13827" width="7.28515625" style="238" customWidth="1"/>
    <col min="13828" max="13829" width="11.7109375" style="238" customWidth="1"/>
    <col min="13830" max="13830" width="45.42578125" style="238" customWidth="1"/>
    <col min="13831" max="13831" width="17.28515625" style="238" customWidth="1"/>
    <col min="13832" max="13838" width="16.42578125" style="238" customWidth="1"/>
    <col min="13839" max="13839" width="18.5703125" style="238" customWidth="1"/>
    <col min="13840" max="13840" width="11.42578125" style="238"/>
    <col min="13841" max="13841" width="17" style="238" bestFit="1" customWidth="1"/>
    <col min="13842" max="14082" width="11.42578125" style="238"/>
    <col min="14083" max="14083" width="7.28515625" style="238" customWidth="1"/>
    <col min="14084" max="14085" width="11.7109375" style="238" customWidth="1"/>
    <col min="14086" max="14086" width="45.42578125" style="238" customWidth="1"/>
    <col min="14087" max="14087" width="17.28515625" style="238" customWidth="1"/>
    <col min="14088" max="14094" width="16.42578125" style="238" customWidth="1"/>
    <col min="14095" max="14095" width="18.5703125" style="238" customWidth="1"/>
    <col min="14096" max="14096" width="11.42578125" style="238"/>
    <col min="14097" max="14097" width="17" style="238" bestFit="1" customWidth="1"/>
    <col min="14098" max="14338" width="11.42578125" style="238"/>
    <col min="14339" max="14339" width="7.28515625" style="238" customWidth="1"/>
    <col min="14340" max="14341" width="11.7109375" style="238" customWidth="1"/>
    <col min="14342" max="14342" width="45.42578125" style="238" customWidth="1"/>
    <col min="14343" max="14343" width="17.28515625" style="238" customWidth="1"/>
    <col min="14344" max="14350" width="16.42578125" style="238" customWidth="1"/>
    <col min="14351" max="14351" width="18.5703125" style="238" customWidth="1"/>
    <col min="14352" max="14352" width="11.42578125" style="238"/>
    <col min="14353" max="14353" width="17" style="238" bestFit="1" customWidth="1"/>
    <col min="14354" max="14594" width="11.42578125" style="238"/>
    <col min="14595" max="14595" width="7.28515625" style="238" customWidth="1"/>
    <col min="14596" max="14597" width="11.7109375" style="238" customWidth="1"/>
    <col min="14598" max="14598" width="45.42578125" style="238" customWidth="1"/>
    <col min="14599" max="14599" width="17.28515625" style="238" customWidth="1"/>
    <col min="14600" max="14606" width="16.42578125" style="238" customWidth="1"/>
    <col min="14607" max="14607" width="18.5703125" style="238" customWidth="1"/>
    <col min="14608" max="14608" width="11.42578125" style="238"/>
    <col min="14609" max="14609" width="17" style="238" bestFit="1" customWidth="1"/>
    <col min="14610" max="14850" width="11.42578125" style="238"/>
    <col min="14851" max="14851" width="7.28515625" style="238" customWidth="1"/>
    <col min="14852" max="14853" width="11.7109375" style="238" customWidth="1"/>
    <col min="14854" max="14854" width="45.42578125" style="238" customWidth="1"/>
    <col min="14855" max="14855" width="17.28515625" style="238" customWidth="1"/>
    <col min="14856" max="14862" width="16.42578125" style="238" customWidth="1"/>
    <col min="14863" max="14863" width="18.5703125" style="238" customWidth="1"/>
    <col min="14864" max="14864" width="11.42578125" style="238"/>
    <col min="14865" max="14865" width="17" style="238" bestFit="1" customWidth="1"/>
    <col min="14866" max="15106" width="11.42578125" style="238"/>
    <col min="15107" max="15107" width="7.28515625" style="238" customWidth="1"/>
    <col min="15108" max="15109" width="11.7109375" style="238" customWidth="1"/>
    <col min="15110" max="15110" width="45.42578125" style="238" customWidth="1"/>
    <col min="15111" max="15111" width="17.28515625" style="238" customWidth="1"/>
    <col min="15112" max="15118" width="16.42578125" style="238" customWidth="1"/>
    <col min="15119" max="15119" width="18.5703125" style="238" customWidth="1"/>
    <col min="15120" max="15120" width="11.42578125" style="238"/>
    <col min="15121" max="15121" width="17" style="238" bestFit="1" customWidth="1"/>
    <col min="15122" max="15362" width="11.42578125" style="238"/>
    <col min="15363" max="15363" width="7.28515625" style="238" customWidth="1"/>
    <col min="15364" max="15365" width="11.7109375" style="238" customWidth="1"/>
    <col min="15366" max="15366" width="45.42578125" style="238" customWidth="1"/>
    <col min="15367" max="15367" width="17.28515625" style="238" customWidth="1"/>
    <col min="15368" max="15374" width="16.42578125" style="238" customWidth="1"/>
    <col min="15375" max="15375" width="18.5703125" style="238" customWidth="1"/>
    <col min="15376" max="15376" width="11.42578125" style="238"/>
    <col min="15377" max="15377" width="17" style="238" bestFit="1" customWidth="1"/>
    <col min="15378" max="15618" width="11.42578125" style="238"/>
    <col min="15619" max="15619" width="7.28515625" style="238" customWidth="1"/>
    <col min="15620" max="15621" width="11.7109375" style="238" customWidth="1"/>
    <col min="15622" max="15622" width="45.42578125" style="238" customWidth="1"/>
    <col min="15623" max="15623" width="17.28515625" style="238" customWidth="1"/>
    <col min="15624" max="15630" width="16.42578125" style="238" customWidth="1"/>
    <col min="15631" max="15631" width="18.5703125" style="238" customWidth="1"/>
    <col min="15632" max="15632" width="11.42578125" style="238"/>
    <col min="15633" max="15633" width="17" style="238" bestFit="1" customWidth="1"/>
    <col min="15634" max="15874" width="11.42578125" style="238"/>
    <col min="15875" max="15875" width="7.28515625" style="238" customWidth="1"/>
    <col min="15876" max="15877" width="11.7109375" style="238" customWidth="1"/>
    <col min="15878" max="15878" width="45.42578125" style="238" customWidth="1"/>
    <col min="15879" max="15879" width="17.28515625" style="238" customWidth="1"/>
    <col min="15880" max="15886" width="16.42578125" style="238" customWidth="1"/>
    <col min="15887" max="15887" width="18.5703125" style="238" customWidth="1"/>
    <col min="15888" max="15888" width="11.42578125" style="238"/>
    <col min="15889" max="15889" width="17" style="238" bestFit="1" customWidth="1"/>
    <col min="15890" max="16130" width="11.42578125" style="238"/>
    <col min="16131" max="16131" width="7.28515625" style="238" customWidth="1"/>
    <col min="16132" max="16133" width="11.7109375" style="238" customWidth="1"/>
    <col min="16134" max="16134" width="45.42578125" style="238" customWidth="1"/>
    <col min="16135" max="16135" width="17.28515625" style="238" customWidth="1"/>
    <col min="16136" max="16142" width="16.42578125" style="238" customWidth="1"/>
    <col min="16143" max="16143" width="18.5703125" style="238" customWidth="1"/>
    <col min="16144" max="16144" width="11.42578125" style="238"/>
    <col min="16145" max="16145" width="17" style="238" bestFit="1" customWidth="1"/>
    <col min="16146" max="16384" width="11.42578125" style="238"/>
  </cols>
  <sheetData>
    <row r="1" spans="1:17" ht="25.15" customHeight="1" x14ac:dyDescent="0.2">
      <c r="A1" s="201" t="s">
        <v>590</v>
      </c>
      <c r="B1" s="202">
        <v>1155</v>
      </c>
      <c r="D1" s="239"/>
      <c r="E1" s="240"/>
      <c r="F1" s="240"/>
      <c r="G1" s="240"/>
      <c r="H1" s="240"/>
      <c r="I1" s="241"/>
      <c r="J1" s="239"/>
      <c r="K1" s="240"/>
      <c r="L1" s="240"/>
      <c r="M1" s="240"/>
      <c r="N1" s="240"/>
      <c r="O1" s="241"/>
      <c r="P1" s="242"/>
    </row>
    <row r="2" spans="1:17" ht="25.15" customHeight="1" x14ac:dyDescent="0.2">
      <c r="A2" s="237" t="s">
        <v>591</v>
      </c>
      <c r="B2" s="236" t="s">
        <v>1086</v>
      </c>
    </row>
    <row r="3" spans="1:17" ht="25.15" customHeight="1" thickBot="1" x14ac:dyDescent="0.25">
      <c r="A3" s="237"/>
    </row>
    <row r="4" spans="1:17" ht="25.15" customHeight="1" thickBot="1" x14ac:dyDescent="0.25">
      <c r="A4" s="835" t="s">
        <v>628</v>
      </c>
      <c r="B4" s="836"/>
      <c r="C4" s="836"/>
      <c r="D4" s="836"/>
      <c r="E4" s="836"/>
      <c r="F4" s="836"/>
      <c r="G4" s="836"/>
      <c r="H4" s="836"/>
      <c r="I4" s="836"/>
      <c r="J4" s="836"/>
      <c r="K4" s="836"/>
      <c r="L4" s="836"/>
      <c r="M4" s="836"/>
      <c r="N4" s="836"/>
      <c r="O4" s="837"/>
    </row>
    <row r="5" spans="1:17" ht="25.15" customHeight="1" thickBot="1" x14ac:dyDescent="0.25"/>
    <row r="6" spans="1:17" ht="43.9" customHeight="1" thickBot="1" x14ac:dyDescent="0.25">
      <c r="A6" s="262" t="s">
        <v>86</v>
      </c>
      <c r="B6" s="734" t="s">
        <v>966</v>
      </c>
      <c r="C6" s="734" t="s">
        <v>965</v>
      </c>
      <c r="D6" s="733">
        <v>45541</v>
      </c>
      <c r="E6" s="733">
        <v>45692</v>
      </c>
      <c r="F6" s="733">
        <v>45729</v>
      </c>
      <c r="G6" s="263" t="s">
        <v>631</v>
      </c>
      <c r="H6" s="263" t="s">
        <v>632</v>
      </c>
      <c r="I6" s="263" t="s">
        <v>633</v>
      </c>
      <c r="J6" s="263" t="s">
        <v>634</v>
      </c>
      <c r="K6" s="263" t="s">
        <v>635</v>
      </c>
      <c r="L6" s="263" t="s">
        <v>636</v>
      </c>
      <c r="M6" s="263" t="s">
        <v>637</v>
      </c>
      <c r="N6" s="263" t="s">
        <v>638</v>
      </c>
      <c r="O6" s="263" t="s">
        <v>639</v>
      </c>
      <c r="Q6" s="264" t="s">
        <v>589</v>
      </c>
    </row>
    <row r="7" spans="1:17" ht="25.15" customHeight="1" x14ac:dyDescent="0.2">
      <c r="A7" s="244" t="s">
        <v>81</v>
      </c>
      <c r="B7" s="485">
        <v>658655.82999999996</v>
      </c>
      <c r="C7" s="485">
        <v>704451</v>
      </c>
      <c r="D7" s="485">
        <f>28000+953188</f>
        <v>981188</v>
      </c>
      <c r="E7" s="486">
        <v>868100</v>
      </c>
      <c r="F7" s="486">
        <v>871100</v>
      </c>
      <c r="G7" s="486"/>
      <c r="H7" s="486"/>
      <c r="I7" s="486"/>
      <c r="J7" s="485"/>
      <c r="K7" s="486"/>
      <c r="L7" s="486"/>
      <c r="M7" s="486"/>
      <c r="N7" s="486"/>
      <c r="O7" s="486"/>
      <c r="P7" s="487"/>
      <c r="Q7" s="488">
        <v>871100</v>
      </c>
    </row>
    <row r="8" spans="1:17" ht="25.15" customHeight="1" x14ac:dyDescent="0.2">
      <c r="A8" s="244" t="s">
        <v>152</v>
      </c>
      <c r="B8" s="485">
        <v>594000</v>
      </c>
      <c r="C8" s="485">
        <v>687000</v>
      </c>
      <c r="D8" s="485">
        <v>779000</v>
      </c>
      <c r="E8" s="486">
        <v>740000</v>
      </c>
      <c r="F8" s="486">
        <v>711500</v>
      </c>
      <c r="G8" s="486"/>
      <c r="H8" s="486"/>
      <c r="I8" s="486"/>
      <c r="J8" s="485"/>
      <c r="K8" s="486"/>
      <c r="L8" s="486"/>
      <c r="M8" s="486"/>
      <c r="N8" s="486"/>
      <c r="O8" s="486"/>
      <c r="P8" s="487"/>
      <c r="Q8" s="489">
        <v>711500</v>
      </c>
    </row>
    <row r="9" spans="1:17" ht="25.15" customHeight="1" x14ac:dyDescent="0.2">
      <c r="A9" s="244" t="s">
        <v>82</v>
      </c>
      <c r="B9" s="485">
        <v>239547.46</v>
      </c>
      <c r="C9" s="485">
        <v>260245</v>
      </c>
      <c r="D9" s="485">
        <v>262085</v>
      </c>
      <c r="E9" s="486">
        <v>229770</v>
      </c>
      <c r="F9" s="486">
        <v>229770</v>
      </c>
      <c r="G9" s="486"/>
      <c r="H9" s="486"/>
      <c r="I9" s="486"/>
      <c r="J9" s="485"/>
      <c r="K9" s="486"/>
      <c r="L9" s="486"/>
      <c r="M9" s="486"/>
      <c r="N9" s="486"/>
      <c r="O9" s="486"/>
      <c r="P9" s="487"/>
      <c r="Q9" s="489">
        <v>229770</v>
      </c>
    </row>
    <row r="10" spans="1:17" ht="25.15" customHeight="1" x14ac:dyDescent="0.2">
      <c r="A10" s="244" t="s">
        <v>618</v>
      </c>
      <c r="B10" s="485">
        <v>724366.47</v>
      </c>
      <c r="C10" s="485">
        <v>631199</v>
      </c>
      <c r="D10" s="485">
        <v>672539</v>
      </c>
      <c r="E10" s="486">
        <v>672539</v>
      </c>
      <c r="F10" s="486">
        <v>670539</v>
      </c>
      <c r="G10" s="486"/>
      <c r="H10" s="486"/>
      <c r="I10" s="486"/>
      <c r="J10" s="485"/>
      <c r="K10" s="486"/>
      <c r="L10" s="486"/>
      <c r="M10" s="486"/>
      <c r="N10" s="486"/>
      <c r="O10" s="486"/>
      <c r="P10" s="487"/>
      <c r="Q10" s="489">
        <v>670539</v>
      </c>
    </row>
    <row r="11" spans="1:17" ht="25.15" customHeight="1" x14ac:dyDescent="0.2">
      <c r="A11" s="244" t="s">
        <v>605</v>
      </c>
      <c r="B11" s="485">
        <v>626261.9</v>
      </c>
      <c r="C11" s="485">
        <v>507386.43</v>
      </c>
      <c r="D11" s="485">
        <v>745336.23</v>
      </c>
      <c r="E11" s="486">
        <v>742266</v>
      </c>
      <c r="F11" s="486">
        <v>742266</v>
      </c>
      <c r="G11" s="486"/>
      <c r="H11" s="486"/>
      <c r="I11" s="486"/>
      <c r="J11" s="485"/>
      <c r="K11" s="486"/>
      <c r="L11" s="486"/>
      <c r="M11" s="486"/>
      <c r="N11" s="486"/>
      <c r="O11" s="486"/>
      <c r="P11" s="487"/>
      <c r="Q11" s="489">
        <v>742266</v>
      </c>
    </row>
    <row r="12" spans="1:17" ht="25.15" customHeight="1" x14ac:dyDescent="0.2">
      <c r="A12" s="244" t="s">
        <v>84</v>
      </c>
      <c r="B12" s="485">
        <v>122877.03</v>
      </c>
      <c r="C12" s="485">
        <v>124748.9</v>
      </c>
      <c r="D12" s="485">
        <v>89987.67</v>
      </c>
      <c r="E12" s="486">
        <v>89987.673750000002</v>
      </c>
      <c r="F12" s="486">
        <v>89987.673750000002</v>
      </c>
      <c r="G12" s="486"/>
      <c r="H12" s="486"/>
      <c r="I12" s="486"/>
      <c r="J12" s="485"/>
      <c r="K12" s="486"/>
      <c r="L12" s="486"/>
      <c r="M12" s="486"/>
      <c r="N12" s="486"/>
      <c r="O12" s="486"/>
      <c r="P12" s="487"/>
      <c r="Q12" s="489">
        <v>89987.673750000002</v>
      </c>
    </row>
    <row r="13" spans="1:17" ht="25.15" customHeight="1" x14ac:dyDescent="0.2">
      <c r="A13" s="244" t="s">
        <v>85</v>
      </c>
      <c r="B13" s="485">
        <v>344400.23</v>
      </c>
      <c r="C13" s="485">
        <v>113600</v>
      </c>
      <c r="D13" s="485">
        <v>89650</v>
      </c>
      <c r="E13" s="486">
        <v>376152.93200000003</v>
      </c>
      <c r="F13" s="486">
        <v>376152.93200000003</v>
      </c>
      <c r="G13" s="486"/>
      <c r="H13" s="486"/>
      <c r="I13" s="486"/>
      <c r="J13" s="485"/>
      <c r="K13" s="486"/>
      <c r="L13" s="486"/>
      <c r="M13" s="486"/>
      <c r="N13" s="486"/>
      <c r="O13" s="486"/>
      <c r="P13" s="487"/>
      <c r="Q13" s="489">
        <v>376152.93200000003</v>
      </c>
    </row>
    <row r="14" spans="1:17" ht="25.15" customHeight="1" thickBot="1" x14ac:dyDescent="0.25">
      <c r="A14" s="244" t="s">
        <v>2</v>
      </c>
      <c r="B14" s="485">
        <v>570440</v>
      </c>
      <c r="C14" s="485">
        <v>477900</v>
      </c>
      <c r="D14" s="485">
        <v>505700</v>
      </c>
      <c r="E14" s="486">
        <v>560600</v>
      </c>
      <c r="F14" s="486">
        <v>543523</v>
      </c>
      <c r="G14" s="486"/>
      <c r="H14" s="486"/>
      <c r="I14" s="486"/>
      <c r="J14" s="485"/>
      <c r="K14" s="486"/>
      <c r="L14" s="486"/>
      <c r="M14" s="486"/>
      <c r="N14" s="486"/>
      <c r="O14" s="486"/>
      <c r="P14" s="487"/>
      <c r="Q14" s="489">
        <v>543523</v>
      </c>
    </row>
    <row r="15" spans="1:17" ht="25.15" customHeight="1" thickBot="1" x14ac:dyDescent="0.25">
      <c r="A15" s="246" t="s">
        <v>135</v>
      </c>
      <c r="B15" s="490">
        <f>SUM(B7:B14)</f>
        <v>3880548.9199999995</v>
      </c>
      <c r="C15" s="490">
        <f t="shared" ref="C15:I15" si="0">SUM(C7:C14)</f>
        <v>3506530.33</v>
      </c>
      <c r="D15" s="490">
        <f t="shared" si="0"/>
        <v>4125485.9</v>
      </c>
      <c r="E15" s="490">
        <f t="shared" si="0"/>
        <v>4279415.6057500001</v>
      </c>
      <c r="F15" s="490">
        <f t="shared" si="0"/>
        <v>4234838.6057500001</v>
      </c>
      <c r="G15" s="490">
        <f t="shared" si="0"/>
        <v>0</v>
      </c>
      <c r="H15" s="490">
        <f t="shared" si="0"/>
        <v>0</v>
      </c>
      <c r="I15" s="490">
        <f t="shared" si="0"/>
        <v>0</v>
      </c>
      <c r="J15" s="490">
        <f t="shared" ref="J15:O15" si="1">SUM(J7:J14)</f>
        <v>0</v>
      </c>
      <c r="K15" s="490">
        <f t="shared" si="1"/>
        <v>0</v>
      </c>
      <c r="L15" s="490">
        <f t="shared" si="1"/>
        <v>0</v>
      </c>
      <c r="M15" s="490">
        <f t="shared" si="1"/>
        <v>0</v>
      </c>
      <c r="N15" s="490">
        <f t="shared" si="1"/>
        <v>0</v>
      </c>
      <c r="O15" s="490">
        <f t="shared" si="1"/>
        <v>0</v>
      </c>
      <c r="P15" s="487"/>
      <c r="Q15" s="491">
        <f>SUM(Q7:Q14)</f>
        <v>4234838.6057500001</v>
      </c>
    </row>
    <row r="16" spans="1:17" ht="25.15" customHeight="1" thickBot="1" x14ac:dyDescent="0.25">
      <c r="A16" s="246"/>
      <c r="B16" s="492"/>
      <c r="C16" s="492"/>
      <c r="D16" s="492"/>
      <c r="E16" s="492"/>
      <c r="F16" s="492"/>
      <c r="G16" s="492"/>
      <c r="H16" s="492"/>
      <c r="I16" s="492"/>
      <c r="J16" s="492"/>
      <c r="K16" s="492"/>
      <c r="L16" s="492"/>
      <c r="M16" s="492"/>
      <c r="N16" s="492"/>
      <c r="O16" s="492"/>
      <c r="P16" s="487"/>
      <c r="Q16" s="493"/>
    </row>
    <row r="17" spans="1:17" ht="25.15" customHeight="1" thickBot="1" x14ac:dyDescent="0.25">
      <c r="A17" s="265" t="s">
        <v>629</v>
      </c>
      <c r="B17" s="494"/>
      <c r="C17" s="494"/>
      <c r="D17" s="494"/>
      <c r="E17" s="494"/>
      <c r="F17" s="494"/>
      <c r="G17" s="494"/>
      <c r="H17" s="494"/>
      <c r="I17" s="494"/>
      <c r="J17" s="494"/>
      <c r="K17" s="494"/>
      <c r="L17" s="494"/>
      <c r="M17" s="494"/>
      <c r="N17" s="494"/>
      <c r="O17" s="494"/>
      <c r="P17" s="487"/>
      <c r="Q17" s="487"/>
    </row>
    <row r="18" spans="1:17" ht="25.15" customHeight="1" thickBot="1" x14ac:dyDescent="0.25">
      <c r="A18" s="244" t="s">
        <v>592</v>
      </c>
      <c r="B18" s="495">
        <v>6806938</v>
      </c>
      <c r="C18" s="495">
        <v>7005088</v>
      </c>
      <c r="D18" s="495">
        <v>6983436.75</v>
      </c>
      <c r="E18" s="496">
        <v>7030529.0199999996</v>
      </c>
      <c r="F18" s="495">
        <v>6956174.7599999998</v>
      </c>
      <c r="G18" s="496"/>
      <c r="H18" s="496"/>
      <c r="I18" s="496"/>
      <c r="J18" s="495"/>
      <c r="K18" s="496"/>
      <c r="L18" s="495"/>
      <c r="M18" s="496"/>
      <c r="N18" s="496"/>
      <c r="O18" s="496"/>
      <c r="P18" s="487"/>
      <c r="Q18" s="488">
        <v>6956174.7599999998</v>
      </c>
    </row>
    <row r="19" spans="1:17" ht="25.15" customHeight="1" thickBot="1" x14ac:dyDescent="0.25">
      <c r="A19" s="246" t="s">
        <v>630</v>
      </c>
      <c r="B19" s="490">
        <f>+B18</f>
        <v>6806938</v>
      </c>
      <c r="C19" s="490">
        <f t="shared" ref="C19:Q19" si="2">+C18</f>
        <v>7005088</v>
      </c>
      <c r="D19" s="490">
        <f t="shared" si="2"/>
        <v>6983436.75</v>
      </c>
      <c r="E19" s="490">
        <f t="shared" si="2"/>
        <v>7030529.0199999996</v>
      </c>
      <c r="F19" s="490">
        <f t="shared" si="2"/>
        <v>6956174.7599999998</v>
      </c>
      <c r="G19" s="490">
        <f t="shared" si="2"/>
        <v>0</v>
      </c>
      <c r="H19" s="490">
        <f t="shared" si="2"/>
        <v>0</v>
      </c>
      <c r="I19" s="490">
        <f t="shared" si="2"/>
        <v>0</v>
      </c>
      <c r="J19" s="490">
        <f t="shared" ref="J19:O19" si="3">+J18</f>
        <v>0</v>
      </c>
      <c r="K19" s="490">
        <f t="shared" si="3"/>
        <v>0</v>
      </c>
      <c r="L19" s="490">
        <f t="shared" si="3"/>
        <v>0</v>
      </c>
      <c r="M19" s="490">
        <f t="shared" si="3"/>
        <v>0</v>
      </c>
      <c r="N19" s="490">
        <f t="shared" si="3"/>
        <v>0</v>
      </c>
      <c r="O19" s="490">
        <f t="shared" si="3"/>
        <v>0</v>
      </c>
      <c r="P19" s="487"/>
      <c r="Q19" s="491">
        <f t="shared" si="2"/>
        <v>6956174.7599999998</v>
      </c>
    </row>
    <row r="20" spans="1:17" ht="25.15" customHeight="1" thickBot="1" x14ac:dyDescent="0.25">
      <c r="A20" s="246"/>
      <c r="B20" s="492"/>
      <c r="C20" s="492"/>
      <c r="D20" s="492"/>
      <c r="E20" s="492"/>
      <c r="F20" s="492"/>
      <c r="G20" s="492"/>
      <c r="H20" s="492"/>
      <c r="I20" s="492"/>
      <c r="J20" s="492"/>
      <c r="K20" s="492"/>
      <c r="L20" s="492"/>
      <c r="M20" s="492"/>
      <c r="N20" s="492"/>
      <c r="O20" s="492"/>
      <c r="P20" s="487"/>
      <c r="Q20" s="493"/>
    </row>
    <row r="21" spans="1:17" ht="25.15" customHeight="1" thickBot="1" x14ac:dyDescent="0.25">
      <c r="A21" s="265" t="s">
        <v>88</v>
      </c>
      <c r="B21" s="494"/>
      <c r="C21" s="494"/>
      <c r="D21" s="494"/>
      <c r="E21" s="494"/>
      <c r="F21" s="494"/>
      <c r="G21" s="494"/>
      <c r="H21" s="494"/>
      <c r="I21" s="494"/>
      <c r="J21" s="494"/>
      <c r="K21" s="494"/>
      <c r="L21" s="494"/>
      <c r="M21" s="494"/>
      <c r="N21" s="494"/>
      <c r="O21" s="494"/>
      <c r="P21" s="487"/>
      <c r="Q21" s="487"/>
    </row>
    <row r="22" spans="1:17" ht="25.15" customHeight="1" x14ac:dyDescent="0.2">
      <c r="A22" s="244" t="s">
        <v>89</v>
      </c>
      <c r="B22" s="495">
        <f>0.0049*B13</f>
        <v>1687.5611269999999</v>
      </c>
      <c r="C22" s="495">
        <f t="shared" ref="C22:I22" si="4">0.0049*C13</f>
        <v>556.64</v>
      </c>
      <c r="D22" s="495">
        <f t="shared" si="4"/>
        <v>439.28499999999997</v>
      </c>
      <c r="E22" s="495">
        <f t="shared" si="4"/>
        <v>1843.1493668000001</v>
      </c>
      <c r="F22" s="495">
        <f t="shared" si="4"/>
        <v>1843.1493668000001</v>
      </c>
      <c r="G22" s="495">
        <f t="shared" si="4"/>
        <v>0</v>
      </c>
      <c r="H22" s="495">
        <f t="shared" si="4"/>
        <v>0</v>
      </c>
      <c r="I22" s="495">
        <f t="shared" si="4"/>
        <v>0</v>
      </c>
      <c r="J22" s="495">
        <f t="shared" ref="J22:O22" si="5">0.0049*J13</f>
        <v>0</v>
      </c>
      <c r="K22" s="495">
        <f t="shared" si="5"/>
        <v>0</v>
      </c>
      <c r="L22" s="495">
        <f t="shared" si="5"/>
        <v>0</v>
      </c>
      <c r="M22" s="495">
        <f t="shared" si="5"/>
        <v>0</v>
      </c>
      <c r="N22" s="495">
        <f t="shared" si="5"/>
        <v>0</v>
      </c>
      <c r="O22" s="495">
        <f t="shared" si="5"/>
        <v>0</v>
      </c>
      <c r="P22" s="487"/>
      <c r="Q22" s="497">
        <f>0.0049*Q13</f>
        <v>1843.1493668000001</v>
      </c>
    </row>
    <row r="23" spans="1:17" ht="25.15" customHeight="1" x14ac:dyDescent="0.2">
      <c r="A23" s="244" t="s">
        <v>593</v>
      </c>
      <c r="B23" s="485">
        <f>0.0049*B19</f>
        <v>33353.996200000001</v>
      </c>
      <c r="C23" s="485">
        <f t="shared" ref="C23:I23" si="6">0.0049*C19</f>
        <v>34324.931199999999</v>
      </c>
      <c r="D23" s="485">
        <f t="shared" si="6"/>
        <v>34218.840075</v>
      </c>
      <c r="E23" s="485">
        <f t="shared" si="6"/>
        <v>34449.592197999998</v>
      </c>
      <c r="F23" s="485">
        <f t="shared" si="6"/>
        <v>34085.256323999994</v>
      </c>
      <c r="G23" s="485">
        <f t="shared" si="6"/>
        <v>0</v>
      </c>
      <c r="H23" s="485">
        <f t="shared" si="6"/>
        <v>0</v>
      </c>
      <c r="I23" s="485">
        <f t="shared" si="6"/>
        <v>0</v>
      </c>
      <c r="J23" s="485">
        <f t="shared" ref="J23:O23" si="7">0.0049*J19</f>
        <v>0</v>
      </c>
      <c r="K23" s="485">
        <f t="shared" si="7"/>
        <v>0</v>
      </c>
      <c r="L23" s="485">
        <f t="shared" si="7"/>
        <v>0</v>
      </c>
      <c r="M23" s="485">
        <f t="shared" si="7"/>
        <v>0</v>
      </c>
      <c r="N23" s="485">
        <f t="shared" si="7"/>
        <v>0</v>
      </c>
      <c r="O23" s="485">
        <f t="shared" si="7"/>
        <v>0</v>
      </c>
      <c r="P23" s="487"/>
      <c r="Q23" s="498">
        <f>0.0049*Q19</f>
        <v>34085.256323999994</v>
      </c>
    </row>
    <row r="24" spans="1:17" ht="25.15" customHeight="1" thickBot="1" x14ac:dyDescent="0.25">
      <c r="A24" s="244" t="s">
        <v>594</v>
      </c>
      <c r="B24" s="499">
        <f>0.0175*(B31-B13-B19)</f>
        <v>83485.756725000014</v>
      </c>
      <c r="C24" s="499">
        <f t="shared" ref="C24:O24" si="8">0.0175*(C31-C13-C19)</f>
        <v>85278.245675000027</v>
      </c>
      <c r="D24" s="499">
        <f t="shared" si="8"/>
        <v>91397.675950000004</v>
      </c>
      <c r="E24" s="499">
        <f t="shared" si="8"/>
        <v>84768.890640000027</v>
      </c>
      <c r="F24" s="499">
        <f t="shared" si="8"/>
        <v>87325.01519000002</v>
      </c>
      <c r="G24" s="499">
        <f t="shared" si="8"/>
        <v>0</v>
      </c>
      <c r="H24" s="499">
        <f t="shared" si="8"/>
        <v>0</v>
      </c>
      <c r="I24" s="499">
        <f t="shared" si="8"/>
        <v>0</v>
      </c>
      <c r="J24" s="499">
        <f t="shared" si="8"/>
        <v>0</v>
      </c>
      <c r="K24" s="499">
        <f t="shared" si="8"/>
        <v>0</v>
      </c>
      <c r="L24" s="499">
        <f t="shared" si="8"/>
        <v>0</v>
      </c>
      <c r="M24" s="499">
        <f t="shared" si="8"/>
        <v>0</v>
      </c>
      <c r="N24" s="499">
        <f t="shared" si="8"/>
        <v>0</v>
      </c>
      <c r="O24" s="499">
        <f t="shared" si="8"/>
        <v>0</v>
      </c>
      <c r="P24" s="487"/>
      <c r="Q24" s="500" t="e">
        <f>0.0175*(Q31-Q13-Q19)</f>
        <v>#REF!</v>
      </c>
    </row>
    <row r="25" spans="1:17" ht="25.15" customHeight="1" thickBot="1" x14ac:dyDescent="0.25">
      <c r="A25" s="246" t="s">
        <v>136</v>
      </c>
      <c r="B25" s="490">
        <f>SUM(B22:B24)</f>
        <v>118527.31405200002</v>
      </c>
      <c r="C25" s="490">
        <f t="shared" ref="C25:I25" si="9">SUM(C22:C24)</f>
        <v>120159.81687500002</v>
      </c>
      <c r="D25" s="490">
        <f t="shared" si="9"/>
        <v>126055.80102500001</v>
      </c>
      <c r="E25" s="490">
        <f t="shared" si="9"/>
        <v>121061.63220480003</v>
      </c>
      <c r="F25" s="490">
        <f t="shared" si="9"/>
        <v>123253.42088080001</v>
      </c>
      <c r="G25" s="490">
        <f>SUM(G22:G24)</f>
        <v>0</v>
      </c>
      <c r="H25" s="490">
        <f>SUM(H22:H24)</f>
        <v>0</v>
      </c>
      <c r="I25" s="490">
        <f t="shared" si="9"/>
        <v>0</v>
      </c>
      <c r="J25" s="490">
        <f t="shared" ref="J25:O25" si="10">SUM(J22:J24)</f>
        <v>0</v>
      </c>
      <c r="K25" s="490">
        <f t="shared" si="10"/>
        <v>0</v>
      </c>
      <c r="L25" s="490">
        <f t="shared" si="10"/>
        <v>0</v>
      </c>
      <c r="M25" s="490">
        <f t="shared" si="10"/>
        <v>0</v>
      </c>
      <c r="N25" s="490">
        <f t="shared" si="10"/>
        <v>0</v>
      </c>
      <c r="O25" s="490">
        <f t="shared" si="10"/>
        <v>0</v>
      </c>
      <c r="P25" s="487"/>
      <c r="Q25" s="501" t="e">
        <f>SUM(Q22:Q24)</f>
        <v>#REF!</v>
      </c>
    </row>
    <row r="26" spans="1:17" ht="25.15" customHeight="1" thickBot="1" x14ac:dyDescent="0.25">
      <c r="A26" s="251" t="s">
        <v>137</v>
      </c>
      <c r="B26" s="502">
        <f>B25+B19+B15</f>
        <v>10806014.234051999</v>
      </c>
      <c r="C26" s="502">
        <f t="shared" ref="C26:Q26" si="11">C25+C19+C15</f>
        <v>10631778.146875</v>
      </c>
      <c r="D26" s="502">
        <f t="shared" si="11"/>
        <v>11234978.451025</v>
      </c>
      <c r="E26" s="502">
        <f t="shared" si="11"/>
        <v>11431006.257954799</v>
      </c>
      <c r="F26" s="502">
        <f t="shared" si="11"/>
        <v>11314266.7866308</v>
      </c>
      <c r="G26" s="502">
        <f t="shared" si="11"/>
        <v>0</v>
      </c>
      <c r="H26" s="502">
        <f t="shared" si="11"/>
        <v>0</v>
      </c>
      <c r="I26" s="502">
        <f t="shared" si="11"/>
        <v>0</v>
      </c>
      <c r="J26" s="502">
        <f t="shared" ref="J26:O26" si="12">J25+J19+J15</f>
        <v>0</v>
      </c>
      <c r="K26" s="502">
        <f t="shared" si="12"/>
        <v>0</v>
      </c>
      <c r="L26" s="502">
        <f t="shared" si="12"/>
        <v>0</v>
      </c>
      <c r="M26" s="502">
        <f t="shared" si="12"/>
        <v>0</v>
      </c>
      <c r="N26" s="502">
        <f t="shared" si="12"/>
        <v>0</v>
      </c>
      <c r="O26" s="502">
        <f t="shared" si="12"/>
        <v>0</v>
      </c>
      <c r="P26" s="503"/>
      <c r="Q26" s="491" t="e">
        <f t="shared" si="11"/>
        <v>#REF!</v>
      </c>
    </row>
    <row r="27" spans="1:17" ht="25.15" customHeight="1" thickBot="1" x14ac:dyDescent="0.25">
      <c r="A27" s="247"/>
      <c r="B27" s="504"/>
      <c r="C27" s="504"/>
      <c r="D27" s="504"/>
      <c r="E27" s="504"/>
      <c r="F27" s="504"/>
      <c r="G27" s="504"/>
      <c r="H27" s="504"/>
      <c r="I27" s="504"/>
      <c r="J27" s="504"/>
      <c r="K27" s="504"/>
      <c r="L27" s="504"/>
      <c r="M27" s="504"/>
      <c r="N27" s="504"/>
      <c r="O27" s="504"/>
      <c r="P27" s="487"/>
      <c r="Q27" s="504"/>
    </row>
    <row r="28" spans="1:17" ht="25.15" customHeight="1" thickBot="1" x14ac:dyDescent="0.25">
      <c r="A28" s="265" t="s">
        <v>91</v>
      </c>
      <c r="B28" s="505">
        <f>52000+11785315.9</f>
        <v>11837315.9</v>
      </c>
      <c r="C28" s="505">
        <f>52000+11785315.9</f>
        <v>11837315.9</v>
      </c>
      <c r="D28" s="505">
        <f>52000+11785315.9</f>
        <v>11837315.9</v>
      </c>
      <c r="E28" s="505">
        <f>52000+11785315.9</f>
        <v>11837315.9</v>
      </c>
      <c r="F28" s="505">
        <f>52000+11785315.9</f>
        <v>11837315.9</v>
      </c>
      <c r="G28" s="505"/>
      <c r="H28" s="505"/>
      <c r="I28" s="505"/>
      <c r="J28" s="505"/>
      <c r="K28" s="505"/>
      <c r="L28" s="505"/>
      <c r="M28" s="505"/>
      <c r="N28" s="505"/>
      <c r="O28" s="505"/>
      <c r="P28" s="487"/>
      <c r="Q28" s="506" t="e">
        <f>+FV!#REF!</f>
        <v>#REF!</v>
      </c>
    </row>
    <row r="29" spans="1:17" ht="25.15" customHeight="1" x14ac:dyDescent="0.2">
      <c r="A29" s="248" t="s">
        <v>92</v>
      </c>
      <c r="B29" s="507">
        <f>101725-6000-11088</f>
        <v>84637</v>
      </c>
      <c r="C29" s="507">
        <f>101725-6000-11088</f>
        <v>84637</v>
      </c>
      <c r="D29" s="507">
        <f>-6000-11080+101725</f>
        <v>84645</v>
      </c>
      <c r="E29" s="507">
        <f>-6000-11080+101725</f>
        <v>84645</v>
      </c>
      <c r="F29" s="507">
        <f>-6000-11080+101725</f>
        <v>84645</v>
      </c>
      <c r="G29" s="507"/>
      <c r="H29" s="507"/>
      <c r="I29" s="508"/>
      <c r="J29" s="507"/>
      <c r="K29" s="507"/>
      <c r="L29" s="507"/>
      <c r="M29" s="507"/>
      <c r="N29" s="507"/>
      <c r="O29" s="508"/>
      <c r="P29" s="487"/>
      <c r="Q29" s="509">
        <v>71710</v>
      </c>
    </row>
    <row r="30" spans="1:17" ht="25.15" customHeight="1" thickBot="1" x14ac:dyDescent="0.25">
      <c r="A30" s="245" t="s">
        <v>1</v>
      </c>
      <c r="B30" s="510"/>
      <c r="C30" s="510">
        <v>69777.710000000006</v>
      </c>
      <c r="D30" s="510">
        <f>105766.61+268083.58</f>
        <v>373850.19</v>
      </c>
      <c r="E30" s="510">
        <v>328657.65999999997</v>
      </c>
      <c r="F30" s="510">
        <v>400367.66</v>
      </c>
      <c r="G30" s="510"/>
      <c r="H30" s="510"/>
      <c r="I30" s="511"/>
      <c r="J30" s="510"/>
      <c r="K30" s="510"/>
      <c r="L30" s="510"/>
      <c r="M30" s="510"/>
      <c r="N30" s="510"/>
      <c r="O30" s="511"/>
      <c r="P30" s="487"/>
      <c r="Q30" s="509">
        <v>328657.65999999997</v>
      </c>
    </row>
    <row r="31" spans="1:17" ht="25.15" customHeight="1" thickBot="1" x14ac:dyDescent="0.25">
      <c r="A31" s="253" t="s">
        <v>94</v>
      </c>
      <c r="B31" s="512">
        <f t="shared" ref="B31:O31" si="13">SUM(B28:B30)</f>
        <v>11921952.9</v>
      </c>
      <c r="C31" s="512">
        <f t="shared" si="13"/>
        <v>11991730.610000001</v>
      </c>
      <c r="D31" s="512">
        <f t="shared" si="13"/>
        <v>12295811.09</v>
      </c>
      <c r="E31" s="512">
        <f t="shared" si="13"/>
        <v>12250618.560000001</v>
      </c>
      <c r="F31" s="512">
        <f t="shared" si="13"/>
        <v>12322328.560000001</v>
      </c>
      <c r="G31" s="512">
        <f t="shared" si="13"/>
        <v>0</v>
      </c>
      <c r="H31" s="512">
        <f t="shared" si="13"/>
        <v>0</v>
      </c>
      <c r="I31" s="513">
        <f t="shared" si="13"/>
        <v>0</v>
      </c>
      <c r="J31" s="512">
        <f t="shared" si="13"/>
        <v>0</v>
      </c>
      <c r="K31" s="512">
        <f t="shared" si="13"/>
        <v>0</v>
      </c>
      <c r="L31" s="512">
        <f t="shared" si="13"/>
        <v>0</v>
      </c>
      <c r="M31" s="512">
        <f t="shared" si="13"/>
        <v>0</v>
      </c>
      <c r="N31" s="512">
        <f t="shared" si="13"/>
        <v>0</v>
      </c>
      <c r="O31" s="513">
        <f t="shared" si="13"/>
        <v>0</v>
      </c>
      <c r="P31" s="503"/>
      <c r="Q31" s="514" t="e">
        <f>SUM(Q28:Q30)</f>
        <v>#REF!</v>
      </c>
    </row>
    <row r="32" spans="1:17" ht="25.15" customHeight="1" thickBot="1" x14ac:dyDescent="0.25">
      <c r="A32" s="249"/>
      <c r="B32" s="515"/>
      <c r="C32" s="487"/>
      <c r="D32" s="487"/>
      <c r="E32" s="487"/>
      <c r="F32" s="487"/>
      <c r="G32" s="487"/>
      <c r="H32" s="487"/>
      <c r="I32" s="487"/>
      <c r="J32" s="487"/>
      <c r="K32" s="487"/>
      <c r="L32" s="487"/>
      <c r="M32" s="487"/>
      <c r="N32" s="487"/>
      <c r="O32" s="487"/>
      <c r="P32" s="503"/>
      <c r="Q32" s="487"/>
    </row>
    <row r="33" spans="1:17" ht="25.15" customHeight="1" x14ac:dyDescent="0.2">
      <c r="A33" s="254" t="s">
        <v>90</v>
      </c>
      <c r="B33" s="516">
        <f t="shared" ref="B33:O33" si="14">B31-B26</f>
        <v>1115938.6659480017</v>
      </c>
      <c r="C33" s="516">
        <f t="shared" si="14"/>
        <v>1359952.4631250016</v>
      </c>
      <c r="D33" s="516">
        <f t="shared" si="14"/>
        <v>1060832.638975</v>
      </c>
      <c r="E33" s="516">
        <f t="shared" si="14"/>
        <v>819612.30204520188</v>
      </c>
      <c r="F33" s="516">
        <f t="shared" si="14"/>
        <v>1008061.7733692005</v>
      </c>
      <c r="G33" s="516">
        <f t="shared" si="14"/>
        <v>0</v>
      </c>
      <c r="H33" s="516">
        <f t="shared" si="14"/>
        <v>0</v>
      </c>
      <c r="I33" s="516">
        <f t="shared" si="14"/>
        <v>0</v>
      </c>
      <c r="J33" s="516">
        <f t="shared" si="14"/>
        <v>0</v>
      </c>
      <c r="K33" s="516">
        <f t="shared" si="14"/>
        <v>0</v>
      </c>
      <c r="L33" s="516">
        <f t="shared" si="14"/>
        <v>0</v>
      </c>
      <c r="M33" s="516">
        <f t="shared" si="14"/>
        <v>0</v>
      </c>
      <c r="N33" s="516">
        <f t="shared" si="14"/>
        <v>0</v>
      </c>
      <c r="O33" s="516">
        <f t="shared" si="14"/>
        <v>0</v>
      </c>
      <c r="P33" s="503"/>
      <c r="Q33" s="517" t="e">
        <f>Q31-Q26</f>
        <v>#REF!</v>
      </c>
    </row>
    <row r="34" spans="1:17" ht="25.15" customHeight="1" thickBot="1" x14ac:dyDescent="0.25">
      <c r="A34" s="255"/>
      <c r="B34" s="256">
        <f>B33/B31</f>
        <v>9.3603680144383195E-2</v>
      </c>
      <c r="C34" s="256">
        <f t="shared" ref="C34:I34" si="15">C33/C31</f>
        <v>0.11340752284669622</v>
      </c>
      <c r="D34" s="256">
        <f t="shared" si="15"/>
        <v>8.6275938302090488E-2</v>
      </c>
      <c r="E34" s="256">
        <f t="shared" si="15"/>
        <v>6.690374841327211E-2</v>
      </c>
      <c r="F34" s="256">
        <f t="shared" si="15"/>
        <v>8.1807733697469312E-2</v>
      </c>
      <c r="G34" s="256" t="e">
        <f t="shared" si="15"/>
        <v>#DIV/0!</v>
      </c>
      <c r="H34" s="256" t="e">
        <f t="shared" si="15"/>
        <v>#DIV/0!</v>
      </c>
      <c r="I34" s="256" t="e">
        <f t="shared" si="15"/>
        <v>#DIV/0!</v>
      </c>
      <c r="J34" s="256" t="e">
        <f t="shared" ref="J34:O34" si="16">J33/J31</f>
        <v>#DIV/0!</v>
      </c>
      <c r="K34" s="256" t="e">
        <f t="shared" si="16"/>
        <v>#DIV/0!</v>
      </c>
      <c r="L34" s="256" t="e">
        <f t="shared" si="16"/>
        <v>#DIV/0!</v>
      </c>
      <c r="M34" s="256" t="e">
        <f t="shared" si="16"/>
        <v>#DIV/0!</v>
      </c>
      <c r="N34" s="256" t="e">
        <f t="shared" si="16"/>
        <v>#DIV/0!</v>
      </c>
      <c r="O34" s="256" t="e">
        <f t="shared" si="16"/>
        <v>#DIV/0!</v>
      </c>
      <c r="P34" s="252"/>
      <c r="Q34" s="250" t="e">
        <f>Q33/Q31</f>
        <v>#REF!</v>
      </c>
    </row>
    <row r="35" spans="1:17" ht="25.15" customHeight="1" x14ac:dyDescent="0.2">
      <c r="P35" s="252"/>
    </row>
    <row r="36" spans="1:17" ht="25.15" customHeight="1" x14ac:dyDescent="0.2">
      <c r="A36" s="245" t="s">
        <v>93</v>
      </c>
      <c r="B36" s="597">
        <v>0</v>
      </c>
      <c r="C36" s="597">
        <v>0</v>
      </c>
      <c r="D36" s="597">
        <v>0</v>
      </c>
      <c r="E36" s="597">
        <v>0</v>
      </c>
      <c r="F36" s="597">
        <v>0</v>
      </c>
      <c r="G36" s="597">
        <v>0</v>
      </c>
      <c r="H36" s="597">
        <v>0</v>
      </c>
      <c r="I36" s="597">
        <v>0</v>
      </c>
      <c r="J36" s="597">
        <v>0</v>
      </c>
      <c r="K36" s="597">
        <v>0</v>
      </c>
      <c r="L36" s="597">
        <v>0</v>
      </c>
      <c r="M36" s="597">
        <v>0</v>
      </c>
      <c r="N36" s="597">
        <v>0</v>
      </c>
      <c r="O36" s="597">
        <v>0</v>
      </c>
      <c r="P36" s="487"/>
      <c r="Q36" s="597">
        <v>0</v>
      </c>
    </row>
    <row r="37" spans="1:17" ht="25.15" customHeight="1" thickBot="1" x14ac:dyDescent="0.25">
      <c r="A37" s="245" t="s">
        <v>87</v>
      </c>
      <c r="B37" s="597">
        <v>0</v>
      </c>
      <c r="C37" s="597">
        <v>0</v>
      </c>
      <c r="D37" s="597">
        <v>0</v>
      </c>
      <c r="E37" s="597">
        <v>9756.26</v>
      </c>
      <c r="F37" s="597">
        <v>13278.37</v>
      </c>
      <c r="G37" s="597">
        <v>0</v>
      </c>
      <c r="H37" s="597">
        <v>0</v>
      </c>
      <c r="I37" s="597">
        <v>0</v>
      </c>
      <c r="J37" s="597">
        <v>0</v>
      </c>
      <c r="K37" s="597">
        <v>0</v>
      </c>
      <c r="L37" s="597">
        <v>0</v>
      </c>
      <c r="M37" s="597">
        <v>0</v>
      </c>
      <c r="N37" s="597">
        <v>0</v>
      </c>
      <c r="O37" s="597">
        <v>0</v>
      </c>
      <c r="P37" s="487"/>
      <c r="Q37" s="597">
        <v>13278.37</v>
      </c>
    </row>
    <row r="38" spans="1:17" ht="25.15" customHeight="1" thickBot="1" x14ac:dyDescent="0.25">
      <c r="A38" s="257" t="s">
        <v>647</v>
      </c>
      <c r="B38" s="598">
        <f>+SUM(B31,B36:B37)</f>
        <v>11921952.9</v>
      </c>
      <c r="C38" s="598">
        <f t="shared" ref="C38:O38" si="17">+SUM(C31,C36:C37)</f>
        <v>11991730.610000001</v>
      </c>
      <c r="D38" s="598">
        <f t="shared" si="17"/>
        <v>12295811.09</v>
      </c>
      <c r="E38" s="598">
        <f t="shared" si="17"/>
        <v>12260374.82</v>
      </c>
      <c r="F38" s="598">
        <f t="shared" si="17"/>
        <v>12335606.93</v>
      </c>
      <c r="G38" s="598">
        <f t="shared" si="17"/>
        <v>0</v>
      </c>
      <c r="H38" s="598">
        <f t="shared" si="17"/>
        <v>0</v>
      </c>
      <c r="I38" s="598">
        <f t="shared" si="17"/>
        <v>0</v>
      </c>
      <c r="J38" s="598">
        <f t="shared" si="17"/>
        <v>0</v>
      </c>
      <c r="K38" s="598">
        <f t="shared" si="17"/>
        <v>0</v>
      </c>
      <c r="L38" s="598">
        <f t="shared" si="17"/>
        <v>0</v>
      </c>
      <c r="M38" s="598">
        <f t="shared" si="17"/>
        <v>0</v>
      </c>
      <c r="N38" s="598">
        <f t="shared" si="17"/>
        <v>0</v>
      </c>
      <c r="O38" s="598">
        <f t="shared" si="17"/>
        <v>0</v>
      </c>
      <c r="P38" s="503"/>
      <c r="Q38" s="598" t="e">
        <f>+SUM(Q31,Q36:Q37)</f>
        <v>#REF!</v>
      </c>
    </row>
    <row r="39" spans="1:17" ht="25.15" customHeight="1" thickBot="1" x14ac:dyDescent="0.25">
      <c r="A39" s="258"/>
      <c r="B39" s="599"/>
      <c r="C39" s="599"/>
      <c r="D39" s="599"/>
      <c r="E39" s="599"/>
      <c r="F39" s="599"/>
      <c r="G39" s="599"/>
      <c r="H39" s="599"/>
      <c r="I39" s="599"/>
      <c r="J39" s="599"/>
      <c r="K39" s="599"/>
      <c r="L39" s="599"/>
      <c r="M39" s="599"/>
      <c r="N39" s="599"/>
      <c r="O39" s="599"/>
      <c r="P39" s="503"/>
      <c r="Q39" s="599"/>
    </row>
    <row r="40" spans="1:17" ht="25.15" customHeight="1" x14ac:dyDescent="0.2">
      <c r="A40" s="259" t="s">
        <v>648</v>
      </c>
      <c r="B40" s="600">
        <f>B38-B26</f>
        <v>1115938.6659480017</v>
      </c>
      <c r="C40" s="600">
        <f t="shared" ref="C40:O40" si="18">C38-C26</f>
        <v>1359952.4631250016</v>
      </c>
      <c r="D40" s="600">
        <f t="shared" si="18"/>
        <v>1060832.638975</v>
      </c>
      <c r="E40" s="600">
        <f t="shared" si="18"/>
        <v>829368.56204520166</v>
      </c>
      <c r="F40" s="600">
        <f t="shared" si="18"/>
        <v>1021340.1433691997</v>
      </c>
      <c r="G40" s="600">
        <f t="shared" si="18"/>
        <v>0</v>
      </c>
      <c r="H40" s="600">
        <f t="shared" si="18"/>
        <v>0</v>
      </c>
      <c r="I40" s="600">
        <f t="shared" si="18"/>
        <v>0</v>
      </c>
      <c r="J40" s="600">
        <f t="shared" si="18"/>
        <v>0</v>
      </c>
      <c r="K40" s="600">
        <f t="shared" si="18"/>
        <v>0</v>
      </c>
      <c r="L40" s="600">
        <f t="shared" si="18"/>
        <v>0</v>
      </c>
      <c r="M40" s="600">
        <f t="shared" si="18"/>
        <v>0</v>
      </c>
      <c r="N40" s="600">
        <f t="shared" si="18"/>
        <v>0</v>
      </c>
      <c r="O40" s="600">
        <f t="shared" si="18"/>
        <v>0</v>
      </c>
      <c r="P40" s="503"/>
      <c r="Q40" s="600" t="e">
        <f>Q38-Q26</f>
        <v>#REF!</v>
      </c>
    </row>
    <row r="41" spans="1:17" ht="25.15" customHeight="1" thickBot="1" x14ac:dyDescent="0.25">
      <c r="A41" s="260"/>
      <c r="B41" s="261">
        <f>B40/B38</f>
        <v>9.3603680144383195E-2</v>
      </c>
      <c r="C41" s="261">
        <f t="shared" ref="C41:Q41" si="19">C40/C38</f>
        <v>0.11340752284669622</v>
      </c>
      <c r="D41" s="261">
        <f t="shared" si="19"/>
        <v>8.6275938302090488E-2</v>
      </c>
      <c r="E41" s="261">
        <f t="shared" si="19"/>
        <v>6.7646264834601663E-2</v>
      </c>
      <c r="F41" s="261">
        <f t="shared" si="19"/>
        <v>8.2796099872906675E-2</v>
      </c>
      <c r="G41" s="261" t="e">
        <f t="shared" si="19"/>
        <v>#DIV/0!</v>
      </c>
      <c r="H41" s="261" t="e">
        <f t="shared" si="19"/>
        <v>#DIV/0!</v>
      </c>
      <c r="I41" s="261" t="e">
        <f t="shared" si="19"/>
        <v>#DIV/0!</v>
      </c>
      <c r="J41" s="261" t="e">
        <f t="shared" si="19"/>
        <v>#DIV/0!</v>
      </c>
      <c r="K41" s="261" t="e">
        <f t="shared" si="19"/>
        <v>#DIV/0!</v>
      </c>
      <c r="L41" s="261" t="e">
        <f t="shared" si="19"/>
        <v>#DIV/0!</v>
      </c>
      <c r="M41" s="261" t="e">
        <f t="shared" si="19"/>
        <v>#DIV/0!</v>
      </c>
      <c r="N41" s="261" t="e">
        <f t="shared" si="19"/>
        <v>#DIV/0!</v>
      </c>
      <c r="O41" s="261" t="e">
        <f t="shared" si="19"/>
        <v>#DIV/0!</v>
      </c>
      <c r="P41" s="252"/>
      <c r="Q41" s="261" t="e">
        <f t="shared" si="19"/>
        <v>#REF!</v>
      </c>
    </row>
    <row r="42" spans="1:17" ht="25.15" customHeight="1" x14ac:dyDescent="0.2">
      <c r="P42" s="252"/>
    </row>
  </sheetData>
  <mergeCells count="1">
    <mergeCell ref="A4:O4"/>
  </mergeCells>
  <phoneticPr fontId="30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51" orientation="landscape" r:id="rId1"/>
  <headerFooter>
    <oddHeader>&amp;L&amp;G</oddHeader>
  </headerFooter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94E13-46EE-4E3A-B2F1-2DA241F53FD7}">
  <sheetPr codeName="Feuil6">
    <tabColor theme="9"/>
    <pageSetUpPr fitToPage="1"/>
  </sheetPr>
  <dimension ref="A1:AW122"/>
  <sheetViews>
    <sheetView zoomScale="70" zoomScaleNormal="70" zoomScaleSheetLayoutView="70" workbookViewId="0">
      <pane xSplit="4" ySplit="11" topLeftCell="AI107" activePane="bottomRight" state="frozen"/>
      <selection activeCell="D85" sqref="D85"/>
      <selection pane="topRight" activeCell="D85" sqref="D85"/>
      <selection pane="bottomLeft" activeCell="D85" sqref="D85"/>
      <selection pane="bottomRight" activeCell="AR115" sqref="AR115"/>
    </sheetView>
  </sheetViews>
  <sheetFormatPr baseColWidth="10" defaultRowHeight="25.15" customHeight="1" x14ac:dyDescent="0.2"/>
  <cols>
    <col min="1" max="1" width="11.7109375" style="8" bestFit="1" customWidth="1"/>
    <col min="2" max="2" width="15.5703125" style="8" customWidth="1"/>
    <col min="3" max="3" width="50.7109375" style="8" customWidth="1"/>
    <col min="4" max="4" width="14.28515625" style="8" customWidth="1"/>
    <col min="5" max="42" width="12.7109375" style="8" customWidth="1"/>
    <col min="43" max="44" width="19.7109375" style="8" customWidth="1"/>
    <col min="45" max="45" width="14.28515625" style="8" bestFit="1" customWidth="1"/>
    <col min="46" max="46" width="12" style="8" bestFit="1" customWidth="1"/>
    <col min="47" max="163" width="11.5703125" style="8"/>
    <col min="164" max="164" width="17.42578125" style="8" customWidth="1"/>
    <col min="165" max="165" width="22.5703125" style="8" customWidth="1"/>
    <col min="166" max="166" width="21.42578125" style="8" customWidth="1"/>
    <col min="167" max="167" width="26.7109375" style="8" customWidth="1"/>
    <col min="168" max="168" width="17" style="8" customWidth="1"/>
    <col min="169" max="192" width="2.42578125" style="8" customWidth="1"/>
    <col min="193" max="193" width="3" style="8" customWidth="1"/>
    <col min="194" max="202" width="2.42578125" style="8" customWidth="1"/>
    <col min="203" max="203" width="3.42578125" style="8" customWidth="1"/>
    <col min="204" max="223" width="2.42578125" style="8" customWidth="1"/>
    <col min="224" max="224" width="2.85546875" style="8" customWidth="1"/>
    <col min="225" max="273" width="2.42578125" style="8" customWidth="1"/>
    <col min="274" max="298" width="11.5703125" style="8" customWidth="1"/>
    <col min="299" max="300" width="25.7109375" style="8" customWidth="1"/>
    <col min="301" max="301" width="15.140625" style="8" customWidth="1"/>
    <col min="302" max="302" width="12" style="8" bestFit="1" customWidth="1"/>
    <col min="303" max="419" width="11.5703125" style="8"/>
    <col min="420" max="420" width="17.42578125" style="8" customWidth="1"/>
    <col min="421" max="421" width="22.5703125" style="8" customWidth="1"/>
    <col min="422" max="422" width="21.42578125" style="8" customWidth="1"/>
    <col min="423" max="423" width="26.7109375" style="8" customWidth="1"/>
    <col min="424" max="424" width="17" style="8" customWidth="1"/>
    <col min="425" max="448" width="2.42578125" style="8" customWidth="1"/>
    <col min="449" max="449" width="3" style="8" customWidth="1"/>
    <col min="450" max="458" width="2.42578125" style="8" customWidth="1"/>
    <col min="459" max="459" width="3.42578125" style="8" customWidth="1"/>
    <col min="460" max="479" width="2.42578125" style="8" customWidth="1"/>
    <col min="480" max="480" width="2.85546875" style="8" customWidth="1"/>
    <col min="481" max="529" width="2.42578125" style="8" customWidth="1"/>
    <col min="530" max="554" width="11.5703125" style="8" customWidth="1"/>
    <col min="555" max="556" width="25.7109375" style="8" customWidth="1"/>
    <col min="557" max="557" width="15.140625" style="8" customWidth="1"/>
    <col min="558" max="558" width="12" style="8" bestFit="1" customWidth="1"/>
    <col min="559" max="675" width="11.5703125" style="8"/>
    <col min="676" max="676" width="17.42578125" style="8" customWidth="1"/>
    <col min="677" max="677" width="22.5703125" style="8" customWidth="1"/>
    <col min="678" max="678" width="21.42578125" style="8" customWidth="1"/>
    <col min="679" max="679" width="26.7109375" style="8" customWidth="1"/>
    <col min="680" max="680" width="17" style="8" customWidth="1"/>
    <col min="681" max="704" width="2.42578125" style="8" customWidth="1"/>
    <col min="705" max="705" width="3" style="8" customWidth="1"/>
    <col min="706" max="714" width="2.42578125" style="8" customWidth="1"/>
    <col min="715" max="715" width="3.42578125" style="8" customWidth="1"/>
    <col min="716" max="735" width="2.42578125" style="8" customWidth="1"/>
    <col min="736" max="736" width="2.85546875" style="8" customWidth="1"/>
    <col min="737" max="785" width="2.42578125" style="8" customWidth="1"/>
    <col min="786" max="810" width="11.5703125" style="8" customWidth="1"/>
    <col min="811" max="812" width="25.7109375" style="8" customWidth="1"/>
    <col min="813" max="813" width="15.140625" style="8" customWidth="1"/>
    <col min="814" max="814" width="12" style="8" bestFit="1" customWidth="1"/>
    <col min="815" max="931" width="11.5703125" style="8"/>
    <col min="932" max="932" width="17.42578125" style="8" customWidth="1"/>
    <col min="933" max="933" width="22.5703125" style="8" customWidth="1"/>
    <col min="934" max="934" width="21.42578125" style="8" customWidth="1"/>
    <col min="935" max="935" width="26.7109375" style="8" customWidth="1"/>
    <col min="936" max="936" width="17" style="8" customWidth="1"/>
    <col min="937" max="960" width="2.42578125" style="8" customWidth="1"/>
    <col min="961" max="961" width="3" style="8" customWidth="1"/>
    <col min="962" max="970" width="2.42578125" style="8" customWidth="1"/>
    <col min="971" max="971" width="3.42578125" style="8" customWidth="1"/>
    <col min="972" max="991" width="2.42578125" style="8" customWidth="1"/>
    <col min="992" max="992" width="2.85546875" style="8" customWidth="1"/>
    <col min="993" max="1041" width="2.42578125" style="8" customWidth="1"/>
    <col min="1042" max="1066" width="11.5703125" style="8" customWidth="1"/>
    <col min="1067" max="1068" width="25.7109375" style="8" customWidth="1"/>
    <col min="1069" max="1069" width="15.140625" style="8" customWidth="1"/>
    <col min="1070" max="1070" width="12" style="8" bestFit="1" customWidth="1"/>
    <col min="1071" max="1187" width="11.5703125" style="8"/>
    <col min="1188" max="1188" width="17.42578125" style="8" customWidth="1"/>
    <col min="1189" max="1189" width="22.5703125" style="8" customWidth="1"/>
    <col min="1190" max="1190" width="21.42578125" style="8" customWidth="1"/>
    <col min="1191" max="1191" width="26.7109375" style="8" customWidth="1"/>
    <col min="1192" max="1192" width="17" style="8" customWidth="1"/>
    <col min="1193" max="1216" width="2.42578125" style="8" customWidth="1"/>
    <col min="1217" max="1217" width="3" style="8" customWidth="1"/>
    <col min="1218" max="1226" width="2.42578125" style="8" customWidth="1"/>
    <col min="1227" max="1227" width="3.42578125" style="8" customWidth="1"/>
    <col min="1228" max="1247" width="2.42578125" style="8" customWidth="1"/>
    <col min="1248" max="1248" width="2.85546875" style="8" customWidth="1"/>
    <col min="1249" max="1297" width="2.42578125" style="8" customWidth="1"/>
    <col min="1298" max="1322" width="11.5703125" style="8" customWidth="1"/>
    <col min="1323" max="1324" width="25.7109375" style="8" customWidth="1"/>
    <col min="1325" max="1325" width="15.140625" style="8" customWidth="1"/>
    <col min="1326" max="1326" width="12" style="8" bestFit="1" customWidth="1"/>
    <col min="1327" max="1443" width="11.5703125" style="8"/>
    <col min="1444" max="1444" width="17.42578125" style="8" customWidth="1"/>
    <col min="1445" max="1445" width="22.5703125" style="8" customWidth="1"/>
    <col min="1446" max="1446" width="21.42578125" style="8" customWidth="1"/>
    <col min="1447" max="1447" width="26.7109375" style="8" customWidth="1"/>
    <col min="1448" max="1448" width="17" style="8" customWidth="1"/>
    <col min="1449" max="1472" width="2.42578125" style="8" customWidth="1"/>
    <col min="1473" max="1473" width="3" style="8" customWidth="1"/>
    <col min="1474" max="1482" width="2.42578125" style="8" customWidth="1"/>
    <col min="1483" max="1483" width="3.42578125" style="8" customWidth="1"/>
    <col min="1484" max="1503" width="2.42578125" style="8" customWidth="1"/>
    <col min="1504" max="1504" width="2.85546875" style="8" customWidth="1"/>
    <col min="1505" max="1553" width="2.42578125" style="8" customWidth="1"/>
    <col min="1554" max="1578" width="11.5703125" style="8" customWidth="1"/>
    <col min="1579" max="1580" width="25.7109375" style="8" customWidth="1"/>
    <col min="1581" max="1581" width="15.140625" style="8" customWidth="1"/>
    <col min="1582" max="1582" width="12" style="8" bestFit="1" customWidth="1"/>
    <col min="1583" max="1699" width="11.5703125" style="8"/>
    <col min="1700" max="1700" width="17.42578125" style="8" customWidth="1"/>
    <col min="1701" max="1701" width="22.5703125" style="8" customWidth="1"/>
    <col min="1702" max="1702" width="21.42578125" style="8" customWidth="1"/>
    <col min="1703" max="1703" width="26.7109375" style="8" customWidth="1"/>
    <col min="1704" max="1704" width="17" style="8" customWidth="1"/>
    <col min="1705" max="1728" width="2.42578125" style="8" customWidth="1"/>
    <col min="1729" max="1729" width="3" style="8" customWidth="1"/>
    <col min="1730" max="1738" width="2.42578125" style="8" customWidth="1"/>
    <col min="1739" max="1739" width="3.42578125" style="8" customWidth="1"/>
    <col min="1740" max="1759" width="2.42578125" style="8" customWidth="1"/>
    <col min="1760" max="1760" width="2.85546875" style="8" customWidth="1"/>
    <col min="1761" max="1809" width="2.42578125" style="8" customWidth="1"/>
    <col min="1810" max="1834" width="11.5703125" style="8" customWidth="1"/>
    <col min="1835" max="1836" width="25.7109375" style="8" customWidth="1"/>
    <col min="1837" max="1837" width="15.140625" style="8" customWidth="1"/>
    <col min="1838" max="1838" width="12" style="8" bestFit="1" customWidth="1"/>
    <col min="1839" max="1955" width="11.5703125" style="8"/>
    <col min="1956" max="1956" width="17.42578125" style="8" customWidth="1"/>
    <col min="1957" max="1957" width="22.5703125" style="8" customWidth="1"/>
    <col min="1958" max="1958" width="21.42578125" style="8" customWidth="1"/>
    <col min="1959" max="1959" width="26.7109375" style="8" customWidth="1"/>
    <col min="1960" max="1960" width="17" style="8" customWidth="1"/>
    <col min="1961" max="1984" width="2.42578125" style="8" customWidth="1"/>
    <col min="1985" max="1985" width="3" style="8" customWidth="1"/>
    <col min="1986" max="1994" width="2.42578125" style="8" customWidth="1"/>
    <col min="1995" max="1995" width="3.42578125" style="8" customWidth="1"/>
    <col min="1996" max="2015" width="2.42578125" style="8" customWidth="1"/>
    <col min="2016" max="2016" width="2.85546875" style="8" customWidth="1"/>
    <col min="2017" max="2065" width="2.42578125" style="8" customWidth="1"/>
    <col min="2066" max="2090" width="11.5703125" style="8" customWidth="1"/>
    <col min="2091" max="2092" width="25.7109375" style="8" customWidth="1"/>
    <col min="2093" max="2093" width="15.140625" style="8" customWidth="1"/>
    <col min="2094" max="2094" width="12" style="8" bestFit="1" customWidth="1"/>
    <col min="2095" max="2211" width="11.5703125" style="8"/>
    <col min="2212" max="2212" width="17.42578125" style="8" customWidth="1"/>
    <col min="2213" max="2213" width="22.5703125" style="8" customWidth="1"/>
    <col min="2214" max="2214" width="21.42578125" style="8" customWidth="1"/>
    <col min="2215" max="2215" width="26.7109375" style="8" customWidth="1"/>
    <col min="2216" max="2216" width="17" style="8" customWidth="1"/>
    <col min="2217" max="2240" width="2.42578125" style="8" customWidth="1"/>
    <col min="2241" max="2241" width="3" style="8" customWidth="1"/>
    <col min="2242" max="2250" width="2.42578125" style="8" customWidth="1"/>
    <col min="2251" max="2251" width="3.42578125" style="8" customWidth="1"/>
    <col min="2252" max="2271" width="2.42578125" style="8" customWidth="1"/>
    <col min="2272" max="2272" width="2.85546875" style="8" customWidth="1"/>
    <col min="2273" max="2321" width="2.42578125" style="8" customWidth="1"/>
    <col min="2322" max="2346" width="11.5703125" style="8" customWidth="1"/>
    <col min="2347" max="2348" width="25.7109375" style="8" customWidth="1"/>
    <col min="2349" max="2349" width="15.140625" style="8" customWidth="1"/>
    <col min="2350" max="2350" width="12" style="8" bestFit="1" customWidth="1"/>
    <col min="2351" max="2467" width="11.5703125" style="8"/>
    <col min="2468" max="2468" width="17.42578125" style="8" customWidth="1"/>
    <col min="2469" max="2469" width="22.5703125" style="8" customWidth="1"/>
    <col min="2470" max="2470" width="21.42578125" style="8" customWidth="1"/>
    <col min="2471" max="2471" width="26.7109375" style="8" customWidth="1"/>
    <col min="2472" max="2472" width="17" style="8" customWidth="1"/>
    <col min="2473" max="2496" width="2.42578125" style="8" customWidth="1"/>
    <col min="2497" max="2497" width="3" style="8" customWidth="1"/>
    <col min="2498" max="2506" width="2.42578125" style="8" customWidth="1"/>
    <col min="2507" max="2507" width="3.42578125" style="8" customWidth="1"/>
    <col min="2508" max="2527" width="2.42578125" style="8" customWidth="1"/>
    <col min="2528" max="2528" width="2.85546875" style="8" customWidth="1"/>
    <col min="2529" max="2577" width="2.42578125" style="8" customWidth="1"/>
    <col min="2578" max="2602" width="11.5703125" style="8" customWidth="1"/>
    <col min="2603" max="2604" width="25.7109375" style="8" customWidth="1"/>
    <col min="2605" max="2605" width="15.140625" style="8" customWidth="1"/>
    <col min="2606" max="2606" width="12" style="8" bestFit="1" customWidth="1"/>
    <col min="2607" max="2723" width="11.5703125" style="8"/>
    <col min="2724" max="2724" width="17.42578125" style="8" customWidth="1"/>
    <col min="2725" max="2725" width="22.5703125" style="8" customWidth="1"/>
    <col min="2726" max="2726" width="21.42578125" style="8" customWidth="1"/>
    <col min="2727" max="2727" width="26.7109375" style="8" customWidth="1"/>
    <col min="2728" max="2728" width="17" style="8" customWidth="1"/>
    <col min="2729" max="2752" width="2.42578125" style="8" customWidth="1"/>
    <col min="2753" max="2753" width="3" style="8" customWidth="1"/>
    <col min="2754" max="2762" width="2.42578125" style="8" customWidth="1"/>
    <col min="2763" max="2763" width="3.42578125" style="8" customWidth="1"/>
    <col min="2764" max="2783" width="2.42578125" style="8" customWidth="1"/>
    <col min="2784" max="2784" width="2.85546875" style="8" customWidth="1"/>
    <col min="2785" max="2833" width="2.42578125" style="8" customWidth="1"/>
    <col min="2834" max="2858" width="11.5703125" style="8" customWidth="1"/>
    <col min="2859" max="2860" width="25.7109375" style="8" customWidth="1"/>
    <col min="2861" max="2861" width="15.140625" style="8" customWidth="1"/>
    <col min="2862" max="2862" width="12" style="8" bestFit="1" customWidth="1"/>
    <col min="2863" max="2979" width="11.5703125" style="8"/>
    <col min="2980" max="2980" width="17.42578125" style="8" customWidth="1"/>
    <col min="2981" max="2981" width="22.5703125" style="8" customWidth="1"/>
    <col min="2982" max="2982" width="21.42578125" style="8" customWidth="1"/>
    <col min="2983" max="2983" width="26.7109375" style="8" customWidth="1"/>
    <col min="2984" max="2984" width="17" style="8" customWidth="1"/>
    <col min="2985" max="3008" width="2.42578125" style="8" customWidth="1"/>
    <col min="3009" max="3009" width="3" style="8" customWidth="1"/>
    <col min="3010" max="3018" width="2.42578125" style="8" customWidth="1"/>
    <col min="3019" max="3019" width="3.42578125" style="8" customWidth="1"/>
    <col min="3020" max="3039" width="2.42578125" style="8" customWidth="1"/>
    <col min="3040" max="3040" width="2.85546875" style="8" customWidth="1"/>
    <col min="3041" max="3089" width="2.42578125" style="8" customWidth="1"/>
    <col min="3090" max="3114" width="11.5703125" style="8" customWidth="1"/>
    <col min="3115" max="3116" width="25.7109375" style="8" customWidth="1"/>
    <col min="3117" max="3117" width="15.140625" style="8" customWidth="1"/>
    <col min="3118" max="3118" width="12" style="8" bestFit="1" customWidth="1"/>
    <col min="3119" max="3235" width="11.5703125" style="8"/>
    <col min="3236" max="3236" width="17.42578125" style="8" customWidth="1"/>
    <col min="3237" max="3237" width="22.5703125" style="8" customWidth="1"/>
    <col min="3238" max="3238" width="21.42578125" style="8" customWidth="1"/>
    <col min="3239" max="3239" width="26.7109375" style="8" customWidth="1"/>
    <col min="3240" max="3240" width="17" style="8" customWidth="1"/>
    <col min="3241" max="3264" width="2.42578125" style="8" customWidth="1"/>
    <col min="3265" max="3265" width="3" style="8" customWidth="1"/>
    <col min="3266" max="3274" width="2.42578125" style="8" customWidth="1"/>
    <col min="3275" max="3275" width="3.42578125" style="8" customWidth="1"/>
    <col min="3276" max="3295" width="2.42578125" style="8" customWidth="1"/>
    <col min="3296" max="3296" width="2.85546875" style="8" customWidth="1"/>
    <col min="3297" max="3345" width="2.42578125" style="8" customWidth="1"/>
    <col min="3346" max="3370" width="11.5703125" style="8" customWidth="1"/>
    <col min="3371" max="3372" width="25.7109375" style="8" customWidth="1"/>
    <col min="3373" max="3373" width="15.140625" style="8" customWidth="1"/>
    <col min="3374" max="3374" width="12" style="8" bestFit="1" customWidth="1"/>
    <col min="3375" max="3491" width="11.5703125" style="8"/>
    <col min="3492" max="3492" width="17.42578125" style="8" customWidth="1"/>
    <col min="3493" max="3493" width="22.5703125" style="8" customWidth="1"/>
    <col min="3494" max="3494" width="21.42578125" style="8" customWidth="1"/>
    <col min="3495" max="3495" width="26.7109375" style="8" customWidth="1"/>
    <col min="3496" max="3496" width="17" style="8" customWidth="1"/>
    <col min="3497" max="3520" width="2.42578125" style="8" customWidth="1"/>
    <col min="3521" max="3521" width="3" style="8" customWidth="1"/>
    <col min="3522" max="3530" width="2.42578125" style="8" customWidth="1"/>
    <col min="3531" max="3531" width="3.42578125" style="8" customWidth="1"/>
    <col min="3532" max="3551" width="2.42578125" style="8" customWidth="1"/>
    <col min="3552" max="3552" width="2.85546875" style="8" customWidth="1"/>
    <col min="3553" max="3601" width="2.42578125" style="8" customWidth="1"/>
    <col min="3602" max="3626" width="11.5703125" style="8" customWidth="1"/>
    <col min="3627" max="3628" width="25.7109375" style="8" customWidth="1"/>
    <col min="3629" max="3629" width="15.140625" style="8" customWidth="1"/>
    <col min="3630" max="3630" width="12" style="8" bestFit="1" customWidth="1"/>
    <col min="3631" max="3747" width="11.5703125" style="8"/>
    <col min="3748" max="3748" width="17.42578125" style="8" customWidth="1"/>
    <col min="3749" max="3749" width="22.5703125" style="8" customWidth="1"/>
    <col min="3750" max="3750" width="21.42578125" style="8" customWidth="1"/>
    <col min="3751" max="3751" width="26.7109375" style="8" customWidth="1"/>
    <col min="3752" max="3752" width="17" style="8" customWidth="1"/>
    <col min="3753" max="3776" width="2.42578125" style="8" customWidth="1"/>
    <col min="3777" max="3777" width="3" style="8" customWidth="1"/>
    <col min="3778" max="3786" width="2.42578125" style="8" customWidth="1"/>
    <col min="3787" max="3787" width="3.42578125" style="8" customWidth="1"/>
    <col min="3788" max="3807" width="2.42578125" style="8" customWidth="1"/>
    <col min="3808" max="3808" width="2.85546875" style="8" customWidth="1"/>
    <col min="3809" max="3857" width="2.42578125" style="8" customWidth="1"/>
    <col min="3858" max="3882" width="11.5703125" style="8" customWidth="1"/>
    <col min="3883" max="3884" width="25.7109375" style="8" customWidth="1"/>
    <col min="3885" max="3885" width="15.140625" style="8" customWidth="1"/>
    <col min="3886" max="3886" width="12" style="8" bestFit="1" customWidth="1"/>
    <col min="3887" max="4003" width="11.5703125" style="8"/>
    <col min="4004" max="4004" width="17.42578125" style="8" customWidth="1"/>
    <col min="4005" max="4005" width="22.5703125" style="8" customWidth="1"/>
    <col min="4006" max="4006" width="21.42578125" style="8" customWidth="1"/>
    <col min="4007" max="4007" width="26.7109375" style="8" customWidth="1"/>
    <col min="4008" max="4008" width="17" style="8" customWidth="1"/>
    <col min="4009" max="4032" width="2.42578125" style="8" customWidth="1"/>
    <col min="4033" max="4033" width="3" style="8" customWidth="1"/>
    <col min="4034" max="4042" width="2.42578125" style="8" customWidth="1"/>
    <col min="4043" max="4043" width="3.42578125" style="8" customWidth="1"/>
    <col min="4044" max="4063" width="2.42578125" style="8" customWidth="1"/>
    <col min="4064" max="4064" width="2.85546875" style="8" customWidth="1"/>
    <col min="4065" max="4113" width="2.42578125" style="8" customWidth="1"/>
    <col min="4114" max="4138" width="11.5703125" style="8" customWidth="1"/>
    <col min="4139" max="4140" width="25.7109375" style="8" customWidth="1"/>
    <col min="4141" max="4141" width="15.140625" style="8" customWidth="1"/>
    <col min="4142" max="4142" width="12" style="8" bestFit="1" customWidth="1"/>
    <col min="4143" max="4259" width="11.5703125" style="8"/>
    <col min="4260" max="4260" width="17.42578125" style="8" customWidth="1"/>
    <col min="4261" max="4261" width="22.5703125" style="8" customWidth="1"/>
    <col min="4262" max="4262" width="21.42578125" style="8" customWidth="1"/>
    <col min="4263" max="4263" width="26.7109375" style="8" customWidth="1"/>
    <col min="4264" max="4264" width="17" style="8" customWidth="1"/>
    <col min="4265" max="4288" width="2.42578125" style="8" customWidth="1"/>
    <col min="4289" max="4289" width="3" style="8" customWidth="1"/>
    <col min="4290" max="4298" width="2.42578125" style="8" customWidth="1"/>
    <col min="4299" max="4299" width="3.42578125" style="8" customWidth="1"/>
    <col min="4300" max="4319" width="2.42578125" style="8" customWidth="1"/>
    <col min="4320" max="4320" width="2.85546875" style="8" customWidth="1"/>
    <col min="4321" max="4369" width="2.42578125" style="8" customWidth="1"/>
    <col min="4370" max="4394" width="11.5703125" style="8" customWidth="1"/>
    <col min="4395" max="4396" width="25.7109375" style="8" customWidth="1"/>
    <col min="4397" max="4397" width="15.140625" style="8" customWidth="1"/>
    <col min="4398" max="4398" width="12" style="8" bestFit="1" customWidth="1"/>
    <col min="4399" max="4515" width="11.5703125" style="8"/>
    <col min="4516" max="4516" width="17.42578125" style="8" customWidth="1"/>
    <col min="4517" max="4517" width="22.5703125" style="8" customWidth="1"/>
    <col min="4518" max="4518" width="21.42578125" style="8" customWidth="1"/>
    <col min="4519" max="4519" width="26.7109375" style="8" customWidth="1"/>
    <col min="4520" max="4520" width="17" style="8" customWidth="1"/>
    <col min="4521" max="4544" width="2.42578125" style="8" customWidth="1"/>
    <col min="4545" max="4545" width="3" style="8" customWidth="1"/>
    <col min="4546" max="4554" width="2.42578125" style="8" customWidth="1"/>
    <col min="4555" max="4555" width="3.42578125" style="8" customWidth="1"/>
    <col min="4556" max="4575" width="2.42578125" style="8" customWidth="1"/>
    <col min="4576" max="4576" width="2.85546875" style="8" customWidth="1"/>
    <col min="4577" max="4625" width="2.42578125" style="8" customWidth="1"/>
    <col min="4626" max="4650" width="11.5703125" style="8" customWidth="1"/>
    <col min="4651" max="4652" width="25.7109375" style="8" customWidth="1"/>
    <col min="4653" max="4653" width="15.140625" style="8" customWidth="1"/>
    <col min="4654" max="4654" width="12" style="8" bestFit="1" customWidth="1"/>
    <col min="4655" max="4771" width="11.5703125" style="8"/>
    <col min="4772" max="4772" width="17.42578125" style="8" customWidth="1"/>
    <col min="4773" max="4773" width="22.5703125" style="8" customWidth="1"/>
    <col min="4774" max="4774" width="21.42578125" style="8" customWidth="1"/>
    <col min="4775" max="4775" width="26.7109375" style="8" customWidth="1"/>
    <col min="4776" max="4776" width="17" style="8" customWidth="1"/>
    <col min="4777" max="4800" width="2.42578125" style="8" customWidth="1"/>
    <col min="4801" max="4801" width="3" style="8" customWidth="1"/>
    <col min="4802" max="4810" width="2.42578125" style="8" customWidth="1"/>
    <col min="4811" max="4811" width="3.42578125" style="8" customWidth="1"/>
    <col min="4812" max="4831" width="2.42578125" style="8" customWidth="1"/>
    <col min="4832" max="4832" width="2.85546875" style="8" customWidth="1"/>
    <col min="4833" max="4881" width="2.42578125" style="8" customWidth="1"/>
    <col min="4882" max="4906" width="11.5703125" style="8" customWidth="1"/>
    <col min="4907" max="4908" width="25.7109375" style="8" customWidth="1"/>
    <col min="4909" max="4909" width="15.140625" style="8" customWidth="1"/>
    <col min="4910" max="4910" width="12" style="8" bestFit="1" customWidth="1"/>
    <col min="4911" max="5027" width="11.5703125" style="8"/>
    <col min="5028" max="5028" width="17.42578125" style="8" customWidth="1"/>
    <col min="5029" max="5029" width="22.5703125" style="8" customWidth="1"/>
    <col min="5030" max="5030" width="21.42578125" style="8" customWidth="1"/>
    <col min="5031" max="5031" width="26.7109375" style="8" customWidth="1"/>
    <col min="5032" max="5032" width="17" style="8" customWidth="1"/>
    <col min="5033" max="5056" width="2.42578125" style="8" customWidth="1"/>
    <col min="5057" max="5057" width="3" style="8" customWidth="1"/>
    <col min="5058" max="5066" width="2.42578125" style="8" customWidth="1"/>
    <col min="5067" max="5067" width="3.42578125" style="8" customWidth="1"/>
    <col min="5068" max="5087" width="2.42578125" style="8" customWidth="1"/>
    <col min="5088" max="5088" width="2.85546875" style="8" customWidth="1"/>
    <col min="5089" max="5137" width="2.42578125" style="8" customWidth="1"/>
    <col min="5138" max="5162" width="11.5703125" style="8" customWidth="1"/>
    <col min="5163" max="5164" width="25.7109375" style="8" customWidth="1"/>
    <col min="5165" max="5165" width="15.140625" style="8" customWidth="1"/>
    <col min="5166" max="5166" width="12" style="8" bestFit="1" customWidth="1"/>
    <col min="5167" max="5283" width="11.5703125" style="8"/>
    <col min="5284" max="5284" width="17.42578125" style="8" customWidth="1"/>
    <col min="5285" max="5285" width="22.5703125" style="8" customWidth="1"/>
    <col min="5286" max="5286" width="21.42578125" style="8" customWidth="1"/>
    <col min="5287" max="5287" width="26.7109375" style="8" customWidth="1"/>
    <col min="5288" max="5288" width="17" style="8" customWidth="1"/>
    <col min="5289" max="5312" width="2.42578125" style="8" customWidth="1"/>
    <col min="5313" max="5313" width="3" style="8" customWidth="1"/>
    <col min="5314" max="5322" width="2.42578125" style="8" customWidth="1"/>
    <col min="5323" max="5323" width="3.42578125" style="8" customWidth="1"/>
    <col min="5324" max="5343" width="2.42578125" style="8" customWidth="1"/>
    <col min="5344" max="5344" width="2.85546875" style="8" customWidth="1"/>
    <col min="5345" max="5393" width="2.42578125" style="8" customWidth="1"/>
    <col min="5394" max="5418" width="11.5703125" style="8" customWidth="1"/>
    <col min="5419" max="5420" width="25.7109375" style="8" customWidth="1"/>
    <col min="5421" max="5421" width="15.140625" style="8" customWidth="1"/>
    <col min="5422" max="5422" width="12" style="8" bestFit="1" customWidth="1"/>
    <col min="5423" max="5539" width="11.5703125" style="8"/>
    <col min="5540" max="5540" width="17.42578125" style="8" customWidth="1"/>
    <col min="5541" max="5541" width="22.5703125" style="8" customWidth="1"/>
    <col min="5542" max="5542" width="21.42578125" style="8" customWidth="1"/>
    <col min="5543" max="5543" width="26.7109375" style="8" customWidth="1"/>
    <col min="5544" max="5544" width="17" style="8" customWidth="1"/>
    <col min="5545" max="5568" width="2.42578125" style="8" customWidth="1"/>
    <col min="5569" max="5569" width="3" style="8" customWidth="1"/>
    <col min="5570" max="5578" width="2.42578125" style="8" customWidth="1"/>
    <col min="5579" max="5579" width="3.42578125" style="8" customWidth="1"/>
    <col min="5580" max="5599" width="2.42578125" style="8" customWidth="1"/>
    <col min="5600" max="5600" width="2.85546875" style="8" customWidth="1"/>
    <col min="5601" max="5649" width="2.42578125" style="8" customWidth="1"/>
    <col min="5650" max="5674" width="11.5703125" style="8" customWidth="1"/>
    <col min="5675" max="5676" width="25.7109375" style="8" customWidth="1"/>
    <col min="5677" max="5677" width="15.140625" style="8" customWidth="1"/>
    <col min="5678" max="5678" width="12" style="8" bestFit="1" customWidth="1"/>
    <col min="5679" max="5795" width="11.5703125" style="8"/>
    <col min="5796" max="5796" width="17.42578125" style="8" customWidth="1"/>
    <col min="5797" max="5797" width="22.5703125" style="8" customWidth="1"/>
    <col min="5798" max="5798" width="21.42578125" style="8" customWidth="1"/>
    <col min="5799" max="5799" width="26.7109375" style="8" customWidth="1"/>
    <col min="5800" max="5800" width="17" style="8" customWidth="1"/>
    <col min="5801" max="5824" width="2.42578125" style="8" customWidth="1"/>
    <col min="5825" max="5825" width="3" style="8" customWidth="1"/>
    <col min="5826" max="5834" width="2.42578125" style="8" customWidth="1"/>
    <col min="5835" max="5835" width="3.42578125" style="8" customWidth="1"/>
    <col min="5836" max="5855" width="2.42578125" style="8" customWidth="1"/>
    <col min="5856" max="5856" width="2.85546875" style="8" customWidth="1"/>
    <col min="5857" max="5905" width="2.42578125" style="8" customWidth="1"/>
    <col min="5906" max="5930" width="11.5703125" style="8" customWidth="1"/>
    <col min="5931" max="5932" width="25.7109375" style="8" customWidth="1"/>
    <col min="5933" max="5933" width="15.140625" style="8" customWidth="1"/>
    <col min="5934" max="5934" width="12" style="8" bestFit="1" customWidth="1"/>
    <col min="5935" max="6051" width="11.5703125" style="8"/>
    <col min="6052" max="6052" width="17.42578125" style="8" customWidth="1"/>
    <col min="6053" max="6053" width="22.5703125" style="8" customWidth="1"/>
    <col min="6054" max="6054" width="21.42578125" style="8" customWidth="1"/>
    <col min="6055" max="6055" width="26.7109375" style="8" customWidth="1"/>
    <col min="6056" max="6056" width="17" style="8" customWidth="1"/>
    <col min="6057" max="6080" width="2.42578125" style="8" customWidth="1"/>
    <col min="6081" max="6081" width="3" style="8" customWidth="1"/>
    <col min="6082" max="6090" width="2.42578125" style="8" customWidth="1"/>
    <col min="6091" max="6091" width="3.42578125" style="8" customWidth="1"/>
    <col min="6092" max="6111" width="2.42578125" style="8" customWidth="1"/>
    <col min="6112" max="6112" width="2.85546875" style="8" customWidth="1"/>
    <col min="6113" max="6161" width="2.42578125" style="8" customWidth="1"/>
    <col min="6162" max="6186" width="11.5703125" style="8" customWidth="1"/>
    <col min="6187" max="6188" width="25.7109375" style="8" customWidth="1"/>
    <col min="6189" max="6189" width="15.140625" style="8" customWidth="1"/>
    <col min="6190" max="6190" width="12" style="8" bestFit="1" customWidth="1"/>
    <col min="6191" max="6307" width="11.5703125" style="8"/>
    <col min="6308" max="6308" width="17.42578125" style="8" customWidth="1"/>
    <col min="6309" max="6309" width="22.5703125" style="8" customWidth="1"/>
    <col min="6310" max="6310" width="21.42578125" style="8" customWidth="1"/>
    <col min="6311" max="6311" width="26.7109375" style="8" customWidth="1"/>
    <col min="6312" max="6312" width="17" style="8" customWidth="1"/>
    <col min="6313" max="6336" width="2.42578125" style="8" customWidth="1"/>
    <col min="6337" max="6337" width="3" style="8" customWidth="1"/>
    <col min="6338" max="6346" width="2.42578125" style="8" customWidth="1"/>
    <col min="6347" max="6347" width="3.42578125" style="8" customWidth="1"/>
    <col min="6348" max="6367" width="2.42578125" style="8" customWidth="1"/>
    <col min="6368" max="6368" width="2.85546875" style="8" customWidth="1"/>
    <col min="6369" max="6417" width="2.42578125" style="8" customWidth="1"/>
    <col min="6418" max="6442" width="11.5703125" style="8" customWidth="1"/>
    <col min="6443" max="6444" width="25.7109375" style="8" customWidth="1"/>
    <col min="6445" max="6445" width="15.140625" style="8" customWidth="1"/>
    <col min="6446" max="6446" width="12" style="8" bestFit="1" customWidth="1"/>
    <col min="6447" max="6563" width="11.5703125" style="8"/>
    <col min="6564" max="6564" width="17.42578125" style="8" customWidth="1"/>
    <col min="6565" max="6565" width="22.5703125" style="8" customWidth="1"/>
    <col min="6566" max="6566" width="21.42578125" style="8" customWidth="1"/>
    <col min="6567" max="6567" width="26.7109375" style="8" customWidth="1"/>
    <col min="6568" max="6568" width="17" style="8" customWidth="1"/>
    <col min="6569" max="6592" width="2.42578125" style="8" customWidth="1"/>
    <col min="6593" max="6593" width="3" style="8" customWidth="1"/>
    <col min="6594" max="6602" width="2.42578125" style="8" customWidth="1"/>
    <col min="6603" max="6603" width="3.42578125" style="8" customWidth="1"/>
    <col min="6604" max="6623" width="2.42578125" style="8" customWidth="1"/>
    <col min="6624" max="6624" width="2.85546875" style="8" customWidth="1"/>
    <col min="6625" max="6673" width="2.42578125" style="8" customWidth="1"/>
    <col min="6674" max="6698" width="11.5703125" style="8" customWidth="1"/>
    <col min="6699" max="6700" width="25.7109375" style="8" customWidth="1"/>
    <col min="6701" max="6701" width="15.140625" style="8" customWidth="1"/>
    <col min="6702" max="6702" width="12" style="8" bestFit="1" customWidth="1"/>
    <col min="6703" max="6819" width="11.5703125" style="8"/>
    <col min="6820" max="6820" width="17.42578125" style="8" customWidth="1"/>
    <col min="6821" max="6821" width="22.5703125" style="8" customWidth="1"/>
    <col min="6822" max="6822" width="21.42578125" style="8" customWidth="1"/>
    <col min="6823" max="6823" width="26.7109375" style="8" customWidth="1"/>
    <col min="6824" max="6824" width="17" style="8" customWidth="1"/>
    <col min="6825" max="6848" width="2.42578125" style="8" customWidth="1"/>
    <col min="6849" max="6849" width="3" style="8" customWidth="1"/>
    <col min="6850" max="6858" width="2.42578125" style="8" customWidth="1"/>
    <col min="6859" max="6859" width="3.42578125" style="8" customWidth="1"/>
    <col min="6860" max="6879" width="2.42578125" style="8" customWidth="1"/>
    <col min="6880" max="6880" width="2.85546875" style="8" customWidth="1"/>
    <col min="6881" max="6929" width="2.42578125" style="8" customWidth="1"/>
    <col min="6930" max="6954" width="11.5703125" style="8" customWidth="1"/>
    <col min="6955" max="6956" width="25.7109375" style="8" customWidth="1"/>
    <col min="6957" max="6957" width="15.140625" style="8" customWidth="1"/>
    <col min="6958" max="6958" width="12" style="8" bestFit="1" customWidth="1"/>
    <col min="6959" max="7075" width="11.5703125" style="8"/>
    <col min="7076" max="7076" width="17.42578125" style="8" customWidth="1"/>
    <col min="7077" max="7077" width="22.5703125" style="8" customWidth="1"/>
    <col min="7078" max="7078" width="21.42578125" style="8" customWidth="1"/>
    <col min="7079" max="7079" width="26.7109375" style="8" customWidth="1"/>
    <col min="7080" max="7080" width="17" style="8" customWidth="1"/>
    <col min="7081" max="7104" width="2.42578125" style="8" customWidth="1"/>
    <col min="7105" max="7105" width="3" style="8" customWidth="1"/>
    <col min="7106" max="7114" width="2.42578125" style="8" customWidth="1"/>
    <col min="7115" max="7115" width="3.42578125" style="8" customWidth="1"/>
    <col min="7116" max="7135" width="2.42578125" style="8" customWidth="1"/>
    <col min="7136" max="7136" width="2.85546875" style="8" customWidth="1"/>
    <col min="7137" max="7185" width="2.42578125" style="8" customWidth="1"/>
    <col min="7186" max="7210" width="11.5703125" style="8" customWidth="1"/>
    <col min="7211" max="7212" width="25.7109375" style="8" customWidth="1"/>
    <col min="7213" max="7213" width="15.140625" style="8" customWidth="1"/>
    <col min="7214" max="7214" width="12" style="8" bestFit="1" customWidth="1"/>
    <col min="7215" max="7331" width="11.5703125" style="8"/>
    <col min="7332" max="7332" width="17.42578125" style="8" customWidth="1"/>
    <col min="7333" max="7333" width="22.5703125" style="8" customWidth="1"/>
    <col min="7334" max="7334" width="21.42578125" style="8" customWidth="1"/>
    <col min="7335" max="7335" width="26.7109375" style="8" customWidth="1"/>
    <col min="7336" max="7336" width="17" style="8" customWidth="1"/>
    <col min="7337" max="7360" width="2.42578125" style="8" customWidth="1"/>
    <col min="7361" max="7361" width="3" style="8" customWidth="1"/>
    <col min="7362" max="7370" width="2.42578125" style="8" customWidth="1"/>
    <col min="7371" max="7371" width="3.42578125" style="8" customWidth="1"/>
    <col min="7372" max="7391" width="2.42578125" style="8" customWidth="1"/>
    <col min="7392" max="7392" width="2.85546875" style="8" customWidth="1"/>
    <col min="7393" max="7441" width="2.42578125" style="8" customWidth="1"/>
    <col min="7442" max="7466" width="11.5703125" style="8" customWidth="1"/>
    <col min="7467" max="7468" width="25.7109375" style="8" customWidth="1"/>
    <col min="7469" max="7469" width="15.140625" style="8" customWidth="1"/>
    <col min="7470" max="7470" width="12" style="8" bestFit="1" customWidth="1"/>
    <col min="7471" max="7587" width="11.5703125" style="8"/>
    <col min="7588" max="7588" width="17.42578125" style="8" customWidth="1"/>
    <col min="7589" max="7589" width="22.5703125" style="8" customWidth="1"/>
    <col min="7590" max="7590" width="21.42578125" style="8" customWidth="1"/>
    <col min="7591" max="7591" width="26.7109375" style="8" customWidth="1"/>
    <col min="7592" max="7592" width="17" style="8" customWidth="1"/>
    <col min="7593" max="7616" width="2.42578125" style="8" customWidth="1"/>
    <col min="7617" max="7617" width="3" style="8" customWidth="1"/>
    <col min="7618" max="7626" width="2.42578125" style="8" customWidth="1"/>
    <col min="7627" max="7627" width="3.42578125" style="8" customWidth="1"/>
    <col min="7628" max="7647" width="2.42578125" style="8" customWidth="1"/>
    <col min="7648" max="7648" width="2.85546875" style="8" customWidth="1"/>
    <col min="7649" max="7697" width="2.42578125" style="8" customWidth="1"/>
    <col min="7698" max="7722" width="11.5703125" style="8" customWidth="1"/>
    <col min="7723" max="7724" width="25.7109375" style="8" customWidth="1"/>
    <col min="7725" max="7725" width="15.140625" style="8" customWidth="1"/>
    <col min="7726" max="7726" width="12" style="8" bestFit="1" customWidth="1"/>
    <col min="7727" max="7843" width="11.5703125" style="8"/>
    <col min="7844" max="7844" width="17.42578125" style="8" customWidth="1"/>
    <col min="7845" max="7845" width="22.5703125" style="8" customWidth="1"/>
    <col min="7846" max="7846" width="21.42578125" style="8" customWidth="1"/>
    <col min="7847" max="7847" width="26.7109375" style="8" customWidth="1"/>
    <col min="7848" max="7848" width="17" style="8" customWidth="1"/>
    <col min="7849" max="7872" width="2.42578125" style="8" customWidth="1"/>
    <col min="7873" max="7873" width="3" style="8" customWidth="1"/>
    <col min="7874" max="7882" width="2.42578125" style="8" customWidth="1"/>
    <col min="7883" max="7883" width="3.42578125" style="8" customWidth="1"/>
    <col min="7884" max="7903" width="2.42578125" style="8" customWidth="1"/>
    <col min="7904" max="7904" width="2.85546875" style="8" customWidth="1"/>
    <col min="7905" max="7953" width="2.42578125" style="8" customWidth="1"/>
    <col min="7954" max="7978" width="11.5703125" style="8" customWidth="1"/>
    <col min="7979" max="7980" width="25.7109375" style="8" customWidth="1"/>
    <col min="7981" max="7981" width="15.140625" style="8" customWidth="1"/>
    <col min="7982" max="7982" width="12" style="8" bestFit="1" customWidth="1"/>
    <col min="7983" max="8099" width="11.5703125" style="8"/>
    <col min="8100" max="8100" width="17.42578125" style="8" customWidth="1"/>
    <col min="8101" max="8101" width="22.5703125" style="8" customWidth="1"/>
    <col min="8102" max="8102" width="21.42578125" style="8" customWidth="1"/>
    <col min="8103" max="8103" width="26.7109375" style="8" customWidth="1"/>
    <col min="8104" max="8104" width="17" style="8" customWidth="1"/>
    <col min="8105" max="8128" width="2.42578125" style="8" customWidth="1"/>
    <col min="8129" max="8129" width="3" style="8" customWidth="1"/>
    <col min="8130" max="8138" width="2.42578125" style="8" customWidth="1"/>
    <col min="8139" max="8139" width="3.42578125" style="8" customWidth="1"/>
    <col min="8140" max="8159" width="2.42578125" style="8" customWidth="1"/>
    <col min="8160" max="8160" width="2.85546875" style="8" customWidth="1"/>
    <col min="8161" max="8209" width="2.42578125" style="8" customWidth="1"/>
    <col min="8210" max="8234" width="11.5703125" style="8" customWidth="1"/>
    <col min="8235" max="8236" width="25.7109375" style="8" customWidth="1"/>
    <col min="8237" max="8237" width="15.140625" style="8" customWidth="1"/>
    <col min="8238" max="8238" width="12" style="8" bestFit="1" customWidth="1"/>
    <col min="8239" max="8355" width="11.5703125" style="8"/>
    <col min="8356" max="8356" width="17.42578125" style="8" customWidth="1"/>
    <col min="8357" max="8357" width="22.5703125" style="8" customWidth="1"/>
    <col min="8358" max="8358" width="21.42578125" style="8" customWidth="1"/>
    <col min="8359" max="8359" width="26.7109375" style="8" customWidth="1"/>
    <col min="8360" max="8360" width="17" style="8" customWidth="1"/>
    <col min="8361" max="8384" width="2.42578125" style="8" customWidth="1"/>
    <col min="8385" max="8385" width="3" style="8" customWidth="1"/>
    <col min="8386" max="8394" width="2.42578125" style="8" customWidth="1"/>
    <col min="8395" max="8395" width="3.42578125" style="8" customWidth="1"/>
    <col min="8396" max="8415" width="2.42578125" style="8" customWidth="1"/>
    <col min="8416" max="8416" width="2.85546875" style="8" customWidth="1"/>
    <col min="8417" max="8465" width="2.42578125" style="8" customWidth="1"/>
    <col min="8466" max="8490" width="11.5703125" style="8" customWidth="1"/>
    <col min="8491" max="8492" width="25.7109375" style="8" customWidth="1"/>
    <col min="8493" max="8493" width="15.140625" style="8" customWidth="1"/>
    <col min="8494" max="8494" width="12" style="8" bestFit="1" customWidth="1"/>
    <col min="8495" max="8611" width="11.5703125" style="8"/>
    <col min="8612" max="8612" width="17.42578125" style="8" customWidth="1"/>
    <col min="8613" max="8613" width="22.5703125" style="8" customWidth="1"/>
    <col min="8614" max="8614" width="21.42578125" style="8" customWidth="1"/>
    <col min="8615" max="8615" width="26.7109375" style="8" customWidth="1"/>
    <col min="8616" max="8616" width="17" style="8" customWidth="1"/>
    <col min="8617" max="8640" width="2.42578125" style="8" customWidth="1"/>
    <col min="8641" max="8641" width="3" style="8" customWidth="1"/>
    <col min="8642" max="8650" width="2.42578125" style="8" customWidth="1"/>
    <col min="8651" max="8651" width="3.42578125" style="8" customWidth="1"/>
    <col min="8652" max="8671" width="2.42578125" style="8" customWidth="1"/>
    <col min="8672" max="8672" width="2.85546875" style="8" customWidth="1"/>
    <col min="8673" max="8721" width="2.42578125" style="8" customWidth="1"/>
    <col min="8722" max="8746" width="11.5703125" style="8" customWidth="1"/>
    <col min="8747" max="8748" width="25.7109375" style="8" customWidth="1"/>
    <col min="8749" max="8749" width="15.140625" style="8" customWidth="1"/>
    <col min="8750" max="8750" width="12" style="8" bestFit="1" customWidth="1"/>
    <col min="8751" max="8867" width="11.5703125" style="8"/>
    <col min="8868" max="8868" width="17.42578125" style="8" customWidth="1"/>
    <col min="8869" max="8869" width="22.5703125" style="8" customWidth="1"/>
    <col min="8870" max="8870" width="21.42578125" style="8" customWidth="1"/>
    <col min="8871" max="8871" width="26.7109375" style="8" customWidth="1"/>
    <col min="8872" max="8872" width="17" style="8" customWidth="1"/>
    <col min="8873" max="8896" width="2.42578125" style="8" customWidth="1"/>
    <col min="8897" max="8897" width="3" style="8" customWidth="1"/>
    <col min="8898" max="8906" width="2.42578125" style="8" customWidth="1"/>
    <col min="8907" max="8907" width="3.42578125" style="8" customWidth="1"/>
    <col min="8908" max="8927" width="2.42578125" style="8" customWidth="1"/>
    <col min="8928" max="8928" width="2.85546875" style="8" customWidth="1"/>
    <col min="8929" max="8977" width="2.42578125" style="8" customWidth="1"/>
    <col min="8978" max="9002" width="11.5703125" style="8" customWidth="1"/>
    <col min="9003" max="9004" width="25.7109375" style="8" customWidth="1"/>
    <col min="9005" max="9005" width="15.140625" style="8" customWidth="1"/>
    <col min="9006" max="9006" width="12" style="8" bestFit="1" customWidth="1"/>
    <col min="9007" max="9123" width="11.5703125" style="8"/>
    <col min="9124" max="9124" width="17.42578125" style="8" customWidth="1"/>
    <col min="9125" max="9125" width="22.5703125" style="8" customWidth="1"/>
    <col min="9126" max="9126" width="21.42578125" style="8" customWidth="1"/>
    <col min="9127" max="9127" width="26.7109375" style="8" customWidth="1"/>
    <col min="9128" max="9128" width="17" style="8" customWidth="1"/>
    <col min="9129" max="9152" width="2.42578125" style="8" customWidth="1"/>
    <col min="9153" max="9153" width="3" style="8" customWidth="1"/>
    <col min="9154" max="9162" width="2.42578125" style="8" customWidth="1"/>
    <col min="9163" max="9163" width="3.42578125" style="8" customWidth="1"/>
    <col min="9164" max="9183" width="2.42578125" style="8" customWidth="1"/>
    <col min="9184" max="9184" width="2.85546875" style="8" customWidth="1"/>
    <col min="9185" max="9233" width="2.42578125" style="8" customWidth="1"/>
    <col min="9234" max="9258" width="11.5703125" style="8" customWidth="1"/>
    <col min="9259" max="9260" width="25.7109375" style="8" customWidth="1"/>
    <col min="9261" max="9261" width="15.140625" style="8" customWidth="1"/>
    <col min="9262" max="9262" width="12" style="8" bestFit="1" customWidth="1"/>
    <col min="9263" max="9379" width="11.5703125" style="8"/>
    <col min="9380" max="9380" width="17.42578125" style="8" customWidth="1"/>
    <col min="9381" max="9381" width="22.5703125" style="8" customWidth="1"/>
    <col min="9382" max="9382" width="21.42578125" style="8" customWidth="1"/>
    <col min="9383" max="9383" width="26.7109375" style="8" customWidth="1"/>
    <col min="9384" max="9384" width="17" style="8" customWidth="1"/>
    <col min="9385" max="9408" width="2.42578125" style="8" customWidth="1"/>
    <col min="9409" max="9409" width="3" style="8" customWidth="1"/>
    <col min="9410" max="9418" width="2.42578125" style="8" customWidth="1"/>
    <col min="9419" max="9419" width="3.42578125" style="8" customWidth="1"/>
    <col min="9420" max="9439" width="2.42578125" style="8" customWidth="1"/>
    <col min="9440" max="9440" width="2.85546875" style="8" customWidth="1"/>
    <col min="9441" max="9489" width="2.42578125" style="8" customWidth="1"/>
    <col min="9490" max="9514" width="11.5703125" style="8" customWidth="1"/>
    <col min="9515" max="9516" width="25.7109375" style="8" customWidth="1"/>
    <col min="9517" max="9517" width="15.140625" style="8" customWidth="1"/>
    <col min="9518" max="9518" width="12" style="8" bestFit="1" customWidth="1"/>
    <col min="9519" max="9635" width="11.5703125" style="8"/>
    <col min="9636" max="9636" width="17.42578125" style="8" customWidth="1"/>
    <col min="9637" max="9637" width="22.5703125" style="8" customWidth="1"/>
    <col min="9638" max="9638" width="21.42578125" style="8" customWidth="1"/>
    <col min="9639" max="9639" width="26.7109375" style="8" customWidth="1"/>
    <col min="9640" max="9640" width="17" style="8" customWidth="1"/>
    <col min="9641" max="9664" width="2.42578125" style="8" customWidth="1"/>
    <col min="9665" max="9665" width="3" style="8" customWidth="1"/>
    <col min="9666" max="9674" width="2.42578125" style="8" customWidth="1"/>
    <col min="9675" max="9675" width="3.42578125" style="8" customWidth="1"/>
    <col min="9676" max="9695" width="2.42578125" style="8" customWidth="1"/>
    <col min="9696" max="9696" width="2.85546875" style="8" customWidth="1"/>
    <col min="9697" max="9745" width="2.42578125" style="8" customWidth="1"/>
    <col min="9746" max="9770" width="11.5703125" style="8" customWidth="1"/>
    <col min="9771" max="9772" width="25.7109375" style="8" customWidth="1"/>
    <col min="9773" max="9773" width="15.140625" style="8" customWidth="1"/>
    <col min="9774" max="9774" width="12" style="8" bestFit="1" customWidth="1"/>
    <col min="9775" max="9891" width="11.5703125" style="8"/>
    <col min="9892" max="9892" width="17.42578125" style="8" customWidth="1"/>
    <col min="9893" max="9893" width="22.5703125" style="8" customWidth="1"/>
    <col min="9894" max="9894" width="21.42578125" style="8" customWidth="1"/>
    <col min="9895" max="9895" width="26.7109375" style="8" customWidth="1"/>
    <col min="9896" max="9896" width="17" style="8" customWidth="1"/>
    <col min="9897" max="9920" width="2.42578125" style="8" customWidth="1"/>
    <col min="9921" max="9921" width="3" style="8" customWidth="1"/>
    <col min="9922" max="9930" width="2.42578125" style="8" customWidth="1"/>
    <col min="9931" max="9931" width="3.42578125" style="8" customWidth="1"/>
    <col min="9932" max="9951" width="2.42578125" style="8" customWidth="1"/>
    <col min="9952" max="9952" width="2.85546875" style="8" customWidth="1"/>
    <col min="9953" max="10001" width="2.42578125" style="8" customWidth="1"/>
    <col min="10002" max="10026" width="11.5703125" style="8" customWidth="1"/>
    <col min="10027" max="10028" width="25.7109375" style="8" customWidth="1"/>
    <col min="10029" max="10029" width="15.140625" style="8" customWidth="1"/>
    <col min="10030" max="10030" width="12" style="8" bestFit="1" customWidth="1"/>
    <col min="10031" max="10147" width="11.5703125" style="8"/>
    <col min="10148" max="10148" width="17.42578125" style="8" customWidth="1"/>
    <col min="10149" max="10149" width="22.5703125" style="8" customWidth="1"/>
    <col min="10150" max="10150" width="21.42578125" style="8" customWidth="1"/>
    <col min="10151" max="10151" width="26.7109375" style="8" customWidth="1"/>
    <col min="10152" max="10152" width="17" style="8" customWidth="1"/>
    <col min="10153" max="10176" width="2.42578125" style="8" customWidth="1"/>
    <col min="10177" max="10177" width="3" style="8" customWidth="1"/>
    <col min="10178" max="10186" width="2.42578125" style="8" customWidth="1"/>
    <col min="10187" max="10187" width="3.42578125" style="8" customWidth="1"/>
    <col min="10188" max="10207" width="2.42578125" style="8" customWidth="1"/>
    <col min="10208" max="10208" width="2.85546875" style="8" customWidth="1"/>
    <col min="10209" max="10257" width="2.42578125" style="8" customWidth="1"/>
    <col min="10258" max="10282" width="11.5703125" style="8" customWidth="1"/>
    <col min="10283" max="10284" width="25.7109375" style="8" customWidth="1"/>
    <col min="10285" max="10285" width="15.140625" style="8" customWidth="1"/>
    <col min="10286" max="10286" width="12" style="8" bestFit="1" customWidth="1"/>
    <col min="10287" max="10403" width="11.5703125" style="8"/>
    <col min="10404" max="10404" width="17.42578125" style="8" customWidth="1"/>
    <col min="10405" max="10405" width="22.5703125" style="8" customWidth="1"/>
    <col min="10406" max="10406" width="21.42578125" style="8" customWidth="1"/>
    <col min="10407" max="10407" width="26.7109375" style="8" customWidth="1"/>
    <col min="10408" max="10408" width="17" style="8" customWidth="1"/>
    <col min="10409" max="10432" width="2.42578125" style="8" customWidth="1"/>
    <col min="10433" max="10433" width="3" style="8" customWidth="1"/>
    <col min="10434" max="10442" width="2.42578125" style="8" customWidth="1"/>
    <col min="10443" max="10443" width="3.42578125" style="8" customWidth="1"/>
    <col min="10444" max="10463" width="2.42578125" style="8" customWidth="1"/>
    <col min="10464" max="10464" width="2.85546875" style="8" customWidth="1"/>
    <col min="10465" max="10513" width="2.42578125" style="8" customWidth="1"/>
    <col min="10514" max="10538" width="11.5703125" style="8" customWidth="1"/>
    <col min="10539" max="10540" width="25.7109375" style="8" customWidth="1"/>
    <col min="10541" max="10541" width="15.140625" style="8" customWidth="1"/>
    <col min="10542" max="10542" width="12" style="8" bestFit="1" customWidth="1"/>
    <col min="10543" max="10659" width="11.5703125" style="8"/>
    <col min="10660" max="10660" width="17.42578125" style="8" customWidth="1"/>
    <col min="10661" max="10661" width="22.5703125" style="8" customWidth="1"/>
    <col min="10662" max="10662" width="21.42578125" style="8" customWidth="1"/>
    <col min="10663" max="10663" width="26.7109375" style="8" customWidth="1"/>
    <col min="10664" max="10664" width="17" style="8" customWidth="1"/>
    <col min="10665" max="10688" width="2.42578125" style="8" customWidth="1"/>
    <col min="10689" max="10689" width="3" style="8" customWidth="1"/>
    <col min="10690" max="10698" width="2.42578125" style="8" customWidth="1"/>
    <col min="10699" max="10699" width="3.42578125" style="8" customWidth="1"/>
    <col min="10700" max="10719" width="2.42578125" style="8" customWidth="1"/>
    <col min="10720" max="10720" width="2.85546875" style="8" customWidth="1"/>
    <col min="10721" max="10769" width="2.42578125" style="8" customWidth="1"/>
    <col min="10770" max="10794" width="11.5703125" style="8" customWidth="1"/>
    <col min="10795" max="10796" width="25.7109375" style="8" customWidth="1"/>
    <col min="10797" max="10797" width="15.140625" style="8" customWidth="1"/>
    <col min="10798" max="10798" width="12" style="8" bestFit="1" customWidth="1"/>
    <col min="10799" max="10915" width="11.5703125" style="8"/>
    <col min="10916" max="10916" width="17.42578125" style="8" customWidth="1"/>
    <col min="10917" max="10917" width="22.5703125" style="8" customWidth="1"/>
    <col min="10918" max="10918" width="21.42578125" style="8" customWidth="1"/>
    <col min="10919" max="10919" width="26.7109375" style="8" customWidth="1"/>
    <col min="10920" max="10920" width="17" style="8" customWidth="1"/>
    <col min="10921" max="10944" width="2.42578125" style="8" customWidth="1"/>
    <col min="10945" max="10945" width="3" style="8" customWidth="1"/>
    <col min="10946" max="10954" width="2.42578125" style="8" customWidth="1"/>
    <col min="10955" max="10955" width="3.42578125" style="8" customWidth="1"/>
    <col min="10956" max="10975" width="2.42578125" style="8" customWidth="1"/>
    <col min="10976" max="10976" width="2.85546875" style="8" customWidth="1"/>
    <col min="10977" max="11025" width="2.42578125" style="8" customWidth="1"/>
    <col min="11026" max="11050" width="11.5703125" style="8" customWidth="1"/>
    <col min="11051" max="11052" width="25.7109375" style="8" customWidth="1"/>
    <col min="11053" max="11053" width="15.140625" style="8" customWidth="1"/>
    <col min="11054" max="11054" width="12" style="8" bestFit="1" customWidth="1"/>
    <col min="11055" max="11171" width="11.5703125" style="8"/>
    <col min="11172" max="11172" width="17.42578125" style="8" customWidth="1"/>
    <col min="11173" max="11173" width="22.5703125" style="8" customWidth="1"/>
    <col min="11174" max="11174" width="21.42578125" style="8" customWidth="1"/>
    <col min="11175" max="11175" width="26.7109375" style="8" customWidth="1"/>
    <col min="11176" max="11176" width="17" style="8" customWidth="1"/>
    <col min="11177" max="11200" width="2.42578125" style="8" customWidth="1"/>
    <col min="11201" max="11201" width="3" style="8" customWidth="1"/>
    <col min="11202" max="11210" width="2.42578125" style="8" customWidth="1"/>
    <col min="11211" max="11211" width="3.42578125" style="8" customWidth="1"/>
    <col min="11212" max="11231" width="2.42578125" style="8" customWidth="1"/>
    <col min="11232" max="11232" width="2.85546875" style="8" customWidth="1"/>
    <col min="11233" max="11281" width="2.42578125" style="8" customWidth="1"/>
    <col min="11282" max="11306" width="11.5703125" style="8" customWidth="1"/>
    <col min="11307" max="11308" width="25.7109375" style="8" customWidth="1"/>
    <col min="11309" max="11309" width="15.140625" style="8" customWidth="1"/>
    <col min="11310" max="11310" width="12" style="8" bestFit="1" customWidth="1"/>
    <col min="11311" max="11427" width="11.5703125" style="8"/>
    <col min="11428" max="11428" width="17.42578125" style="8" customWidth="1"/>
    <col min="11429" max="11429" width="22.5703125" style="8" customWidth="1"/>
    <col min="11430" max="11430" width="21.42578125" style="8" customWidth="1"/>
    <col min="11431" max="11431" width="26.7109375" style="8" customWidth="1"/>
    <col min="11432" max="11432" width="17" style="8" customWidth="1"/>
    <col min="11433" max="11456" width="2.42578125" style="8" customWidth="1"/>
    <col min="11457" max="11457" width="3" style="8" customWidth="1"/>
    <col min="11458" max="11466" width="2.42578125" style="8" customWidth="1"/>
    <col min="11467" max="11467" width="3.42578125" style="8" customWidth="1"/>
    <col min="11468" max="11487" width="2.42578125" style="8" customWidth="1"/>
    <col min="11488" max="11488" width="2.85546875" style="8" customWidth="1"/>
    <col min="11489" max="11537" width="2.42578125" style="8" customWidth="1"/>
    <col min="11538" max="11562" width="11.5703125" style="8" customWidth="1"/>
    <col min="11563" max="11564" width="25.7109375" style="8" customWidth="1"/>
    <col min="11565" max="11565" width="15.140625" style="8" customWidth="1"/>
    <col min="11566" max="11566" width="12" style="8" bestFit="1" customWidth="1"/>
    <col min="11567" max="11683" width="11.5703125" style="8"/>
    <col min="11684" max="11684" width="17.42578125" style="8" customWidth="1"/>
    <col min="11685" max="11685" width="22.5703125" style="8" customWidth="1"/>
    <col min="11686" max="11686" width="21.42578125" style="8" customWidth="1"/>
    <col min="11687" max="11687" width="26.7109375" style="8" customWidth="1"/>
    <col min="11688" max="11688" width="17" style="8" customWidth="1"/>
    <col min="11689" max="11712" width="2.42578125" style="8" customWidth="1"/>
    <col min="11713" max="11713" width="3" style="8" customWidth="1"/>
    <col min="11714" max="11722" width="2.42578125" style="8" customWidth="1"/>
    <col min="11723" max="11723" width="3.42578125" style="8" customWidth="1"/>
    <col min="11724" max="11743" width="2.42578125" style="8" customWidth="1"/>
    <col min="11744" max="11744" width="2.85546875" style="8" customWidth="1"/>
    <col min="11745" max="11793" width="2.42578125" style="8" customWidth="1"/>
    <col min="11794" max="11818" width="11.5703125" style="8" customWidth="1"/>
    <col min="11819" max="11820" width="25.7109375" style="8" customWidth="1"/>
    <col min="11821" max="11821" width="15.140625" style="8" customWidth="1"/>
    <col min="11822" max="11822" width="12" style="8" bestFit="1" customWidth="1"/>
    <col min="11823" max="11939" width="11.5703125" style="8"/>
    <col min="11940" max="11940" width="17.42578125" style="8" customWidth="1"/>
    <col min="11941" max="11941" width="22.5703125" style="8" customWidth="1"/>
    <col min="11942" max="11942" width="21.42578125" style="8" customWidth="1"/>
    <col min="11943" max="11943" width="26.7109375" style="8" customWidth="1"/>
    <col min="11944" max="11944" width="17" style="8" customWidth="1"/>
    <col min="11945" max="11968" width="2.42578125" style="8" customWidth="1"/>
    <col min="11969" max="11969" width="3" style="8" customWidth="1"/>
    <col min="11970" max="11978" width="2.42578125" style="8" customWidth="1"/>
    <col min="11979" max="11979" width="3.42578125" style="8" customWidth="1"/>
    <col min="11980" max="11999" width="2.42578125" style="8" customWidth="1"/>
    <col min="12000" max="12000" width="2.85546875" style="8" customWidth="1"/>
    <col min="12001" max="12049" width="2.42578125" style="8" customWidth="1"/>
    <col min="12050" max="12074" width="11.5703125" style="8" customWidth="1"/>
    <col min="12075" max="12076" width="25.7109375" style="8" customWidth="1"/>
    <col min="12077" max="12077" width="15.140625" style="8" customWidth="1"/>
    <col min="12078" max="12078" width="12" style="8" bestFit="1" customWidth="1"/>
    <col min="12079" max="12195" width="11.5703125" style="8"/>
    <col min="12196" max="12196" width="17.42578125" style="8" customWidth="1"/>
    <col min="12197" max="12197" width="22.5703125" style="8" customWidth="1"/>
    <col min="12198" max="12198" width="21.42578125" style="8" customWidth="1"/>
    <col min="12199" max="12199" width="26.7109375" style="8" customWidth="1"/>
    <col min="12200" max="12200" width="17" style="8" customWidth="1"/>
    <col min="12201" max="12224" width="2.42578125" style="8" customWidth="1"/>
    <col min="12225" max="12225" width="3" style="8" customWidth="1"/>
    <col min="12226" max="12234" width="2.42578125" style="8" customWidth="1"/>
    <col min="12235" max="12235" width="3.42578125" style="8" customWidth="1"/>
    <col min="12236" max="12255" width="2.42578125" style="8" customWidth="1"/>
    <col min="12256" max="12256" width="2.85546875" style="8" customWidth="1"/>
    <col min="12257" max="12305" width="2.42578125" style="8" customWidth="1"/>
    <col min="12306" max="12330" width="11.5703125" style="8" customWidth="1"/>
    <col min="12331" max="12332" width="25.7109375" style="8" customWidth="1"/>
    <col min="12333" max="12333" width="15.140625" style="8" customWidth="1"/>
    <col min="12334" max="12334" width="12" style="8" bestFit="1" customWidth="1"/>
    <col min="12335" max="12451" width="11.5703125" style="8"/>
    <col min="12452" max="12452" width="17.42578125" style="8" customWidth="1"/>
    <col min="12453" max="12453" width="22.5703125" style="8" customWidth="1"/>
    <col min="12454" max="12454" width="21.42578125" style="8" customWidth="1"/>
    <col min="12455" max="12455" width="26.7109375" style="8" customWidth="1"/>
    <col min="12456" max="12456" width="17" style="8" customWidth="1"/>
    <col min="12457" max="12480" width="2.42578125" style="8" customWidth="1"/>
    <col min="12481" max="12481" width="3" style="8" customWidth="1"/>
    <col min="12482" max="12490" width="2.42578125" style="8" customWidth="1"/>
    <col min="12491" max="12491" width="3.42578125" style="8" customWidth="1"/>
    <col min="12492" max="12511" width="2.42578125" style="8" customWidth="1"/>
    <col min="12512" max="12512" width="2.85546875" style="8" customWidth="1"/>
    <col min="12513" max="12561" width="2.42578125" style="8" customWidth="1"/>
    <col min="12562" max="12586" width="11.5703125" style="8" customWidth="1"/>
    <col min="12587" max="12588" width="25.7109375" style="8" customWidth="1"/>
    <col min="12589" max="12589" width="15.140625" style="8" customWidth="1"/>
    <col min="12590" max="12590" width="12" style="8" bestFit="1" customWidth="1"/>
    <col min="12591" max="12707" width="11.5703125" style="8"/>
    <col min="12708" max="12708" width="17.42578125" style="8" customWidth="1"/>
    <col min="12709" max="12709" width="22.5703125" style="8" customWidth="1"/>
    <col min="12710" max="12710" width="21.42578125" style="8" customWidth="1"/>
    <col min="12711" max="12711" width="26.7109375" style="8" customWidth="1"/>
    <col min="12712" max="12712" width="17" style="8" customWidth="1"/>
    <col min="12713" max="12736" width="2.42578125" style="8" customWidth="1"/>
    <col min="12737" max="12737" width="3" style="8" customWidth="1"/>
    <col min="12738" max="12746" width="2.42578125" style="8" customWidth="1"/>
    <col min="12747" max="12747" width="3.42578125" style="8" customWidth="1"/>
    <col min="12748" max="12767" width="2.42578125" style="8" customWidth="1"/>
    <col min="12768" max="12768" width="2.85546875" style="8" customWidth="1"/>
    <col min="12769" max="12817" width="2.42578125" style="8" customWidth="1"/>
    <col min="12818" max="12842" width="11.5703125" style="8" customWidth="1"/>
    <col min="12843" max="12844" width="25.7109375" style="8" customWidth="1"/>
    <col min="12845" max="12845" width="15.140625" style="8" customWidth="1"/>
    <col min="12846" max="12846" width="12" style="8" bestFit="1" customWidth="1"/>
    <col min="12847" max="12963" width="11.5703125" style="8"/>
    <col min="12964" max="12964" width="17.42578125" style="8" customWidth="1"/>
    <col min="12965" max="12965" width="22.5703125" style="8" customWidth="1"/>
    <col min="12966" max="12966" width="21.42578125" style="8" customWidth="1"/>
    <col min="12967" max="12967" width="26.7109375" style="8" customWidth="1"/>
    <col min="12968" max="12968" width="17" style="8" customWidth="1"/>
    <col min="12969" max="12992" width="2.42578125" style="8" customWidth="1"/>
    <col min="12993" max="12993" width="3" style="8" customWidth="1"/>
    <col min="12994" max="13002" width="2.42578125" style="8" customWidth="1"/>
    <col min="13003" max="13003" width="3.42578125" style="8" customWidth="1"/>
    <col min="13004" max="13023" width="2.42578125" style="8" customWidth="1"/>
    <col min="13024" max="13024" width="2.85546875" style="8" customWidth="1"/>
    <col min="13025" max="13073" width="2.42578125" style="8" customWidth="1"/>
    <col min="13074" max="13098" width="11.5703125" style="8" customWidth="1"/>
    <col min="13099" max="13100" width="25.7109375" style="8" customWidth="1"/>
    <col min="13101" max="13101" width="15.140625" style="8" customWidth="1"/>
    <col min="13102" max="13102" width="12" style="8" bestFit="1" customWidth="1"/>
    <col min="13103" max="13219" width="11.5703125" style="8"/>
    <col min="13220" max="13220" width="17.42578125" style="8" customWidth="1"/>
    <col min="13221" max="13221" width="22.5703125" style="8" customWidth="1"/>
    <col min="13222" max="13222" width="21.42578125" style="8" customWidth="1"/>
    <col min="13223" max="13223" width="26.7109375" style="8" customWidth="1"/>
    <col min="13224" max="13224" width="17" style="8" customWidth="1"/>
    <col min="13225" max="13248" width="2.42578125" style="8" customWidth="1"/>
    <col min="13249" max="13249" width="3" style="8" customWidth="1"/>
    <col min="13250" max="13258" width="2.42578125" style="8" customWidth="1"/>
    <col min="13259" max="13259" width="3.42578125" style="8" customWidth="1"/>
    <col min="13260" max="13279" width="2.42578125" style="8" customWidth="1"/>
    <col min="13280" max="13280" width="2.85546875" style="8" customWidth="1"/>
    <col min="13281" max="13329" width="2.42578125" style="8" customWidth="1"/>
    <col min="13330" max="13354" width="11.5703125" style="8" customWidth="1"/>
    <col min="13355" max="13356" width="25.7109375" style="8" customWidth="1"/>
    <col min="13357" max="13357" width="15.140625" style="8" customWidth="1"/>
    <col min="13358" max="13358" width="12" style="8" bestFit="1" customWidth="1"/>
    <col min="13359" max="13475" width="11.5703125" style="8"/>
    <col min="13476" max="13476" width="17.42578125" style="8" customWidth="1"/>
    <col min="13477" max="13477" width="22.5703125" style="8" customWidth="1"/>
    <col min="13478" max="13478" width="21.42578125" style="8" customWidth="1"/>
    <col min="13479" max="13479" width="26.7109375" style="8" customWidth="1"/>
    <col min="13480" max="13480" width="17" style="8" customWidth="1"/>
    <col min="13481" max="13504" width="2.42578125" style="8" customWidth="1"/>
    <col min="13505" max="13505" width="3" style="8" customWidth="1"/>
    <col min="13506" max="13514" width="2.42578125" style="8" customWidth="1"/>
    <col min="13515" max="13515" width="3.42578125" style="8" customWidth="1"/>
    <col min="13516" max="13535" width="2.42578125" style="8" customWidth="1"/>
    <col min="13536" max="13536" width="2.85546875" style="8" customWidth="1"/>
    <col min="13537" max="13585" width="2.42578125" style="8" customWidth="1"/>
    <col min="13586" max="13610" width="11.5703125" style="8" customWidth="1"/>
    <col min="13611" max="13612" width="25.7109375" style="8" customWidth="1"/>
    <col min="13613" max="13613" width="15.140625" style="8" customWidth="1"/>
    <col min="13614" max="13614" width="12" style="8" bestFit="1" customWidth="1"/>
    <col min="13615" max="13731" width="11.5703125" style="8"/>
    <col min="13732" max="13732" width="17.42578125" style="8" customWidth="1"/>
    <col min="13733" max="13733" width="22.5703125" style="8" customWidth="1"/>
    <col min="13734" max="13734" width="21.42578125" style="8" customWidth="1"/>
    <col min="13735" max="13735" width="26.7109375" style="8" customWidth="1"/>
    <col min="13736" max="13736" width="17" style="8" customWidth="1"/>
    <col min="13737" max="13760" width="2.42578125" style="8" customWidth="1"/>
    <col min="13761" max="13761" width="3" style="8" customWidth="1"/>
    <col min="13762" max="13770" width="2.42578125" style="8" customWidth="1"/>
    <col min="13771" max="13771" width="3.42578125" style="8" customWidth="1"/>
    <col min="13772" max="13791" width="2.42578125" style="8" customWidth="1"/>
    <col min="13792" max="13792" width="2.85546875" style="8" customWidth="1"/>
    <col min="13793" max="13841" width="2.42578125" style="8" customWidth="1"/>
    <col min="13842" max="13866" width="11.5703125" style="8" customWidth="1"/>
    <col min="13867" max="13868" width="25.7109375" style="8" customWidth="1"/>
    <col min="13869" max="13869" width="15.140625" style="8" customWidth="1"/>
    <col min="13870" max="13870" width="12" style="8" bestFit="1" customWidth="1"/>
    <col min="13871" max="13987" width="11.5703125" style="8"/>
    <col min="13988" max="13988" width="17.42578125" style="8" customWidth="1"/>
    <col min="13989" max="13989" width="22.5703125" style="8" customWidth="1"/>
    <col min="13990" max="13990" width="21.42578125" style="8" customWidth="1"/>
    <col min="13991" max="13991" width="26.7109375" style="8" customWidth="1"/>
    <col min="13992" max="13992" width="17" style="8" customWidth="1"/>
    <col min="13993" max="14016" width="2.42578125" style="8" customWidth="1"/>
    <col min="14017" max="14017" width="3" style="8" customWidth="1"/>
    <col min="14018" max="14026" width="2.42578125" style="8" customWidth="1"/>
    <col min="14027" max="14027" width="3.42578125" style="8" customWidth="1"/>
    <col min="14028" max="14047" width="2.42578125" style="8" customWidth="1"/>
    <col min="14048" max="14048" width="2.85546875" style="8" customWidth="1"/>
    <col min="14049" max="14097" width="2.42578125" style="8" customWidth="1"/>
    <col min="14098" max="14122" width="11.5703125" style="8" customWidth="1"/>
    <col min="14123" max="14124" width="25.7109375" style="8" customWidth="1"/>
    <col min="14125" max="14125" width="15.140625" style="8" customWidth="1"/>
    <col min="14126" max="14126" width="12" style="8" bestFit="1" customWidth="1"/>
    <col min="14127" max="14243" width="11.5703125" style="8"/>
    <col min="14244" max="14244" width="17.42578125" style="8" customWidth="1"/>
    <col min="14245" max="14245" width="22.5703125" style="8" customWidth="1"/>
    <col min="14246" max="14246" width="21.42578125" style="8" customWidth="1"/>
    <col min="14247" max="14247" width="26.7109375" style="8" customWidth="1"/>
    <col min="14248" max="14248" width="17" style="8" customWidth="1"/>
    <col min="14249" max="14272" width="2.42578125" style="8" customWidth="1"/>
    <col min="14273" max="14273" width="3" style="8" customWidth="1"/>
    <col min="14274" max="14282" width="2.42578125" style="8" customWidth="1"/>
    <col min="14283" max="14283" width="3.42578125" style="8" customWidth="1"/>
    <col min="14284" max="14303" width="2.42578125" style="8" customWidth="1"/>
    <col min="14304" max="14304" width="2.85546875" style="8" customWidth="1"/>
    <col min="14305" max="14353" width="2.42578125" style="8" customWidth="1"/>
    <col min="14354" max="14378" width="11.5703125" style="8" customWidth="1"/>
    <col min="14379" max="14380" width="25.7109375" style="8" customWidth="1"/>
    <col min="14381" max="14381" width="15.140625" style="8" customWidth="1"/>
    <col min="14382" max="14382" width="12" style="8" bestFit="1" customWidth="1"/>
    <col min="14383" max="14499" width="11.5703125" style="8"/>
    <col min="14500" max="14500" width="17.42578125" style="8" customWidth="1"/>
    <col min="14501" max="14501" width="22.5703125" style="8" customWidth="1"/>
    <col min="14502" max="14502" width="21.42578125" style="8" customWidth="1"/>
    <col min="14503" max="14503" width="26.7109375" style="8" customWidth="1"/>
    <col min="14504" max="14504" width="17" style="8" customWidth="1"/>
    <col min="14505" max="14528" width="2.42578125" style="8" customWidth="1"/>
    <col min="14529" max="14529" width="3" style="8" customWidth="1"/>
    <col min="14530" max="14538" width="2.42578125" style="8" customWidth="1"/>
    <col min="14539" max="14539" width="3.42578125" style="8" customWidth="1"/>
    <col min="14540" max="14559" width="2.42578125" style="8" customWidth="1"/>
    <col min="14560" max="14560" width="2.85546875" style="8" customWidth="1"/>
    <col min="14561" max="14609" width="2.42578125" style="8" customWidth="1"/>
    <col min="14610" max="14634" width="11.5703125" style="8" customWidth="1"/>
    <col min="14635" max="14636" width="25.7109375" style="8" customWidth="1"/>
    <col min="14637" max="14637" width="15.140625" style="8" customWidth="1"/>
    <col min="14638" max="14638" width="12" style="8" bestFit="1" customWidth="1"/>
    <col min="14639" max="14755" width="11.5703125" style="8"/>
    <col min="14756" max="14756" width="17.42578125" style="8" customWidth="1"/>
    <col min="14757" max="14757" width="22.5703125" style="8" customWidth="1"/>
    <col min="14758" max="14758" width="21.42578125" style="8" customWidth="1"/>
    <col min="14759" max="14759" width="26.7109375" style="8" customWidth="1"/>
    <col min="14760" max="14760" width="17" style="8" customWidth="1"/>
    <col min="14761" max="14784" width="2.42578125" style="8" customWidth="1"/>
    <col min="14785" max="14785" width="3" style="8" customWidth="1"/>
    <col min="14786" max="14794" width="2.42578125" style="8" customWidth="1"/>
    <col min="14795" max="14795" width="3.42578125" style="8" customWidth="1"/>
    <col min="14796" max="14815" width="2.42578125" style="8" customWidth="1"/>
    <col min="14816" max="14816" width="2.85546875" style="8" customWidth="1"/>
    <col min="14817" max="14865" width="2.42578125" style="8" customWidth="1"/>
    <col min="14866" max="14890" width="11.5703125" style="8" customWidth="1"/>
    <col min="14891" max="14892" width="25.7109375" style="8" customWidth="1"/>
    <col min="14893" max="14893" width="15.140625" style="8" customWidth="1"/>
    <col min="14894" max="14894" width="12" style="8" bestFit="1" customWidth="1"/>
    <col min="14895" max="15011" width="11.5703125" style="8"/>
    <col min="15012" max="15012" width="17.42578125" style="8" customWidth="1"/>
    <col min="15013" max="15013" width="22.5703125" style="8" customWidth="1"/>
    <col min="15014" max="15014" width="21.42578125" style="8" customWidth="1"/>
    <col min="15015" max="15015" width="26.7109375" style="8" customWidth="1"/>
    <col min="15016" max="15016" width="17" style="8" customWidth="1"/>
    <col min="15017" max="15040" width="2.42578125" style="8" customWidth="1"/>
    <col min="15041" max="15041" width="3" style="8" customWidth="1"/>
    <col min="15042" max="15050" width="2.42578125" style="8" customWidth="1"/>
    <col min="15051" max="15051" width="3.42578125" style="8" customWidth="1"/>
    <col min="15052" max="15071" width="2.42578125" style="8" customWidth="1"/>
    <col min="15072" max="15072" width="2.85546875" style="8" customWidth="1"/>
    <col min="15073" max="15121" width="2.42578125" style="8" customWidth="1"/>
    <col min="15122" max="15146" width="11.5703125" style="8" customWidth="1"/>
    <col min="15147" max="15148" width="25.7109375" style="8" customWidth="1"/>
    <col min="15149" max="15149" width="15.140625" style="8" customWidth="1"/>
    <col min="15150" max="15150" width="12" style="8" bestFit="1" customWidth="1"/>
    <col min="15151" max="15267" width="11.5703125" style="8"/>
    <col min="15268" max="15268" width="17.42578125" style="8" customWidth="1"/>
    <col min="15269" max="15269" width="22.5703125" style="8" customWidth="1"/>
    <col min="15270" max="15270" width="21.42578125" style="8" customWidth="1"/>
    <col min="15271" max="15271" width="26.7109375" style="8" customWidth="1"/>
    <col min="15272" max="15272" width="17" style="8" customWidth="1"/>
    <col min="15273" max="15296" width="2.42578125" style="8" customWidth="1"/>
    <col min="15297" max="15297" width="3" style="8" customWidth="1"/>
    <col min="15298" max="15306" width="2.42578125" style="8" customWidth="1"/>
    <col min="15307" max="15307" width="3.42578125" style="8" customWidth="1"/>
    <col min="15308" max="15327" width="2.42578125" style="8" customWidth="1"/>
    <col min="15328" max="15328" width="2.85546875" style="8" customWidth="1"/>
    <col min="15329" max="15377" width="2.42578125" style="8" customWidth="1"/>
    <col min="15378" max="15402" width="11.5703125" style="8" customWidth="1"/>
    <col min="15403" max="15404" width="25.7109375" style="8" customWidth="1"/>
    <col min="15405" max="15405" width="15.140625" style="8" customWidth="1"/>
    <col min="15406" max="15406" width="12" style="8" bestFit="1" customWidth="1"/>
    <col min="15407" max="15523" width="11.5703125" style="8"/>
    <col min="15524" max="15524" width="17.42578125" style="8" customWidth="1"/>
    <col min="15525" max="15525" width="22.5703125" style="8" customWidth="1"/>
    <col min="15526" max="15526" width="21.42578125" style="8" customWidth="1"/>
    <col min="15527" max="15527" width="26.7109375" style="8" customWidth="1"/>
    <col min="15528" max="15528" width="17" style="8" customWidth="1"/>
    <col min="15529" max="15552" width="2.42578125" style="8" customWidth="1"/>
    <col min="15553" max="15553" width="3" style="8" customWidth="1"/>
    <col min="15554" max="15562" width="2.42578125" style="8" customWidth="1"/>
    <col min="15563" max="15563" width="3.42578125" style="8" customWidth="1"/>
    <col min="15564" max="15583" width="2.42578125" style="8" customWidth="1"/>
    <col min="15584" max="15584" width="2.85546875" style="8" customWidth="1"/>
    <col min="15585" max="15633" width="2.42578125" style="8" customWidth="1"/>
    <col min="15634" max="15658" width="11.5703125" style="8" customWidth="1"/>
    <col min="15659" max="15660" width="25.7109375" style="8" customWidth="1"/>
    <col min="15661" max="15661" width="15.140625" style="8" customWidth="1"/>
    <col min="15662" max="15662" width="12" style="8" bestFit="1" customWidth="1"/>
    <col min="15663" max="15779" width="11.5703125" style="8"/>
    <col min="15780" max="15780" width="17.42578125" style="8" customWidth="1"/>
    <col min="15781" max="15781" width="22.5703125" style="8" customWidth="1"/>
    <col min="15782" max="15782" width="21.42578125" style="8" customWidth="1"/>
    <col min="15783" max="15783" width="26.7109375" style="8" customWidth="1"/>
    <col min="15784" max="15784" width="17" style="8" customWidth="1"/>
    <col min="15785" max="15808" width="2.42578125" style="8" customWidth="1"/>
    <col min="15809" max="15809" width="3" style="8" customWidth="1"/>
    <col min="15810" max="15818" width="2.42578125" style="8" customWidth="1"/>
    <col min="15819" max="15819" width="3.42578125" style="8" customWidth="1"/>
    <col min="15820" max="15839" width="2.42578125" style="8" customWidth="1"/>
    <col min="15840" max="15840" width="2.85546875" style="8" customWidth="1"/>
    <col min="15841" max="15889" width="2.42578125" style="8" customWidth="1"/>
    <col min="15890" max="15914" width="11.5703125" style="8" customWidth="1"/>
    <col min="15915" max="15916" width="25.7109375" style="8" customWidth="1"/>
    <col min="15917" max="15917" width="15.140625" style="8" customWidth="1"/>
    <col min="15918" max="15918" width="12" style="8" bestFit="1" customWidth="1"/>
    <col min="15919" max="16035" width="11.5703125" style="8"/>
    <col min="16036" max="16036" width="17.42578125" style="8" customWidth="1"/>
    <col min="16037" max="16037" width="22.5703125" style="8" customWidth="1"/>
    <col min="16038" max="16038" width="21.42578125" style="8" customWidth="1"/>
    <col min="16039" max="16039" width="26.7109375" style="8" customWidth="1"/>
    <col min="16040" max="16040" width="17" style="8" customWidth="1"/>
    <col min="16041" max="16064" width="2.42578125" style="8" customWidth="1"/>
    <col min="16065" max="16065" width="3" style="8" customWidth="1"/>
    <col min="16066" max="16074" width="2.42578125" style="8" customWidth="1"/>
    <col min="16075" max="16075" width="3.42578125" style="8" customWidth="1"/>
    <col min="16076" max="16095" width="2.42578125" style="8" customWidth="1"/>
    <col min="16096" max="16096" width="2.85546875" style="8" customWidth="1"/>
    <col min="16097" max="16145" width="2.42578125" style="8" customWidth="1"/>
    <col min="16146" max="16170" width="11.5703125" style="8" customWidth="1"/>
    <col min="16171" max="16172" width="25.7109375" style="8" customWidth="1"/>
    <col min="16173" max="16173" width="15.140625" style="8" customWidth="1"/>
    <col min="16174" max="16174" width="12" style="8" bestFit="1" customWidth="1"/>
    <col min="16175" max="16384" width="11.5703125" style="8"/>
  </cols>
  <sheetData>
    <row r="1" spans="1:46" ht="25.15" customHeight="1" thickBot="1" x14ac:dyDescent="0.25">
      <c r="A1" s="412"/>
      <c r="B1" s="409" t="s">
        <v>2</v>
      </c>
      <c r="C1" s="410"/>
      <c r="D1" s="411"/>
      <c r="E1" s="411"/>
      <c r="F1" s="411"/>
      <c r="G1" s="411"/>
      <c r="H1" s="411"/>
      <c r="I1" s="411"/>
      <c r="J1" s="411"/>
      <c r="K1" s="411"/>
      <c r="L1" s="411"/>
      <c r="M1" s="411"/>
      <c r="N1" s="411"/>
      <c r="O1" s="411"/>
      <c r="P1" s="411"/>
      <c r="Q1" s="411"/>
      <c r="R1" s="411"/>
      <c r="S1" s="411"/>
      <c r="T1" s="411"/>
      <c r="U1" s="411"/>
      <c r="V1" s="411"/>
      <c r="W1" s="411"/>
      <c r="X1" s="411"/>
      <c r="Y1" s="411"/>
      <c r="Z1" s="411"/>
      <c r="AA1" s="411"/>
      <c r="AB1" s="413"/>
      <c r="AC1" s="411"/>
      <c r="AD1" s="413"/>
      <c r="AE1" s="411"/>
      <c r="AF1" s="413"/>
      <c r="AG1" s="411"/>
      <c r="AH1" s="413"/>
      <c r="AI1" s="411"/>
      <c r="AJ1" s="411"/>
      <c r="AK1" s="413"/>
      <c r="AL1" s="411"/>
      <c r="AM1" s="413"/>
      <c r="AN1" s="411"/>
      <c r="AO1" s="413"/>
      <c r="AP1" s="411"/>
    </row>
    <row r="2" spans="1:46" ht="15" x14ac:dyDescent="0.2">
      <c r="A2" s="266"/>
      <c r="B2" s="267"/>
      <c r="C2" s="268"/>
      <c r="D2" s="269"/>
      <c r="E2" s="269"/>
      <c r="F2" s="269"/>
      <c r="G2" s="269"/>
      <c r="H2" s="269"/>
      <c r="I2" s="269"/>
      <c r="J2" s="269"/>
      <c r="K2" s="269"/>
      <c r="L2" s="269"/>
      <c r="M2" s="269"/>
      <c r="N2" s="269"/>
      <c r="O2" s="269"/>
      <c r="P2" s="269"/>
      <c r="Q2" s="269"/>
      <c r="R2" s="269"/>
      <c r="S2" s="269"/>
      <c r="T2" s="269"/>
      <c r="U2" s="269"/>
      <c r="V2" s="269"/>
      <c r="W2" s="269"/>
      <c r="X2" s="269"/>
      <c r="Y2" s="269"/>
      <c r="Z2" s="269"/>
      <c r="AA2" s="269"/>
      <c r="AB2" s="269"/>
      <c r="AC2" s="269"/>
      <c r="AD2" s="269"/>
      <c r="AE2" s="269"/>
      <c r="AF2" s="269"/>
      <c r="AG2" s="269"/>
      <c r="AH2" s="269"/>
      <c r="AI2" s="269"/>
      <c r="AJ2" s="269"/>
      <c r="AK2" s="269"/>
      <c r="AL2" s="269"/>
      <c r="AM2" s="269"/>
      <c r="AN2" s="269"/>
      <c r="AO2" s="269"/>
      <c r="AP2" s="269"/>
    </row>
    <row r="3" spans="1:46" ht="25.15" customHeight="1" x14ac:dyDescent="0.2">
      <c r="A3" s="270" t="s">
        <v>35</v>
      </c>
      <c r="B3" s="271" t="s">
        <v>140</v>
      </c>
      <c r="C3" s="272"/>
      <c r="D3" s="270"/>
      <c r="E3" s="273">
        <v>45383</v>
      </c>
      <c r="F3" s="273">
        <v>45413</v>
      </c>
      <c r="G3" s="273">
        <v>45444</v>
      </c>
      <c r="H3" s="273">
        <v>45474</v>
      </c>
      <c r="I3" s="273">
        <v>45505</v>
      </c>
      <c r="J3" s="273">
        <v>45536</v>
      </c>
      <c r="K3" s="273">
        <v>45566</v>
      </c>
      <c r="L3" s="273">
        <v>45597</v>
      </c>
      <c r="M3" s="273">
        <v>45627</v>
      </c>
      <c r="N3" s="273">
        <v>45658</v>
      </c>
      <c r="O3" s="273">
        <v>45689</v>
      </c>
      <c r="P3" s="273">
        <v>45717</v>
      </c>
      <c r="Q3" s="273">
        <v>45748</v>
      </c>
      <c r="R3" s="273">
        <v>45778</v>
      </c>
      <c r="S3" s="273">
        <v>45809</v>
      </c>
      <c r="T3" s="273">
        <v>45839</v>
      </c>
      <c r="U3" s="273">
        <v>45870</v>
      </c>
      <c r="V3" s="273">
        <v>45901</v>
      </c>
      <c r="W3" s="273">
        <v>45931</v>
      </c>
      <c r="X3" s="273">
        <v>45962</v>
      </c>
      <c r="Y3" s="273">
        <v>45992</v>
      </c>
      <c r="Z3" s="273">
        <v>46023</v>
      </c>
      <c r="AA3" s="273">
        <v>46054</v>
      </c>
      <c r="AB3" s="273">
        <v>46082</v>
      </c>
      <c r="AC3" s="273">
        <v>46113</v>
      </c>
      <c r="AD3" s="273">
        <v>46143</v>
      </c>
      <c r="AE3" s="273">
        <v>46174</v>
      </c>
      <c r="AF3" s="273">
        <v>46204</v>
      </c>
      <c r="AG3" s="273">
        <v>46235</v>
      </c>
      <c r="AH3" s="273">
        <v>46266</v>
      </c>
      <c r="AI3" s="273">
        <v>46296</v>
      </c>
      <c r="AJ3" s="273">
        <v>46327</v>
      </c>
      <c r="AK3" s="273">
        <v>46357</v>
      </c>
      <c r="AL3" s="273">
        <v>46388</v>
      </c>
      <c r="AM3" s="273">
        <v>46419</v>
      </c>
      <c r="AN3" s="273">
        <v>46447</v>
      </c>
      <c r="AO3" s="273">
        <v>46478</v>
      </c>
      <c r="AP3" s="273">
        <v>46508</v>
      </c>
    </row>
    <row r="4" spans="1:46" ht="15" x14ac:dyDescent="0.2">
      <c r="A4" s="176"/>
      <c r="B4" s="274"/>
      <c r="C4" s="274"/>
      <c r="D4" s="274"/>
      <c r="E4" s="176"/>
      <c r="F4" s="176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76"/>
      <c r="T4" s="176"/>
      <c r="U4" s="176"/>
      <c r="V4" s="176"/>
      <c r="W4" s="176"/>
      <c r="X4" s="176"/>
      <c r="Y4" s="176"/>
      <c r="Z4" s="176"/>
      <c r="AA4" s="176"/>
      <c r="AB4" s="176"/>
      <c r="AC4" s="176"/>
      <c r="AD4" s="176"/>
      <c r="AE4" s="176"/>
      <c r="AF4" s="176"/>
      <c r="AG4" s="176"/>
      <c r="AH4" s="176"/>
      <c r="AI4" s="176"/>
      <c r="AJ4" s="176"/>
      <c r="AK4" s="176"/>
      <c r="AL4" s="176"/>
      <c r="AM4" s="176"/>
      <c r="AN4" s="176"/>
      <c r="AO4" s="176"/>
      <c r="AP4" s="176"/>
    </row>
    <row r="5" spans="1:46" ht="15" x14ac:dyDescent="0.2">
      <c r="A5" s="176"/>
      <c r="B5" s="275" t="s">
        <v>141</v>
      </c>
      <c r="C5" s="276"/>
      <c r="D5" s="276"/>
      <c r="E5" s="176"/>
      <c r="F5" s="176"/>
      <c r="G5" s="177" t="s">
        <v>669</v>
      </c>
      <c r="H5" s="177"/>
      <c r="I5" s="176"/>
      <c r="J5" s="176"/>
      <c r="K5" s="176"/>
      <c r="L5" s="176"/>
      <c r="M5" s="176"/>
      <c r="N5" s="176"/>
      <c r="O5" s="176"/>
      <c r="P5" s="176"/>
      <c r="Q5" s="176"/>
      <c r="R5" s="176"/>
      <c r="S5" s="176"/>
      <c r="T5" s="176"/>
      <c r="U5" s="176"/>
      <c r="V5" s="176"/>
      <c r="W5" s="176"/>
      <c r="X5" s="176"/>
      <c r="Y5" s="176"/>
      <c r="Z5" s="176"/>
      <c r="AA5" s="176"/>
      <c r="AB5" s="176"/>
      <c r="AC5" s="176"/>
      <c r="AD5" s="176"/>
      <c r="AE5" s="176"/>
      <c r="AF5" s="176"/>
      <c r="AG5" s="176"/>
      <c r="AH5" s="176"/>
      <c r="AI5" s="176"/>
      <c r="AJ5" s="176"/>
      <c r="AK5" s="176"/>
      <c r="AL5" s="176"/>
      <c r="AM5" s="176"/>
      <c r="AN5" s="176"/>
      <c r="AO5" s="176"/>
      <c r="AP5" s="176"/>
    </row>
    <row r="6" spans="1:46" ht="15" x14ac:dyDescent="0.2">
      <c r="A6" s="176"/>
      <c r="B6" s="275" t="s">
        <v>142</v>
      </c>
      <c r="C6" s="276"/>
      <c r="D6" s="276"/>
      <c r="E6" s="176"/>
      <c r="F6" s="176"/>
      <c r="G6" s="178" t="s">
        <v>142</v>
      </c>
      <c r="H6" s="178"/>
      <c r="I6" s="178"/>
      <c r="J6" s="178"/>
      <c r="K6" s="178"/>
      <c r="L6" s="178"/>
      <c r="M6" s="178"/>
      <c r="N6" s="203"/>
      <c r="O6" s="203"/>
      <c r="P6" s="203"/>
      <c r="Q6" s="669"/>
      <c r="R6" s="669"/>
      <c r="S6" s="176"/>
      <c r="T6" s="176"/>
      <c r="U6" s="176"/>
      <c r="V6" s="176"/>
      <c r="W6" s="176"/>
      <c r="X6" s="176"/>
      <c r="Y6" s="176"/>
      <c r="Z6" s="176"/>
      <c r="AA6" s="176"/>
      <c r="AB6" s="176"/>
      <c r="AC6" s="176"/>
      <c r="AD6" s="176"/>
      <c r="AE6" s="176"/>
      <c r="AF6" s="176"/>
      <c r="AG6" s="176"/>
      <c r="AH6" s="176"/>
      <c r="AI6" s="176"/>
      <c r="AJ6" s="176"/>
      <c r="AK6" s="176"/>
      <c r="AL6" s="176"/>
      <c r="AM6" s="176"/>
      <c r="AN6" s="176"/>
      <c r="AO6" s="176"/>
      <c r="AP6" s="176"/>
    </row>
    <row r="7" spans="1:46" s="674" customFormat="1" ht="15" x14ac:dyDescent="0.2">
      <c r="A7" s="176"/>
      <c r="B7" s="275" t="s">
        <v>143</v>
      </c>
      <c r="C7" s="276"/>
      <c r="D7" s="276"/>
      <c r="E7" s="176"/>
      <c r="F7" s="176"/>
      <c r="G7" s="176"/>
      <c r="H7" s="176"/>
      <c r="I7" s="176"/>
      <c r="J7" s="176"/>
      <c r="K7" s="176"/>
      <c r="L7" s="176"/>
      <c r="M7" s="176"/>
      <c r="N7" s="176"/>
      <c r="O7" s="673" t="s">
        <v>143</v>
      </c>
      <c r="P7" s="673"/>
      <c r="Q7" s="673"/>
      <c r="R7" s="673"/>
      <c r="S7" s="673"/>
      <c r="T7" s="673"/>
      <c r="U7" s="673"/>
      <c r="V7" s="673"/>
      <c r="W7" s="673"/>
      <c r="X7" s="673"/>
      <c r="Y7" s="673"/>
      <c r="Z7" s="673"/>
      <c r="AA7" s="673"/>
      <c r="AB7" s="673"/>
      <c r="AC7" s="673"/>
      <c r="AD7" s="673"/>
      <c r="AE7" s="176"/>
      <c r="AF7" s="176"/>
      <c r="AG7" s="176"/>
      <c r="AH7" s="176"/>
      <c r="AI7" s="176"/>
      <c r="AJ7" s="176"/>
      <c r="AK7" s="176"/>
      <c r="AL7" s="176"/>
      <c r="AM7" s="176"/>
      <c r="AN7" s="176"/>
      <c r="AO7" s="176"/>
      <c r="AP7" s="176"/>
    </row>
    <row r="8" spans="1:46" s="674" customFormat="1" ht="15" x14ac:dyDescent="0.2">
      <c r="A8" s="176"/>
      <c r="B8" s="275" t="s">
        <v>719</v>
      </c>
      <c r="C8" s="276"/>
      <c r="D8" s="276"/>
      <c r="E8" s="176"/>
      <c r="F8" s="176"/>
      <c r="G8" s="176"/>
      <c r="H8" s="176"/>
      <c r="I8" s="176"/>
      <c r="J8" s="176"/>
      <c r="K8" s="176"/>
      <c r="L8" s="176"/>
      <c r="M8" s="176"/>
      <c r="N8" s="176"/>
      <c r="O8" s="176"/>
      <c r="P8" s="176"/>
      <c r="Q8" s="176"/>
      <c r="R8" s="176"/>
      <c r="S8" s="176"/>
      <c r="T8" s="176"/>
      <c r="U8" s="176"/>
      <c r="V8" s="176"/>
      <c r="W8" s="176"/>
      <c r="X8" s="176"/>
      <c r="Y8" s="176"/>
      <c r="Z8" s="176"/>
      <c r="AA8" s="176"/>
      <c r="AB8" s="176"/>
      <c r="AC8" s="176"/>
      <c r="AD8" s="675" t="s">
        <v>719</v>
      </c>
      <c r="AE8" s="676"/>
      <c r="AF8" s="676"/>
      <c r="AG8" s="176"/>
      <c r="AH8" s="176"/>
      <c r="AI8" s="176"/>
      <c r="AJ8" s="176"/>
      <c r="AK8" s="176"/>
      <c r="AL8" s="176"/>
      <c r="AM8" s="176"/>
      <c r="AN8" s="176"/>
      <c r="AO8" s="176"/>
      <c r="AP8" s="176"/>
    </row>
    <row r="9" spans="1:46" ht="15" x14ac:dyDescent="0.2">
      <c r="A9" s="670"/>
      <c r="B9" s="671" t="s">
        <v>720</v>
      </c>
      <c r="C9" s="672"/>
      <c r="D9" s="672"/>
      <c r="E9" s="670"/>
      <c r="F9" s="670"/>
      <c r="G9" s="670"/>
      <c r="H9" s="670"/>
      <c r="I9" s="670"/>
      <c r="J9" s="670"/>
      <c r="K9" s="670"/>
      <c r="L9" s="670"/>
      <c r="M9" s="670"/>
      <c r="N9" s="670"/>
      <c r="O9" s="670"/>
      <c r="P9" s="670"/>
      <c r="Q9" s="670"/>
      <c r="R9" s="670"/>
      <c r="S9" s="670"/>
      <c r="T9" s="670"/>
      <c r="U9" s="670"/>
      <c r="V9" s="670"/>
      <c r="W9" s="670"/>
      <c r="X9" s="670"/>
      <c r="Y9" s="670"/>
      <c r="Z9" s="670"/>
      <c r="AA9" s="670"/>
      <c r="AB9" s="670"/>
      <c r="AC9" s="670"/>
      <c r="AD9" s="678" t="s">
        <v>721</v>
      </c>
      <c r="AE9" s="677"/>
      <c r="AF9" s="677"/>
      <c r="AG9" s="677"/>
      <c r="AH9" s="677"/>
      <c r="AI9" s="677"/>
      <c r="AJ9" s="677"/>
      <c r="AK9" s="677"/>
      <c r="AL9" s="677"/>
      <c r="AM9" s="677"/>
      <c r="AN9" s="677"/>
      <c r="AO9" s="677"/>
      <c r="AP9" s="670"/>
    </row>
    <row r="10" spans="1:46" ht="15.75" thickBot="1" x14ac:dyDescent="0.25">
      <c r="A10" s="277"/>
      <c r="B10" s="278"/>
      <c r="C10" s="278"/>
      <c r="D10" s="278"/>
      <c r="E10" s="278"/>
      <c r="F10" s="278"/>
      <c r="M10" s="278"/>
      <c r="N10" s="278"/>
      <c r="O10" s="278"/>
      <c r="P10" s="278"/>
      <c r="Q10" s="278"/>
      <c r="R10" s="278"/>
      <c r="S10" s="278"/>
      <c r="T10" s="278"/>
      <c r="U10" s="278"/>
      <c r="V10" s="278"/>
      <c r="W10" s="278"/>
      <c r="X10" s="278"/>
      <c r="Y10" s="278"/>
      <c r="Z10" s="278"/>
      <c r="AA10" s="278"/>
      <c r="AB10" s="278"/>
      <c r="AC10" s="278"/>
      <c r="AD10" s="278"/>
      <c r="AE10" s="278"/>
      <c r="AF10" s="278"/>
      <c r="AG10" s="278"/>
      <c r="AH10" s="278"/>
      <c r="AI10" s="278"/>
      <c r="AJ10" s="278"/>
      <c r="AK10" s="278"/>
      <c r="AL10" s="278"/>
      <c r="AM10" s="278"/>
      <c r="AN10" s="278"/>
      <c r="AO10" s="278"/>
      <c r="AP10" s="278"/>
    </row>
    <row r="11" spans="1:46" ht="25.15" customHeight="1" x14ac:dyDescent="0.2">
      <c r="A11" s="369" t="s">
        <v>601</v>
      </c>
      <c r="B11" s="370" t="s">
        <v>144</v>
      </c>
      <c r="C11" s="371" t="s">
        <v>5</v>
      </c>
      <c r="D11" s="372" t="s">
        <v>145</v>
      </c>
      <c r="E11" s="279">
        <v>45383</v>
      </c>
      <c r="F11" s="279">
        <v>45413</v>
      </c>
      <c r="G11" s="279">
        <v>45444</v>
      </c>
      <c r="H11" s="279">
        <v>45474</v>
      </c>
      <c r="I11" s="279">
        <v>45505</v>
      </c>
      <c r="J11" s="279">
        <v>45536</v>
      </c>
      <c r="K11" s="279">
        <v>45566</v>
      </c>
      <c r="L11" s="279">
        <v>45597</v>
      </c>
      <c r="M11" s="279">
        <v>45627</v>
      </c>
      <c r="N11" s="279">
        <v>45658</v>
      </c>
      <c r="O11" s="279">
        <v>45689</v>
      </c>
      <c r="P11" s="279">
        <v>45717</v>
      </c>
      <c r="Q11" s="279">
        <v>45748</v>
      </c>
      <c r="R11" s="279">
        <v>45778</v>
      </c>
      <c r="S11" s="279">
        <v>45809</v>
      </c>
      <c r="T11" s="279">
        <v>45839</v>
      </c>
      <c r="U11" s="279">
        <v>45870</v>
      </c>
      <c r="V11" s="279">
        <v>45901</v>
      </c>
      <c r="W11" s="279">
        <v>45931</v>
      </c>
      <c r="X11" s="279">
        <v>45962</v>
      </c>
      <c r="Y11" s="279">
        <v>45992</v>
      </c>
      <c r="Z11" s="279">
        <v>46023</v>
      </c>
      <c r="AA11" s="279">
        <v>46054</v>
      </c>
      <c r="AB11" s="279">
        <v>46082</v>
      </c>
      <c r="AC11" s="279">
        <v>46113</v>
      </c>
      <c r="AD11" s="279">
        <v>46143</v>
      </c>
      <c r="AE11" s="279">
        <v>46174</v>
      </c>
      <c r="AF11" s="279">
        <v>46204</v>
      </c>
      <c r="AG11" s="279">
        <v>46235</v>
      </c>
      <c r="AH11" s="279">
        <v>46266</v>
      </c>
      <c r="AI11" s="279">
        <v>46296</v>
      </c>
      <c r="AJ11" s="279">
        <v>46327</v>
      </c>
      <c r="AK11" s="279">
        <v>46357</v>
      </c>
      <c r="AL11" s="279">
        <v>46388</v>
      </c>
      <c r="AM11" s="279">
        <v>46419</v>
      </c>
      <c r="AN11" s="279">
        <v>46447</v>
      </c>
      <c r="AO11" s="279">
        <v>46478</v>
      </c>
      <c r="AP11" s="279">
        <v>46508</v>
      </c>
      <c r="AQ11" s="280" t="s">
        <v>138</v>
      </c>
      <c r="AR11" s="281" t="s">
        <v>139</v>
      </c>
    </row>
    <row r="12" spans="1:46" ht="15" x14ac:dyDescent="0.2">
      <c r="A12" s="373">
        <v>2105000</v>
      </c>
      <c r="B12" s="297">
        <v>6000214</v>
      </c>
      <c r="C12" s="295" t="s">
        <v>164</v>
      </c>
      <c r="D12" s="298">
        <v>1</v>
      </c>
      <c r="E12" s="608"/>
      <c r="F12" s="760">
        <v>44.07</v>
      </c>
      <c r="G12" s="760">
        <v>325.13</v>
      </c>
      <c r="H12" s="760">
        <v>325.13</v>
      </c>
      <c r="I12" s="760">
        <v>325.13</v>
      </c>
      <c r="J12" s="791">
        <v>317.12</v>
      </c>
      <c r="K12" s="791">
        <v>270.83999999999997</v>
      </c>
      <c r="L12" s="791">
        <v>270.83999999999997</v>
      </c>
      <c r="M12" s="791">
        <v>270.83999999999997</v>
      </c>
      <c r="N12" s="817">
        <v>300</v>
      </c>
      <c r="O12" s="817">
        <v>300</v>
      </c>
      <c r="P12" s="817">
        <v>300</v>
      </c>
      <c r="Q12" s="817">
        <v>300</v>
      </c>
      <c r="R12" s="817">
        <v>300</v>
      </c>
      <c r="S12" s="817">
        <v>300</v>
      </c>
      <c r="T12" s="817">
        <v>300</v>
      </c>
      <c r="U12" s="609">
        <v>500</v>
      </c>
      <c r="V12" s="609">
        <v>500</v>
      </c>
      <c r="W12" s="609">
        <v>500</v>
      </c>
      <c r="X12" s="609">
        <v>500</v>
      </c>
      <c r="Y12" s="609">
        <v>500</v>
      </c>
      <c r="Z12" s="609">
        <v>500</v>
      </c>
      <c r="AA12" s="609">
        <v>500</v>
      </c>
      <c r="AB12" s="609">
        <v>500</v>
      </c>
      <c r="AC12" s="609">
        <v>500</v>
      </c>
      <c r="AD12" s="609">
        <v>500</v>
      </c>
      <c r="AE12" s="609"/>
      <c r="AF12" s="610"/>
      <c r="AG12" s="609"/>
      <c r="AH12" s="610"/>
      <c r="AI12" s="609"/>
      <c r="AJ12" s="609"/>
      <c r="AK12" s="610"/>
      <c r="AL12" s="609"/>
      <c r="AM12" s="610"/>
      <c r="AN12" s="609"/>
      <c r="AO12" s="610"/>
      <c r="AP12" s="609"/>
      <c r="AQ12" s="587">
        <f t="shared" ref="AQ12:AQ41" si="0">SUM(E12:AJ12)</f>
        <v>9249.1</v>
      </c>
      <c r="AR12" s="821">
        <v>10000</v>
      </c>
      <c r="AS12" s="374" t="s">
        <v>596</v>
      </c>
      <c r="AT12" s="8">
        <v>15000</v>
      </c>
    </row>
    <row r="13" spans="1:46" ht="15" x14ac:dyDescent="0.2">
      <c r="A13" s="373">
        <v>2102000</v>
      </c>
      <c r="B13" s="297">
        <v>6000215</v>
      </c>
      <c r="C13" s="295" t="s">
        <v>153</v>
      </c>
      <c r="D13" s="299"/>
      <c r="E13" s="608"/>
      <c r="F13" s="609"/>
      <c r="G13" s="609"/>
      <c r="H13" s="609"/>
      <c r="I13" s="609"/>
      <c r="J13" s="760">
        <v>1100.28</v>
      </c>
      <c r="K13" s="760">
        <v>6101.53</v>
      </c>
      <c r="L13" s="791">
        <v>6101.53</v>
      </c>
      <c r="M13" s="760">
        <v>6101.53</v>
      </c>
      <c r="N13" s="609">
        <v>6102</v>
      </c>
      <c r="O13" s="609">
        <v>6102</v>
      </c>
      <c r="P13" s="609">
        <v>6102</v>
      </c>
      <c r="Q13" s="609">
        <v>6102</v>
      </c>
      <c r="R13" s="609">
        <v>6102</v>
      </c>
      <c r="S13" s="609">
        <v>6102</v>
      </c>
      <c r="T13" s="609">
        <v>6102</v>
      </c>
      <c r="U13" s="609">
        <v>6102</v>
      </c>
      <c r="V13" s="609">
        <v>6102</v>
      </c>
      <c r="W13" s="609"/>
      <c r="X13" s="609"/>
      <c r="Y13" s="609"/>
      <c r="Z13" s="609"/>
      <c r="AA13" s="609"/>
      <c r="AB13" s="610"/>
      <c r="AC13" s="609"/>
      <c r="AD13" s="610"/>
      <c r="AE13" s="609"/>
      <c r="AF13" s="610"/>
      <c r="AG13" s="609"/>
      <c r="AH13" s="610"/>
      <c r="AI13" s="609"/>
      <c r="AJ13" s="609"/>
      <c r="AK13" s="610"/>
      <c r="AL13" s="609"/>
      <c r="AM13" s="610"/>
      <c r="AN13" s="609"/>
      <c r="AO13" s="610"/>
      <c r="AP13" s="609"/>
      <c r="AQ13" s="587">
        <f t="shared" si="0"/>
        <v>74322.87</v>
      </c>
      <c r="AR13" s="821">
        <v>74323</v>
      </c>
      <c r="AS13" s="374" t="s">
        <v>596</v>
      </c>
      <c r="AT13" s="8">
        <v>77000</v>
      </c>
    </row>
    <row r="14" spans="1:46" ht="15" x14ac:dyDescent="0.2">
      <c r="A14" s="375">
        <v>2103000</v>
      </c>
      <c r="B14" s="282">
        <v>6000216</v>
      </c>
      <c r="C14" s="271" t="s">
        <v>154</v>
      </c>
      <c r="D14" s="293"/>
      <c r="E14" s="611"/>
      <c r="F14" s="612"/>
      <c r="G14" s="612"/>
      <c r="H14" s="612"/>
      <c r="I14" s="612"/>
      <c r="J14" s="612"/>
      <c r="K14" s="612"/>
      <c r="L14" s="612"/>
      <c r="M14" s="612"/>
      <c r="N14" s="612"/>
      <c r="O14" s="612"/>
      <c r="P14" s="612"/>
      <c r="Q14" s="612"/>
      <c r="R14" s="612"/>
      <c r="S14" s="612"/>
      <c r="T14" s="612"/>
      <c r="U14" s="612"/>
      <c r="V14" s="612"/>
      <c r="W14" s="612"/>
      <c r="X14" s="612"/>
      <c r="Y14" s="612"/>
      <c r="Z14" s="612"/>
      <c r="AA14" s="612"/>
      <c r="AB14" s="613"/>
      <c r="AC14" s="612"/>
      <c r="AD14" s="613"/>
      <c r="AE14" s="612"/>
      <c r="AF14" s="613"/>
      <c r="AG14" s="612"/>
      <c r="AH14" s="613"/>
      <c r="AI14" s="612"/>
      <c r="AJ14" s="612"/>
      <c r="AK14" s="613"/>
      <c r="AL14" s="612"/>
      <c r="AM14" s="613"/>
      <c r="AN14" s="612"/>
      <c r="AO14" s="613"/>
      <c r="AP14" s="612"/>
      <c r="AQ14" s="578">
        <f t="shared" si="0"/>
        <v>0</v>
      </c>
      <c r="AR14" s="806">
        <v>4000</v>
      </c>
      <c r="AS14" s="374" t="s">
        <v>596</v>
      </c>
    </row>
    <row r="15" spans="1:46" ht="15" x14ac:dyDescent="0.2">
      <c r="A15" s="350"/>
      <c r="B15" s="284"/>
      <c r="C15" s="300" t="s">
        <v>155</v>
      </c>
      <c r="D15" s="291">
        <v>50</v>
      </c>
      <c r="E15" s="614"/>
      <c r="F15" s="615"/>
      <c r="G15" s="615"/>
      <c r="H15" s="759">
        <v>34.159999999999997</v>
      </c>
      <c r="I15" s="759">
        <v>63.14</v>
      </c>
      <c r="J15" s="759">
        <v>63.14</v>
      </c>
      <c r="K15" s="759">
        <v>84.16</v>
      </c>
      <c r="L15" s="759">
        <v>84.18</v>
      </c>
      <c r="M15" s="759">
        <v>84.18</v>
      </c>
      <c r="N15" s="615">
        <v>300</v>
      </c>
      <c r="O15" s="615">
        <v>300</v>
      </c>
      <c r="P15" s="615">
        <v>300</v>
      </c>
      <c r="Q15" s="615">
        <v>300</v>
      </c>
      <c r="R15" s="615">
        <v>150</v>
      </c>
      <c r="S15" s="615">
        <v>100</v>
      </c>
      <c r="T15" s="615">
        <v>100</v>
      </c>
      <c r="U15" s="615">
        <v>100</v>
      </c>
      <c r="V15" s="615">
        <v>100</v>
      </c>
      <c r="W15" s="615">
        <v>100</v>
      </c>
      <c r="X15" s="615"/>
      <c r="Y15" s="615"/>
      <c r="Z15" s="615"/>
      <c r="AA15" s="615"/>
      <c r="AB15" s="616"/>
      <c r="AC15" s="615"/>
      <c r="AD15" s="616"/>
      <c r="AE15" s="615"/>
      <c r="AF15" s="616"/>
      <c r="AG15" s="615"/>
      <c r="AH15" s="616"/>
      <c r="AI15" s="615"/>
      <c r="AJ15" s="615"/>
      <c r="AK15" s="616"/>
      <c r="AL15" s="615"/>
      <c r="AM15" s="616"/>
      <c r="AN15" s="615"/>
      <c r="AO15" s="616"/>
      <c r="AP15" s="615"/>
      <c r="AQ15" s="579">
        <f t="shared" si="0"/>
        <v>2262.96</v>
      </c>
      <c r="AR15" s="819" t="s">
        <v>588</v>
      </c>
      <c r="AS15" s="374" t="s">
        <v>596</v>
      </c>
    </row>
    <row r="16" spans="1:46" ht="15" x14ac:dyDescent="0.2">
      <c r="A16" s="352"/>
      <c r="B16" s="286"/>
      <c r="C16" s="301" t="s">
        <v>156</v>
      </c>
      <c r="D16" s="292">
        <v>20</v>
      </c>
      <c r="E16" s="617"/>
      <c r="F16" s="618"/>
      <c r="G16" s="618"/>
      <c r="H16" s="618"/>
      <c r="I16" s="618"/>
      <c r="J16" s="618"/>
      <c r="K16" s="618"/>
      <c r="L16" s="618"/>
      <c r="M16" s="618"/>
      <c r="N16" s="618">
        <v>120</v>
      </c>
      <c r="O16" s="618">
        <v>120</v>
      </c>
      <c r="P16" s="618">
        <v>120</v>
      </c>
      <c r="Q16" s="618">
        <v>60</v>
      </c>
      <c r="R16" s="618">
        <v>60</v>
      </c>
      <c r="S16" s="618"/>
      <c r="T16" s="618"/>
      <c r="U16" s="618"/>
      <c r="V16" s="618"/>
      <c r="W16" s="618"/>
      <c r="X16" s="618"/>
      <c r="Y16" s="618"/>
      <c r="Z16" s="618"/>
      <c r="AA16" s="618"/>
      <c r="AB16" s="619"/>
      <c r="AC16" s="618"/>
      <c r="AD16" s="619"/>
      <c r="AE16" s="618"/>
      <c r="AF16" s="619"/>
      <c r="AG16" s="618"/>
      <c r="AH16" s="619"/>
      <c r="AI16" s="618"/>
      <c r="AJ16" s="618"/>
      <c r="AK16" s="619"/>
      <c r="AL16" s="618"/>
      <c r="AM16" s="619"/>
      <c r="AN16" s="618"/>
      <c r="AO16" s="619"/>
      <c r="AP16" s="618"/>
      <c r="AQ16" s="581">
        <f t="shared" si="0"/>
        <v>480</v>
      </c>
      <c r="AR16" s="818" t="s">
        <v>588</v>
      </c>
      <c r="AS16" s="374" t="s">
        <v>596</v>
      </c>
    </row>
    <row r="17" spans="1:45" ht="15" x14ac:dyDescent="0.2">
      <c r="A17" s="375">
        <v>2104000</v>
      </c>
      <c r="B17" s="282">
        <v>6000217</v>
      </c>
      <c r="C17" s="271" t="s">
        <v>157</v>
      </c>
      <c r="D17" s="293"/>
      <c r="E17" s="611"/>
      <c r="F17" s="761">
        <v>63.3</v>
      </c>
      <c r="G17" s="761">
        <v>271.98</v>
      </c>
      <c r="H17" s="761">
        <v>361.08</v>
      </c>
      <c r="I17" s="761">
        <v>363.56</v>
      </c>
      <c r="J17" s="761">
        <v>363.56</v>
      </c>
      <c r="K17" s="761">
        <v>368.18</v>
      </c>
      <c r="L17" s="813">
        <v>372.1</v>
      </c>
      <c r="M17" s="761">
        <v>391.01</v>
      </c>
      <c r="N17" s="612">
        <v>391</v>
      </c>
      <c r="O17" s="612">
        <v>391</v>
      </c>
      <c r="P17" s="612">
        <v>391</v>
      </c>
      <c r="Q17" s="612">
        <v>391</v>
      </c>
      <c r="R17" s="612">
        <v>391</v>
      </c>
      <c r="S17" s="612">
        <v>391</v>
      </c>
      <c r="T17" s="612">
        <v>391</v>
      </c>
      <c r="U17" s="612">
        <v>391</v>
      </c>
      <c r="V17" s="612">
        <v>391</v>
      </c>
      <c r="W17" s="612">
        <f>391-65</f>
        <v>326</v>
      </c>
      <c r="X17" s="612">
        <f t="shared" ref="X17:AC17" si="1">391-65</f>
        <v>326</v>
      </c>
      <c r="Y17" s="612">
        <f t="shared" si="1"/>
        <v>326</v>
      </c>
      <c r="Z17" s="612">
        <f t="shared" si="1"/>
        <v>326</v>
      </c>
      <c r="AA17" s="612">
        <f t="shared" si="1"/>
        <v>326</v>
      </c>
      <c r="AB17" s="612">
        <f t="shared" si="1"/>
        <v>326</v>
      </c>
      <c r="AC17" s="612">
        <f t="shared" si="1"/>
        <v>326</v>
      </c>
      <c r="AD17" s="613"/>
      <c r="AE17" s="612"/>
      <c r="AF17" s="613"/>
      <c r="AG17" s="612"/>
      <c r="AH17" s="613"/>
      <c r="AI17" s="612"/>
      <c r="AJ17" s="612"/>
      <c r="AK17" s="613"/>
      <c r="AL17" s="612"/>
      <c r="AM17" s="613"/>
      <c r="AN17" s="612"/>
      <c r="AO17" s="613"/>
      <c r="AP17" s="612"/>
      <c r="AQ17" s="578">
        <f t="shared" si="0"/>
        <v>8355.77</v>
      </c>
      <c r="AR17" s="806">
        <v>11000</v>
      </c>
      <c r="AS17" s="374" t="s">
        <v>596</v>
      </c>
    </row>
    <row r="18" spans="1:45" ht="15" x14ac:dyDescent="0.2">
      <c r="A18" s="350"/>
      <c r="B18" s="284"/>
      <c r="C18" s="174" t="s">
        <v>160</v>
      </c>
      <c r="D18" s="291">
        <v>90</v>
      </c>
      <c r="E18" s="614"/>
      <c r="F18" s="615"/>
      <c r="G18" s="615"/>
      <c r="H18" s="615"/>
      <c r="I18" s="615"/>
      <c r="J18" s="615"/>
      <c r="K18" s="615"/>
      <c r="L18" s="615"/>
      <c r="M18" s="615"/>
      <c r="N18" s="615"/>
      <c r="O18" s="615"/>
      <c r="P18" s="615"/>
      <c r="Q18" s="615"/>
      <c r="R18" s="615"/>
      <c r="S18" s="615"/>
      <c r="T18" s="615"/>
      <c r="U18" s="615"/>
      <c r="V18" s="615"/>
      <c r="W18" s="615"/>
      <c r="X18" s="615"/>
      <c r="Y18" s="615"/>
      <c r="Z18" s="615"/>
      <c r="AA18" s="615"/>
      <c r="AB18" s="615"/>
      <c r="AC18" s="615"/>
      <c r="AD18" s="615"/>
      <c r="AE18" s="615"/>
      <c r="AF18" s="616"/>
      <c r="AG18" s="615"/>
      <c r="AH18" s="616"/>
      <c r="AI18" s="615"/>
      <c r="AJ18" s="615"/>
      <c r="AK18" s="616"/>
      <c r="AL18" s="615"/>
      <c r="AM18" s="616"/>
      <c r="AN18" s="615"/>
      <c r="AO18" s="616"/>
      <c r="AP18" s="615"/>
      <c r="AQ18" s="579">
        <f t="shared" si="0"/>
        <v>0</v>
      </c>
      <c r="AR18" s="819" t="s">
        <v>588</v>
      </c>
      <c r="AS18" s="374" t="s">
        <v>596</v>
      </c>
    </row>
    <row r="19" spans="1:45" ht="15" x14ac:dyDescent="0.2">
      <c r="A19" s="350"/>
      <c r="B19" s="284"/>
      <c r="C19" s="174" t="s">
        <v>158</v>
      </c>
      <c r="D19" s="291">
        <v>75</v>
      </c>
      <c r="E19" s="614"/>
      <c r="F19" s="615"/>
      <c r="G19" s="615"/>
      <c r="H19" s="615"/>
      <c r="I19" s="615"/>
      <c r="J19" s="615"/>
      <c r="K19" s="615"/>
      <c r="L19" s="615"/>
      <c r="M19" s="615"/>
      <c r="N19" s="615"/>
      <c r="O19" s="615"/>
      <c r="P19" s="615"/>
      <c r="Q19" s="615"/>
      <c r="R19" s="615"/>
      <c r="S19" s="615"/>
      <c r="T19" s="615"/>
      <c r="U19" s="615"/>
      <c r="V19" s="615"/>
      <c r="W19" s="615"/>
      <c r="X19" s="615"/>
      <c r="Y19" s="615"/>
      <c r="Z19" s="615"/>
      <c r="AA19" s="615"/>
      <c r="AB19" s="616"/>
      <c r="AC19" s="615"/>
      <c r="AD19" s="615"/>
      <c r="AE19" s="615"/>
      <c r="AF19" s="616"/>
      <c r="AG19" s="615"/>
      <c r="AH19" s="616"/>
      <c r="AI19" s="615"/>
      <c r="AJ19" s="615"/>
      <c r="AK19" s="616"/>
      <c r="AL19" s="615"/>
      <c r="AM19" s="616"/>
      <c r="AN19" s="615"/>
      <c r="AO19" s="616"/>
      <c r="AP19" s="615"/>
      <c r="AQ19" s="579">
        <f t="shared" si="0"/>
        <v>0</v>
      </c>
      <c r="AR19" s="819" t="s">
        <v>588</v>
      </c>
      <c r="AS19" s="374" t="s">
        <v>596</v>
      </c>
    </row>
    <row r="20" spans="1:45" ht="15" x14ac:dyDescent="0.2">
      <c r="A20" s="350"/>
      <c r="B20" s="284"/>
      <c r="C20" s="174" t="s">
        <v>606</v>
      </c>
      <c r="D20" s="291">
        <v>65</v>
      </c>
      <c r="E20" s="614"/>
      <c r="F20" s="615"/>
      <c r="G20" s="615"/>
      <c r="H20" s="615"/>
      <c r="I20" s="615"/>
      <c r="J20" s="615"/>
      <c r="K20" s="615"/>
      <c r="L20" s="615"/>
      <c r="M20" s="615"/>
      <c r="N20" s="615"/>
      <c r="O20" s="615"/>
      <c r="P20" s="615"/>
      <c r="Q20" s="615"/>
      <c r="R20" s="615"/>
      <c r="S20" s="615"/>
      <c r="T20" s="615"/>
      <c r="U20" s="615"/>
      <c r="V20" s="615"/>
      <c r="W20" s="615"/>
      <c r="X20" s="615"/>
      <c r="Y20" s="615"/>
      <c r="Z20" s="615"/>
      <c r="AA20" s="615"/>
      <c r="AB20" s="616"/>
      <c r="AC20" s="615"/>
      <c r="AD20" s="615"/>
      <c r="AE20" s="615"/>
      <c r="AF20" s="616"/>
      <c r="AG20" s="615"/>
      <c r="AH20" s="616"/>
      <c r="AI20" s="615"/>
      <c r="AJ20" s="615"/>
      <c r="AK20" s="616"/>
      <c r="AL20" s="615"/>
      <c r="AM20" s="616"/>
      <c r="AN20" s="615"/>
      <c r="AO20" s="616"/>
      <c r="AP20" s="615"/>
      <c r="AQ20" s="579">
        <f t="shared" si="0"/>
        <v>0</v>
      </c>
      <c r="AR20" s="819" t="s">
        <v>588</v>
      </c>
      <c r="AS20" s="374" t="s">
        <v>596</v>
      </c>
    </row>
    <row r="21" spans="1:45" ht="15" x14ac:dyDescent="0.2">
      <c r="A21" s="350"/>
      <c r="B21" s="284"/>
      <c r="C21" s="174" t="s">
        <v>159</v>
      </c>
      <c r="D21" s="291">
        <v>18</v>
      </c>
      <c r="E21" s="614"/>
      <c r="F21" s="615"/>
      <c r="G21" s="615"/>
      <c r="H21" s="615"/>
      <c r="I21" s="615"/>
      <c r="J21" s="615"/>
      <c r="K21" s="615"/>
      <c r="L21" s="615"/>
      <c r="M21" s="615"/>
      <c r="N21" s="615"/>
      <c r="O21" s="615"/>
      <c r="P21" s="615"/>
      <c r="Q21" s="615">
        <f>3*18</f>
        <v>54</v>
      </c>
      <c r="R21" s="615">
        <f>6*18</f>
        <v>108</v>
      </c>
      <c r="S21" s="615">
        <f t="shared" ref="S21:AC21" si="2">18*8</f>
        <v>144</v>
      </c>
      <c r="T21" s="615">
        <f t="shared" si="2"/>
        <v>144</v>
      </c>
      <c r="U21" s="615">
        <f t="shared" si="2"/>
        <v>144</v>
      </c>
      <c r="V21" s="615">
        <f t="shared" si="2"/>
        <v>144</v>
      </c>
      <c r="W21" s="615">
        <f t="shared" si="2"/>
        <v>144</v>
      </c>
      <c r="X21" s="615">
        <f t="shared" si="2"/>
        <v>144</v>
      </c>
      <c r="Y21" s="615">
        <f t="shared" si="2"/>
        <v>144</v>
      </c>
      <c r="Z21" s="615">
        <f t="shared" si="2"/>
        <v>144</v>
      </c>
      <c r="AA21" s="615">
        <f t="shared" si="2"/>
        <v>144</v>
      </c>
      <c r="AB21" s="615">
        <f t="shared" si="2"/>
        <v>144</v>
      </c>
      <c r="AC21" s="615">
        <f t="shared" si="2"/>
        <v>144</v>
      </c>
      <c r="AD21" s="615"/>
      <c r="AE21" s="615"/>
      <c r="AF21" s="616"/>
      <c r="AG21" s="615"/>
      <c r="AH21" s="616"/>
      <c r="AI21" s="615"/>
      <c r="AJ21" s="615"/>
      <c r="AK21" s="616"/>
      <c r="AL21" s="615"/>
      <c r="AM21" s="616"/>
      <c r="AN21" s="615"/>
      <c r="AO21" s="616"/>
      <c r="AP21" s="615"/>
      <c r="AQ21" s="579">
        <f t="shared" si="0"/>
        <v>1746</v>
      </c>
      <c r="AR21" s="819" t="s">
        <v>588</v>
      </c>
      <c r="AS21" s="374" t="s">
        <v>596</v>
      </c>
    </row>
    <row r="22" spans="1:45" ht="15" x14ac:dyDescent="0.2">
      <c r="A22" s="350"/>
      <c r="B22" s="284"/>
      <c r="C22" s="174" t="s">
        <v>161</v>
      </c>
      <c r="D22" s="291">
        <v>12</v>
      </c>
      <c r="E22" s="614"/>
      <c r="F22" s="615"/>
      <c r="G22" s="615"/>
      <c r="H22" s="615"/>
      <c r="I22" s="615"/>
      <c r="J22" s="615"/>
      <c r="K22" s="615"/>
      <c r="L22" s="615"/>
      <c r="M22" s="615"/>
      <c r="N22" s="615"/>
      <c r="O22" s="615"/>
      <c r="P22" s="615"/>
      <c r="Q22" s="615"/>
      <c r="R22" s="615"/>
      <c r="S22" s="615"/>
      <c r="T22" s="615"/>
      <c r="U22" s="615"/>
      <c r="V22" s="615"/>
      <c r="W22" s="615"/>
      <c r="X22" s="615"/>
      <c r="Y22" s="615"/>
      <c r="Z22" s="615"/>
      <c r="AA22" s="615"/>
      <c r="AB22" s="615"/>
      <c r="AC22" s="615"/>
      <c r="AD22" s="615"/>
      <c r="AE22" s="615"/>
      <c r="AF22" s="616"/>
      <c r="AG22" s="615"/>
      <c r="AH22" s="616"/>
      <c r="AI22" s="615"/>
      <c r="AJ22" s="615"/>
      <c r="AK22" s="616"/>
      <c r="AL22" s="615"/>
      <c r="AM22" s="616"/>
      <c r="AN22" s="615"/>
      <c r="AO22" s="616"/>
      <c r="AP22" s="615"/>
      <c r="AQ22" s="579">
        <f t="shared" si="0"/>
        <v>0</v>
      </c>
      <c r="AR22" s="819" t="s">
        <v>588</v>
      </c>
      <c r="AS22" s="374" t="s">
        <v>596</v>
      </c>
    </row>
    <row r="23" spans="1:45" ht="15" x14ac:dyDescent="0.2">
      <c r="A23" s="350"/>
      <c r="B23" s="284"/>
      <c r="C23" s="174" t="s">
        <v>162</v>
      </c>
      <c r="D23" s="291">
        <v>75</v>
      </c>
      <c r="E23" s="614"/>
      <c r="F23" s="615"/>
      <c r="G23" s="615"/>
      <c r="H23" s="615"/>
      <c r="I23" s="615"/>
      <c r="J23" s="615"/>
      <c r="K23" s="615"/>
      <c r="L23" s="615"/>
      <c r="M23" s="615"/>
      <c r="N23" s="615"/>
      <c r="O23" s="615"/>
      <c r="P23" s="615"/>
      <c r="Q23" s="615"/>
      <c r="R23" s="615"/>
      <c r="S23" s="615"/>
      <c r="T23" s="615"/>
      <c r="U23" s="615"/>
      <c r="V23" s="615"/>
      <c r="W23" s="615"/>
      <c r="X23" s="615"/>
      <c r="Y23" s="615"/>
      <c r="Z23" s="615"/>
      <c r="AA23" s="615"/>
      <c r="AB23" s="615"/>
      <c r="AC23" s="615"/>
      <c r="AD23" s="615"/>
      <c r="AE23" s="615"/>
      <c r="AF23" s="616"/>
      <c r="AG23" s="615"/>
      <c r="AH23" s="616"/>
      <c r="AI23" s="615"/>
      <c r="AJ23" s="615"/>
      <c r="AK23" s="616"/>
      <c r="AL23" s="615"/>
      <c r="AM23" s="616"/>
      <c r="AN23" s="615"/>
      <c r="AO23" s="616"/>
      <c r="AP23" s="615"/>
      <c r="AQ23" s="579">
        <f t="shared" si="0"/>
        <v>0</v>
      </c>
      <c r="AR23" s="819" t="s">
        <v>588</v>
      </c>
      <c r="AS23" s="374" t="s">
        <v>596</v>
      </c>
    </row>
    <row r="24" spans="1:45" ht="15" x14ac:dyDescent="0.2">
      <c r="A24" s="350"/>
      <c r="B24" s="284"/>
      <c r="C24" s="174" t="s">
        <v>607</v>
      </c>
      <c r="D24" s="291">
        <v>8</v>
      </c>
      <c r="E24" s="614"/>
      <c r="F24" s="615"/>
      <c r="G24" s="615"/>
      <c r="H24" s="615"/>
      <c r="I24" s="615"/>
      <c r="J24" s="615"/>
      <c r="K24" s="615"/>
      <c r="L24" s="615"/>
      <c r="M24" s="615"/>
      <c r="N24" s="615"/>
      <c r="O24" s="615"/>
      <c r="P24" s="615"/>
      <c r="Q24" s="615"/>
      <c r="R24" s="615"/>
      <c r="S24" s="615"/>
      <c r="T24" s="615"/>
      <c r="U24" s="615"/>
      <c r="V24" s="615"/>
      <c r="W24" s="615"/>
      <c r="X24" s="615"/>
      <c r="Y24" s="615"/>
      <c r="Z24" s="615"/>
      <c r="AA24" s="615"/>
      <c r="AB24" s="615"/>
      <c r="AC24" s="615"/>
      <c r="AD24" s="615"/>
      <c r="AE24" s="615"/>
      <c r="AF24" s="616"/>
      <c r="AG24" s="615"/>
      <c r="AH24" s="616"/>
      <c r="AI24" s="615"/>
      <c r="AJ24" s="615"/>
      <c r="AK24" s="616"/>
      <c r="AL24" s="615"/>
      <c r="AM24" s="616"/>
      <c r="AN24" s="615"/>
      <c r="AO24" s="616"/>
      <c r="AP24" s="615"/>
      <c r="AQ24" s="579">
        <f t="shared" si="0"/>
        <v>0</v>
      </c>
      <c r="AR24" s="819" t="s">
        <v>588</v>
      </c>
      <c r="AS24" s="374" t="s">
        <v>596</v>
      </c>
    </row>
    <row r="25" spans="1:45" ht="15" x14ac:dyDescent="0.2">
      <c r="A25" s="352"/>
      <c r="B25" s="286"/>
      <c r="C25" s="175" t="s">
        <v>163</v>
      </c>
      <c r="D25" s="292"/>
      <c r="E25" s="617"/>
      <c r="F25" s="618"/>
      <c r="G25" s="618"/>
      <c r="H25" s="618"/>
      <c r="I25" s="618"/>
      <c r="J25" s="618"/>
      <c r="K25" s="618"/>
      <c r="L25" s="618"/>
      <c r="M25" s="618"/>
      <c r="N25" s="618"/>
      <c r="O25" s="618"/>
      <c r="P25" s="618"/>
      <c r="Q25" s="618"/>
      <c r="R25" s="618"/>
      <c r="S25" s="618"/>
      <c r="T25" s="618"/>
      <c r="U25" s="618"/>
      <c r="V25" s="618"/>
      <c r="W25" s="618"/>
      <c r="X25" s="618"/>
      <c r="Y25" s="618"/>
      <c r="Z25" s="618"/>
      <c r="AA25" s="618"/>
      <c r="AB25" s="618"/>
      <c r="AC25" s="618"/>
      <c r="AD25" s="618"/>
      <c r="AE25" s="618"/>
      <c r="AF25" s="619"/>
      <c r="AG25" s="618"/>
      <c r="AH25" s="619"/>
      <c r="AI25" s="618"/>
      <c r="AJ25" s="618"/>
      <c r="AK25" s="619"/>
      <c r="AL25" s="618"/>
      <c r="AM25" s="619"/>
      <c r="AN25" s="618"/>
      <c r="AO25" s="619"/>
      <c r="AP25" s="618"/>
      <c r="AQ25" s="581">
        <f t="shared" si="0"/>
        <v>0</v>
      </c>
      <c r="AR25" s="818" t="s">
        <v>588</v>
      </c>
      <c r="AS25" s="374" t="s">
        <v>596</v>
      </c>
    </row>
    <row r="26" spans="1:45" ht="15" x14ac:dyDescent="0.2">
      <c r="A26" s="376">
        <v>2176000</v>
      </c>
      <c r="B26" s="302">
        <v>6000415</v>
      </c>
      <c r="C26" s="303" t="s">
        <v>176</v>
      </c>
      <c r="D26" s="304"/>
      <c r="E26" s="620"/>
      <c r="F26" s="762">
        <v>1653.75</v>
      </c>
      <c r="G26" s="762">
        <v>1008</v>
      </c>
      <c r="H26" s="762">
        <v>1071</v>
      </c>
      <c r="I26" s="762">
        <v>0</v>
      </c>
      <c r="J26" s="762">
        <v>252</v>
      </c>
      <c r="K26" s="762">
        <v>614.25</v>
      </c>
      <c r="L26" s="621"/>
      <c r="M26" s="621"/>
      <c r="N26" s="621">
        <v>500</v>
      </c>
      <c r="O26" s="621">
        <v>500</v>
      </c>
      <c r="P26" s="621">
        <v>500</v>
      </c>
      <c r="Q26" s="621">
        <v>500</v>
      </c>
      <c r="R26" s="621">
        <v>500</v>
      </c>
      <c r="S26" s="621">
        <v>500</v>
      </c>
      <c r="T26" s="621">
        <v>500</v>
      </c>
      <c r="U26" s="621">
        <v>500</v>
      </c>
      <c r="V26" s="621">
        <v>500</v>
      </c>
      <c r="W26" s="621">
        <v>500</v>
      </c>
      <c r="X26" s="621">
        <v>500</v>
      </c>
      <c r="Y26" s="621">
        <v>500</v>
      </c>
      <c r="Z26" s="621">
        <v>500</v>
      </c>
      <c r="AA26" s="621">
        <v>500</v>
      </c>
      <c r="AB26" s="621">
        <v>500</v>
      </c>
      <c r="AC26" s="621">
        <v>500</v>
      </c>
      <c r="AD26" s="622"/>
      <c r="AE26" s="621"/>
      <c r="AF26" s="622"/>
      <c r="AG26" s="621"/>
      <c r="AH26" s="622"/>
      <c r="AI26" s="621"/>
      <c r="AJ26" s="621"/>
      <c r="AK26" s="622"/>
      <c r="AL26" s="621"/>
      <c r="AM26" s="622"/>
      <c r="AN26" s="621"/>
      <c r="AO26" s="622"/>
      <c r="AP26" s="621"/>
      <c r="AQ26" s="589">
        <f t="shared" si="0"/>
        <v>12599</v>
      </c>
      <c r="AR26" s="820">
        <v>15000</v>
      </c>
      <c r="AS26" s="374" t="s">
        <v>596</v>
      </c>
    </row>
    <row r="27" spans="1:45" ht="15" x14ac:dyDescent="0.2">
      <c r="A27" s="375">
        <v>2175000</v>
      </c>
      <c r="B27" s="282">
        <v>6115000</v>
      </c>
      <c r="C27" s="271" t="s">
        <v>175</v>
      </c>
      <c r="D27" s="293"/>
      <c r="E27" s="611"/>
      <c r="F27" s="612"/>
      <c r="G27" s="612"/>
      <c r="H27" s="612"/>
      <c r="I27" s="612"/>
      <c r="J27" s="612"/>
      <c r="K27" s="612"/>
      <c r="L27" s="612"/>
      <c r="M27" s="612"/>
      <c r="N27" s="612"/>
      <c r="O27" s="612"/>
      <c r="P27" s="612"/>
      <c r="Q27" s="612"/>
      <c r="R27" s="612"/>
      <c r="S27" s="612"/>
      <c r="T27" s="612"/>
      <c r="U27" s="612"/>
      <c r="V27" s="612"/>
      <c r="W27" s="612"/>
      <c r="X27" s="612"/>
      <c r="Y27" s="612"/>
      <c r="Z27" s="612"/>
      <c r="AA27" s="612"/>
      <c r="AB27" s="613"/>
      <c r="AC27" s="612"/>
      <c r="AD27" s="613"/>
      <c r="AE27" s="612"/>
      <c r="AF27" s="613"/>
      <c r="AG27" s="612"/>
      <c r="AH27" s="613"/>
      <c r="AI27" s="612"/>
      <c r="AJ27" s="612"/>
      <c r="AK27" s="613"/>
      <c r="AL27" s="612"/>
      <c r="AM27" s="613"/>
      <c r="AN27" s="612"/>
      <c r="AO27" s="613"/>
      <c r="AP27" s="612"/>
      <c r="AQ27" s="578">
        <f t="shared" si="0"/>
        <v>0</v>
      </c>
      <c r="AR27" s="806">
        <v>22000</v>
      </c>
      <c r="AS27" s="374" t="s">
        <v>596</v>
      </c>
    </row>
    <row r="28" spans="1:45" ht="15" x14ac:dyDescent="0.2">
      <c r="A28" s="350"/>
      <c r="B28" s="284"/>
      <c r="C28" s="300" t="s">
        <v>600</v>
      </c>
      <c r="D28" s="291">
        <v>480</v>
      </c>
      <c r="E28" s="614"/>
      <c r="F28" s="615"/>
      <c r="G28" s="615"/>
      <c r="H28" s="615"/>
      <c r="I28" s="615"/>
      <c r="J28" s="615"/>
      <c r="K28" s="615"/>
      <c r="L28" s="615"/>
      <c r="M28" s="615"/>
      <c r="N28" s="615"/>
      <c r="O28" s="615"/>
      <c r="P28" s="615"/>
      <c r="Q28" s="615"/>
      <c r="R28" s="615"/>
      <c r="S28" s="615"/>
      <c r="T28" s="615"/>
      <c r="U28" s="615"/>
      <c r="V28" s="615"/>
      <c r="W28" s="615"/>
      <c r="X28" s="615"/>
      <c r="Y28" s="615"/>
      <c r="Z28" s="615"/>
      <c r="AA28" s="615"/>
      <c r="AB28" s="616"/>
      <c r="AC28" s="615">
        <f>6150+1200</f>
        <v>7350</v>
      </c>
      <c r="AD28" s="616"/>
      <c r="AE28" s="615"/>
      <c r="AF28" s="616"/>
      <c r="AG28" s="615"/>
      <c r="AH28" s="616"/>
      <c r="AI28" s="615"/>
      <c r="AJ28" s="615"/>
      <c r="AK28" s="616"/>
      <c r="AL28" s="615"/>
      <c r="AM28" s="616"/>
      <c r="AN28" s="615"/>
      <c r="AO28" s="616"/>
      <c r="AP28" s="615"/>
      <c r="AQ28" s="579">
        <f t="shared" si="0"/>
        <v>7350</v>
      </c>
      <c r="AR28" s="819" t="s">
        <v>588</v>
      </c>
      <c r="AS28" s="374" t="s">
        <v>596</v>
      </c>
    </row>
    <row r="29" spans="1:45" ht="15" x14ac:dyDescent="0.2">
      <c r="A29" s="352"/>
      <c r="B29" s="286"/>
      <c r="C29" s="301" t="s">
        <v>731</v>
      </c>
      <c r="D29" s="292">
        <v>8000</v>
      </c>
      <c r="E29" s="617"/>
      <c r="F29" s="618"/>
      <c r="G29" s="618"/>
      <c r="H29" s="618"/>
      <c r="I29" s="618">
        <v>6000</v>
      </c>
      <c r="J29" s="618"/>
      <c r="K29" s="618"/>
      <c r="L29" s="618"/>
      <c r="M29" s="618"/>
      <c r="N29" s="618"/>
      <c r="O29" s="618"/>
      <c r="P29" s="618"/>
      <c r="Q29" s="618"/>
      <c r="R29" s="618"/>
      <c r="T29" s="618"/>
      <c r="U29" s="618"/>
      <c r="V29" s="618">
        <v>7000</v>
      </c>
      <c r="W29" s="618"/>
      <c r="X29" s="618"/>
      <c r="Y29" s="618"/>
      <c r="Z29" s="618"/>
      <c r="AA29" s="618"/>
      <c r="AB29" s="619"/>
      <c r="AC29" s="618"/>
      <c r="AD29" s="619"/>
      <c r="AE29" s="618"/>
      <c r="AF29" s="619"/>
      <c r="AG29" s="618"/>
      <c r="AH29" s="619"/>
      <c r="AI29" s="618"/>
      <c r="AJ29" s="618"/>
      <c r="AK29" s="619"/>
      <c r="AL29" s="618"/>
      <c r="AM29" s="619"/>
      <c r="AN29" s="618"/>
      <c r="AO29" s="619"/>
      <c r="AP29" s="618"/>
      <c r="AQ29" s="581">
        <f t="shared" si="0"/>
        <v>13000</v>
      </c>
      <c r="AR29" s="818" t="s">
        <v>588</v>
      </c>
      <c r="AS29" s="374" t="s">
        <v>596</v>
      </c>
    </row>
    <row r="30" spans="1:45" ht="15" x14ac:dyDescent="0.2">
      <c r="A30" s="375">
        <v>2152000</v>
      </c>
      <c r="B30" s="282">
        <v>6135004</v>
      </c>
      <c r="C30" s="271" t="s">
        <v>169</v>
      </c>
      <c r="D30" s="293"/>
      <c r="E30" s="611"/>
      <c r="F30" s="612"/>
      <c r="G30" s="612"/>
      <c r="H30" s="612"/>
      <c r="I30" s="612"/>
      <c r="J30" s="612"/>
      <c r="K30" s="612"/>
      <c r="L30" s="612"/>
      <c r="M30" s="612"/>
      <c r="N30" s="612"/>
      <c r="O30" s="612"/>
      <c r="P30" s="612"/>
      <c r="Q30" s="612"/>
      <c r="R30" s="612"/>
      <c r="S30" s="612"/>
      <c r="T30" s="612"/>
      <c r="U30" s="612"/>
      <c r="V30" s="612"/>
      <c r="W30" s="612"/>
      <c r="X30" s="612"/>
      <c r="Y30" s="612"/>
      <c r="Z30" s="612"/>
      <c r="AA30" s="612"/>
      <c r="AB30" s="613"/>
      <c r="AC30" s="612"/>
      <c r="AD30" s="613"/>
      <c r="AE30" s="612"/>
      <c r="AF30" s="613"/>
      <c r="AG30" s="612"/>
      <c r="AH30" s="613"/>
      <c r="AI30" s="612"/>
      <c r="AJ30" s="612"/>
      <c r="AK30" s="613"/>
      <c r="AL30" s="612"/>
      <c r="AM30" s="613"/>
      <c r="AN30" s="612"/>
      <c r="AO30" s="613"/>
      <c r="AP30" s="612"/>
      <c r="AQ30" s="578">
        <f t="shared" si="0"/>
        <v>0</v>
      </c>
      <c r="AR30" s="806">
        <v>47000</v>
      </c>
      <c r="AS30" s="374" t="s">
        <v>596</v>
      </c>
    </row>
    <row r="31" spans="1:45" ht="15" x14ac:dyDescent="0.2">
      <c r="A31" s="350"/>
      <c r="B31" s="284"/>
      <c r="C31" s="300" t="s">
        <v>170</v>
      </c>
      <c r="D31" s="291">
        <v>120</v>
      </c>
      <c r="E31" s="614"/>
      <c r="F31" s="759">
        <v>6790.67</v>
      </c>
      <c r="G31" s="759">
        <f>298.05+1624</f>
        <v>1922.05</v>
      </c>
      <c r="H31" s="759">
        <f>1624+337.38</f>
        <v>1961.38</v>
      </c>
      <c r="I31" s="759">
        <v>1624</v>
      </c>
      <c r="J31" s="759">
        <v>1624</v>
      </c>
      <c r="K31" s="759">
        <v>1624</v>
      </c>
      <c r="L31" s="759">
        <v>1624</v>
      </c>
      <c r="M31" s="759">
        <v>1624</v>
      </c>
      <c r="N31" s="615">
        <v>1624</v>
      </c>
      <c r="O31" s="615">
        <v>1624</v>
      </c>
      <c r="P31" s="615">
        <v>1624</v>
      </c>
      <c r="Q31" s="615">
        <v>1624</v>
      </c>
      <c r="R31" s="615">
        <v>1624</v>
      </c>
      <c r="S31" s="615">
        <v>1624</v>
      </c>
      <c r="T31" s="615">
        <v>1624</v>
      </c>
      <c r="U31" s="615">
        <v>1624</v>
      </c>
      <c r="V31" s="615">
        <v>1624</v>
      </c>
      <c r="W31" s="615">
        <v>1624</v>
      </c>
      <c r="X31" s="615">
        <v>1624</v>
      </c>
      <c r="Y31" s="615">
        <v>1624</v>
      </c>
      <c r="Z31" s="615">
        <v>1624</v>
      </c>
      <c r="AA31" s="615">
        <v>1624</v>
      </c>
      <c r="AB31" s="615">
        <v>1624</v>
      </c>
      <c r="AC31" s="615">
        <v>1624</v>
      </c>
      <c r="AD31" s="615"/>
      <c r="AE31" s="615"/>
      <c r="AF31" s="616"/>
      <c r="AG31" s="615"/>
      <c r="AH31" s="616"/>
      <c r="AI31" s="615"/>
      <c r="AJ31" s="615"/>
      <c r="AK31" s="616"/>
      <c r="AL31" s="615"/>
      <c r="AM31" s="616"/>
      <c r="AN31" s="615"/>
      <c r="AO31" s="616"/>
      <c r="AP31" s="615"/>
      <c r="AQ31" s="579">
        <f t="shared" si="0"/>
        <v>44778.1</v>
      </c>
      <c r="AR31" s="819" t="s">
        <v>588</v>
      </c>
      <c r="AS31" s="374" t="s">
        <v>596</v>
      </c>
    </row>
    <row r="32" spans="1:45" ht="15" x14ac:dyDescent="0.2">
      <c r="A32" s="352"/>
      <c r="B32" s="286"/>
      <c r="C32" s="301" t="s">
        <v>171</v>
      </c>
      <c r="D32" s="292">
        <v>800</v>
      </c>
      <c r="E32" s="617"/>
      <c r="F32" s="618"/>
      <c r="G32" s="618"/>
      <c r="H32" s="618"/>
      <c r="I32" s="618"/>
      <c r="J32" s="618"/>
      <c r="K32" s="618"/>
      <c r="L32" s="618"/>
      <c r="M32" s="618"/>
      <c r="N32" s="618"/>
      <c r="O32" s="618"/>
      <c r="P32" s="618"/>
      <c r="Q32" s="618"/>
      <c r="R32" s="618"/>
      <c r="S32" s="618"/>
      <c r="T32" s="618"/>
      <c r="U32" s="618"/>
      <c r="V32" s="618"/>
      <c r="W32" s="618"/>
      <c r="X32" s="618"/>
      <c r="Y32" s="618"/>
      <c r="Z32" s="618"/>
      <c r="AA32" s="618"/>
      <c r="AB32" s="619"/>
      <c r="AC32" s="618"/>
      <c r="AD32" s="619"/>
      <c r="AE32" s="618"/>
      <c r="AF32" s="619"/>
      <c r="AG32" s="618"/>
      <c r="AH32" s="619"/>
      <c r="AI32" s="618"/>
      <c r="AJ32" s="618"/>
      <c r="AK32" s="619"/>
      <c r="AL32" s="618"/>
      <c r="AM32" s="619"/>
      <c r="AN32" s="618"/>
      <c r="AO32" s="619"/>
      <c r="AP32" s="618"/>
      <c r="AQ32" s="581">
        <f t="shared" si="0"/>
        <v>0</v>
      </c>
      <c r="AR32" s="818" t="s">
        <v>588</v>
      </c>
      <c r="AS32" s="374" t="s">
        <v>596</v>
      </c>
    </row>
    <row r="33" spans="1:45" ht="15" x14ac:dyDescent="0.2">
      <c r="A33" s="375">
        <v>2150000</v>
      </c>
      <c r="B33" s="282"/>
      <c r="C33" s="271" t="s">
        <v>165</v>
      </c>
      <c r="D33" s="293"/>
      <c r="E33" s="611"/>
      <c r="F33" s="612"/>
      <c r="G33" s="612"/>
      <c r="H33" s="612"/>
      <c r="I33" s="612"/>
      <c r="J33" s="612"/>
      <c r="K33" s="612"/>
      <c r="L33" s="612"/>
      <c r="M33" s="612"/>
      <c r="N33" s="612"/>
      <c r="O33" s="612"/>
      <c r="P33" s="612"/>
      <c r="Q33" s="612"/>
      <c r="R33" s="612"/>
      <c r="S33" s="612"/>
      <c r="T33" s="612"/>
      <c r="U33" s="612"/>
      <c r="V33" s="612"/>
      <c r="W33" s="612"/>
      <c r="X33" s="612"/>
      <c r="Y33" s="612"/>
      <c r="Z33" s="612"/>
      <c r="AA33" s="612"/>
      <c r="AB33" s="613"/>
      <c r="AC33" s="612"/>
      <c r="AD33" s="613"/>
      <c r="AE33" s="612"/>
      <c r="AF33" s="613"/>
      <c r="AG33" s="612"/>
      <c r="AH33" s="613"/>
      <c r="AI33" s="612"/>
      <c r="AJ33" s="612"/>
      <c r="AK33" s="613"/>
      <c r="AL33" s="612"/>
      <c r="AM33" s="613"/>
      <c r="AN33" s="612"/>
      <c r="AO33" s="613"/>
      <c r="AP33" s="612"/>
      <c r="AQ33" s="578">
        <f t="shared" si="0"/>
        <v>0</v>
      </c>
      <c r="AR33" s="806">
        <v>10000</v>
      </c>
      <c r="AS33" s="374" t="s">
        <v>596</v>
      </c>
    </row>
    <row r="34" spans="1:45" ht="15" x14ac:dyDescent="0.2">
      <c r="A34" s="350"/>
      <c r="B34" s="284">
        <v>6135005</v>
      </c>
      <c r="C34" s="300" t="s">
        <v>166</v>
      </c>
      <c r="D34" s="291"/>
      <c r="E34" s="614"/>
      <c r="F34" s="615"/>
      <c r="G34" s="615"/>
      <c r="H34" s="615"/>
      <c r="I34" s="759">
        <v>3922</v>
      </c>
      <c r="J34" s="759">
        <v>3360</v>
      </c>
      <c r="K34" s="615"/>
      <c r="L34" s="615"/>
      <c r="M34" s="615"/>
      <c r="N34" s="615"/>
      <c r="O34" s="615"/>
      <c r="P34" s="615"/>
      <c r="Q34" s="615"/>
      <c r="R34" s="615"/>
      <c r="T34" s="615"/>
      <c r="U34" s="615"/>
      <c r="V34" s="615"/>
      <c r="W34" s="615"/>
      <c r="X34" s="615"/>
      <c r="Y34" s="615"/>
      <c r="Z34" s="615"/>
      <c r="AA34" s="615"/>
      <c r="AB34" s="616"/>
      <c r="AC34" s="615"/>
      <c r="AD34" s="616"/>
      <c r="AE34" s="615"/>
      <c r="AF34" s="616"/>
      <c r="AG34" s="615"/>
      <c r="AH34" s="616"/>
      <c r="AI34" s="615"/>
      <c r="AJ34" s="615"/>
      <c r="AK34" s="616"/>
      <c r="AL34" s="615"/>
      <c r="AM34" s="616"/>
      <c r="AN34" s="615"/>
      <c r="AO34" s="616"/>
      <c r="AP34" s="615"/>
      <c r="AQ34" s="579">
        <f t="shared" si="0"/>
        <v>7282</v>
      </c>
      <c r="AR34" s="819" t="s">
        <v>588</v>
      </c>
      <c r="AS34" s="374" t="s">
        <v>596</v>
      </c>
    </row>
    <row r="35" spans="1:45" ht="15" x14ac:dyDescent="0.2">
      <c r="A35" s="350"/>
      <c r="B35" s="284">
        <v>6135006</v>
      </c>
      <c r="C35" s="300" t="s">
        <v>167</v>
      </c>
      <c r="D35" s="291"/>
      <c r="E35" s="614"/>
      <c r="F35" s="615"/>
      <c r="G35" s="615"/>
      <c r="H35" s="615"/>
      <c r="I35" s="615"/>
      <c r="J35" s="615"/>
      <c r="K35" s="615"/>
      <c r="L35" s="615"/>
      <c r="M35" s="615"/>
      <c r="N35" s="615"/>
      <c r="O35" s="615"/>
      <c r="P35" s="615"/>
      <c r="Q35" s="615"/>
      <c r="R35" s="615"/>
      <c r="S35" s="615"/>
      <c r="T35" s="615"/>
      <c r="U35" s="615"/>
      <c r="V35" s="615"/>
      <c r="W35" s="615"/>
      <c r="X35" s="615"/>
      <c r="Y35" s="615"/>
      <c r="Z35" s="615"/>
      <c r="AA35" s="615"/>
      <c r="AB35" s="616"/>
      <c r="AC35" s="615"/>
      <c r="AD35" s="616"/>
      <c r="AE35" s="615"/>
      <c r="AF35" s="616"/>
      <c r="AG35" s="615"/>
      <c r="AH35" s="616"/>
      <c r="AI35" s="615"/>
      <c r="AJ35" s="615"/>
      <c r="AK35" s="616"/>
      <c r="AL35" s="615"/>
      <c r="AM35" s="616"/>
      <c r="AN35" s="615"/>
      <c r="AO35" s="616"/>
      <c r="AP35" s="615"/>
      <c r="AQ35" s="579">
        <f t="shared" si="0"/>
        <v>0</v>
      </c>
      <c r="AR35" s="819" t="s">
        <v>588</v>
      </c>
      <c r="AS35" s="374" t="s">
        <v>596</v>
      </c>
    </row>
    <row r="36" spans="1:45" ht="15" x14ac:dyDescent="0.2">
      <c r="A36" s="352"/>
      <c r="B36" s="286"/>
      <c r="C36" s="301" t="s">
        <v>168</v>
      </c>
      <c r="D36" s="292">
        <v>1430</v>
      </c>
      <c r="E36" s="617"/>
      <c r="F36" s="618"/>
      <c r="G36" s="618"/>
      <c r="H36" s="618"/>
      <c r="I36" s="799"/>
      <c r="J36" s="618"/>
      <c r="K36" s="618"/>
      <c r="L36" s="618"/>
      <c r="M36" s="618"/>
      <c r="N36" s="618"/>
      <c r="O36" s="618"/>
      <c r="P36" s="618"/>
      <c r="Q36" s="618"/>
      <c r="R36" s="618"/>
      <c r="S36" s="618"/>
      <c r="T36" s="618"/>
      <c r="U36" s="618"/>
      <c r="V36" s="618"/>
      <c r="W36" s="618"/>
      <c r="X36" s="618"/>
      <c r="Y36" s="618"/>
      <c r="Z36" s="618"/>
      <c r="AA36" s="618"/>
      <c r="AB36" s="619"/>
      <c r="AC36" s="618"/>
      <c r="AD36" s="619"/>
      <c r="AE36" s="618"/>
      <c r="AF36" s="619"/>
      <c r="AG36" s="618"/>
      <c r="AH36" s="619"/>
      <c r="AI36" s="618"/>
      <c r="AJ36" s="618"/>
      <c r="AK36" s="619"/>
      <c r="AL36" s="618"/>
      <c r="AM36" s="619"/>
      <c r="AN36" s="618"/>
      <c r="AO36" s="619"/>
      <c r="AP36" s="618"/>
      <c r="AQ36" s="581">
        <f t="shared" si="0"/>
        <v>0</v>
      </c>
      <c r="AR36" s="818" t="s">
        <v>588</v>
      </c>
      <c r="AS36" s="374" t="s">
        <v>596</v>
      </c>
    </row>
    <row r="37" spans="1:45" ht="15" x14ac:dyDescent="0.2">
      <c r="A37" s="375">
        <v>2160000</v>
      </c>
      <c r="B37" s="282"/>
      <c r="C37" s="271" t="s">
        <v>172</v>
      </c>
      <c r="D37" s="293"/>
      <c r="E37" s="611"/>
      <c r="F37" s="612"/>
      <c r="G37" s="612"/>
      <c r="H37" s="612"/>
      <c r="I37" s="612"/>
      <c r="J37" s="612"/>
      <c r="K37" s="612"/>
      <c r="L37" s="612"/>
      <c r="M37" s="612"/>
      <c r="N37" s="612"/>
      <c r="O37" s="612"/>
      <c r="P37" s="612"/>
      <c r="Q37" s="612"/>
      <c r="R37" s="612"/>
      <c r="S37" s="612"/>
      <c r="T37" s="612"/>
      <c r="U37" s="612"/>
      <c r="V37" s="612"/>
      <c r="W37" s="612"/>
      <c r="X37" s="612"/>
      <c r="Y37" s="612"/>
      <c r="Z37" s="612"/>
      <c r="AA37" s="612"/>
      <c r="AB37" s="613"/>
      <c r="AC37" s="612"/>
      <c r="AD37" s="613"/>
      <c r="AE37" s="612"/>
      <c r="AF37" s="613"/>
      <c r="AG37" s="612"/>
      <c r="AH37" s="613"/>
      <c r="AI37" s="612"/>
      <c r="AJ37" s="612"/>
      <c r="AK37" s="613"/>
      <c r="AL37" s="612"/>
      <c r="AM37" s="613"/>
      <c r="AN37" s="612"/>
      <c r="AO37" s="613"/>
      <c r="AP37" s="612"/>
      <c r="AQ37" s="578">
        <f t="shared" si="0"/>
        <v>0</v>
      </c>
      <c r="AR37" s="806">
        <v>11000</v>
      </c>
      <c r="AS37" s="374" t="s">
        <v>596</v>
      </c>
    </row>
    <row r="38" spans="1:45" ht="15" x14ac:dyDescent="0.2">
      <c r="A38" s="350"/>
      <c r="B38" s="284">
        <v>6155000</v>
      </c>
      <c r="C38" s="300" t="s">
        <v>173</v>
      </c>
      <c r="D38" s="305"/>
      <c r="E38" s="614"/>
      <c r="F38" s="615"/>
      <c r="G38" s="615"/>
      <c r="H38" s="615"/>
      <c r="I38" s="615"/>
      <c r="J38" s="615"/>
      <c r="K38" s="759">
        <v>314</v>
      </c>
      <c r="L38" s="759">
        <v>252</v>
      </c>
      <c r="M38" s="759">
        <v>500</v>
      </c>
      <c r="N38" s="615">
        <v>150</v>
      </c>
      <c r="O38" s="615">
        <v>150</v>
      </c>
      <c r="P38" s="615">
        <v>150</v>
      </c>
      <c r="Q38" s="615">
        <v>150</v>
      </c>
      <c r="R38" s="615">
        <v>150</v>
      </c>
      <c r="S38" s="615">
        <v>150</v>
      </c>
      <c r="T38" s="615">
        <v>150</v>
      </c>
      <c r="U38" s="615">
        <v>150</v>
      </c>
      <c r="V38" s="615">
        <v>150</v>
      </c>
      <c r="W38" s="615">
        <v>150</v>
      </c>
      <c r="X38" s="615">
        <v>150</v>
      </c>
      <c r="Y38" s="615">
        <v>150</v>
      </c>
      <c r="Z38" s="615">
        <v>150</v>
      </c>
      <c r="AA38" s="615">
        <v>150</v>
      </c>
      <c r="AB38" s="615">
        <v>150</v>
      </c>
      <c r="AC38" s="615">
        <v>150</v>
      </c>
      <c r="AD38" s="615">
        <v>150</v>
      </c>
      <c r="AE38" s="615">
        <v>150</v>
      </c>
      <c r="AF38" s="615">
        <v>150</v>
      </c>
      <c r="AG38" s="615"/>
      <c r="AH38" s="616"/>
      <c r="AI38" s="615"/>
      <c r="AJ38" s="615"/>
      <c r="AK38" s="616"/>
      <c r="AL38" s="615"/>
      <c r="AM38" s="616"/>
      <c r="AN38" s="615"/>
      <c r="AO38" s="616"/>
      <c r="AP38" s="615"/>
      <c r="AQ38" s="579">
        <f t="shared" si="0"/>
        <v>3916</v>
      </c>
      <c r="AR38" s="819" t="s">
        <v>588</v>
      </c>
      <c r="AS38" s="374" t="s">
        <v>596</v>
      </c>
    </row>
    <row r="39" spans="1:45" ht="15" x14ac:dyDescent="0.2">
      <c r="A39" s="350"/>
      <c r="B39" s="284">
        <v>6155100</v>
      </c>
      <c r="C39" s="300" t="s">
        <v>174</v>
      </c>
      <c r="D39" s="305"/>
      <c r="E39" s="614"/>
      <c r="F39" s="615"/>
      <c r="G39" s="615"/>
      <c r="H39" s="615"/>
      <c r="I39" s="615"/>
      <c r="J39" s="615"/>
      <c r="K39" s="615"/>
      <c r="L39" s="615"/>
      <c r="M39" s="615"/>
      <c r="N39" s="615"/>
      <c r="O39" s="615"/>
      <c r="P39" s="615"/>
      <c r="Q39" s="615"/>
      <c r="R39" s="615"/>
      <c r="S39" s="615"/>
      <c r="T39" s="615"/>
      <c r="U39" s="615"/>
      <c r="V39" s="615"/>
      <c r="W39" s="615"/>
      <c r="X39" s="615"/>
      <c r="Y39" s="615"/>
      <c r="Z39" s="615"/>
      <c r="AA39" s="615"/>
      <c r="AB39" s="616"/>
      <c r="AC39" s="615"/>
      <c r="AD39" s="616"/>
      <c r="AE39" s="615"/>
      <c r="AF39" s="616"/>
      <c r="AG39" s="615"/>
      <c r="AH39" s="616"/>
      <c r="AI39" s="615"/>
      <c r="AJ39" s="615"/>
      <c r="AK39" s="616"/>
      <c r="AL39" s="615"/>
      <c r="AM39" s="616"/>
      <c r="AN39" s="615"/>
      <c r="AO39" s="616"/>
      <c r="AP39" s="615"/>
      <c r="AQ39" s="579">
        <f t="shared" si="0"/>
        <v>0</v>
      </c>
      <c r="AR39" s="819" t="s">
        <v>588</v>
      </c>
      <c r="AS39" s="374" t="s">
        <v>596</v>
      </c>
    </row>
    <row r="40" spans="1:45" ht="15" x14ac:dyDescent="0.2">
      <c r="A40" s="350"/>
      <c r="B40" s="284">
        <v>6155500</v>
      </c>
      <c r="C40" s="300" t="s">
        <v>729</v>
      </c>
      <c r="D40" s="305"/>
      <c r="E40" s="614"/>
      <c r="F40" s="615"/>
      <c r="H40" s="615"/>
      <c r="I40" s="615"/>
      <c r="K40" s="615"/>
      <c r="L40" s="615"/>
      <c r="M40" s="759">
        <v>180</v>
      </c>
      <c r="N40" s="615"/>
      <c r="O40" s="615">
        <v>600</v>
      </c>
      <c r="P40" s="615"/>
      <c r="Q40" s="615"/>
      <c r="R40" s="615"/>
      <c r="S40" s="615"/>
      <c r="T40" s="615"/>
      <c r="U40" s="615"/>
      <c r="V40" s="615"/>
      <c r="W40" s="615"/>
      <c r="X40" s="615"/>
      <c r="Y40" s="615"/>
      <c r="Z40" s="615"/>
      <c r="AA40" s="615"/>
      <c r="AB40" s="616"/>
      <c r="AC40" s="615">
        <v>950</v>
      </c>
      <c r="AD40" s="616"/>
      <c r="AE40" s="615"/>
      <c r="AF40" s="616"/>
      <c r="AG40" s="615"/>
      <c r="AH40" s="616"/>
      <c r="AI40" s="615"/>
      <c r="AJ40" s="615"/>
      <c r="AK40" s="616"/>
      <c r="AL40" s="615"/>
      <c r="AM40" s="616"/>
      <c r="AN40" s="615"/>
      <c r="AO40" s="616"/>
      <c r="AP40" s="615"/>
      <c r="AQ40" s="579">
        <f t="shared" ref="AQ40" si="3">SUM(E40:AJ40)</f>
        <v>1730</v>
      </c>
      <c r="AR40" s="819" t="s">
        <v>588</v>
      </c>
      <c r="AS40" s="374" t="s">
        <v>596</v>
      </c>
    </row>
    <row r="41" spans="1:45" ht="15" x14ac:dyDescent="0.2">
      <c r="A41" s="352"/>
      <c r="B41" s="286">
        <v>6155500</v>
      </c>
      <c r="C41" s="301" t="s">
        <v>728</v>
      </c>
      <c r="D41" s="306"/>
      <c r="E41" s="617"/>
      <c r="F41" s="618"/>
      <c r="G41" s="759">
        <f>970</f>
        <v>970</v>
      </c>
      <c r="H41" s="618"/>
      <c r="I41" s="618"/>
      <c r="J41" s="759">
        <v>93</v>
      </c>
      <c r="K41" s="796"/>
      <c r="L41" s="770">
        <v>232.5</v>
      </c>
      <c r="M41" s="618"/>
      <c r="N41" s="618">
        <v>450</v>
      </c>
      <c r="O41" s="618">
        <v>450</v>
      </c>
      <c r="P41" s="618">
        <v>450</v>
      </c>
      <c r="Q41" s="618">
        <v>450</v>
      </c>
      <c r="R41" s="618">
        <v>450</v>
      </c>
      <c r="S41" s="618">
        <v>450</v>
      </c>
      <c r="T41" s="618">
        <v>450</v>
      </c>
      <c r="U41" s="618"/>
      <c r="V41" s="618"/>
      <c r="W41" s="618"/>
      <c r="X41" s="618"/>
      <c r="Y41" s="618"/>
      <c r="Z41" s="618"/>
      <c r="AA41" s="618"/>
      <c r="AB41" s="619"/>
      <c r="AC41" s="618"/>
      <c r="AD41" s="619"/>
      <c r="AE41" s="618"/>
      <c r="AF41" s="619"/>
      <c r="AG41" s="618"/>
      <c r="AH41" s="619"/>
      <c r="AI41" s="618"/>
      <c r="AJ41" s="618"/>
      <c r="AK41" s="619"/>
      <c r="AL41" s="618"/>
      <c r="AM41" s="619"/>
      <c r="AN41" s="618"/>
      <c r="AO41" s="619"/>
      <c r="AP41" s="618"/>
      <c r="AQ41" s="581">
        <f t="shared" si="0"/>
        <v>4445.5</v>
      </c>
      <c r="AR41" s="818" t="s">
        <v>588</v>
      </c>
      <c r="AS41" s="374" t="s">
        <v>596</v>
      </c>
    </row>
    <row r="42" spans="1:45" ht="25.15" customHeight="1" thickBot="1" x14ac:dyDescent="0.25">
      <c r="A42" s="377">
        <v>21</v>
      </c>
      <c r="B42" s="307" t="s">
        <v>177</v>
      </c>
      <c r="C42" s="307"/>
      <c r="D42" s="308"/>
      <c r="E42" s="623">
        <f t="shared" ref="E42:AR42" si="4">SUM(E12:E41)</f>
        <v>0</v>
      </c>
      <c r="F42" s="624">
        <f t="shared" si="4"/>
        <v>8551.7900000000009</v>
      </c>
      <c r="G42" s="624">
        <f>SUM(G12:G41)</f>
        <v>4497.16</v>
      </c>
      <c r="H42" s="624">
        <f t="shared" si="4"/>
        <v>3752.75</v>
      </c>
      <c r="I42" s="624">
        <f t="shared" si="4"/>
        <v>12297.83</v>
      </c>
      <c r="J42" s="624">
        <f>SUM(J12:J41)</f>
        <v>7173.1</v>
      </c>
      <c r="K42" s="624">
        <f t="shared" si="4"/>
        <v>9376.9599999999991</v>
      </c>
      <c r="L42" s="624">
        <f t="shared" si="4"/>
        <v>8937.1500000000015</v>
      </c>
      <c r="M42" s="624">
        <f t="shared" si="4"/>
        <v>9151.5600000000013</v>
      </c>
      <c r="N42" s="624">
        <f t="shared" si="4"/>
        <v>9937</v>
      </c>
      <c r="O42" s="624">
        <f t="shared" si="4"/>
        <v>10537</v>
      </c>
      <c r="P42" s="624">
        <f t="shared" si="4"/>
        <v>9937</v>
      </c>
      <c r="Q42" s="624">
        <f t="shared" si="4"/>
        <v>9931</v>
      </c>
      <c r="R42" s="624">
        <f t="shared" si="4"/>
        <v>9835</v>
      </c>
      <c r="S42" s="624">
        <f t="shared" si="4"/>
        <v>9761</v>
      </c>
      <c r="T42" s="624">
        <f t="shared" si="4"/>
        <v>9761</v>
      </c>
      <c r="U42" s="624">
        <f t="shared" si="4"/>
        <v>9511</v>
      </c>
      <c r="V42" s="624">
        <f t="shared" si="4"/>
        <v>16511</v>
      </c>
      <c r="W42" s="624">
        <f t="shared" si="4"/>
        <v>3344</v>
      </c>
      <c r="X42" s="624">
        <f t="shared" si="4"/>
        <v>3244</v>
      </c>
      <c r="Y42" s="624">
        <f t="shared" si="4"/>
        <v>3244</v>
      </c>
      <c r="Z42" s="624">
        <f t="shared" ref="Z42:AJ42" si="5">SUM(Z12:Z41)</f>
        <v>3244</v>
      </c>
      <c r="AA42" s="624">
        <f t="shared" si="5"/>
        <v>3244</v>
      </c>
      <c r="AB42" s="625">
        <f t="shared" si="5"/>
        <v>3244</v>
      </c>
      <c r="AC42" s="624">
        <f t="shared" ref="AC42:AI42" si="6">SUM(AC12:AC41)</f>
        <v>11544</v>
      </c>
      <c r="AD42" s="625">
        <f t="shared" si="6"/>
        <v>650</v>
      </c>
      <c r="AE42" s="624">
        <f t="shared" si="6"/>
        <v>150</v>
      </c>
      <c r="AF42" s="625">
        <f t="shared" si="6"/>
        <v>150</v>
      </c>
      <c r="AG42" s="624">
        <f t="shared" si="6"/>
        <v>0</v>
      </c>
      <c r="AH42" s="625">
        <f t="shared" si="6"/>
        <v>0</v>
      </c>
      <c r="AI42" s="624">
        <f t="shared" si="6"/>
        <v>0</v>
      </c>
      <c r="AJ42" s="624">
        <f t="shared" si="5"/>
        <v>0</v>
      </c>
      <c r="AK42" s="625">
        <f t="shared" ref="AK42:AN42" si="7">SUM(AK12:AK41)</f>
        <v>0</v>
      </c>
      <c r="AL42" s="624">
        <f t="shared" si="7"/>
        <v>0</v>
      </c>
      <c r="AM42" s="625">
        <f t="shared" si="7"/>
        <v>0</v>
      </c>
      <c r="AN42" s="624">
        <f t="shared" si="7"/>
        <v>0</v>
      </c>
      <c r="AO42" s="625">
        <f t="shared" ref="AO42:AP42" si="8">SUM(AO12:AO41)</f>
        <v>0</v>
      </c>
      <c r="AP42" s="624">
        <f t="shared" si="8"/>
        <v>0</v>
      </c>
      <c r="AQ42" s="590">
        <f t="shared" si="4"/>
        <v>191517.30000000002</v>
      </c>
      <c r="AR42" s="822">
        <f t="shared" si="4"/>
        <v>204323</v>
      </c>
      <c r="AS42" s="378"/>
    </row>
    <row r="43" spans="1:45" ht="15" x14ac:dyDescent="0.2">
      <c r="A43" s="379">
        <v>2200000</v>
      </c>
      <c r="B43" s="309">
        <v>6000210</v>
      </c>
      <c r="C43" s="310" t="s">
        <v>178</v>
      </c>
      <c r="D43" s="380"/>
      <c r="E43" s="626"/>
      <c r="F43" s="758">
        <v>44.1</v>
      </c>
      <c r="G43" s="758">
        <v>388.08</v>
      </c>
      <c r="H43" s="758">
        <v>498.35</v>
      </c>
      <c r="I43" s="758">
        <v>537.41</v>
      </c>
      <c r="J43" s="758">
        <v>552.71</v>
      </c>
      <c r="K43" s="758">
        <v>654.30999999999995</v>
      </c>
      <c r="L43" s="812">
        <v>601.39</v>
      </c>
      <c r="M43" s="758">
        <v>604.51</v>
      </c>
      <c r="N43" s="627">
        <v>650</v>
      </c>
      <c r="O43" s="627">
        <v>650</v>
      </c>
      <c r="P43" s="627">
        <v>650</v>
      </c>
      <c r="Q43" s="627">
        <v>650</v>
      </c>
      <c r="R43" s="627">
        <v>500</v>
      </c>
      <c r="S43" s="627">
        <v>500</v>
      </c>
      <c r="T43" s="627">
        <v>400</v>
      </c>
      <c r="U43" s="627">
        <v>300</v>
      </c>
      <c r="V43" s="627">
        <v>300</v>
      </c>
      <c r="W43" s="627">
        <v>300</v>
      </c>
      <c r="X43" s="627">
        <v>300</v>
      </c>
      <c r="Y43" s="627"/>
      <c r="Z43" s="627"/>
      <c r="AA43" s="627"/>
      <c r="AB43" s="627"/>
      <c r="AC43" s="627"/>
      <c r="AD43" s="628"/>
      <c r="AE43" s="627"/>
      <c r="AF43" s="628"/>
      <c r="AG43" s="627"/>
      <c r="AH43" s="628"/>
      <c r="AI43" s="627"/>
      <c r="AJ43" s="627"/>
      <c r="AK43" s="628"/>
      <c r="AL43" s="627"/>
      <c r="AM43" s="628"/>
      <c r="AN43" s="627"/>
      <c r="AO43" s="628"/>
      <c r="AP43" s="627"/>
      <c r="AQ43" s="592">
        <f t="shared" ref="AQ43:AQ49" si="9">SUM(E43:AJ43)</f>
        <v>9080.86</v>
      </c>
      <c r="AR43" s="823">
        <v>9000</v>
      </c>
      <c r="AS43" s="374" t="s">
        <v>596</v>
      </c>
    </row>
    <row r="44" spans="1:45" ht="15" x14ac:dyDescent="0.2">
      <c r="A44" s="375">
        <v>2210000</v>
      </c>
      <c r="B44" s="282">
        <v>6135001</v>
      </c>
      <c r="C44" s="283" t="s">
        <v>595</v>
      </c>
      <c r="D44" s="348"/>
      <c r="E44" s="611"/>
      <c r="F44" s="612"/>
      <c r="G44" s="612"/>
      <c r="H44" s="612"/>
      <c r="I44" s="612"/>
      <c r="J44" s="612"/>
      <c r="K44" s="612"/>
      <c r="L44" s="612"/>
      <c r="M44" s="612"/>
      <c r="N44" s="612"/>
      <c r="O44" s="612"/>
      <c r="P44" s="612"/>
      <c r="Q44" s="612"/>
      <c r="R44" s="612"/>
      <c r="S44" s="612"/>
      <c r="T44" s="612"/>
      <c r="U44" s="612"/>
      <c r="V44" s="612"/>
      <c r="W44" s="612"/>
      <c r="X44" s="612"/>
      <c r="Y44" s="612"/>
      <c r="Z44" s="612"/>
      <c r="AA44" s="612"/>
      <c r="AB44" s="613"/>
      <c r="AC44" s="612"/>
      <c r="AD44" s="613"/>
      <c r="AE44" s="612"/>
      <c r="AF44" s="613"/>
      <c r="AG44" s="612"/>
      <c r="AH44" s="613"/>
      <c r="AI44" s="612"/>
      <c r="AJ44" s="612"/>
      <c r="AK44" s="613"/>
      <c r="AL44" s="612"/>
      <c r="AM44" s="613"/>
      <c r="AN44" s="612"/>
      <c r="AO44" s="613"/>
      <c r="AP44" s="612"/>
      <c r="AQ44" s="578">
        <f t="shared" si="9"/>
        <v>0</v>
      </c>
      <c r="AR44" s="824">
        <v>42500</v>
      </c>
      <c r="AS44" s="374" t="s">
        <v>596</v>
      </c>
    </row>
    <row r="45" spans="1:45" ht="15" x14ac:dyDescent="0.2">
      <c r="A45" s="350"/>
      <c r="B45" s="284"/>
      <c r="C45" s="311" t="s">
        <v>800</v>
      </c>
      <c r="D45" s="291" t="s">
        <v>1018</v>
      </c>
      <c r="E45" s="614"/>
      <c r="F45" s="615"/>
      <c r="G45" s="615"/>
      <c r="H45" s="615"/>
      <c r="I45" s="615"/>
      <c r="J45" s="615"/>
      <c r="K45" s="615"/>
      <c r="L45" s="615"/>
      <c r="M45" s="615"/>
      <c r="N45" s="615"/>
      <c r="O45" s="615"/>
      <c r="P45" s="615"/>
      <c r="Q45" s="615"/>
      <c r="R45" s="615"/>
      <c r="S45" s="615"/>
      <c r="T45" s="615"/>
      <c r="U45" s="615"/>
      <c r="V45" s="615"/>
      <c r="W45" s="615"/>
      <c r="X45" s="615"/>
      <c r="Y45" s="615"/>
      <c r="Z45" s="615"/>
      <c r="AA45" s="615"/>
      <c r="AB45" s="615"/>
      <c r="AC45" s="615"/>
      <c r="AD45" s="616"/>
      <c r="AE45" s="615"/>
      <c r="AF45" s="616"/>
      <c r="AG45" s="615"/>
      <c r="AH45" s="616"/>
      <c r="AI45" s="615"/>
      <c r="AJ45" s="615"/>
      <c r="AK45" s="616"/>
      <c r="AL45" s="615"/>
      <c r="AM45" s="616"/>
      <c r="AN45" s="615"/>
      <c r="AO45" s="616"/>
      <c r="AP45" s="615"/>
      <c r="AQ45" s="579">
        <f t="shared" si="9"/>
        <v>0</v>
      </c>
      <c r="AR45" s="825" t="s">
        <v>588</v>
      </c>
      <c r="AS45" s="374" t="s">
        <v>596</v>
      </c>
    </row>
    <row r="46" spans="1:45" ht="15" x14ac:dyDescent="0.2">
      <c r="A46" s="350"/>
      <c r="B46" s="284"/>
      <c r="C46" s="311" t="s">
        <v>1042</v>
      </c>
      <c r="D46" s="291"/>
      <c r="E46" s="614"/>
      <c r="F46" s="615"/>
      <c r="G46" s="615"/>
      <c r="H46" s="615"/>
      <c r="I46" s="615"/>
      <c r="J46" s="615"/>
      <c r="K46" s="615"/>
      <c r="L46" s="615"/>
      <c r="M46" s="759">
        <f>947.27+525.4</f>
        <v>1472.67</v>
      </c>
      <c r="N46" s="615">
        <v>500</v>
      </c>
      <c r="O46" s="615">
        <v>500</v>
      </c>
      <c r="P46" s="615">
        <v>500</v>
      </c>
      <c r="Q46" s="615">
        <v>500</v>
      </c>
      <c r="R46" s="615">
        <v>500</v>
      </c>
      <c r="S46" s="615">
        <v>500</v>
      </c>
      <c r="T46" s="615">
        <v>500</v>
      </c>
      <c r="U46" s="615">
        <v>500</v>
      </c>
      <c r="V46" s="615"/>
      <c r="W46" s="615"/>
      <c r="X46" s="615"/>
      <c r="Y46" s="615"/>
      <c r="Z46" s="615"/>
      <c r="AA46" s="615"/>
      <c r="AB46" s="615"/>
      <c r="AC46" s="615"/>
      <c r="AD46" s="616"/>
      <c r="AE46" s="615"/>
      <c r="AF46" s="616"/>
      <c r="AG46" s="615"/>
      <c r="AH46" s="616"/>
      <c r="AI46" s="615"/>
      <c r="AJ46" s="615"/>
      <c r="AK46" s="616"/>
      <c r="AL46" s="615"/>
      <c r="AM46" s="616"/>
      <c r="AN46" s="615"/>
      <c r="AO46" s="616"/>
      <c r="AP46" s="615"/>
      <c r="AQ46" s="579">
        <f>SUM(E46:AJ46)</f>
        <v>5472.67</v>
      </c>
      <c r="AR46" s="825" t="s">
        <v>588</v>
      </c>
      <c r="AS46" s="374" t="s">
        <v>596</v>
      </c>
    </row>
    <row r="47" spans="1:45" ht="15" x14ac:dyDescent="0.2">
      <c r="A47" s="350"/>
      <c r="B47" s="284"/>
      <c r="C47" s="311" t="s">
        <v>1040</v>
      </c>
      <c r="D47" s="291"/>
      <c r="E47" s="614"/>
      <c r="F47" s="615"/>
      <c r="G47" s="615"/>
      <c r="H47" s="615"/>
      <c r="I47" s="615"/>
      <c r="J47" s="615"/>
      <c r="K47" s="798"/>
      <c r="L47" s="615"/>
      <c r="M47" s="759">
        <f>1288.4+429.4+1588.4</f>
        <v>3306.2000000000003</v>
      </c>
      <c r="N47" s="615">
        <v>900</v>
      </c>
      <c r="O47" s="615">
        <v>900</v>
      </c>
      <c r="P47" s="615">
        <v>900</v>
      </c>
      <c r="Q47" s="615">
        <v>900</v>
      </c>
      <c r="R47" s="615">
        <v>900</v>
      </c>
      <c r="S47" s="615">
        <v>900</v>
      </c>
      <c r="T47" s="615">
        <v>900</v>
      </c>
      <c r="U47" s="615">
        <v>900</v>
      </c>
      <c r="V47" s="615">
        <v>600</v>
      </c>
      <c r="W47" s="615"/>
      <c r="X47" s="615"/>
      <c r="Y47" s="615"/>
      <c r="Z47" s="615"/>
      <c r="AA47" s="615"/>
      <c r="AB47" s="615"/>
      <c r="AC47" s="615"/>
      <c r="AD47" s="616"/>
      <c r="AE47" s="615"/>
      <c r="AF47" s="616"/>
      <c r="AG47" s="615"/>
      <c r="AH47" s="616"/>
      <c r="AI47" s="615"/>
      <c r="AJ47" s="615"/>
      <c r="AK47" s="616"/>
      <c r="AL47" s="615"/>
      <c r="AM47" s="616"/>
      <c r="AN47" s="615"/>
      <c r="AO47" s="616"/>
      <c r="AP47" s="615"/>
      <c r="AQ47" s="579">
        <f t="shared" si="9"/>
        <v>11106.2</v>
      </c>
      <c r="AR47" s="825" t="s">
        <v>588</v>
      </c>
      <c r="AS47" s="374" t="s">
        <v>596</v>
      </c>
    </row>
    <row r="48" spans="1:45" ht="15" x14ac:dyDescent="0.2">
      <c r="A48" s="352"/>
      <c r="B48" s="286"/>
      <c r="C48" s="312" t="s">
        <v>1041</v>
      </c>
      <c r="D48" s="292"/>
      <c r="E48" s="617"/>
      <c r="F48" s="618"/>
      <c r="G48" s="618"/>
      <c r="H48" s="618"/>
      <c r="I48" s="618"/>
      <c r="J48" s="618"/>
      <c r="K48" s="799"/>
      <c r="L48" s="618"/>
      <c r="M48" s="618"/>
      <c r="N48" s="618">
        <v>3000</v>
      </c>
      <c r="O48" s="618">
        <v>3000</v>
      </c>
      <c r="P48" s="618">
        <v>3000</v>
      </c>
      <c r="Q48" s="618">
        <v>3000</v>
      </c>
      <c r="R48" s="618">
        <v>2000</v>
      </c>
      <c r="S48" s="618">
        <v>1000</v>
      </c>
      <c r="T48" s="618">
        <v>1000</v>
      </c>
      <c r="U48" s="618">
        <v>1000</v>
      </c>
      <c r="V48" s="618"/>
      <c r="W48" s="618"/>
      <c r="X48" s="618"/>
      <c r="Y48" s="618"/>
      <c r="Z48" s="618"/>
      <c r="AA48" s="618"/>
      <c r="AB48" s="619"/>
      <c r="AC48" s="618"/>
      <c r="AD48" s="619"/>
      <c r="AE48" s="618"/>
      <c r="AF48" s="619"/>
      <c r="AG48" s="618"/>
      <c r="AH48" s="619"/>
      <c r="AI48" s="618"/>
      <c r="AJ48" s="618"/>
      <c r="AK48" s="619"/>
      <c r="AL48" s="618"/>
      <c r="AM48" s="619"/>
      <c r="AN48" s="618"/>
      <c r="AO48" s="619"/>
      <c r="AP48" s="618"/>
      <c r="AQ48" s="581">
        <f t="shared" si="9"/>
        <v>17000</v>
      </c>
      <c r="AR48" s="826" t="s">
        <v>588</v>
      </c>
      <c r="AS48" s="374" t="s">
        <v>596</v>
      </c>
    </row>
    <row r="49" spans="1:46" ht="15" x14ac:dyDescent="0.2">
      <c r="A49" s="373">
        <v>2220000</v>
      </c>
      <c r="B49" s="297">
        <v>6135008</v>
      </c>
      <c r="C49" s="313" t="s">
        <v>179</v>
      </c>
      <c r="D49" s="361"/>
      <c r="E49" s="608"/>
      <c r="F49" s="609"/>
      <c r="G49" s="609"/>
      <c r="H49" s="609"/>
      <c r="I49" s="609"/>
      <c r="J49" s="609"/>
      <c r="K49" s="609"/>
      <c r="L49" s="609"/>
      <c r="M49" s="609"/>
      <c r="N49" s="609"/>
      <c r="O49" s="609"/>
      <c r="P49" s="609"/>
      <c r="Q49" s="609"/>
      <c r="R49" s="609"/>
      <c r="S49" s="609"/>
      <c r="T49" s="609"/>
      <c r="U49" s="609"/>
      <c r="V49" s="609"/>
      <c r="W49" s="609"/>
      <c r="X49" s="609"/>
      <c r="Y49" s="609"/>
      <c r="Z49" s="609"/>
      <c r="AA49" s="609"/>
      <c r="AB49" s="610"/>
      <c r="AC49" s="609"/>
      <c r="AD49" s="610"/>
      <c r="AE49" s="609"/>
      <c r="AF49" s="610"/>
      <c r="AG49" s="609"/>
      <c r="AH49" s="610"/>
      <c r="AI49" s="609"/>
      <c r="AJ49" s="609"/>
      <c r="AK49" s="610"/>
      <c r="AL49" s="609"/>
      <c r="AM49" s="610"/>
      <c r="AN49" s="609"/>
      <c r="AO49" s="610"/>
      <c r="AP49" s="609"/>
      <c r="AQ49" s="587">
        <f t="shared" si="9"/>
        <v>0</v>
      </c>
      <c r="AR49" s="827"/>
      <c r="AS49" s="374" t="s">
        <v>596</v>
      </c>
    </row>
    <row r="50" spans="1:46" ht="25.15" customHeight="1" thickBot="1" x14ac:dyDescent="0.25">
      <c r="A50" s="414">
        <v>22</v>
      </c>
      <c r="B50" s="415" t="s">
        <v>180</v>
      </c>
      <c r="C50" s="416"/>
      <c r="D50" s="417"/>
      <c r="E50" s="629">
        <f t="shared" ref="E50:AR50" si="10">SUM(E43:E49)</f>
        <v>0</v>
      </c>
      <c r="F50" s="630">
        <f t="shared" si="10"/>
        <v>44.1</v>
      </c>
      <c r="G50" s="630">
        <f t="shared" si="10"/>
        <v>388.08</v>
      </c>
      <c r="H50" s="630">
        <f t="shared" si="10"/>
        <v>498.35</v>
      </c>
      <c r="I50" s="630">
        <f t="shared" si="10"/>
        <v>537.41</v>
      </c>
      <c r="J50" s="630">
        <f t="shared" si="10"/>
        <v>552.71</v>
      </c>
      <c r="K50" s="630">
        <f t="shared" si="10"/>
        <v>654.30999999999995</v>
      </c>
      <c r="L50" s="630">
        <f t="shared" si="10"/>
        <v>601.39</v>
      </c>
      <c r="M50" s="630">
        <f t="shared" si="10"/>
        <v>5383.380000000001</v>
      </c>
      <c r="N50" s="630">
        <f t="shared" si="10"/>
        <v>5050</v>
      </c>
      <c r="O50" s="630">
        <f t="shared" si="10"/>
        <v>5050</v>
      </c>
      <c r="P50" s="630">
        <f t="shared" si="10"/>
        <v>5050</v>
      </c>
      <c r="Q50" s="630">
        <f t="shared" si="10"/>
        <v>5050</v>
      </c>
      <c r="R50" s="630">
        <f t="shared" si="10"/>
        <v>3900</v>
      </c>
      <c r="S50" s="630">
        <f t="shared" si="10"/>
        <v>2900</v>
      </c>
      <c r="T50" s="630">
        <f t="shared" si="10"/>
        <v>2800</v>
      </c>
      <c r="U50" s="630">
        <f t="shared" si="10"/>
        <v>2700</v>
      </c>
      <c r="V50" s="630">
        <f t="shared" si="10"/>
        <v>900</v>
      </c>
      <c r="W50" s="630">
        <f t="shared" si="10"/>
        <v>300</v>
      </c>
      <c r="X50" s="630">
        <f t="shared" si="10"/>
        <v>300</v>
      </c>
      <c r="Y50" s="630">
        <f t="shared" si="10"/>
        <v>0</v>
      </c>
      <c r="Z50" s="630">
        <f t="shared" ref="Z50:AJ50" si="11">SUM(Z43:Z49)</f>
        <v>0</v>
      </c>
      <c r="AA50" s="630">
        <f t="shared" si="11"/>
        <v>0</v>
      </c>
      <c r="AB50" s="631">
        <f t="shared" si="11"/>
        <v>0</v>
      </c>
      <c r="AC50" s="630">
        <f t="shared" ref="AC50:AI50" si="12">SUM(AC43:AC49)</f>
        <v>0</v>
      </c>
      <c r="AD50" s="631">
        <f t="shared" si="12"/>
        <v>0</v>
      </c>
      <c r="AE50" s="630">
        <f t="shared" si="12"/>
        <v>0</v>
      </c>
      <c r="AF50" s="631">
        <f t="shared" si="12"/>
        <v>0</v>
      </c>
      <c r="AG50" s="630">
        <f t="shared" si="12"/>
        <v>0</v>
      </c>
      <c r="AH50" s="631">
        <f t="shared" si="12"/>
        <v>0</v>
      </c>
      <c r="AI50" s="630">
        <f t="shared" si="12"/>
        <v>0</v>
      </c>
      <c r="AJ50" s="630">
        <f t="shared" si="11"/>
        <v>0</v>
      </c>
      <c r="AK50" s="631">
        <f t="shared" ref="AK50:AN50" si="13">SUM(AK43:AK49)</f>
        <v>0</v>
      </c>
      <c r="AL50" s="630">
        <f t="shared" si="13"/>
        <v>0</v>
      </c>
      <c r="AM50" s="631">
        <f t="shared" si="13"/>
        <v>0</v>
      </c>
      <c r="AN50" s="630">
        <f t="shared" si="13"/>
        <v>0</v>
      </c>
      <c r="AO50" s="631">
        <f t="shared" ref="AO50:AP50" si="14">SUM(AO43:AO49)</f>
        <v>0</v>
      </c>
      <c r="AP50" s="630">
        <f t="shared" si="14"/>
        <v>0</v>
      </c>
      <c r="AQ50" s="593">
        <f t="shared" si="10"/>
        <v>42659.73</v>
      </c>
      <c r="AR50" s="828">
        <f t="shared" si="10"/>
        <v>51500</v>
      </c>
      <c r="AS50" s="357"/>
    </row>
    <row r="51" spans="1:46" ht="15" x14ac:dyDescent="0.2">
      <c r="A51" s="379">
        <v>2350000</v>
      </c>
      <c r="B51" s="309">
        <v>6000218</v>
      </c>
      <c r="C51" s="310" t="s">
        <v>181</v>
      </c>
      <c r="D51" s="314"/>
      <c r="E51" s="626"/>
      <c r="F51" s="627"/>
      <c r="G51" s="627"/>
      <c r="H51" s="758">
        <v>503.42</v>
      </c>
      <c r="I51" s="758">
        <v>470.49</v>
      </c>
      <c r="J51" s="758">
        <v>273.83999999999997</v>
      </c>
      <c r="K51" s="758">
        <v>1196.6099999999999</v>
      </c>
      <c r="L51" s="758">
        <v>1367.26</v>
      </c>
      <c r="M51" s="758">
        <v>1471.63</v>
      </c>
      <c r="N51" s="627">
        <v>1600</v>
      </c>
      <c r="O51" s="627">
        <v>1600</v>
      </c>
      <c r="P51" s="627">
        <v>1600</v>
      </c>
      <c r="Q51" s="627">
        <v>1600</v>
      </c>
      <c r="R51" s="628">
        <v>1600</v>
      </c>
      <c r="S51" s="627">
        <v>1000</v>
      </c>
      <c r="T51" s="628">
        <v>500</v>
      </c>
      <c r="U51" s="627">
        <v>300</v>
      </c>
      <c r="V51" s="628">
        <v>300</v>
      </c>
      <c r="W51" s="627">
        <v>488.57142857142901</v>
      </c>
      <c r="X51" s="627">
        <v>424.64285714286001</v>
      </c>
      <c r="Y51" s="627">
        <v>360.71428571428999</v>
      </c>
      <c r="Z51" s="627">
        <v>296.78571428571001</v>
      </c>
      <c r="AA51" s="627">
        <v>232.85714285713999</v>
      </c>
      <c r="AB51" s="627">
        <v>168.92857142857</v>
      </c>
      <c r="AC51" s="627">
        <v>105</v>
      </c>
      <c r="AD51" s="628"/>
      <c r="AE51" s="627"/>
      <c r="AF51" s="628"/>
      <c r="AG51" s="627"/>
      <c r="AH51" s="628"/>
      <c r="AI51" s="627"/>
      <c r="AJ51" s="627"/>
      <c r="AK51" s="628"/>
      <c r="AL51" s="627"/>
      <c r="AM51" s="628"/>
      <c r="AN51" s="627"/>
      <c r="AO51" s="628"/>
      <c r="AP51" s="627"/>
      <c r="AQ51" s="592">
        <f t="shared" ref="AQ51:AQ63" si="15">SUM(E51:AJ51)</f>
        <v>17460.75</v>
      </c>
      <c r="AR51" s="829">
        <v>20000</v>
      </c>
      <c r="AS51" s="374" t="s">
        <v>596</v>
      </c>
    </row>
    <row r="52" spans="1:46" ht="15" x14ac:dyDescent="0.2">
      <c r="A52" s="375">
        <v>2360000</v>
      </c>
      <c r="B52" s="284">
        <v>6135000</v>
      </c>
      <c r="C52" s="271" t="s">
        <v>182</v>
      </c>
      <c r="D52" s="293"/>
      <c r="E52" s="611"/>
      <c r="F52" s="761">
        <v>1422</v>
      </c>
      <c r="G52" s="761">
        <v>2795</v>
      </c>
      <c r="H52" s="761">
        <v>30300</v>
      </c>
      <c r="I52" s="761">
        <v>6399</v>
      </c>
      <c r="J52" s="761">
        <v>8827</v>
      </c>
      <c r="K52" s="761">
        <v>8380</v>
      </c>
      <c r="L52" s="761">
        <f>53.13+30.2+159.39+1641.47+482.5+1785+165</f>
        <v>4316.6900000000005</v>
      </c>
      <c r="M52" s="761">
        <f>165-391.03-562.67+540.7+390+994.35+2507.5+152+340+5183</f>
        <v>9318.85</v>
      </c>
      <c r="N52" s="612"/>
      <c r="O52" s="750">
        <f>45</f>
        <v>45</v>
      </c>
      <c r="P52" s="612"/>
      <c r="Q52" s="612"/>
      <c r="R52" s="612"/>
      <c r="S52" s="612"/>
      <c r="T52" s="612"/>
      <c r="U52" s="612"/>
      <c r="V52" s="612"/>
      <c r="W52" s="612"/>
      <c r="X52" s="612"/>
      <c r="Y52" s="612"/>
      <c r="Z52" s="612"/>
      <c r="AA52" s="612"/>
      <c r="AB52" s="613"/>
      <c r="AC52" s="612"/>
      <c r="AD52" s="613"/>
      <c r="AE52" s="612"/>
      <c r="AF52" s="613"/>
      <c r="AG52" s="612"/>
      <c r="AH52" s="613"/>
      <c r="AI52" s="612"/>
      <c r="AJ52" s="612"/>
      <c r="AK52" s="613"/>
      <c r="AL52" s="612"/>
      <c r="AM52" s="613"/>
      <c r="AN52" s="612"/>
      <c r="AO52" s="613"/>
      <c r="AP52" s="612"/>
      <c r="AQ52" s="578">
        <f t="shared" si="15"/>
        <v>71803.540000000008</v>
      </c>
      <c r="AR52" s="829">
        <v>103000</v>
      </c>
      <c r="AS52" s="374" t="s">
        <v>596</v>
      </c>
      <c r="AT52" s="8" t="s">
        <v>1082</v>
      </c>
    </row>
    <row r="53" spans="1:46" ht="15" x14ac:dyDescent="0.2">
      <c r="A53" s="350"/>
      <c r="B53" s="284"/>
      <c r="C53" s="311" t="s">
        <v>183</v>
      </c>
      <c r="D53" s="291">
        <v>2000</v>
      </c>
      <c r="E53" s="614"/>
      <c r="F53" s="615"/>
      <c r="G53" s="615"/>
      <c r="H53" s="615"/>
      <c r="I53" s="615"/>
      <c r="J53" s="615"/>
      <c r="K53" s="615"/>
      <c r="L53" s="615"/>
      <c r="M53" s="615"/>
      <c r="N53" s="615"/>
      <c r="O53" s="615"/>
      <c r="P53" s="615"/>
      <c r="Q53" s="615"/>
      <c r="R53" s="615"/>
      <c r="S53" s="615"/>
      <c r="T53" s="615"/>
      <c r="U53" s="798"/>
      <c r="V53" s="798"/>
      <c r="W53" s="615"/>
      <c r="X53" s="615"/>
      <c r="Y53" s="615"/>
      <c r="Z53" s="615"/>
      <c r="AA53" s="615"/>
      <c r="AB53" s="616">
        <v>1000</v>
      </c>
      <c r="AC53" s="615">
        <v>1000</v>
      </c>
      <c r="AD53" s="616"/>
      <c r="AE53" s="615"/>
      <c r="AF53" s="616"/>
      <c r="AG53" s="615"/>
      <c r="AH53" s="616"/>
      <c r="AI53" s="615"/>
      <c r="AJ53" s="615"/>
      <c r="AK53" s="616"/>
      <c r="AL53" s="615"/>
      <c r="AM53" s="616"/>
      <c r="AN53" s="615"/>
      <c r="AO53" s="616"/>
      <c r="AP53" s="615"/>
      <c r="AQ53" s="579">
        <f t="shared" si="15"/>
        <v>2000</v>
      </c>
      <c r="AR53" s="819" t="s">
        <v>588</v>
      </c>
      <c r="AS53" s="374" t="s">
        <v>596</v>
      </c>
    </row>
    <row r="54" spans="1:46" ht="15" x14ac:dyDescent="0.2">
      <c r="A54" s="350"/>
      <c r="B54" s="284"/>
      <c r="C54" s="311" t="s">
        <v>730</v>
      </c>
      <c r="D54" s="291">
        <v>1500</v>
      </c>
      <c r="E54" s="614"/>
      <c r="F54" s="767"/>
      <c r="G54" s="767"/>
      <c r="H54" s="767"/>
      <c r="I54" s="615"/>
      <c r="J54" s="615"/>
      <c r="K54" s="615"/>
      <c r="L54" s="615"/>
      <c r="M54" s="615"/>
      <c r="N54" s="615">
        <v>1500</v>
      </c>
      <c r="O54" s="615">
        <v>1500</v>
      </c>
      <c r="P54" s="615"/>
      <c r="Q54" s="615"/>
      <c r="R54" s="615">
        <v>1000</v>
      </c>
      <c r="S54" s="798">
        <v>1000</v>
      </c>
      <c r="T54" s="798"/>
      <c r="U54" s="798"/>
      <c r="V54" s="615"/>
      <c r="W54" s="615"/>
      <c r="X54" s="615"/>
      <c r="Y54" s="615"/>
      <c r="Z54" s="615"/>
      <c r="AA54" s="615"/>
      <c r="AB54" s="616"/>
      <c r="AC54" s="615"/>
      <c r="AD54" s="616"/>
      <c r="AE54" s="615"/>
      <c r="AF54" s="616"/>
      <c r="AG54" s="615"/>
      <c r="AH54" s="616"/>
      <c r="AI54" s="615"/>
      <c r="AJ54" s="615"/>
      <c r="AK54" s="616"/>
      <c r="AL54" s="615"/>
      <c r="AM54" s="616"/>
      <c r="AN54" s="615"/>
      <c r="AO54" s="616"/>
      <c r="AP54" s="615"/>
      <c r="AQ54" s="579">
        <f t="shared" si="15"/>
        <v>5000</v>
      </c>
      <c r="AR54" s="819" t="s">
        <v>588</v>
      </c>
      <c r="AS54" s="374" t="s">
        <v>596</v>
      </c>
    </row>
    <row r="55" spans="1:46" ht="15" x14ac:dyDescent="0.2">
      <c r="A55" s="350"/>
      <c r="B55" s="284"/>
      <c r="C55" s="311" t="s">
        <v>184</v>
      </c>
      <c r="D55" s="291">
        <v>1200</v>
      </c>
      <c r="E55" s="614"/>
      <c r="F55" s="767"/>
      <c r="G55" s="767"/>
      <c r="H55" s="767"/>
      <c r="I55" s="615"/>
      <c r="J55" s="615"/>
      <c r="K55" s="615"/>
      <c r="L55" s="615"/>
      <c r="M55" s="615"/>
      <c r="N55" s="615">
        <v>1500</v>
      </c>
      <c r="O55" s="615">
        <v>1500</v>
      </c>
      <c r="P55" s="615"/>
      <c r="Q55" s="615"/>
      <c r="R55" s="615">
        <v>1000</v>
      </c>
      <c r="S55" s="798">
        <v>1000</v>
      </c>
      <c r="T55" s="798"/>
      <c r="U55" s="798"/>
      <c r="V55" s="615"/>
      <c r="W55" s="615"/>
      <c r="X55" s="615"/>
      <c r="Y55" s="615"/>
      <c r="Z55" s="615"/>
      <c r="AA55" s="615"/>
      <c r="AB55" s="616"/>
      <c r="AC55" s="615"/>
      <c r="AD55" s="616"/>
      <c r="AE55" s="615"/>
      <c r="AF55" s="616"/>
      <c r="AG55" s="615"/>
      <c r="AH55" s="616"/>
      <c r="AI55" s="615"/>
      <c r="AJ55" s="615"/>
      <c r="AK55" s="616"/>
      <c r="AL55" s="615"/>
      <c r="AM55" s="616"/>
      <c r="AN55" s="615"/>
      <c r="AO55" s="616"/>
      <c r="AP55" s="615"/>
      <c r="AQ55" s="579">
        <f t="shared" si="15"/>
        <v>5000</v>
      </c>
      <c r="AR55" s="819" t="s">
        <v>588</v>
      </c>
      <c r="AS55" s="374" t="s">
        <v>596</v>
      </c>
    </row>
    <row r="56" spans="1:46" ht="15" x14ac:dyDescent="0.2">
      <c r="A56" s="350"/>
      <c r="B56" s="284"/>
      <c r="C56" s="311" t="s">
        <v>185</v>
      </c>
      <c r="D56" s="291">
        <v>1500</v>
      </c>
      <c r="E56" s="614"/>
      <c r="F56" s="767"/>
      <c r="G56" s="767"/>
      <c r="H56" s="767"/>
      <c r="I56" s="615"/>
      <c r="J56" s="615"/>
      <c r="K56" s="615"/>
      <c r="L56" s="615"/>
      <c r="M56" s="615"/>
      <c r="N56" s="615"/>
      <c r="O56" s="615"/>
      <c r="P56" s="615"/>
      <c r="Q56" s="615"/>
      <c r="R56" s="615"/>
      <c r="S56" s="798"/>
      <c r="T56" s="798"/>
      <c r="U56" s="798"/>
      <c r="V56" s="615"/>
      <c r="W56" s="615"/>
      <c r="X56" s="615"/>
      <c r="Y56" s="615"/>
      <c r="Z56" s="615"/>
      <c r="AA56" s="615"/>
      <c r="AB56" s="616"/>
      <c r="AC56" s="615"/>
      <c r="AD56" s="616"/>
      <c r="AE56" s="615"/>
      <c r="AF56" s="616"/>
      <c r="AG56" s="615"/>
      <c r="AH56" s="616"/>
      <c r="AI56" s="615"/>
      <c r="AJ56" s="615"/>
      <c r="AK56" s="616"/>
      <c r="AL56" s="615"/>
      <c r="AM56" s="616"/>
      <c r="AN56" s="615"/>
      <c r="AO56" s="616"/>
      <c r="AP56" s="615"/>
      <c r="AQ56" s="579">
        <f t="shared" si="15"/>
        <v>0</v>
      </c>
      <c r="AR56" s="819" t="s">
        <v>588</v>
      </c>
      <c r="AS56" s="374" t="s">
        <v>596</v>
      </c>
    </row>
    <row r="57" spans="1:46" ht="15" x14ac:dyDescent="0.2">
      <c r="A57" s="381"/>
      <c r="B57" s="315"/>
      <c r="C57" s="316" t="s">
        <v>104</v>
      </c>
      <c r="D57" s="317">
        <v>2000</v>
      </c>
      <c r="E57" s="632"/>
      <c r="F57" s="633"/>
      <c r="G57" s="633"/>
      <c r="H57" s="633"/>
      <c r="I57" s="633"/>
      <c r="J57" s="633"/>
      <c r="K57" s="633"/>
      <c r="L57" s="633"/>
      <c r="M57" s="633"/>
      <c r="N57" s="633"/>
      <c r="O57" s="633"/>
      <c r="P57" s="633">
        <v>667</v>
      </c>
      <c r="Q57" s="633">
        <v>667</v>
      </c>
      <c r="R57" s="633">
        <v>667</v>
      </c>
      <c r="S57" s="802">
        <v>2667</v>
      </c>
      <c r="T57" s="802">
        <v>2667</v>
      </c>
      <c r="U57" s="802">
        <v>2667</v>
      </c>
      <c r="V57" s="802">
        <v>2667</v>
      </c>
      <c r="W57" s="802">
        <v>2667</v>
      </c>
      <c r="X57" s="802">
        <v>2667</v>
      </c>
      <c r="Y57" s="633"/>
      <c r="Z57" s="633"/>
      <c r="AA57" s="633"/>
      <c r="AB57" s="634">
        <v>1000</v>
      </c>
      <c r="AC57" s="633">
        <v>1000</v>
      </c>
      <c r="AD57" s="634"/>
      <c r="AE57" s="633"/>
      <c r="AF57" s="634"/>
      <c r="AG57" s="633"/>
      <c r="AH57" s="634"/>
      <c r="AI57" s="633"/>
      <c r="AJ57" s="633"/>
      <c r="AK57" s="634"/>
      <c r="AL57" s="633"/>
      <c r="AM57" s="634"/>
      <c r="AN57" s="633"/>
      <c r="AO57" s="634"/>
      <c r="AP57" s="633"/>
      <c r="AQ57" s="579">
        <f t="shared" si="15"/>
        <v>20003</v>
      </c>
      <c r="AR57" s="819" t="s">
        <v>588</v>
      </c>
      <c r="AS57" s="374" t="s">
        <v>596</v>
      </c>
    </row>
    <row r="58" spans="1:46" ht="15" x14ac:dyDescent="0.2">
      <c r="A58" s="350"/>
      <c r="B58" s="284"/>
      <c r="C58" s="311" t="s">
        <v>806</v>
      </c>
      <c r="D58" s="291">
        <v>1200</v>
      </c>
      <c r="E58" s="614"/>
      <c r="F58" s="838" t="s">
        <v>1065</v>
      </c>
      <c r="G58" s="839"/>
      <c r="H58" s="839"/>
      <c r="I58" s="839"/>
      <c r="J58" s="839"/>
      <c r="K58" s="839"/>
      <c r="L58" s="840"/>
      <c r="M58" s="615"/>
      <c r="N58" s="615"/>
      <c r="O58" s="615"/>
      <c r="P58" s="615"/>
      <c r="Q58" s="615"/>
      <c r="R58" s="615"/>
      <c r="S58" s="798"/>
      <c r="T58" s="798"/>
      <c r="U58" s="615"/>
      <c r="V58" s="615"/>
      <c r="W58" s="615"/>
      <c r="X58" s="615"/>
      <c r="Y58" s="615"/>
      <c r="Z58" s="615"/>
      <c r="AA58" s="615"/>
      <c r="AB58" s="616"/>
      <c r="AC58" s="615"/>
      <c r="AD58" s="616"/>
      <c r="AE58" s="615"/>
      <c r="AF58" s="616"/>
      <c r="AG58" s="615"/>
      <c r="AH58" s="616"/>
      <c r="AI58" s="615"/>
      <c r="AJ58" s="615"/>
      <c r="AK58" s="616"/>
      <c r="AL58" s="615"/>
      <c r="AM58" s="616"/>
      <c r="AN58" s="615"/>
      <c r="AO58" s="616"/>
      <c r="AP58" s="615"/>
      <c r="AQ58" s="579">
        <f t="shared" ref="AQ58" si="16">SUM(E58:AJ58)</f>
        <v>0</v>
      </c>
      <c r="AR58" s="819" t="s">
        <v>588</v>
      </c>
      <c r="AS58" s="374" t="s">
        <v>596</v>
      </c>
    </row>
    <row r="59" spans="1:46" ht="15" x14ac:dyDescent="0.2">
      <c r="A59" s="352"/>
      <c r="B59" s="286"/>
      <c r="C59" s="312" t="s">
        <v>616</v>
      </c>
      <c r="D59" s="292">
        <v>1500</v>
      </c>
      <c r="E59" s="617"/>
      <c r="F59" s="796"/>
      <c r="G59" s="796"/>
      <c r="H59" s="796"/>
      <c r="I59" s="796"/>
      <c r="J59" s="796"/>
      <c r="K59" s="796"/>
      <c r="L59" s="796"/>
      <c r="M59" s="796"/>
      <c r="N59" s="695">
        <f>63</f>
        <v>63</v>
      </c>
      <c r="O59" s="618"/>
      <c r="P59" s="618"/>
      <c r="Q59" s="618"/>
      <c r="R59" s="618"/>
      <c r="S59" s="618"/>
      <c r="T59" s="618"/>
      <c r="U59" s="618"/>
      <c r="V59" s="618"/>
      <c r="W59" s="618"/>
      <c r="X59" s="618"/>
      <c r="Y59" s="618"/>
      <c r="Z59" s="618"/>
      <c r="AA59" s="618"/>
      <c r="AB59" s="619"/>
      <c r="AC59" s="618"/>
      <c r="AD59" s="619"/>
      <c r="AE59" s="618"/>
      <c r="AF59" s="619"/>
      <c r="AG59" s="618"/>
      <c r="AH59" s="619"/>
      <c r="AI59" s="618"/>
      <c r="AJ59" s="618"/>
      <c r="AK59" s="619"/>
      <c r="AL59" s="618"/>
      <c r="AM59" s="619"/>
      <c r="AN59" s="618"/>
      <c r="AO59" s="619"/>
      <c r="AP59" s="618"/>
      <c r="AQ59" s="581">
        <f t="shared" si="15"/>
        <v>63</v>
      </c>
      <c r="AR59" s="818" t="s">
        <v>588</v>
      </c>
      <c r="AS59" s="374" t="s">
        <v>596</v>
      </c>
    </row>
    <row r="60" spans="1:46" ht="15" x14ac:dyDescent="0.2">
      <c r="A60" s="373"/>
      <c r="B60" s="297">
        <v>6135003</v>
      </c>
      <c r="C60" s="295" t="s">
        <v>186</v>
      </c>
      <c r="D60" s="299"/>
      <c r="E60" s="608"/>
      <c r="F60" s="609"/>
      <c r="G60" s="609"/>
      <c r="H60" s="609"/>
      <c r="I60" s="609"/>
      <c r="J60" s="609"/>
      <c r="K60" s="609"/>
      <c r="L60" s="609"/>
      <c r="M60" s="609"/>
      <c r="N60" s="609"/>
      <c r="O60" s="609"/>
      <c r="P60" s="609"/>
      <c r="Q60" s="609"/>
      <c r="R60" s="609"/>
      <c r="S60" s="609"/>
      <c r="T60" s="609"/>
      <c r="U60" s="609"/>
      <c r="V60" s="609"/>
      <c r="W60" s="609"/>
      <c r="X60" s="609"/>
      <c r="Y60" s="609"/>
      <c r="Z60" s="609"/>
      <c r="AA60" s="609"/>
      <c r="AB60" s="610"/>
      <c r="AC60" s="609"/>
      <c r="AD60" s="610"/>
      <c r="AE60" s="609"/>
      <c r="AF60" s="610"/>
      <c r="AG60" s="609"/>
      <c r="AH60" s="610"/>
      <c r="AI60" s="609"/>
      <c r="AJ60" s="609"/>
      <c r="AK60" s="610"/>
      <c r="AL60" s="609"/>
      <c r="AM60" s="610"/>
      <c r="AN60" s="609"/>
      <c r="AO60" s="610"/>
      <c r="AP60" s="609"/>
      <c r="AQ60" s="587">
        <f t="shared" si="15"/>
        <v>0</v>
      </c>
      <c r="AR60" s="821"/>
      <c r="AS60" s="374" t="s">
        <v>596</v>
      </c>
    </row>
    <row r="61" spans="1:46" ht="15" x14ac:dyDescent="0.2">
      <c r="A61" s="376">
        <v>2370000</v>
      </c>
      <c r="B61" s="302">
        <v>6135007</v>
      </c>
      <c r="C61" s="303" t="s">
        <v>1025</v>
      </c>
      <c r="D61" s="304"/>
      <c r="E61" s="620"/>
      <c r="F61" s="621"/>
      <c r="G61" s="621"/>
      <c r="H61" s="621"/>
      <c r="I61" s="621"/>
      <c r="J61" s="621"/>
      <c r="K61" s="762">
        <f>320+620</f>
        <v>940</v>
      </c>
      <c r="L61" s="621"/>
      <c r="M61" s="762">
        <v>320</v>
      </c>
      <c r="N61" s="815">
        <v>7216</v>
      </c>
      <c r="O61" s="621"/>
      <c r="P61" s="621">
        <f>130*8*5</f>
        <v>5200</v>
      </c>
      <c r="Q61" s="621"/>
      <c r="R61" s="621"/>
      <c r="S61" s="621"/>
      <c r="T61" s="621"/>
      <c r="U61" s="621"/>
      <c r="V61" s="621"/>
      <c r="W61" s="621"/>
      <c r="X61" s="621"/>
      <c r="Y61" s="621"/>
      <c r="Z61" s="621"/>
      <c r="AA61" s="621"/>
      <c r="AB61" s="622">
        <v>900</v>
      </c>
      <c r="AC61" s="621"/>
      <c r="AD61" s="622"/>
      <c r="AE61" s="621"/>
      <c r="AF61" s="622"/>
      <c r="AG61" s="621"/>
      <c r="AH61" s="622"/>
      <c r="AI61" s="621"/>
      <c r="AJ61" s="621"/>
      <c r="AK61" s="622"/>
      <c r="AL61" s="621"/>
      <c r="AM61" s="622"/>
      <c r="AN61" s="621"/>
      <c r="AO61" s="622"/>
      <c r="AP61" s="621"/>
      <c r="AQ61" s="589">
        <f t="shared" si="15"/>
        <v>14576</v>
      </c>
      <c r="AR61" s="820">
        <v>16000</v>
      </c>
      <c r="AS61" s="374" t="s">
        <v>596</v>
      </c>
    </row>
    <row r="62" spans="1:46" ht="15" x14ac:dyDescent="0.2">
      <c r="A62" s="373">
        <v>2365000</v>
      </c>
      <c r="B62" s="297">
        <v>6243000</v>
      </c>
      <c r="C62" s="295" t="s">
        <v>187</v>
      </c>
      <c r="D62" s="299"/>
      <c r="E62" s="608"/>
      <c r="F62" s="760">
        <f>2160+457.32+77</f>
        <v>2694.32</v>
      </c>
      <c r="G62" s="760">
        <f>202</f>
        <v>202</v>
      </c>
      <c r="H62" s="760">
        <f>202+187.26+202+111+101+67</f>
        <v>870.26</v>
      </c>
      <c r="I62" s="760">
        <f>67+101+134+150</f>
        <v>452</v>
      </c>
      <c r="J62" s="760">
        <f>220+140-101-101</f>
        <v>158</v>
      </c>
      <c r="K62" s="760">
        <f>110+134+220+97+67+67</f>
        <v>695</v>
      </c>
      <c r="L62" s="760">
        <f>40-20+150+180-68-68+68-20-20-110-20+90+79</f>
        <v>281</v>
      </c>
      <c r="M62" s="760">
        <f>-34-34-34-73+34-20-66+97+90</f>
        <v>-40</v>
      </c>
      <c r="N62" s="609">
        <v>300</v>
      </c>
      <c r="O62" s="609">
        <v>300</v>
      </c>
      <c r="P62" s="609">
        <v>700</v>
      </c>
      <c r="Q62" s="609">
        <f>200+700*2</f>
        <v>1600</v>
      </c>
      <c r="R62" s="609">
        <v>200</v>
      </c>
      <c r="S62" s="609">
        <v>200</v>
      </c>
      <c r="T62" s="609">
        <v>200</v>
      </c>
      <c r="U62" s="609">
        <v>200</v>
      </c>
      <c r="V62" s="609">
        <v>200</v>
      </c>
      <c r="W62" s="609">
        <v>200</v>
      </c>
      <c r="X62" s="609">
        <v>200</v>
      </c>
      <c r="Y62" s="609">
        <v>200</v>
      </c>
      <c r="Z62" s="609">
        <v>200</v>
      </c>
      <c r="AA62" s="609">
        <v>200</v>
      </c>
      <c r="AB62" s="609">
        <v>200</v>
      </c>
      <c r="AC62" s="609">
        <v>200</v>
      </c>
      <c r="AD62" s="610"/>
      <c r="AE62" s="609"/>
      <c r="AF62" s="610"/>
      <c r="AG62" s="609"/>
      <c r="AH62" s="610"/>
      <c r="AI62" s="609"/>
      <c r="AJ62" s="609"/>
      <c r="AK62" s="610"/>
      <c r="AL62" s="609"/>
      <c r="AM62" s="610"/>
      <c r="AN62" s="609"/>
      <c r="AO62" s="610"/>
      <c r="AP62" s="609"/>
      <c r="AQ62" s="587">
        <f t="shared" si="15"/>
        <v>10612.58</v>
      </c>
      <c r="AR62" s="821">
        <v>11000</v>
      </c>
      <c r="AS62" s="374" t="s">
        <v>596</v>
      </c>
    </row>
    <row r="63" spans="1:46" ht="15" x14ac:dyDescent="0.2">
      <c r="A63" s="376"/>
      <c r="B63" s="302">
        <v>6248000</v>
      </c>
      <c r="C63" s="303" t="s">
        <v>523</v>
      </c>
      <c r="D63" s="304"/>
      <c r="E63" s="620"/>
      <c r="F63" s="621"/>
      <c r="G63" s="621"/>
      <c r="H63" s="741"/>
      <c r="I63" s="621"/>
      <c r="J63" s="762">
        <f>188.52</f>
        <v>188.52</v>
      </c>
      <c r="K63" s="621"/>
      <c r="L63" s="621"/>
      <c r="M63" s="621"/>
      <c r="N63" s="621"/>
      <c r="O63" s="621"/>
      <c r="P63" s="621"/>
      <c r="Q63" s="621"/>
      <c r="R63" s="621"/>
      <c r="S63" s="621"/>
      <c r="T63" s="621"/>
      <c r="U63" s="609"/>
      <c r="V63" s="621"/>
      <c r="W63" s="621"/>
      <c r="X63" s="621"/>
      <c r="Y63" s="621"/>
      <c r="Z63" s="621"/>
      <c r="AA63" s="621"/>
      <c r="AB63" s="622"/>
      <c r="AC63" s="621"/>
      <c r="AD63" s="622"/>
      <c r="AE63" s="621"/>
      <c r="AF63" s="622"/>
      <c r="AG63" s="621"/>
      <c r="AH63" s="622"/>
      <c r="AI63" s="621"/>
      <c r="AJ63" s="621"/>
      <c r="AK63" s="622"/>
      <c r="AL63" s="621"/>
      <c r="AM63" s="622"/>
      <c r="AN63" s="621"/>
      <c r="AO63" s="622"/>
      <c r="AP63" s="621"/>
      <c r="AQ63" s="589">
        <f t="shared" si="15"/>
        <v>188.52</v>
      </c>
      <c r="AR63" s="820">
        <v>400</v>
      </c>
      <c r="AS63" s="374" t="s">
        <v>596</v>
      </c>
    </row>
    <row r="64" spans="1:46" ht="25.15" customHeight="1" thickBot="1" x14ac:dyDescent="0.25">
      <c r="A64" s="377">
        <v>23</v>
      </c>
      <c r="B64" s="307" t="s">
        <v>192</v>
      </c>
      <c r="C64" s="307"/>
      <c r="D64" s="308"/>
      <c r="E64" s="623">
        <f>SUM(E51:E63)</f>
        <v>0</v>
      </c>
      <c r="F64" s="624">
        <f t="shared" ref="F64:AR64" si="17">SUM(F51:F63)</f>
        <v>4116.32</v>
      </c>
      <c r="G64" s="624">
        <f t="shared" si="17"/>
        <v>2997</v>
      </c>
      <c r="H64" s="624">
        <f t="shared" si="17"/>
        <v>31673.679999999997</v>
      </c>
      <c r="I64" s="624">
        <f t="shared" si="17"/>
        <v>7321.49</v>
      </c>
      <c r="J64" s="624">
        <f t="shared" si="17"/>
        <v>9447.36</v>
      </c>
      <c r="K64" s="624">
        <f t="shared" si="17"/>
        <v>11211.61</v>
      </c>
      <c r="L64" s="624">
        <f t="shared" si="17"/>
        <v>5964.9500000000007</v>
      </c>
      <c r="M64" s="624">
        <f t="shared" si="17"/>
        <v>11070.48</v>
      </c>
      <c r="N64" s="624">
        <f t="shared" si="17"/>
        <v>12179</v>
      </c>
      <c r="O64" s="624">
        <f t="shared" si="17"/>
        <v>4945</v>
      </c>
      <c r="P64" s="624">
        <f t="shared" si="17"/>
        <v>8167</v>
      </c>
      <c r="Q64" s="624">
        <f t="shared" si="17"/>
        <v>3867</v>
      </c>
      <c r="R64" s="624">
        <f t="shared" si="17"/>
        <v>4467</v>
      </c>
      <c r="S64" s="624">
        <f t="shared" si="17"/>
        <v>5867</v>
      </c>
      <c r="T64" s="624">
        <f t="shared" si="17"/>
        <v>3367</v>
      </c>
      <c r="U64" s="624">
        <f t="shared" si="17"/>
        <v>3167</v>
      </c>
      <c r="V64" s="624">
        <f t="shared" si="17"/>
        <v>3167</v>
      </c>
      <c r="W64" s="624">
        <f t="shared" si="17"/>
        <v>3355.5714285714289</v>
      </c>
      <c r="X64" s="624">
        <f t="shared" si="17"/>
        <v>3291.6428571428601</v>
      </c>
      <c r="Y64" s="624">
        <f t="shared" si="17"/>
        <v>560.71428571428999</v>
      </c>
      <c r="Z64" s="624">
        <f t="shared" ref="Z64:AJ64" si="18">SUM(Z51:Z63)</f>
        <v>496.78571428571001</v>
      </c>
      <c r="AA64" s="624">
        <f t="shared" si="18"/>
        <v>432.85714285713999</v>
      </c>
      <c r="AB64" s="625">
        <f t="shared" si="18"/>
        <v>3268.9285714285697</v>
      </c>
      <c r="AC64" s="624">
        <f t="shared" ref="AC64:AI64" si="19">SUM(AC51:AC63)</f>
        <v>2305</v>
      </c>
      <c r="AD64" s="625">
        <f t="shared" si="19"/>
        <v>0</v>
      </c>
      <c r="AE64" s="624">
        <f t="shared" si="19"/>
        <v>0</v>
      </c>
      <c r="AF64" s="625">
        <f t="shared" si="19"/>
        <v>0</v>
      </c>
      <c r="AG64" s="624">
        <f t="shared" si="19"/>
        <v>0</v>
      </c>
      <c r="AH64" s="625">
        <f t="shared" si="19"/>
        <v>0</v>
      </c>
      <c r="AI64" s="624">
        <f t="shared" si="19"/>
        <v>0</v>
      </c>
      <c r="AJ64" s="624">
        <f t="shared" si="18"/>
        <v>0</v>
      </c>
      <c r="AK64" s="625">
        <f t="shared" ref="AK64:AN64" si="20">SUM(AK51:AK63)</f>
        <v>0</v>
      </c>
      <c r="AL64" s="624">
        <f t="shared" si="20"/>
        <v>0</v>
      </c>
      <c r="AM64" s="625">
        <f t="shared" si="20"/>
        <v>0</v>
      </c>
      <c r="AN64" s="624">
        <f t="shared" si="20"/>
        <v>0</v>
      </c>
      <c r="AO64" s="625">
        <f t="shared" ref="AO64:AP64" si="21">SUM(AO51:AO63)</f>
        <v>0</v>
      </c>
      <c r="AP64" s="624">
        <f t="shared" si="21"/>
        <v>0</v>
      </c>
      <c r="AQ64" s="590">
        <f t="shared" si="17"/>
        <v>146707.38999999998</v>
      </c>
      <c r="AR64" s="822">
        <f t="shared" si="17"/>
        <v>150400</v>
      </c>
      <c r="AS64" s="378"/>
    </row>
    <row r="65" spans="1:49" ht="15" x14ac:dyDescent="0.2">
      <c r="A65" s="379">
        <v>2375000</v>
      </c>
      <c r="B65" s="309">
        <v>6000318</v>
      </c>
      <c r="C65" s="310" t="s">
        <v>189</v>
      </c>
      <c r="D65" s="380"/>
      <c r="E65" s="626"/>
      <c r="F65" s="758">
        <v>806.53</v>
      </c>
      <c r="G65" s="758">
        <v>555.04999999999995</v>
      </c>
      <c r="H65" s="758">
        <v>879.89</v>
      </c>
      <c r="I65" s="758">
        <v>409.47</v>
      </c>
      <c r="J65" s="758">
        <v>1295.1400000000001</v>
      </c>
      <c r="K65" s="758">
        <v>400.57</v>
      </c>
      <c r="L65" s="758">
        <v>734.05</v>
      </c>
      <c r="M65" s="758">
        <v>229.55</v>
      </c>
      <c r="N65" s="627">
        <v>500</v>
      </c>
      <c r="O65" s="627">
        <v>500</v>
      </c>
      <c r="P65" s="627">
        <v>500</v>
      </c>
      <c r="Q65" s="627">
        <v>500</v>
      </c>
      <c r="R65" s="627">
        <v>500</v>
      </c>
      <c r="S65" s="627">
        <v>500</v>
      </c>
      <c r="T65" s="627">
        <v>500</v>
      </c>
      <c r="U65" s="627">
        <v>1400</v>
      </c>
      <c r="V65" s="627">
        <v>1400</v>
      </c>
      <c r="W65" s="627">
        <v>1400</v>
      </c>
      <c r="X65" s="627"/>
      <c r="Y65" s="627">
        <v>251</v>
      </c>
      <c r="Z65" s="627"/>
      <c r="AA65" s="627">
        <v>500</v>
      </c>
      <c r="AB65" s="627"/>
      <c r="AC65" s="627">
        <v>500</v>
      </c>
      <c r="AD65" s="628"/>
      <c r="AE65" s="627"/>
      <c r="AF65" s="628"/>
      <c r="AG65" s="627"/>
      <c r="AH65" s="628"/>
      <c r="AI65" s="627"/>
      <c r="AJ65" s="627"/>
      <c r="AK65" s="628"/>
      <c r="AL65" s="627"/>
      <c r="AM65" s="628"/>
      <c r="AN65" s="627"/>
      <c r="AO65" s="628"/>
      <c r="AP65" s="627"/>
      <c r="AQ65" s="592">
        <f t="shared" ref="AQ65:AQ79" si="22">SUM(E65:AJ65)</f>
        <v>14261.25</v>
      </c>
      <c r="AR65" s="823">
        <v>15000</v>
      </c>
      <c r="AS65" s="349" t="s">
        <v>597</v>
      </c>
    </row>
    <row r="66" spans="1:49" ht="15" x14ac:dyDescent="0.2">
      <c r="A66" s="373">
        <v>3191000</v>
      </c>
      <c r="B66" s="294">
        <v>6000319</v>
      </c>
      <c r="C66" s="295" t="s">
        <v>207</v>
      </c>
      <c r="D66" s="361"/>
      <c r="E66" s="608"/>
      <c r="F66" s="609"/>
      <c r="G66" s="609"/>
      <c r="H66" s="609"/>
      <c r="I66" s="609"/>
      <c r="J66" s="609"/>
      <c r="K66" s="760">
        <v>400.57</v>
      </c>
      <c r="L66" s="609"/>
      <c r="M66" s="609"/>
      <c r="N66" s="609">
        <v>100</v>
      </c>
      <c r="O66" s="609">
        <v>100</v>
      </c>
      <c r="P66" s="609">
        <v>100</v>
      </c>
      <c r="Q66" s="609">
        <v>100</v>
      </c>
      <c r="R66" s="609">
        <v>100</v>
      </c>
      <c r="S66" s="609">
        <v>100</v>
      </c>
      <c r="T66" s="609">
        <v>100</v>
      </c>
      <c r="U66" s="609">
        <v>100</v>
      </c>
      <c r="V66" s="609">
        <v>100</v>
      </c>
      <c r="W66" s="609">
        <v>100</v>
      </c>
      <c r="X66" s="609">
        <v>100</v>
      </c>
      <c r="Y66" s="609">
        <v>100</v>
      </c>
      <c r="Z66" s="609">
        <v>100</v>
      </c>
      <c r="AA66" s="609">
        <v>100</v>
      </c>
      <c r="AB66" s="609">
        <v>100</v>
      </c>
      <c r="AC66" s="609">
        <v>100</v>
      </c>
      <c r="AD66" s="610"/>
      <c r="AE66" s="609"/>
      <c r="AF66" s="610"/>
      <c r="AG66" s="609"/>
      <c r="AH66" s="610"/>
      <c r="AI66" s="609"/>
      <c r="AJ66" s="609"/>
      <c r="AK66" s="610"/>
      <c r="AL66" s="609"/>
      <c r="AM66" s="610"/>
      <c r="AN66" s="609"/>
      <c r="AO66" s="610"/>
      <c r="AP66" s="609"/>
      <c r="AQ66" s="587">
        <f t="shared" si="22"/>
        <v>2000.57</v>
      </c>
      <c r="AR66" s="827">
        <v>2500</v>
      </c>
      <c r="AS66" s="349" t="s">
        <v>597</v>
      </c>
      <c r="AW66" s="382"/>
    </row>
    <row r="67" spans="1:49" ht="15" x14ac:dyDescent="0.2">
      <c r="A67" s="8">
        <v>3100000</v>
      </c>
      <c r="B67" s="318">
        <v>6000411</v>
      </c>
      <c r="C67" s="319" t="s">
        <v>625</v>
      </c>
      <c r="D67" s="359"/>
      <c r="E67" s="635"/>
      <c r="F67" s="636"/>
      <c r="G67" s="636"/>
      <c r="H67" s="636"/>
      <c r="I67" s="636"/>
      <c r="J67" s="636"/>
      <c r="K67" s="768">
        <v>316.61</v>
      </c>
      <c r="L67" s="636"/>
      <c r="M67" s="636"/>
      <c r="N67" s="636"/>
      <c r="O67" s="636"/>
      <c r="P67" s="636"/>
      <c r="Q67" s="636"/>
      <c r="R67" s="636"/>
      <c r="S67" s="636"/>
      <c r="T67" s="636"/>
      <c r="U67" s="636"/>
      <c r="V67" s="636"/>
      <c r="W67" s="636"/>
      <c r="X67" s="636"/>
      <c r="Y67" s="636"/>
      <c r="Z67" s="636"/>
      <c r="AA67" s="636"/>
      <c r="AB67" s="637"/>
      <c r="AC67" s="636"/>
      <c r="AD67" s="637"/>
      <c r="AE67" s="636"/>
      <c r="AF67" s="637"/>
      <c r="AG67" s="636"/>
      <c r="AH67" s="637"/>
      <c r="AI67" s="636"/>
      <c r="AJ67" s="636"/>
      <c r="AK67" s="637"/>
      <c r="AL67" s="636"/>
      <c r="AM67" s="637"/>
      <c r="AN67" s="636"/>
      <c r="AO67" s="637"/>
      <c r="AP67" s="636"/>
      <c r="AQ67" s="585">
        <f t="shared" si="22"/>
        <v>316.61</v>
      </c>
      <c r="AR67" s="824">
        <v>1000</v>
      </c>
      <c r="AS67" s="349" t="s">
        <v>597</v>
      </c>
      <c r="AV67" s="47"/>
    </row>
    <row r="68" spans="1:49" ht="15" x14ac:dyDescent="0.2">
      <c r="A68" s="375">
        <v>3116500</v>
      </c>
      <c r="B68" s="282">
        <v>6000419</v>
      </c>
      <c r="C68" s="271" t="s">
        <v>626</v>
      </c>
      <c r="D68" s="348"/>
      <c r="E68" s="611"/>
      <c r="F68" s="612"/>
      <c r="G68" s="612"/>
      <c r="H68" s="612"/>
      <c r="I68" s="612"/>
      <c r="J68" s="612"/>
      <c r="K68" s="612"/>
      <c r="L68" s="612"/>
      <c r="M68" s="612"/>
      <c r="N68" s="612"/>
      <c r="O68" s="612"/>
      <c r="P68" s="612"/>
      <c r="Q68" s="612"/>
      <c r="R68" s="612"/>
      <c r="S68" s="612"/>
      <c r="T68" s="612"/>
      <c r="U68" s="612"/>
      <c r="V68" s="612"/>
      <c r="W68" s="612"/>
      <c r="X68" s="612"/>
      <c r="Y68" s="612"/>
      <c r="Z68" s="612"/>
      <c r="AA68" s="612"/>
      <c r="AB68" s="613"/>
      <c r="AC68" s="612"/>
      <c r="AD68" s="613"/>
      <c r="AE68" s="612"/>
      <c r="AF68" s="613"/>
      <c r="AG68" s="612"/>
      <c r="AH68" s="613"/>
      <c r="AI68" s="612"/>
      <c r="AJ68" s="612"/>
      <c r="AK68" s="613"/>
      <c r="AL68" s="612"/>
      <c r="AM68" s="613"/>
      <c r="AN68" s="612"/>
      <c r="AO68" s="613"/>
      <c r="AP68" s="612"/>
      <c r="AQ68" s="578">
        <f t="shared" si="22"/>
        <v>0</v>
      </c>
      <c r="AR68" s="824"/>
      <c r="AS68" s="349" t="s">
        <v>597</v>
      </c>
      <c r="AW68" s="383"/>
    </row>
    <row r="69" spans="1:49" ht="15" x14ac:dyDescent="0.2">
      <c r="A69" s="375">
        <v>3120000</v>
      </c>
      <c r="B69" s="320"/>
      <c r="C69" s="271" t="s">
        <v>197</v>
      </c>
      <c r="D69" s="348"/>
      <c r="E69" s="611"/>
      <c r="F69" s="612"/>
      <c r="G69" s="612"/>
      <c r="H69" s="612"/>
      <c r="I69" s="612"/>
      <c r="J69" s="612"/>
      <c r="K69" s="612"/>
      <c r="L69" s="612"/>
      <c r="M69" s="612"/>
      <c r="N69" s="612"/>
      <c r="O69" s="612"/>
      <c r="P69" s="612"/>
      <c r="Q69" s="612"/>
      <c r="R69" s="612"/>
      <c r="S69" s="612"/>
      <c r="T69" s="612"/>
      <c r="U69" s="612"/>
      <c r="V69" s="612"/>
      <c r="W69" s="612"/>
      <c r="X69" s="612"/>
      <c r="Y69" s="612"/>
      <c r="Z69" s="612"/>
      <c r="AA69" s="612"/>
      <c r="AB69" s="613"/>
      <c r="AC69" s="612"/>
      <c r="AD69" s="613"/>
      <c r="AE69" s="612"/>
      <c r="AF69" s="613"/>
      <c r="AG69" s="612"/>
      <c r="AH69" s="613"/>
      <c r="AI69" s="612"/>
      <c r="AJ69" s="612"/>
      <c r="AK69" s="613"/>
      <c r="AL69" s="612"/>
      <c r="AM69" s="613"/>
      <c r="AN69" s="612"/>
      <c r="AO69" s="613"/>
      <c r="AP69" s="612"/>
      <c r="AQ69" s="578">
        <f t="shared" si="22"/>
        <v>0</v>
      </c>
      <c r="AR69" s="824">
        <v>119000</v>
      </c>
      <c r="AS69" s="349" t="s">
        <v>597</v>
      </c>
      <c r="AT69" s="803"/>
      <c r="AW69" s="383"/>
    </row>
    <row r="70" spans="1:49" ht="15" x14ac:dyDescent="0.2">
      <c r="A70" s="350"/>
      <c r="B70" s="321">
        <v>6013000</v>
      </c>
      <c r="C70" s="300" t="s">
        <v>198</v>
      </c>
      <c r="D70" s="351"/>
      <c r="E70" s="614"/>
      <c r="F70" s="615"/>
      <c r="G70" s="615"/>
      <c r="H70" s="615"/>
      <c r="I70" s="615"/>
      <c r="J70" s="759">
        <v>1259.78</v>
      </c>
      <c r="K70" s="759">
        <f>231.96+1258.12+435.77</f>
        <v>1925.85</v>
      </c>
      <c r="L70" s="759">
        <v>3459.49</v>
      </c>
      <c r="M70" s="759">
        <v>3844.71</v>
      </c>
      <c r="N70" s="690">
        <v>1212.76</v>
      </c>
      <c r="O70" s="615"/>
      <c r="P70" s="615">
        <v>2700</v>
      </c>
      <c r="Q70" s="615">
        <v>7000</v>
      </c>
      <c r="R70" s="615"/>
      <c r="S70" s="615"/>
      <c r="T70" s="615"/>
      <c r="U70" s="615"/>
      <c r="V70" s="615"/>
      <c r="W70" s="615"/>
      <c r="X70" s="615"/>
      <c r="Y70" s="615"/>
      <c r="Z70" s="615"/>
      <c r="AA70" s="615"/>
      <c r="AB70" s="616"/>
      <c r="AC70" s="615"/>
      <c r="AD70" s="616"/>
      <c r="AE70" s="615"/>
      <c r="AF70" s="616"/>
      <c r="AG70" s="615"/>
      <c r="AH70" s="616"/>
      <c r="AI70" s="615"/>
      <c r="AJ70" s="615"/>
      <c r="AK70" s="616"/>
      <c r="AL70" s="615"/>
      <c r="AM70" s="616"/>
      <c r="AN70" s="615"/>
      <c r="AO70" s="616"/>
      <c r="AP70" s="615"/>
      <c r="AQ70" s="579">
        <f t="shared" si="22"/>
        <v>21402.59</v>
      </c>
      <c r="AR70" s="825" t="s">
        <v>588</v>
      </c>
      <c r="AS70" s="349" t="s">
        <v>597</v>
      </c>
      <c r="AU70" s="384"/>
      <c r="AV70" s="385"/>
      <c r="AW70" s="386"/>
    </row>
    <row r="71" spans="1:49" ht="15" x14ac:dyDescent="0.2">
      <c r="A71" s="350"/>
      <c r="B71" s="321">
        <v>6015000</v>
      </c>
      <c r="C71" s="300" t="s">
        <v>199</v>
      </c>
      <c r="D71" s="351"/>
      <c r="E71" s="614"/>
      <c r="F71" s="615"/>
      <c r="G71" s="615"/>
      <c r="H71" s="759">
        <v>1973.36</v>
      </c>
      <c r="I71" s="615"/>
      <c r="J71" s="759">
        <f>468.6+386.4+9017.22</f>
        <v>9872.2199999999993</v>
      </c>
      <c r="K71" s="759">
        <v>580.98</v>
      </c>
      <c r="L71" s="759">
        <v>769.82</v>
      </c>
      <c r="M71" s="759">
        <v>1869.25</v>
      </c>
      <c r="N71" s="615"/>
      <c r="O71" s="615"/>
      <c r="P71" s="615"/>
      <c r="Q71" s="615"/>
      <c r="R71" s="615"/>
      <c r="S71" s="615"/>
      <c r="T71" s="615"/>
      <c r="U71" s="615"/>
      <c r="V71" s="615"/>
      <c r="W71" s="615"/>
      <c r="X71" s="615"/>
      <c r="Y71" s="615"/>
      <c r="Z71" s="615"/>
      <c r="AA71" s="615"/>
      <c r="AB71" s="616"/>
      <c r="AC71" s="615"/>
      <c r="AD71" s="616"/>
      <c r="AE71" s="615"/>
      <c r="AF71" s="616"/>
      <c r="AG71" s="615"/>
      <c r="AH71" s="616"/>
      <c r="AI71" s="615"/>
      <c r="AJ71" s="615"/>
      <c r="AK71" s="616"/>
      <c r="AL71" s="615"/>
      <c r="AM71" s="616"/>
      <c r="AN71" s="615"/>
      <c r="AO71" s="616"/>
      <c r="AP71" s="615"/>
      <c r="AQ71" s="579">
        <f t="shared" si="22"/>
        <v>15065.63</v>
      </c>
      <c r="AR71" s="825" t="s">
        <v>588</v>
      </c>
      <c r="AS71" s="349" t="s">
        <v>597</v>
      </c>
      <c r="AW71" s="386"/>
    </row>
    <row r="72" spans="1:49" ht="15" x14ac:dyDescent="0.2">
      <c r="A72" s="350"/>
      <c r="B72" s="321">
        <v>6016000</v>
      </c>
      <c r="C72" s="300" t="s">
        <v>200</v>
      </c>
      <c r="D72" s="351"/>
      <c r="E72" s="614"/>
      <c r="F72" s="615"/>
      <c r="G72" s="615"/>
      <c r="H72" s="615"/>
      <c r="I72" s="615"/>
      <c r="J72" s="615"/>
      <c r="M72" s="615"/>
      <c r="N72" s="615"/>
      <c r="O72" s="690">
        <v>1582.26</v>
      </c>
      <c r="P72" s="615">
        <v>350</v>
      </c>
      <c r="Q72" s="615"/>
      <c r="R72" s="615"/>
      <c r="S72" s="615"/>
      <c r="T72" s="615">
        <v>2520</v>
      </c>
      <c r="U72" s="615">
        <v>54000</v>
      </c>
      <c r="V72" s="615"/>
      <c r="W72" s="615"/>
      <c r="X72" s="615"/>
      <c r="Y72" s="615"/>
      <c r="Z72" s="615"/>
      <c r="AA72" s="615"/>
      <c r="AB72" s="616"/>
      <c r="AC72" s="615"/>
      <c r="AD72" s="616"/>
      <c r="AE72" s="615"/>
      <c r="AF72" s="616"/>
      <c r="AG72" s="615"/>
      <c r="AH72" s="616"/>
      <c r="AI72" s="615"/>
      <c r="AJ72" s="615"/>
      <c r="AK72" s="616"/>
      <c r="AL72" s="615"/>
      <c r="AM72" s="616"/>
      <c r="AN72" s="615"/>
      <c r="AO72" s="616"/>
      <c r="AP72" s="615"/>
      <c r="AQ72" s="579">
        <f t="shared" si="22"/>
        <v>58452.26</v>
      </c>
      <c r="AR72" s="825" t="s">
        <v>588</v>
      </c>
      <c r="AS72" s="349" t="s">
        <v>597</v>
      </c>
      <c r="AW72" s="382"/>
    </row>
    <row r="73" spans="1:49" ht="15" x14ac:dyDescent="0.2">
      <c r="A73" s="350"/>
      <c r="B73" s="321">
        <v>6018000</v>
      </c>
      <c r="C73" s="300" t="s">
        <v>615</v>
      </c>
      <c r="D73" s="351"/>
      <c r="E73" s="614"/>
      <c r="F73" s="615"/>
      <c r="G73" s="615"/>
      <c r="H73" s="615"/>
      <c r="I73" s="615"/>
      <c r="J73" s="615"/>
      <c r="K73" s="615"/>
      <c r="L73" s="767"/>
      <c r="M73" s="615"/>
      <c r="N73" s="615"/>
      <c r="O73" s="615" t="s">
        <v>1076</v>
      </c>
      <c r="P73" s="615"/>
      <c r="Q73" s="615"/>
      <c r="R73" s="615"/>
      <c r="S73" s="615"/>
      <c r="T73" s="615"/>
      <c r="U73" s="615"/>
      <c r="V73" s="615"/>
      <c r="W73" s="615"/>
      <c r="X73" s="615"/>
      <c r="Y73" s="615"/>
      <c r="Z73" s="615"/>
      <c r="AA73" s="615"/>
      <c r="AB73" s="616"/>
      <c r="AC73" s="615"/>
      <c r="AD73" s="616"/>
      <c r="AE73" s="615"/>
      <c r="AF73" s="616"/>
      <c r="AG73" s="615"/>
      <c r="AH73" s="616"/>
      <c r="AI73" s="615"/>
      <c r="AJ73" s="615"/>
      <c r="AK73" s="616"/>
      <c r="AL73" s="615"/>
      <c r="AM73" s="616"/>
      <c r="AN73" s="615"/>
      <c r="AO73" s="616"/>
      <c r="AP73" s="615"/>
      <c r="AQ73" s="579">
        <f t="shared" si="22"/>
        <v>0</v>
      </c>
      <c r="AR73" s="825" t="s">
        <v>588</v>
      </c>
      <c r="AS73" s="349" t="s">
        <v>597</v>
      </c>
      <c r="AV73" s="385"/>
      <c r="AW73" s="382"/>
    </row>
    <row r="74" spans="1:49" ht="15" x14ac:dyDescent="0.2">
      <c r="A74" s="350"/>
      <c r="B74" s="321">
        <v>6022100</v>
      </c>
      <c r="C74" s="300" t="s">
        <v>201</v>
      </c>
      <c r="D74" s="351"/>
      <c r="E74" s="614"/>
      <c r="F74" s="615"/>
      <c r="G74" s="615"/>
      <c r="H74" s="615"/>
      <c r="I74" s="615"/>
      <c r="J74" s="759">
        <f>16.5</f>
        <v>16.5</v>
      </c>
      <c r="K74" s="615"/>
      <c r="L74" s="759">
        <v>105.6</v>
      </c>
      <c r="M74" s="759">
        <v>91.38</v>
      </c>
      <c r="N74" s="615"/>
      <c r="O74" s="615"/>
      <c r="P74" s="615"/>
      <c r="Q74" s="615"/>
      <c r="R74" s="615"/>
      <c r="S74" s="615"/>
      <c r="T74" s="615"/>
      <c r="U74" s="615"/>
      <c r="V74" s="615"/>
      <c r="W74" s="615"/>
      <c r="X74" s="615"/>
      <c r="Y74" s="615"/>
      <c r="Z74" s="615"/>
      <c r="AA74" s="615"/>
      <c r="AB74" s="616"/>
      <c r="AC74" s="615"/>
      <c r="AD74" s="616"/>
      <c r="AE74" s="615"/>
      <c r="AF74" s="616"/>
      <c r="AG74" s="615"/>
      <c r="AH74" s="616"/>
      <c r="AI74" s="615"/>
      <c r="AJ74" s="615"/>
      <c r="AK74" s="616"/>
      <c r="AL74" s="615"/>
      <c r="AM74" s="616"/>
      <c r="AN74" s="615"/>
      <c r="AO74" s="616"/>
      <c r="AP74" s="615"/>
      <c r="AQ74" s="579">
        <f t="shared" si="22"/>
        <v>213.48</v>
      </c>
      <c r="AR74" s="825" t="s">
        <v>588</v>
      </c>
      <c r="AS74" s="349" t="s">
        <v>597</v>
      </c>
      <c r="AV74" s="385"/>
      <c r="AW74" s="382"/>
    </row>
    <row r="75" spans="1:49" ht="15" x14ac:dyDescent="0.2">
      <c r="A75" s="350"/>
      <c r="B75" s="321">
        <v>6022700</v>
      </c>
      <c r="C75" s="300" t="s">
        <v>202</v>
      </c>
      <c r="D75" s="351"/>
      <c r="E75" s="614"/>
      <c r="F75" s="767"/>
      <c r="G75" s="759">
        <f>23.1+423.36+172.09</f>
        <v>618.55000000000007</v>
      </c>
      <c r="H75" s="759">
        <f>33+330-228.66</f>
        <v>134.34</v>
      </c>
      <c r="I75" s="615"/>
      <c r="J75" s="759">
        <v>1063.32</v>
      </c>
      <c r="K75" s="759">
        <f>812.17+880.96</f>
        <v>1693.13</v>
      </c>
      <c r="L75" s="759">
        <f>683.17+13.64</f>
        <v>696.81</v>
      </c>
      <c r="M75" s="615"/>
      <c r="N75" s="690">
        <v>917.67</v>
      </c>
      <c r="O75" s="615"/>
      <c r="P75" s="615">
        <v>500</v>
      </c>
      <c r="Q75" s="615"/>
      <c r="R75" s="615">
        <v>500</v>
      </c>
      <c r="S75" s="615"/>
      <c r="T75" s="615">
        <v>500</v>
      </c>
      <c r="U75" s="615"/>
      <c r="V75" s="615">
        <v>500</v>
      </c>
      <c r="W75" s="615"/>
      <c r="X75" s="615">
        <v>500</v>
      </c>
      <c r="Y75" s="615"/>
      <c r="Z75" s="615">
        <v>500</v>
      </c>
      <c r="AA75" s="615"/>
      <c r="AB75" s="616">
        <v>500</v>
      </c>
      <c r="AC75" s="615"/>
      <c r="AD75" s="616"/>
      <c r="AE75" s="615"/>
      <c r="AF75" s="616"/>
      <c r="AG75" s="615"/>
      <c r="AH75" s="616"/>
      <c r="AI75" s="615"/>
      <c r="AJ75" s="615"/>
      <c r="AK75" s="616"/>
      <c r="AL75" s="615"/>
      <c r="AM75" s="616"/>
      <c r="AN75" s="615"/>
      <c r="AO75" s="616"/>
      <c r="AP75" s="615"/>
      <c r="AQ75" s="579">
        <f t="shared" si="22"/>
        <v>8623.82</v>
      </c>
      <c r="AR75" s="825" t="s">
        <v>588</v>
      </c>
      <c r="AS75" s="349" t="s">
        <v>597</v>
      </c>
      <c r="AW75" s="382"/>
    </row>
    <row r="76" spans="1:49" ht="15" x14ac:dyDescent="0.2">
      <c r="A76" s="350"/>
      <c r="B76" s="321">
        <v>6022800</v>
      </c>
      <c r="C76" s="300" t="s">
        <v>203</v>
      </c>
      <c r="D76" s="351"/>
      <c r="E76" s="614"/>
      <c r="F76" s="615"/>
      <c r="G76" s="615"/>
      <c r="H76" s="615"/>
      <c r="I76" s="615"/>
      <c r="J76" s="615"/>
      <c r="K76" s="615"/>
      <c r="L76" s="615"/>
      <c r="M76" s="615"/>
      <c r="N76" s="615"/>
      <c r="O76" s="615"/>
      <c r="P76" s="615"/>
      <c r="Q76" s="615"/>
      <c r="R76" s="615"/>
      <c r="S76" s="615"/>
      <c r="T76" s="615"/>
      <c r="U76" s="615"/>
      <c r="V76" s="615"/>
      <c r="W76" s="615"/>
      <c r="X76" s="615"/>
      <c r="Y76" s="615"/>
      <c r="Z76" s="615"/>
      <c r="AA76" s="615"/>
      <c r="AB76" s="616"/>
      <c r="AC76" s="615"/>
      <c r="AD76" s="616"/>
      <c r="AE76" s="615"/>
      <c r="AF76" s="616"/>
      <c r="AG76" s="615"/>
      <c r="AH76" s="616"/>
      <c r="AI76" s="615"/>
      <c r="AJ76" s="615"/>
      <c r="AK76" s="616"/>
      <c r="AL76" s="615"/>
      <c r="AM76" s="616"/>
      <c r="AN76" s="615"/>
      <c r="AO76" s="616"/>
      <c r="AP76" s="615"/>
      <c r="AQ76" s="579">
        <f t="shared" si="22"/>
        <v>0</v>
      </c>
      <c r="AR76" s="825" t="s">
        <v>588</v>
      </c>
      <c r="AS76" s="349" t="s">
        <v>597</v>
      </c>
      <c r="AW76" s="382"/>
    </row>
    <row r="77" spans="1:49" ht="15" x14ac:dyDescent="0.2">
      <c r="A77" s="350"/>
      <c r="B77" s="321">
        <v>6063500</v>
      </c>
      <c r="C77" s="300" t="s">
        <v>204</v>
      </c>
      <c r="D77" s="351"/>
      <c r="E77" s="614"/>
      <c r="F77" s="615"/>
      <c r="G77" s="759">
        <v>4037</v>
      </c>
      <c r="H77" s="615"/>
      <c r="I77" s="615"/>
      <c r="J77" s="615"/>
      <c r="K77" s="759">
        <v>552</v>
      </c>
      <c r="L77" s="615"/>
      <c r="M77" s="615"/>
      <c r="N77" s="615"/>
      <c r="O77" s="615"/>
      <c r="P77" s="615"/>
      <c r="Q77" s="615"/>
      <c r="R77" s="615"/>
      <c r="S77" s="615"/>
      <c r="T77" s="615"/>
      <c r="U77" s="615"/>
      <c r="V77" s="615"/>
      <c r="W77" s="615"/>
      <c r="X77" s="615"/>
      <c r="Y77" s="615"/>
      <c r="Z77" s="615"/>
      <c r="AA77" s="615"/>
      <c r="AB77" s="616"/>
      <c r="AC77" s="615"/>
      <c r="AD77" s="616"/>
      <c r="AE77" s="615"/>
      <c r="AF77" s="616"/>
      <c r="AG77" s="615"/>
      <c r="AH77" s="616"/>
      <c r="AI77" s="615"/>
      <c r="AJ77" s="615"/>
      <c r="AK77" s="616"/>
      <c r="AL77" s="615"/>
      <c r="AM77" s="616"/>
      <c r="AN77" s="615"/>
      <c r="AO77" s="616"/>
      <c r="AP77" s="615"/>
      <c r="AQ77" s="579">
        <f t="shared" si="22"/>
        <v>4589</v>
      </c>
      <c r="AR77" s="825" t="s">
        <v>588</v>
      </c>
      <c r="AS77" s="349" t="s">
        <v>597</v>
      </c>
      <c r="AW77" s="382"/>
    </row>
    <row r="78" spans="1:49" ht="15" x14ac:dyDescent="0.2">
      <c r="A78" s="350"/>
      <c r="B78" s="321">
        <v>6063600</v>
      </c>
      <c r="C78" s="300" t="s">
        <v>205</v>
      </c>
      <c r="D78" s="351"/>
      <c r="E78" s="614"/>
      <c r="F78" s="615"/>
      <c r="G78" s="615"/>
      <c r="H78" s="615"/>
      <c r="I78" s="615"/>
      <c r="J78" s="615"/>
      <c r="K78" s="615"/>
      <c r="L78" s="615"/>
      <c r="M78" s="615"/>
      <c r="N78" s="615"/>
      <c r="O78" s="615"/>
      <c r="P78" s="615"/>
      <c r="Q78" s="615"/>
      <c r="R78" s="615"/>
      <c r="S78" s="615"/>
      <c r="T78" s="615"/>
      <c r="U78" s="615"/>
      <c r="V78" s="615"/>
      <c r="W78" s="615"/>
      <c r="X78" s="615"/>
      <c r="Y78" s="615"/>
      <c r="Z78" s="615"/>
      <c r="AA78" s="615"/>
      <c r="AB78" s="616"/>
      <c r="AC78" s="615"/>
      <c r="AD78" s="616"/>
      <c r="AE78" s="615"/>
      <c r="AF78" s="616"/>
      <c r="AG78" s="615"/>
      <c r="AH78" s="616"/>
      <c r="AI78" s="615"/>
      <c r="AJ78" s="615"/>
      <c r="AK78" s="616"/>
      <c r="AL78" s="615"/>
      <c r="AM78" s="616"/>
      <c r="AN78" s="615"/>
      <c r="AO78" s="616"/>
      <c r="AP78" s="615"/>
      <c r="AQ78" s="579">
        <f t="shared" si="22"/>
        <v>0</v>
      </c>
      <c r="AR78" s="825" t="s">
        <v>588</v>
      </c>
      <c r="AS78" s="349" t="s">
        <v>597</v>
      </c>
      <c r="AW78" s="382"/>
    </row>
    <row r="79" spans="1:49" ht="15" x14ac:dyDescent="0.2">
      <c r="A79" s="352"/>
      <c r="B79" s="322">
        <v>6064000</v>
      </c>
      <c r="C79" s="301" t="s">
        <v>206</v>
      </c>
      <c r="D79" s="353"/>
      <c r="E79" s="617"/>
      <c r="F79" s="618"/>
      <c r="G79" s="618"/>
      <c r="H79" s="618"/>
      <c r="I79" s="618"/>
      <c r="J79" s="618"/>
      <c r="K79" s="618"/>
      <c r="L79" s="618"/>
      <c r="M79" s="618"/>
      <c r="N79" s="618"/>
      <c r="O79" s="618"/>
      <c r="P79" s="618"/>
      <c r="Q79" s="618"/>
      <c r="R79" s="618"/>
      <c r="S79" s="618"/>
      <c r="T79" s="618"/>
      <c r="U79" s="618"/>
      <c r="V79" s="618"/>
      <c r="W79" s="618"/>
      <c r="X79" s="618"/>
      <c r="Y79" s="618"/>
      <c r="Z79" s="618"/>
      <c r="AA79" s="618"/>
      <c r="AB79" s="619"/>
      <c r="AC79" s="618"/>
      <c r="AD79" s="619"/>
      <c r="AE79" s="618"/>
      <c r="AF79" s="619"/>
      <c r="AG79" s="618"/>
      <c r="AH79" s="619"/>
      <c r="AI79" s="618"/>
      <c r="AJ79" s="618"/>
      <c r="AK79" s="619"/>
      <c r="AL79" s="618"/>
      <c r="AM79" s="619"/>
      <c r="AN79" s="618"/>
      <c r="AO79" s="619"/>
      <c r="AP79" s="618"/>
      <c r="AQ79" s="581">
        <f t="shared" si="22"/>
        <v>0</v>
      </c>
      <c r="AR79" s="830" t="s">
        <v>588</v>
      </c>
      <c r="AS79" s="349" t="s">
        <v>597</v>
      </c>
      <c r="AW79" s="382"/>
    </row>
    <row r="80" spans="1:49" ht="25.15" customHeight="1" thickBot="1" x14ac:dyDescent="0.25">
      <c r="A80" s="414">
        <v>31</v>
      </c>
      <c r="B80" s="415" t="s">
        <v>208</v>
      </c>
      <c r="C80" s="416"/>
      <c r="D80" s="417"/>
      <c r="E80" s="629">
        <f t="shared" ref="E80:AR80" si="23">SUM(E65:E79)</f>
        <v>0</v>
      </c>
      <c r="F80" s="630">
        <f t="shared" si="23"/>
        <v>806.53</v>
      </c>
      <c r="G80" s="630">
        <f t="shared" si="23"/>
        <v>5210.6000000000004</v>
      </c>
      <c r="H80" s="630">
        <f t="shared" si="23"/>
        <v>2987.59</v>
      </c>
      <c r="I80" s="630">
        <f t="shared" si="23"/>
        <v>409.47</v>
      </c>
      <c r="J80" s="630">
        <f t="shared" si="23"/>
        <v>13506.96</v>
      </c>
      <c r="K80" s="630">
        <f t="shared" si="23"/>
        <v>5869.71</v>
      </c>
      <c r="L80" s="630">
        <f t="shared" si="23"/>
        <v>5765.77</v>
      </c>
      <c r="M80" s="630">
        <f t="shared" si="23"/>
        <v>6034.89</v>
      </c>
      <c r="N80" s="630">
        <f t="shared" si="23"/>
        <v>2730.43</v>
      </c>
      <c r="O80" s="630">
        <f t="shared" si="23"/>
        <v>2182.2600000000002</v>
      </c>
      <c r="P80" s="630">
        <f t="shared" si="23"/>
        <v>4150</v>
      </c>
      <c r="Q80" s="630">
        <f t="shared" si="23"/>
        <v>7600</v>
      </c>
      <c r="R80" s="630">
        <f t="shared" si="23"/>
        <v>1100</v>
      </c>
      <c r="S80" s="630">
        <f t="shared" si="23"/>
        <v>600</v>
      </c>
      <c r="T80" s="630">
        <f t="shared" si="23"/>
        <v>3620</v>
      </c>
      <c r="U80" s="630">
        <f t="shared" si="23"/>
        <v>55500</v>
      </c>
      <c r="V80" s="630">
        <f t="shared" si="23"/>
        <v>2000</v>
      </c>
      <c r="W80" s="630">
        <f t="shared" si="23"/>
        <v>1500</v>
      </c>
      <c r="X80" s="630">
        <f t="shared" si="23"/>
        <v>600</v>
      </c>
      <c r="Y80" s="630">
        <f t="shared" si="23"/>
        <v>351</v>
      </c>
      <c r="Z80" s="630">
        <f t="shared" ref="Z80:AJ80" si="24">SUM(Z65:Z79)</f>
        <v>600</v>
      </c>
      <c r="AA80" s="630">
        <f t="shared" si="24"/>
        <v>600</v>
      </c>
      <c r="AB80" s="631">
        <f t="shared" si="24"/>
        <v>600</v>
      </c>
      <c r="AC80" s="630">
        <f t="shared" ref="AC80:AI80" si="25">SUM(AC65:AC79)</f>
        <v>600</v>
      </c>
      <c r="AD80" s="631">
        <f t="shared" si="25"/>
        <v>0</v>
      </c>
      <c r="AE80" s="630">
        <f t="shared" si="25"/>
        <v>0</v>
      </c>
      <c r="AF80" s="631">
        <f t="shared" si="25"/>
        <v>0</v>
      </c>
      <c r="AG80" s="630">
        <f t="shared" si="25"/>
        <v>0</v>
      </c>
      <c r="AH80" s="631">
        <f t="shared" si="25"/>
        <v>0</v>
      </c>
      <c r="AI80" s="630">
        <f t="shared" si="25"/>
        <v>0</v>
      </c>
      <c r="AJ80" s="630">
        <f t="shared" si="24"/>
        <v>0</v>
      </c>
      <c r="AK80" s="631">
        <f t="shared" ref="AK80:AN80" si="26">SUM(AK65:AK79)</f>
        <v>0</v>
      </c>
      <c r="AL80" s="630">
        <f t="shared" si="26"/>
        <v>0</v>
      </c>
      <c r="AM80" s="631">
        <f t="shared" si="26"/>
        <v>0</v>
      </c>
      <c r="AN80" s="630">
        <f t="shared" si="26"/>
        <v>0</v>
      </c>
      <c r="AO80" s="631">
        <f t="shared" ref="AO80:AP80" si="27">SUM(AO65:AO79)</f>
        <v>0</v>
      </c>
      <c r="AP80" s="630">
        <f t="shared" si="27"/>
        <v>0</v>
      </c>
      <c r="AQ80" s="593">
        <f t="shared" si="23"/>
        <v>124925.20999999999</v>
      </c>
      <c r="AR80" s="828">
        <f t="shared" si="23"/>
        <v>137500</v>
      </c>
      <c r="AS80" s="357"/>
    </row>
    <row r="81" spans="1:45" ht="15" x14ac:dyDescent="0.2">
      <c r="A81" s="387">
        <v>4190000</v>
      </c>
      <c r="B81" s="323">
        <v>6042000</v>
      </c>
      <c r="C81" s="324" t="s">
        <v>217</v>
      </c>
      <c r="D81" s="325"/>
      <c r="E81" s="638"/>
      <c r="F81" s="639"/>
      <c r="G81" s="639"/>
      <c r="H81" s="639"/>
      <c r="I81" s="639"/>
      <c r="J81" s="639"/>
      <c r="K81" s="639"/>
      <c r="L81" s="639"/>
      <c r="M81" s="639"/>
      <c r="N81" s="639"/>
      <c r="O81" s="639"/>
      <c r="P81" s="639"/>
      <c r="Q81" s="639"/>
      <c r="R81" s="639"/>
      <c r="S81" s="639"/>
      <c r="T81" s="639"/>
      <c r="U81" s="639"/>
      <c r="V81" s="639"/>
      <c r="W81" s="639"/>
      <c r="X81" s="639"/>
      <c r="Y81" s="639"/>
      <c r="Z81" s="639"/>
      <c r="AA81" s="639"/>
      <c r="AB81" s="640"/>
      <c r="AC81" s="639"/>
      <c r="AD81" s="640"/>
      <c r="AE81" s="639"/>
      <c r="AF81" s="640"/>
      <c r="AG81" s="639"/>
      <c r="AH81" s="640"/>
      <c r="AI81" s="639"/>
      <c r="AJ81" s="639"/>
      <c r="AK81" s="640"/>
      <c r="AL81" s="639"/>
      <c r="AM81" s="640"/>
      <c r="AN81" s="639"/>
      <c r="AO81" s="640"/>
      <c r="AP81" s="639"/>
      <c r="AQ81" s="594">
        <f t="shared" ref="AQ81:AQ92" si="28">SUM(E81:AJ81)</f>
        <v>0</v>
      </c>
      <c r="AR81" s="831"/>
      <c r="AS81" s="374" t="s">
        <v>596</v>
      </c>
    </row>
    <row r="82" spans="1:45" ht="15" x14ac:dyDescent="0.2">
      <c r="A82" s="388">
        <v>4100000</v>
      </c>
      <c r="B82" s="326"/>
      <c r="C82" s="319" t="s">
        <v>209</v>
      </c>
      <c r="D82" s="327"/>
      <c r="E82" s="635"/>
      <c r="F82" s="636"/>
      <c r="G82" s="636"/>
      <c r="H82" s="636"/>
      <c r="I82" s="636"/>
      <c r="J82" s="636"/>
      <c r="K82" s="636"/>
      <c r="L82" s="636"/>
      <c r="M82" s="636"/>
      <c r="N82" s="636"/>
      <c r="O82" s="783" t="s">
        <v>1038</v>
      </c>
      <c r="P82" s="636"/>
      <c r="Q82" s="636"/>
      <c r="R82" s="636"/>
      <c r="S82" s="636"/>
      <c r="T82" s="636"/>
      <c r="U82" s="636"/>
      <c r="V82" s="636"/>
      <c r="W82" s="636"/>
      <c r="X82" s="636"/>
      <c r="Y82" s="636"/>
      <c r="Z82" s="636"/>
      <c r="AA82" s="636"/>
      <c r="AB82" s="637"/>
      <c r="AC82" s="636"/>
      <c r="AD82" s="637"/>
      <c r="AE82" s="636"/>
      <c r="AF82" s="637"/>
      <c r="AG82" s="636"/>
      <c r="AH82" s="637"/>
      <c r="AI82" s="636"/>
      <c r="AJ82" s="636"/>
      <c r="AK82" s="637"/>
      <c r="AL82" s="636"/>
      <c r="AM82" s="637"/>
      <c r="AN82" s="636"/>
      <c r="AO82" s="637"/>
      <c r="AP82" s="636"/>
      <c r="AQ82" s="585">
        <f t="shared" si="28"/>
        <v>0</v>
      </c>
      <c r="AR82" s="832">
        <v>35000</v>
      </c>
      <c r="AS82" s="374" t="s">
        <v>596</v>
      </c>
    </row>
    <row r="83" spans="1:45" ht="15" x14ac:dyDescent="0.2">
      <c r="A83" s="350"/>
      <c r="B83" s="321">
        <v>6061000</v>
      </c>
      <c r="C83" s="300" t="s">
        <v>407</v>
      </c>
      <c r="D83" s="305" t="s">
        <v>608</v>
      </c>
      <c r="E83" s="614"/>
      <c r="F83" s="615"/>
      <c r="G83" s="636"/>
      <c r="H83" s="768">
        <v>863.39</v>
      </c>
      <c r="I83" s="768">
        <v>265.69</v>
      </c>
      <c r="J83" s="768">
        <v>253.93</v>
      </c>
      <c r="K83" s="768">
        <v>343.31</v>
      </c>
      <c r="L83" s="768">
        <v>738.04</v>
      </c>
      <c r="M83" s="816">
        <v>1290.6300000000001</v>
      </c>
      <c r="N83" s="809">
        <f>2088.58</f>
        <v>2088.58</v>
      </c>
      <c r="O83" s="782">
        <v>1200</v>
      </c>
      <c r="P83" s="782">
        <v>1200</v>
      </c>
      <c r="Q83" s="782">
        <v>600</v>
      </c>
      <c r="R83" s="782">
        <v>600</v>
      </c>
      <c r="S83" s="782">
        <v>600</v>
      </c>
      <c r="T83" s="782">
        <v>600</v>
      </c>
      <c r="U83" s="782">
        <v>600</v>
      </c>
      <c r="V83" s="782">
        <v>600</v>
      </c>
      <c r="W83" s="782">
        <v>1200</v>
      </c>
      <c r="X83" s="636">
        <v>2200</v>
      </c>
      <c r="Y83" s="636">
        <v>2200</v>
      </c>
      <c r="Z83" s="636">
        <v>2200</v>
      </c>
      <c r="AA83" s="636">
        <v>2200</v>
      </c>
      <c r="AB83" s="637">
        <v>1500</v>
      </c>
      <c r="AC83" s="636">
        <v>1500</v>
      </c>
      <c r="AD83" s="616">
        <v>1000</v>
      </c>
      <c r="AE83" s="615"/>
      <c r="AF83" s="616"/>
      <c r="AG83" s="615"/>
      <c r="AH83" s="616"/>
      <c r="AI83" s="615"/>
      <c r="AJ83" s="615"/>
      <c r="AK83" s="616"/>
      <c r="AL83" s="615"/>
      <c r="AM83" s="616"/>
      <c r="AN83" s="615"/>
      <c r="AO83" s="616"/>
      <c r="AP83" s="615"/>
      <c r="AQ83" s="579">
        <f>SUM(E83:AJ83)</f>
        <v>25843.57</v>
      </c>
      <c r="AR83" s="819" t="s">
        <v>588</v>
      </c>
      <c r="AS83" s="374" t="s">
        <v>596</v>
      </c>
    </row>
    <row r="84" spans="1:45" ht="15" x14ac:dyDescent="0.2">
      <c r="A84" s="352"/>
      <c r="B84" s="322">
        <v>6061500</v>
      </c>
      <c r="C84" s="300" t="s">
        <v>95</v>
      </c>
      <c r="D84" s="305" t="s">
        <v>609</v>
      </c>
      <c r="E84" s="617"/>
      <c r="F84" s="618"/>
      <c r="G84" s="618"/>
      <c r="H84" s="618"/>
      <c r="I84" s="618">
        <v>800</v>
      </c>
      <c r="J84" s="618">
        <v>400</v>
      </c>
      <c r="K84" s="618">
        <v>400</v>
      </c>
      <c r="L84" s="618">
        <v>400</v>
      </c>
      <c r="M84" s="618">
        <v>400</v>
      </c>
      <c r="N84" s="618">
        <v>400</v>
      </c>
      <c r="O84" s="618">
        <v>400</v>
      </c>
      <c r="P84" s="618">
        <v>400</v>
      </c>
      <c r="Q84" s="618">
        <v>400</v>
      </c>
      <c r="R84" s="618">
        <v>400</v>
      </c>
      <c r="S84" s="618">
        <v>400</v>
      </c>
      <c r="T84" s="618">
        <v>400</v>
      </c>
      <c r="U84" s="618">
        <v>400</v>
      </c>
      <c r="V84" s="618">
        <v>400</v>
      </c>
      <c r="W84" s="618">
        <v>400</v>
      </c>
      <c r="X84" s="618">
        <v>400</v>
      </c>
      <c r="Y84" s="618">
        <v>400</v>
      </c>
      <c r="Z84" s="618">
        <v>400</v>
      </c>
      <c r="AA84" s="618">
        <v>400</v>
      </c>
      <c r="AB84" s="618">
        <v>400</v>
      </c>
      <c r="AC84" s="618">
        <v>400</v>
      </c>
      <c r="AD84" s="619"/>
      <c r="AE84" s="618"/>
      <c r="AF84" s="619"/>
      <c r="AG84" s="618"/>
      <c r="AH84" s="619"/>
      <c r="AI84" s="618"/>
      <c r="AJ84" s="618"/>
      <c r="AK84" s="619"/>
      <c r="AL84" s="618"/>
      <c r="AM84" s="619"/>
      <c r="AN84" s="618"/>
      <c r="AO84" s="619"/>
      <c r="AP84" s="618"/>
      <c r="AQ84" s="581">
        <f t="shared" si="28"/>
        <v>8800</v>
      </c>
      <c r="AR84" s="818" t="s">
        <v>588</v>
      </c>
      <c r="AS84" s="374" t="s">
        <v>596</v>
      </c>
    </row>
    <row r="85" spans="1:45" ht="15" x14ac:dyDescent="0.2">
      <c r="A85" s="373">
        <v>4130000</v>
      </c>
      <c r="B85" s="328">
        <v>6110500</v>
      </c>
      <c r="C85" s="295" t="s">
        <v>73</v>
      </c>
      <c r="D85" s="305" t="s">
        <v>611</v>
      </c>
      <c r="E85" s="608"/>
      <c r="F85" s="609"/>
      <c r="G85" s="609"/>
      <c r="H85" s="760">
        <v>646.65</v>
      </c>
      <c r="I85" s="760">
        <f>700-294.32</f>
        <v>405.68</v>
      </c>
      <c r="J85" s="760">
        <v>700</v>
      </c>
      <c r="K85" s="760">
        <f>-98.1-147.15+700</f>
        <v>454.75</v>
      </c>
      <c r="L85" s="760">
        <f>700-98.1</f>
        <v>601.9</v>
      </c>
      <c r="M85" s="760">
        <f>700-147.16</f>
        <v>552.84</v>
      </c>
      <c r="N85" s="692">
        <f>700-98.1</f>
        <v>601.9</v>
      </c>
      <c r="O85" s="609">
        <v>800</v>
      </c>
      <c r="P85" s="609">
        <v>800</v>
      </c>
      <c r="Q85" s="609">
        <v>800</v>
      </c>
      <c r="R85" s="609">
        <v>800</v>
      </c>
      <c r="S85" s="609">
        <v>800</v>
      </c>
      <c r="T85" s="609">
        <v>800</v>
      </c>
      <c r="U85" s="609">
        <v>800</v>
      </c>
      <c r="V85" s="609">
        <v>800</v>
      </c>
      <c r="W85" s="609">
        <v>800</v>
      </c>
      <c r="X85" s="609">
        <v>800</v>
      </c>
      <c r="Y85" s="609">
        <v>800</v>
      </c>
      <c r="Z85" s="609">
        <v>800</v>
      </c>
      <c r="AA85" s="609">
        <v>800</v>
      </c>
      <c r="AB85" s="609">
        <v>800</v>
      </c>
      <c r="AC85" s="609">
        <v>800</v>
      </c>
      <c r="AD85" s="609">
        <v>800</v>
      </c>
      <c r="AE85" s="609"/>
      <c r="AF85" s="610"/>
      <c r="AG85" s="609"/>
      <c r="AH85" s="610"/>
      <c r="AI85" s="609"/>
      <c r="AJ85" s="609"/>
      <c r="AK85" s="610"/>
      <c r="AL85" s="609"/>
      <c r="AM85" s="610"/>
      <c r="AN85" s="609"/>
      <c r="AO85" s="610"/>
      <c r="AP85" s="609"/>
      <c r="AQ85" s="587">
        <f t="shared" si="28"/>
        <v>16763.72</v>
      </c>
      <c r="AR85" s="821">
        <v>17000</v>
      </c>
      <c r="AS85" s="374" t="s">
        <v>596</v>
      </c>
    </row>
    <row r="86" spans="1:45" ht="15" x14ac:dyDescent="0.2">
      <c r="A86" s="375">
        <v>4120000</v>
      </c>
      <c r="B86" s="320">
        <v>6135100</v>
      </c>
      <c r="C86" s="271" t="s">
        <v>210</v>
      </c>
      <c r="D86" s="329" t="s">
        <v>610</v>
      </c>
      <c r="E86" s="611"/>
      <c r="F86" s="612"/>
      <c r="G86" s="612"/>
      <c r="H86" s="761">
        <f>90+5</f>
        <v>95</v>
      </c>
      <c r="I86" s="761">
        <v>50</v>
      </c>
      <c r="J86" s="795"/>
      <c r="K86" s="761">
        <v>248.4</v>
      </c>
      <c r="L86" s="761">
        <f>81+9.5</f>
        <v>90.5</v>
      </c>
      <c r="M86" s="761">
        <v>95</v>
      </c>
      <c r="N86" s="612">
        <v>500</v>
      </c>
      <c r="O86" s="612">
        <v>600</v>
      </c>
      <c r="P86" s="612">
        <v>60</v>
      </c>
      <c r="Q86" s="612">
        <v>800</v>
      </c>
      <c r="R86" s="612">
        <v>1200</v>
      </c>
      <c r="S86" s="612">
        <v>1200</v>
      </c>
      <c r="T86" s="612">
        <v>1500</v>
      </c>
      <c r="U86" s="612">
        <v>1500</v>
      </c>
      <c r="V86" s="612">
        <v>1800</v>
      </c>
      <c r="W86" s="612">
        <v>2000</v>
      </c>
      <c r="X86" s="612">
        <v>2200</v>
      </c>
      <c r="Y86" s="612">
        <v>2200</v>
      </c>
      <c r="Z86" s="612">
        <v>2200</v>
      </c>
      <c r="AA86" s="612">
        <v>2200</v>
      </c>
      <c r="AB86" s="613">
        <v>2400</v>
      </c>
      <c r="AC86" s="612">
        <v>2600</v>
      </c>
      <c r="AD86" s="613">
        <v>3000</v>
      </c>
      <c r="AE86" s="612"/>
      <c r="AF86" s="613"/>
      <c r="AG86" s="612"/>
      <c r="AH86" s="613"/>
      <c r="AI86" s="612"/>
      <c r="AJ86" s="612"/>
      <c r="AK86" s="613"/>
      <c r="AL86" s="612"/>
      <c r="AM86" s="613"/>
      <c r="AN86" s="612"/>
      <c r="AO86" s="613"/>
      <c r="AP86" s="612"/>
      <c r="AQ86" s="578">
        <f t="shared" si="28"/>
        <v>28538.9</v>
      </c>
      <c r="AR86" s="806">
        <v>30000</v>
      </c>
      <c r="AS86" s="374" t="s">
        <v>596</v>
      </c>
    </row>
    <row r="87" spans="1:45" ht="15" x14ac:dyDescent="0.2">
      <c r="A87" s="375">
        <v>4160000</v>
      </c>
      <c r="B87" s="320"/>
      <c r="C87" s="271" t="s">
        <v>212</v>
      </c>
      <c r="D87" s="293"/>
      <c r="E87" s="611"/>
      <c r="F87" s="612"/>
      <c r="G87" s="612"/>
      <c r="H87" s="612"/>
      <c r="I87" s="612"/>
      <c r="J87" s="612"/>
      <c r="K87" s="612"/>
      <c r="L87" s="612"/>
      <c r="M87" s="612"/>
      <c r="N87" s="612"/>
      <c r="O87" s="612"/>
      <c r="P87" s="612"/>
      <c r="Q87" s="612"/>
      <c r="R87" s="612"/>
      <c r="S87" s="612"/>
      <c r="T87" s="612"/>
      <c r="U87" s="612"/>
      <c r="V87" s="612"/>
      <c r="W87" s="612"/>
      <c r="X87" s="612"/>
      <c r="Y87" s="612"/>
      <c r="Z87" s="612"/>
      <c r="AA87" s="612"/>
      <c r="AB87" s="613"/>
      <c r="AC87" s="612"/>
      <c r="AD87" s="613"/>
      <c r="AE87" s="612"/>
      <c r="AF87" s="613"/>
      <c r="AG87" s="612"/>
      <c r="AH87" s="613"/>
      <c r="AI87" s="612"/>
      <c r="AJ87" s="612"/>
      <c r="AK87" s="613"/>
      <c r="AL87" s="612"/>
      <c r="AM87" s="613"/>
      <c r="AN87" s="612"/>
      <c r="AO87" s="613"/>
      <c r="AP87" s="612"/>
      <c r="AQ87" s="578">
        <f t="shared" si="28"/>
        <v>0</v>
      </c>
      <c r="AR87" s="806">
        <v>3500</v>
      </c>
      <c r="AS87" s="374" t="s">
        <v>596</v>
      </c>
    </row>
    <row r="88" spans="1:45" ht="15" x14ac:dyDescent="0.2">
      <c r="A88" s="350"/>
      <c r="B88" s="321">
        <v>6135500</v>
      </c>
      <c r="C88" s="300" t="s">
        <v>213</v>
      </c>
      <c r="D88" s="305"/>
      <c r="E88" s="614"/>
      <c r="F88" s="615"/>
      <c r="G88" s="615"/>
      <c r="H88" s="615"/>
      <c r="I88" s="615"/>
      <c r="J88" s="615"/>
      <c r="K88" s="615"/>
      <c r="L88" s="615"/>
      <c r="M88" s="615"/>
      <c r="N88" s="615">
        <v>150</v>
      </c>
      <c r="O88" s="615">
        <v>150</v>
      </c>
      <c r="P88" s="615">
        <v>150</v>
      </c>
      <c r="Q88" s="615">
        <v>150</v>
      </c>
      <c r="R88" s="615">
        <v>150</v>
      </c>
      <c r="S88" s="615">
        <v>150</v>
      </c>
      <c r="T88" s="615">
        <v>150</v>
      </c>
      <c r="U88" s="615">
        <v>150</v>
      </c>
      <c r="V88" s="615">
        <v>150</v>
      </c>
      <c r="W88" s="615">
        <v>150</v>
      </c>
      <c r="X88" s="615">
        <v>150</v>
      </c>
      <c r="Y88" s="615">
        <v>150</v>
      </c>
      <c r="Z88" s="615">
        <v>150</v>
      </c>
      <c r="AA88" s="615">
        <v>150</v>
      </c>
      <c r="AB88" s="615">
        <v>150</v>
      </c>
      <c r="AC88" s="615">
        <v>150</v>
      </c>
      <c r="AD88" s="616"/>
      <c r="AE88" s="615"/>
      <c r="AF88" s="616"/>
      <c r="AG88" s="615"/>
      <c r="AH88" s="616"/>
      <c r="AI88" s="615"/>
      <c r="AJ88" s="615"/>
      <c r="AK88" s="616"/>
      <c r="AL88" s="615"/>
      <c r="AM88" s="616"/>
      <c r="AN88" s="615"/>
      <c r="AO88" s="616"/>
      <c r="AP88" s="615"/>
      <c r="AQ88" s="579">
        <f t="shared" si="28"/>
        <v>2400</v>
      </c>
      <c r="AR88" s="819" t="s">
        <v>588</v>
      </c>
      <c r="AS88" s="374" t="s">
        <v>596</v>
      </c>
    </row>
    <row r="89" spans="1:45" ht="15" x14ac:dyDescent="0.2">
      <c r="A89" s="352"/>
      <c r="B89" s="322">
        <v>6155200</v>
      </c>
      <c r="C89" s="301" t="s">
        <v>214</v>
      </c>
      <c r="D89" s="306"/>
      <c r="E89" s="617"/>
      <c r="F89" s="618"/>
      <c r="G89" s="618"/>
      <c r="H89" s="618"/>
      <c r="I89" s="618"/>
      <c r="J89" s="618"/>
      <c r="K89" s="618"/>
      <c r="L89" s="618"/>
      <c r="M89" s="618"/>
      <c r="N89" s="618"/>
      <c r="O89" s="618"/>
      <c r="P89" s="618"/>
      <c r="Q89" s="618"/>
      <c r="R89" s="618"/>
      <c r="S89" s="618"/>
      <c r="T89" s="618"/>
      <c r="U89" s="618"/>
      <c r="V89" s="618"/>
      <c r="W89" s="618"/>
      <c r="X89" s="618"/>
      <c r="Y89" s="618"/>
      <c r="Z89" s="618"/>
      <c r="AA89" s="618"/>
      <c r="AB89" s="619"/>
      <c r="AC89" s="618"/>
      <c r="AD89" s="619"/>
      <c r="AE89" s="618"/>
      <c r="AF89" s="619"/>
      <c r="AG89" s="618"/>
      <c r="AH89" s="619"/>
      <c r="AI89" s="618"/>
      <c r="AJ89" s="618"/>
      <c r="AK89" s="619"/>
      <c r="AL89" s="618"/>
      <c r="AM89" s="619"/>
      <c r="AN89" s="618"/>
      <c r="AO89" s="619"/>
      <c r="AP89" s="618"/>
      <c r="AQ89" s="581">
        <f t="shared" si="28"/>
        <v>0</v>
      </c>
      <c r="AR89" s="818" t="s">
        <v>588</v>
      </c>
      <c r="AS89" s="374" t="s">
        <v>596</v>
      </c>
    </row>
    <row r="90" spans="1:45" ht="15" x14ac:dyDescent="0.2">
      <c r="A90" s="373">
        <v>4170000</v>
      </c>
      <c r="B90" s="328">
        <v>6152000</v>
      </c>
      <c r="C90" s="295" t="s">
        <v>215</v>
      </c>
      <c r="D90" s="299"/>
      <c r="E90" s="608"/>
      <c r="F90" s="609"/>
      <c r="G90" s="609"/>
      <c r="H90" s="609"/>
      <c r="I90" s="609"/>
      <c r="J90" s="609"/>
      <c r="K90" s="609"/>
      <c r="L90" s="609"/>
      <c r="M90" s="609"/>
      <c r="N90" s="609"/>
      <c r="O90" s="609"/>
      <c r="P90" s="609"/>
      <c r="Q90" s="609"/>
      <c r="R90" s="609"/>
      <c r="S90" s="609"/>
      <c r="T90" s="609"/>
      <c r="U90" s="609"/>
      <c r="V90" s="609"/>
      <c r="W90" s="609"/>
      <c r="X90" s="609"/>
      <c r="Y90" s="609"/>
      <c r="Z90" s="609"/>
      <c r="AA90" s="609"/>
      <c r="AB90" s="610"/>
      <c r="AC90" s="609"/>
      <c r="AD90" s="610"/>
      <c r="AE90" s="609"/>
      <c r="AF90" s="610"/>
      <c r="AG90" s="609"/>
      <c r="AH90" s="610"/>
      <c r="AI90" s="609"/>
      <c r="AJ90" s="609"/>
      <c r="AK90" s="610"/>
      <c r="AL90" s="609"/>
      <c r="AM90" s="610"/>
      <c r="AN90" s="609"/>
      <c r="AO90" s="610"/>
      <c r="AP90" s="609"/>
      <c r="AQ90" s="587">
        <f t="shared" si="28"/>
        <v>0</v>
      </c>
      <c r="AR90" s="821"/>
      <c r="AS90" s="374" t="s">
        <v>596</v>
      </c>
    </row>
    <row r="91" spans="1:45" ht="15" x14ac:dyDescent="0.2">
      <c r="A91" s="373">
        <v>4150000</v>
      </c>
      <c r="B91" s="328">
        <v>6260000</v>
      </c>
      <c r="C91" s="295" t="s">
        <v>211</v>
      </c>
      <c r="D91" s="330">
        <v>50</v>
      </c>
      <c r="E91" s="608"/>
      <c r="F91" s="609"/>
      <c r="G91" s="760">
        <v>35</v>
      </c>
      <c r="H91" s="609"/>
      <c r="I91" s="609"/>
      <c r="J91" s="760">
        <f>35+35</f>
        <v>70</v>
      </c>
      <c r="K91" s="609"/>
      <c r="L91" s="609"/>
      <c r="M91" s="609"/>
      <c r="N91" s="609">
        <v>35</v>
      </c>
      <c r="O91" s="609">
        <v>35</v>
      </c>
      <c r="P91" s="609">
        <v>35</v>
      </c>
      <c r="Q91" s="609">
        <v>35</v>
      </c>
      <c r="R91" s="609">
        <v>35</v>
      </c>
      <c r="S91" s="609">
        <v>35</v>
      </c>
      <c r="T91" s="609">
        <v>35</v>
      </c>
      <c r="U91" s="609">
        <v>35</v>
      </c>
      <c r="V91" s="609">
        <v>35</v>
      </c>
      <c r="W91" s="609">
        <v>35</v>
      </c>
      <c r="X91" s="609">
        <v>35</v>
      </c>
      <c r="Y91" s="609">
        <v>35</v>
      </c>
      <c r="Z91" s="609">
        <v>35</v>
      </c>
      <c r="AA91" s="609">
        <v>35</v>
      </c>
      <c r="AB91" s="609">
        <v>35</v>
      </c>
      <c r="AC91" s="609">
        <v>35</v>
      </c>
      <c r="AD91" s="610"/>
      <c r="AE91" s="609"/>
      <c r="AF91" s="610"/>
      <c r="AG91" s="609"/>
      <c r="AH91" s="610"/>
      <c r="AI91" s="609"/>
      <c r="AJ91" s="609"/>
      <c r="AK91" s="610"/>
      <c r="AL91" s="609"/>
      <c r="AM91" s="610"/>
      <c r="AN91" s="609"/>
      <c r="AO91" s="610"/>
      <c r="AP91" s="609"/>
      <c r="AQ91" s="587">
        <f t="shared" si="28"/>
        <v>665</v>
      </c>
      <c r="AR91" s="821">
        <v>800</v>
      </c>
      <c r="AS91" s="374" t="s">
        <v>596</v>
      </c>
    </row>
    <row r="92" spans="1:45" ht="15" x14ac:dyDescent="0.2">
      <c r="A92" s="373">
        <v>4180000</v>
      </c>
      <c r="B92" s="328">
        <v>6378000</v>
      </c>
      <c r="C92" s="295" t="s">
        <v>216</v>
      </c>
      <c r="D92" s="299"/>
      <c r="E92" s="608"/>
      <c r="F92" s="609"/>
      <c r="G92" s="609"/>
      <c r="H92" s="609"/>
      <c r="I92" s="609"/>
      <c r="J92" s="609"/>
      <c r="K92" s="609"/>
      <c r="L92" s="609"/>
      <c r="M92" s="609"/>
      <c r="N92" s="609"/>
      <c r="O92" s="609"/>
      <c r="P92" s="609"/>
      <c r="Q92" s="609"/>
      <c r="R92" s="609"/>
      <c r="S92" s="609"/>
      <c r="T92" s="609"/>
      <c r="U92" s="609"/>
      <c r="V92" s="609"/>
      <c r="W92" s="609"/>
      <c r="X92" s="609"/>
      <c r="Y92" s="609"/>
      <c r="Z92" s="609"/>
      <c r="AA92" s="609"/>
      <c r="AB92" s="610"/>
      <c r="AC92" s="609"/>
      <c r="AD92" s="610"/>
      <c r="AE92" s="609"/>
      <c r="AF92" s="610"/>
      <c r="AG92" s="609"/>
      <c r="AH92" s="610"/>
      <c r="AI92" s="609"/>
      <c r="AJ92" s="609"/>
      <c r="AK92" s="610"/>
      <c r="AL92" s="609"/>
      <c r="AM92" s="610"/>
      <c r="AN92" s="609"/>
      <c r="AO92" s="610"/>
      <c r="AP92" s="609"/>
      <c r="AQ92" s="587">
        <f t="shared" si="28"/>
        <v>0</v>
      </c>
      <c r="AR92" s="821"/>
      <c r="AS92" s="374" t="s">
        <v>596</v>
      </c>
    </row>
    <row r="93" spans="1:45" ht="25.15" customHeight="1" thickBot="1" x14ac:dyDescent="0.25">
      <c r="A93" s="377">
        <v>41</v>
      </c>
      <c r="B93" s="307" t="s">
        <v>218</v>
      </c>
      <c r="C93" s="307"/>
      <c r="D93" s="308"/>
      <c r="E93" s="623">
        <f t="shared" ref="E93:AR93" si="29">SUM(E81:E92)</f>
        <v>0</v>
      </c>
      <c r="F93" s="624">
        <f t="shared" si="29"/>
        <v>0</v>
      </c>
      <c r="G93" s="624">
        <f t="shared" si="29"/>
        <v>35</v>
      </c>
      <c r="H93" s="624">
        <f t="shared" si="29"/>
        <v>1605.04</v>
      </c>
      <c r="I93" s="624">
        <f t="shared" si="29"/>
        <v>1521.3700000000001</v>
      </c>
      <c r="J93" s="624">
        <f t="shared" si="29"/>
        <v>1423.93</v>
      </c>
      <c r="K93" s="624">
        <f t="shared" si="29"/>
        <v>1446.46</v>
      </c>
      <c r="L93" s="624">
        <f t="shared" si="29"/>
        <v>1830.44</v>
      </c>
      <c r="M93" s="624">
        <f t="shared" si="29"/>
        <v>2338.4700000000003</v>
      </c>
      <c r="N93" s="624">
        <f t="shared" si="29"/>
        <v>3775.48</v>
      </c>
      <c r="O93" s="624">
        <f t="shared" si="29"/>
        <v>3185</v>
      </c>
      <c r="P93" s="624">
        <f t="shared" si="29"/>
        <v>2645</v>
      </c>
      <c r="Q93" s="624">
        <f t="shared" si="29"/>
        <v>2785</v>
      </c>
      <c r="R93" s="624">
        <f t="shared" si="29"/>
        <v>3185</v>
      </c>
      <c r="S93" s="624">
        <f t="shared" si="29"/>
        <v>3185</v>
      </c>
      <c r="T93" s="624">
        <f t="shared" si="29"/>
        <v>3485</v>
      </c>
      <c r="U93" s="624">
        <f t="shared" si="29"/>
        <v>3485</v>
      </c>
      <c r="V93" s="624">
        <f t="shared" si="29"/>
        <v>3785</v>
      </c>
      <c r="W93" s="624">
        <f t="shared" si="29"/>
        <v>4585</v>
      </c>
      <c r="X93" s="624">
        <f t="shared" si="29"/>
        <v>5785</v>
      </c>
      <c r="Y93" s="624">
        <f t="shared" si="29"/>
        <v>5785</v>
      </c>
      <c r="Z93" s="624">
        <f t="shared" ref="Z93:AJ93" si="30">SUM(Z81:Z92)</f>
        <v>5785</v>
      </c>
      <c r="AA93" s="624">
        <f t="shared" si="30"/>
        <v>5785</v>
      </c>
      <c r="AB93" s="625">
        <f t="shared" si="30"/>
        <v>5285</v>
      </c>
      <c r="AC93" s="624">
        <f t="shared" ref="AC93:AI93" si="31">SUM(AC81:AC92)</f>
        <v>5485</v>
      </c>
      <c r="AD93" s="625">
        <f t="shared" si="31"/>
        <v>4800</v>
      </c>
      <c r="AE93" s="624">
        <f t="shared" si="31"/>
        <v>0</v>
      </c>
      <c r="AF93" s="625">
        <f t="shared" si="31"/>
        <v>0</v>
      </c>
      <c r="AG93" s="624">
        <f t="shared" si="31"/>
        <v>0</v>
      </c>
      <c r="AH93" s="625">
        <f t="shared" si="31"/>
        <v>0</v>
      </c>
      <c r="AI93" s="624">
        <f t="shared" si="31"/>
        <v>0</v>
      </c>
      <c r="AJ93" s="624">
        <f t="shared" si="30"/>
        <v>0</v>
      </c>
      <c r="AK93" s="625">
        <f t="shared" ref="AK93:AN93" si="32">SUM(AK81:AK92)</f>
        <v>0</v>
      </c>
      <c r="AL93" s="624">
        <f t="shared" si="32"/>
        <v>0</v>
      </c>
      <c r="AM93" s="625">
        <f t="shared" si="32"/>
        <v>0</v>
      </c>
      <c r="AN93" s="624">
        <f t="shared" si="32"/>
        <v>0</v>
      </c>
      <c r="AO93" s="625">
        <f t="shared" ref="AO93:AP93" si="33">SUM(AO81:AO92)</f>
        <v>0</v>
      </c>
      <c r="AP93" s="624">
        <f t="shared" si="33"/>
        <v>0</v>
      </c>
      <c r="AQ93" s="590">
        <f t="shared" si="29"/>
        <v>83011.19</v>
      </c>
      <c r="AR93" s="822">
        <f t="shared" si="29"/>
        <v>86300</v>
      </c>
      <c r="AS93" s="378"/>
    </row>
    <row r="94" spans="1:45" ht="15" x14ac:dyDescent="0.2">
      <c r="A94" s="375">
        <v>5180000</v>
      </c>
      <c r="B94" s="284">
        <v>6110000</v>
      </c>
      <c r="C94" s="271" t="s">
        <v>228</v>
      </c>
      <c r="D94" s="293"/>
      <c r="E94" s="611"/>
      <c r="F94" s="761">
        <v>110.26</v>
      </c>
      <c r="G94" s="761">
        <f>760+2608.5</f>
        <v>3368.5</v>
      </c>
      <c r="H94" s="761">
        <f>380+325.82-110.25</f>
        <v>595.56999999999994</v>
      </c>
      <c r="I94" s="761">
        <f>76.32+234</f>
        <v>310.32</v>
      </c>
      <c r="J94" s="761">
        <f>76.32+4830+558</f>
        <v>5464.32</v>
      </c>
      <c r="K94" s="761">
        <f>76.32+76.32</f>
        <v>152.63999999999999</v>
      </c>
      <c r="L94" s="612"/>
      <c r="M94" s="612"/>
      <c r="N94" s="612"/>
      <c r="O94" s="612"/>
      <c r="P94" s="612"/>
      <c r="Q94" s="612"/>
      <c r="R94" s="612"/>
      <c r="S94" s="612"/>
      <c r="T94" s="612"/>
      <c r="U94" s="612"/>
      <c r="V94" s="612"/>
      <c r="W94" s="612"/>
      <c r="X94" s="612"/>
      <c r="Y94" s="612"/>
      <c r="Z94" s="612"/>
      <c r="AA94" s="612"/>
      <c r="AB94" s="613"/>
      <c r="AC94" s="612"/>
      <c r="AD94" s="613"/>
      <c r="AE94" s="612"/>
      <c r="AF94" s="613"/>
      <c r="AG94" s="612"/>
      <c r="AH94" s="613"/>
      <c r="AI94" s="612"/>
      <c r="AJ94" s="612"/>
      <c r="AK94" s="613"/>
      <c r="AL94" s="612"/>
      <c r="AM94" s="613"/>
      <c r="AN94" s="612"/>
      <c r="AO94" s="613"/>
      <c r="AP94" s="612"/>
      <c r="AQ94" s="578">
        <f t="shared" ref="AQ94:AQ112" si="34">SUM(E94:AJ94)</f>
        <v>10001.609999999999</v>
      </c>
      <c r="AR94" s="806">
        <v>35000</v>
      </c>
      <c r="AS94" s="374" t="s">
        <v>596</v>
      </c>
    </row>
    <row r="95" spans="1:45" ht="15" x14ac:dyDescent="0.2">
      <c r="A95" s="350"/>
      <c r="C95" s="174" t="s">
        <v>732</v>
      </c>
      <c r="D95" s="305"/>
      <c r="E95" s="614"/>
      <c r="F95" s="615"/>
      <c r="G95" s="615"/>
      <c r="H95" s="615"/>
      <c r="I95" s="615"/>
      <c r="J95" s="615"/>
      <c r="K95" s="615"/>
      <c r="L95" s="615"/>
      <c r="M95" s="767"/>
      <c r="N95" s="615"/>
      <c r="O95" s="615"/>
      <c r="P95" s="615"/>
      <c r="Q95" s="615"/>
      <c r="R95" s="615"/>
      <c r="S95" s="615">
        <v>650</v>
      </c>
      <c r="T95" s="615">
        <v>650</v>
      </c>
      <c r="U95" s="615">
        <v>650</v>
      </c>
      <c r="V95" s="615">
        <v>650</v>
      </c>
      <c r="W95" s="615">
        <v>650</v>
      </c>
      <c r="X95" s="615">
        <v>650</v>
      </c>
      <c r="Y95" s="615">
        <v>650</v>
      </c>
      <c r="Z95" s="615">
        <v>650</v>
      </c>
      <c r="AA95" s="615">
        <v>650</v>
      </c>
      <c r="AB95" s="615">
        <v>650</v>
      </c>
      <c r="AC95" s="615">
        <v>650</v>
      </c>
      <c r="AD95" s="615">
        <v>650</v>
      </c>
      <c r="AE95" s="615"/>
      <c r="AF95" s="616"/>
      <c r="AG95" s="615"/>
      <c r="AH95" s="616"/>
      <c r="AI95" s="615"/>
      <c r="AJ95" s="615"/>
      <c r="AK95" s="616"/>
      <c r="AL95" s="615"/>
      <c r="AM95" s="616"/>
      <c r="AN95" s="615"/>
      <c r="AO95" s="616"/>
      <c r="AP95" s="615"/>
      <c r="AQ95" s="579">
        <f t="shared" si="34"/>
        <v>7800</v>
      </c>
      <c r="AR95" s="833" t="s">
        <v>588</v>
      </c>
      <c r="AS95" s="374" t="s">
        <v>596</v>
      </c>
    </row>
    <row r="96" spans="1:45" ht="15" x14ac:dyDescent="0.2">
      <c r="A96" s="350"/>
      <c r="B96" s="284"/>
      <c r="C96" s="174" t="s">
        <v>834</v>
      </c>
      <c r="D96" s="305"/>
      <c r="E96" s="614"/>
      <c r="F96" s="767"/>
      <c r="G96" s="767"/>
      <c r="H96" s="767"/>
      <c r="I96" s="767"/>
      <c r="J96" s="767"/>
      <c r="K96" s="615"/>
      <c r="L96" s="767"/>
      <c r="M96" s="767"/>
      <c r="N96" s="615">
        <v>150</v>
      </c>
      <c r="O96" s="615">
        <v>150</v>
      </c>
      <c r="P96" s="615">
        <v>150</v>
      </c>
      <c r="Q96" s="615">
        <v>150</v>
      </c>
      <c r="R96" s="615">
        <v>150</v>
      </c>
      <c r="S96" s="615">
        <v>150</v>
      </c>
      <c r="T96" s="615">
        <v>150</v>
      </c>
      <c r="U96" s="615">
        <v>150</v>
      </c>
      <c r="V96" s="615">
        <v>150</v>
      </c>
      <c r="W96" s="615">
        <v>150</v>
      </c>
      <c r="X96" s="615">
        <v>150</v>
      </c>
      <c r="Y96" s="615">
        <v>150</v>
      </c>
      <c r="Z96" s="615">
        <v>150</v>
      </c>
      <c r="AA96" s="615">
        <v>150</v>
      </c>
      <c r="AB96" s="615">
        <v>150</v>
      </c>
      <c r="AC96" s="615">
        <v>150</v>
      </c>
      <c r="AD96" s="615">
        <v>150</v>
      </c>
      <c r="AE96" s="615"/>
      <c r="AF96" s="616"/>
      <c r="AG96" s="615"/>
      <c r="AH96" s="616"/>
      <c r="AI96" s="615"/>
      <c r="AJ96" s="615"/>
      <c r="AK96" s="616"/>
      <c r="AL96" s="615"/>
      <c r="AM96" s="616"/>
      <c r="AN96" s="615"/>
      <c r="AO96" s="616"/>
      <c r="AP96" s="615"/>
      <c r="AQ96" s="579">
        <f t="shared" ref="AQ96" si="35">SUM(E96:AJ96)</f>
        <v>2550</v>
      </c>
      <c r="AR96" s="833" t="s">
        <v>588</v>
      </c>
      <c r="AS96" s="374" t="s">
        <v>596</v>
      </c>
    </row>
    <row r="97" spans="1:46" ht="15" x14ac:dyDescent="0.2">
      <c r="A97" s="350"/>
      <c r="B97" s="284"/>
      <c r="C97" s="174" t="s">
        <v>627</v>
      </c>
      <c r="D97" s="305"/>
      <c r="E97" s="614"/>
      <c r="F97" s="767"/>
      <c r="G97" s="767"/>
      <c r="H97" s="767"/>
      <c r="I97" s="767"/>
      <c r="J97" s="767"/>
      <c r="K97" s="767"/>
      <c r="L97" s="767"/>
      <c r="M97" s="767"/>
      <c r="N97" s="690">
        <v>76</v>
      </c>
      <c r="O97" s="615">
        <v>76</v>
      </c>
      <c r="P97" s="615">
        <v>76</v>
      </c>
      <c r="Q97" s="615">
        <v>76</v>
      </c>
      <c r="R97" s="615">
        <v>76</v>
      </c>
      <c r="S97" s="615">
        <v>76</v>
      </c>
      <c r="T97" s="615">
        <v>76</v>
      </c>
      <c r="U97" s="615">
        <v>76</v>
      </c>
      <c r="V97" s="615">
        <v>76</v>
      </c>
      <c r="W97" s="615">
        <v>76</v>
      </c>
      <c r="X97" s="615">
        <v>76</v>
      </c>
      <c r="Y97" s="615">
        <v>76</v>
      </c>
      <c r="Z97" s="615">
        <v>76</v>
      </c>
      <c r="AA97" s="615">
        <v>76</v>
      </c>
      <c r="AB97" s="615">
        <v>76</v>
      </c>
      <c r="AC97" s="615">
        <v>76</v>
      </c>
      <c r="AD97" s="615">
        <v>76</v>
      </c>
      <c r="AE97" s="615"/>
      <c r="AF97" s="616"/>
      <c r="AG97" s="615"/>
      <c r="AH97" s="616"/>
      <c r="AI97" s="615"/>
      <c r="AJ97" s="615"/>
      <c r="AK97" s="616"/>
      <c r="AL97" s="615"/>
      <c r="AM97" s="616"/>
      <c r="AN97" s="615"/>
      <c r="AO97" s="616"/>
      <c r="AP97" s="615"/>
      <c r="AQ97" s="579">
        <f t="shared" si="34"/>
        <v>1292</v>
      </c>
      <c r="AR97" s="833" t="s">
        <v>588</v>
      </c>
      <c r="AS97" s="374" t="s">
        <v>596</v>
      </c>
    </row>
    <row r="98" spans="1:46" ht="15" x14ac:dyDescent="0.2">
      <c r="A98" s="350"/>
      <c r="B98" s="284"/>
      <c r="C98" s="174" t="s">
        <v>733</v>
      </c>
      <c r="D98" s="305"/>
      <c r="E98" s="614"/>
      <c r="F98" s="767"/>
      <c r="G98" s="767"/>
      <c r="H98" s="767"/>
      <c r="I98" s="767"/>
      <c r="J98" s="767"/>
      <c r="K98" s="615"/>
      <c r="L98" s="767"/>
      <c r="M98" s="767"/>
      <c r="N98" s="615">
        <v>350</v>
      </c>
      <c r="O98" s="615">
        <v>350</v>
      </c>
      <c r="P98" s="615">
        <v>350</v>
      </c>
      <c r="Q98" s="615">
        <v>350</v>
      </c>
      <c r="R98" s="615">
        <v>350</v>
      </c>
      <c r="S98" s="615">
        <v>350</v>
      </c>
      <c r="T98" s="615">
        <v>350</v>
      </c>
      <c r="U98" s="615">
        <v>350</v>
      </c>
      <c r="V98" s="615">
        <v>350</v>
      </c>
      <c r="W98" s="615">
        <v>350</v>
      </c>
      <c r="X98" s="615">
        <f>350*3</f>
        <v>1050</v>
      </c>
      <c r="Y98" s="615">
        <v>350</v>
      </c>
      <c r="Z98" s="615">
        <v>350</v>
      </c>
      <c r="AA98" s="615">
        <v>350</v>
      </c>
      <c r="AB98" s="615">
        <v>350</v>
      </c>
      <c r="AC98" s="615">
        <v>350</v>
      </c>
      <c r="AD98" s="615">
        <v>350</v>
      </c>
      <c r="AE98" s="615"/>
      <c r="AF98" s="616"/>
      <c r="AG98" s="615"/>
      <c r="AH98" s="616"/>
      <c r="AI98" s="615"/>
      <c r="AJ98" s="615"/>
      <c r="AK98" s="616"/>
      <c r="AL98" s="615"/>
      <c r="AM98" s="616"/>
      <c r="AN98" s="615"/>
      <c r="AO98" s="616"/>
      <c r="AP98" s="615"/>
      <c r="AQ98" s="579">
        <f t="shared" si="34"/>
        <v>6650</v>
      </c>
      <c r="AR98" s="833" t="s">
        <v>588</v>
      </c>
      <c r="AS98" s="374" t="s">
        <v>596</v>
      </c>
    </row>
    <row r="99" spans="1:46" ht="15" x14ac:dyDescent="0.2">
      <c r="A99" s="350"/>
      <c r="B99" s="284"/>
      <c r="C99" s="174" t="s">
        <v>755</v>
      </c>
      <c r="D99" s="305"/>
      <c r="E99" s="614"/>
      <c r="F99" s="767"/>
      <c r="G99" s="767"/>
      <c r="H99" s="767"/>
      <c r="I99" s="767"/>
      <c r="J99" s="767"/>
      <c r="K99" s="615"/>
      <c r="L99" s="615"/>
      <c r="M99" s="767"/>
      <c r="N99" s="615"/>
      <c r="O99" s="615"/>
      <c r="P99" s="615"/>
      <c r="Q99" s="615"/>
      <c r="R99" s="615"/>
      <c r="S99" s="615"/>
      <c r="T99" s="615"/>
      <c r="U99" s="615"/>
      <c r="V99" s="615"/>
      <c r="W99" s="615"/>
      <c r="X99" s="615"/>
      <c r="Y99" s="615"/>
      <c r="Z99" s="615"/>
      <c r="AA99" s="615"/>
      <c r="AB99" s="615">
        <v>1200</v>
      </c>
      <c r="AC99" s="615"/>
      <c r="AD99" s="615"/>
      <c r="AE99" s="615"/>
      <c r="AF99" s="616"/>
      <c r="AG99" s="615"/>
      <c r="AH99" s="616"/>
      <c r="AI99" s="615"/>
      <c r="AJ99" s="615"/>
      <c r="AK99" s="616"/>
      <c r="AL99" s="615"/>
      <c r="AM99" s="616"/>
      <c r="AN99" s="615"/>
      <c r="AO99" s="616"/>
      <c r="AP99" s="615"/>
      <c r="AQ99" s="579">
        <f t="shared" ref="AQ99" si="36">SUM(E99:AJ99)</f>
        <v>1200</v>
      </c>
      <c r="AR99" s="833" t="s">
        <v>588</v>
      </c>
      <c r="AS99" s="374" t="s">
        <v>596</v>
      </c>
    </row>
    <row r="100" spans="1:46" ht="15" x14ac:dyDescent="0.2">
      <c r="A100" s="350"/>
      <c r="B100" s="284"/>
      <c r="C100" s="174" t="s">
        <v>754</v>
      </c>
      <c r="D100" s="305"/>
      <c r="E100" s="614"/>
      <c r="F100" s="615"/>
      <c r="G100" s="615"/>
      <c r="H100" s="615"/>
      <c r="I100" s="615"/>
      <c r="J100" s="615"/>
      <c r="K100" s="615"/>
      <c r="L100" s="615"/>
      <c r="M100" s="767"/>
      <c r="N100" s="615"/>
      <c r="O100" s="615"/>
      <c r="P100" s="615"/>
      <c r="Q100" s="615">
        <v>650</v>
      </c>
      <c r="R100" s="615"/>
      <c r="S100" s="615"/>
      <c r="T100" s="615"/>
      <c r="U100" s="615"/>
      <c r="V100" s="615"/>
      <c r="W100" s="615">
        <v>650</v>
      </c>
      <c r="X100" s="615"/>
      <c r="Y100" s="615"/>
      <c r="Z100" s="615"/>
      <c r="AA100" s="615"/>
      <c r="AB100" s="615">
        <v>650</v>
      </c>
      <c r="AC100" s="615"/>
      <c r="AD100" s="616"/>
      <c r="AE100" s="615"/>
      <c r="AF100" s="616"/>
      <c r="AG100" s="615"/>
      <c r="AH100" s="616"/>
      <c r="AI100" s="615"/>
      <c r="AJ100" s="615"/>
      <c r="AK100" s="616"/>
      <c r="AL100" s="615"/>
      <c r="AM100" s="616"/>
      <c r="AN100" s="615"/>
      <c r="AO100" s="616"/>
      <c r="AP100" s="615"/>
      <c r="AQ100" s="579">
        <f t="shared" ref="AQ100:AQ101" si="37">SUM(E100:AJ100)</f>
        <v>1950</v>
      </c>
      <c r="AR100" s="833" t="s">
        <v>588</v>
      </c>
      <c r="AS100" s="374" t="s">
        <v>596</v>
      </c>
    </row>
    <row r="101" spans="1:46" ht="15" x14ac:dyDescent="0.2">
      <c r="A101" s="352"/>
      <c r="B101" s="286"/>
      <c r="C101" s="175" t="s">
        <v>1037</v>
      </c>
      <c r="D101" s="306"/>
      <c r="E101" s="617"/>
      <c r="F101" s="618"/>
      <c r="G101" s="618"/>
      <c r="H101" s="618"/>
      <c r="I101" s="618"/>
      <c r="J101" s="618"/>
      <c r="K101" s="618"/>
      <c r="L101" s="618"/>
      <c r="M101" s="796"/>
      <c r="N101" s="618"/>
      <c r="O101" s="618"/>
      <c r="P101" s="618"/>
      <c r="Q101" s="618"/>
      <c r="R101" s="618"/>
      <c r="S101" s="618"/>
      <c r="T101" s="618"/>
      <c r="U101" s="618"/>
      <c r="V101" s="618"/>
      <c r="W101" s="618"/>
      <c r="X101" s="618"/>
      <c r="Y101" s="618"/>
      <c r="Z101" s="618"/>
      <c r="AA101" s="618"/>
      <c r="AB101" s="619"/>
      <c r="AC101" s="618"/>
      <c r="AD101" s="619"/>
      <c r="AE101" s="618"/>
      <c r="AF101" s="619"/>
      <c r="AG101" s="618"/>
      <c r="AH101" s="619"/>
      <c r="AI101" s="618"/>
      <c r="AJ101" s="618"/>
      <c r="AK101" s="619"/>
      <c r="AL101" s="618"/>
      <c r="AM101" s="619"/>
      <c r="AN101" s="618"/>
      <c r="AO101" s="619"/>
      <c r="AP101" s="618"/>
      <c r="AQ101" s="581">
        <f t="shared" si="37"/>
        <v>0</v>
      </c>
      <c r="AR101" s="833" t="s">
        <v>588</v>
      </c>
      <c r="AS101" s="374" t="s">
        <v>596</v>
      </c>
    </row>
    <row r="102" spans="1:46" ht="30" x14ac:dyDescent="0.2">
      <c r="A102" s="352"/>
      <c r="B102" s="286"/>
      <c r="C102" s="175" t="s">
        <v>826</v>
      </c>
      <c r="D102" s="306"/>
      <c r="E102" s="617"/>
      <c r="F102" s="618"/>
      <c r="G102" s="618"/>
      <c r="H102" s="618"/>
      <c r="I102" s="618"/>
      <c r="J102" s="618"/>
      <c r="K102" s="618"/>
      <c r="L102" s="618"/>
      <c r="M102" s="618"/>
      <c r="N102" s="618"/>
      <c r="O102" s="618"/>
      <c r="P102" s="618"/>
      <c r="Q102" s="618"/>
      <c r="R102" s="618"/>
      <c r="S102" s="618"/>
      <c r="T102" s="618"/>
      <c r="U102" s="618"/>
      <c r="V102" s="618"/>
      <c r="W102" s="618"/>
      <c r="X102" s="618"/>
      <c r="Y102" s="618"/>
      <c r="Z102" s="618"/>
      <c r="AA102" s="618"/>
      <c r="AB102" s="619"/>
      <c r="AC102" s="618">
        <v>1250</v>
      </c>
      <c r="AD102" s="619"/>
      <c r="AE102" s="618"/>
      <c r="AF102" s="619"/>
      <c r="AG102" s="618"/>
      <c r="AH102" s="619"/>
      <c r="AI102" s="618"/>
      <c r="AJ102" s="618"/>
      <c r="AK102" s="619"/>
      <c r="AL102" s="618"/>
      <c r="AM102" s="619"/>
      <c r="AN102" s="618"/>
      <c r="AO102" s="619"/>
      <c r="AP102" s="618"/>
      <c r="AQ102" s="581">
        <f t="shared" si="34"/>
        <v>1250</v>
      </c>
      <c r="AR102" s="833" t="s">
        <v>588</v>
      </c>
      <c r="AS102" s="374" t="s">
        <v>596</v>
      </c>
    </row>
    <row r="103" spans="1:46" ht="15" x14ac:dyDescent="0.2">
      <c r="A103" s="379">
        <v>5100000</v>
      </c>
      <c r="B103" s="309">
        <v>6111000</v>
      </c>
      <c r="C103" s="310" t="s">
        <v>221</v>
      </c>
      <c r="D103" s="314"/>
      <c r="E103" s="659">
        <f>153.52+2278.35</f>
        <v>2431.87</v>
      </c>
      <c r="F103" s="627"/>
      <c r="G103" s="627"/>
      <c r="H103" s="627"/>
      <c r="I103" s="627"/>
      <c r="J103" s="627"/>
      <c r="K103" s="627"/>
      <c r="L103" s="627"/>
      <c r="M103" s="627"/>
      <c r="N103" s="627"/>
      <c r="O103" s="627"/>
      <c r="P103" s="627"/>
      <c r="Q103" s="627"/>
      <c r="R103" s="627"/>
      <c r="S103" s="627"/>
      <c r="T103" s="627"/>
      <c r="U103" s="627"/>
      <c r="V103" s="627"/>
      <c r="W103" s="627"/>
      <c r="X103" s="627"/>
      <c r="Y103" s="627"/>
      <c r="Z103" s="627"/>
      <c r="AA103" s="627"/>
      <c r="AB103" s="628"/>
      <c r="AC103" s="627"/>
      <c r="AD103" s="628"/>
      <c r="AE103" s="627"/>
      <c r="AF103" s="628"/>
      <c r="AG103" s="627"/>
      <c r="AH103" s="628"/>
      <c r="AI103" s="627"/>
      <c r="AJ103" s="627"/>
      <c r="AK103" s="628"/>
      <c r="AL103" s="627"/>
      <c r="AM103" s="628"/>
      <c r="AN103" s="627"/>
      <c r="AO103" s="628"/>
      <c r="AP103" s="627"/>
      <c r="AQ103" s="592">
        <f t="shared" si="34"/>
        <v>2431.87</v>
      </c>
      <c r="AR103" s="829">
        <v>3000</v>
      </c>
      <c r="AS103" s="374" t="s">
        <v>596</v>
      </c>
    </row>
    <row r="104" spans="1:46" ht="47.45" customHeight="1" x14ac:dyDescent="0.2">
      <c r="A104" s="388"/>
      <c r="B104" s="289">
        <v>6144000</v>
      </c>
      <c r="C104" s="272" t="s">
        <v>734</v>
      </c>
      <c r="D104" s="333"/>
      <c r="E104" s="641"/>
      <c r="F104" s="642"/>
      <c r="G104" s="642"/>
      <c r="H104" s="768">
        <f>600+675+675+150</f>
        <v>2100</v>
      </c>
      <c r="I104" s="768">
        <f>-675</f>
        <v>-675</v>
      </c>
      <c r="J104" s="768">
        <v>1890</v>
      </c>
      <c r="K104" s="642"/>
      <c r="L104" s="642"/>
      <c r="M104" s="642"/>
      <c r="N104" s="642">
        <v>1600</v>
      </c>
      <c r="O104" s="642">
        <v>1600</v>
      </c>
      <c r="P104" s="642">
        <v>1600</v>
      </c>
      <c r="Q104" s="642">
        <v>1600</v>
      </c>
      <c r="R104" s="642">
        <v>1600</v>
      </c>
      <c r="S104" s="642">
        <v>1600</v>
      </c>
      <c r="T104" s="642">
        <v>1600</v>
      </c>
      <c r="U104" s="642">
        <v>1600</v>
      </c>
      <c r="V104" s="642">
        <v>1600</v>
      </c>
      <c r="W104" s="642">
        <v>1600</v>
      </c>
      <c r="X104" s="642">
        <v>1600</v>
      </c>
      <c r="Y104" s="642">
        <v>1600</v>
      </c>
      <c r="Z104" s="642">
        <v>1600</v>
      </c>
      <c r="AA104" s="642">
        <v>1600</v>
      </c>
      <c r="AB104" s="642">
        <v>1600</v>
      </c>
      <c r="AC104" s="642">
        <v>1600</v>
      </c>
      <c r="AD104" s="642">
        <v>1600</v>
      </c>
      <c r="AE104" s="642"/>
      <c r="AF104" s="643"/>
      <c r="AG104" s="642"/>
      <c r="AH104" s="643"/>
      <c r="AI104" s="642"/>
      <c r="AJ104" s="642"/>
      <c r="AK104" s="643"/>
      <c r="AL104" s="642"/>
      <c r="AM104" s="643"/>
      <c r="AN104" s="642"/>
      <c r="AO104" s="643"/>
      <c r="AP104" s="642"/>
      <c r="AQ104" s="595">
        <f t="shared" si="34"/>
        <v>30515</v>
      </c>
      <c r="AR104" s="832">
        <v>31000</v>
      </c>
      <c r="AS104" s="390" t="s">
        <v>597</v>
      </c>
    </row>
    <row r="105" spans="1:46" ht="15" x14ac:dyDescent="0.2">
      <c r="A105" s="373"/>
      <c r="B105" s="297">
        <v>6227000</v>
      </c>
      <c r="C105" s="295" t="s">
        <v>230</v>
      </c>
      <c r="D105" s="331"/>
      <c r="E105" s="608"/>
      <c r="F105" s="609"/>
      <c r="G105" s="609"/>
      <c r="H105" s="760">
        <f>507.67</f>
        <v>507.67</v>
      </c>
      <c r="I105" s="609"/>
      <c r="J105" s="609"/>
      <c r="K105" s="609"/>
      <c r="L105" s="609"/>
      <c r="M105" s="609"/>
      <c r="N105" s="609"/>
      <c r="O105" s="609"/>
      <c r="P105" s="609"/>
      <c r="Q105" s="609"/>
      <c r="R105" s="609"/>
      <c r="S105" s="609"/>
      <c r="T105" s="609"/>
      <c r="U105" s="609"/>
      <c r="V105" s="609"/>
      <c r="W105" s="609"/>
      <c r="X105" s="609"/>
      <c r="Y105" s="609"/>
      <c r="Z105" s="609"/>
      <c r="AA105" s="609"/>
      <c r="AB105" s="610"/>
      <c r="AC105" s="609"/>
      <c r="AD105" s="610"/>
      <c r="AE105" s="609"/>
      <c r="AF105" s="610"/>
      <c r="AG105" s="609"/>
      <c r="AH105" s="610"/>
      <c r="AI105" s="609"/>
      <c r="AJ105" s="609"/>
      <c r="AK105" s="610"/>
      <c r="AL105" s="609"/>
      <c r="AM105" s="610"/>
      <c r="AN105" s="609"/>
      <c r="AO105" s="610"/>
      <c r="AP105" s="609"/>
      <c r="AQ105" s="587">
        <f t="shared" si="34"/>
        <v>507.67</v>
      </c>
      <c r="AR105" s="834">
        <v>1000</v>
      </c>
      <c r="AS105" s="374" t="s">
        <v>596</v>
      </c>
    </row>
    <row r="106" spans="1:46" ht="15" x14ac:dyDescent="0.2">
      <c r="A106" s="379"/>
      <c r="B106" s="309">
        <v>6231000</v>
      </c>
      <c r="C106" s="319" t="s">
        <v>231</v>
      </c>
      <c r="D106" s="332"/>
      <c r="E106" s="626"/>
      <c r="F106" s="627"/>
      <c r="G106" s="627"/>
      <c r="H106" s="758">
        <f>144+337</f>
        <v>481</v>
      </c>
      <c r="I106" s="797"/>
      <c r="J106" s="758">
        <f>15</f>
        <v>15</v>
      </c>
      <c r="K106" s="758">
        <f>64.99</f>
        <v>64.989999999999995</v>
      </c>
      <c r="L106" s="758">
        <v>469.8</v>
      </c>
      <c r="M106" s="627"/>
      <c r="N106" s="627"/>
      <c r="O106" s="627"/>
      <c r="P106" s="627">
        <v>800</v>
      </c>
      <c r="Q106" s="627"/>
      <c r="R106" s="627"/>
      <c r="S106" s="627"/>
      <c r="T106" s="627">
        <v>800</v>
      </c>
      <c r="U106" s="627"/>
      <c r="V106" s="627"/>
      <c r="W106" s="627"/>
      <c r="X106" s="627"/>
      <c r="Y106" s="627"/>
      <c r="Z106" s="627"/>
      <c r="AA106" s="627"/>
      <c r="AB106" s="628"/>
      <c r="AC106" s="627"/>
      <c r="AD106" s="628"/>
      <c r="AE106" s="627"/>
      <c r="AF106" s="628"/>
      <c r="AG106" s="627"/>
      <c r="AH106" s="628"/>
      <c r="AI106" s="627"/>
      <c r="AJ106" s="627"/>
      <c r="AK106" s="628"/>
      <c r="AL106" s="627"/>
      <c r="AM106" s="628"/>
      <c r="AN106" s="627"/>
      <c r="AO106" s="628"/>
      <c r="AP106" s="627"/>
      <c r="AQ106" s="592">
        <f t="shared" si="34"/>
        <v>2630.79</v>
      </c>
      <c r="AR106" s="834">
        <v>3000</v>
      </c>
      <c r="AS106" s="389" t="s">
        <v>596</v>
      </c>
    </row>
    <row r="107" spans="1:46" ht="15" x14ac:dyDescent="0.2">
      <c r="A107" s="375">
        <v>5160000</v>
      </c>
      <c r="B107" s="282"/>
      <c r="C107" s="271" t="s">
        <v>222</v>
      </c>
      <c r="D107" s="293"/>
      <c r="E107" s="611"/>
      <c r="F107" s="612"/>
      <c r="G107" s="612"/>
      <c r="H107" s="612"/>
      <c r="I107" s="612"/>
      <c r="J107" s="612"/>
      <c r="K107" s="612"/>
      <c r="L107" s="612"/>
      <c r="M107" s="612"/>
      <c r="N107" s="612"/>
      <c r="O107" s="612"/>
      <c r="P107" s="612"/>
      <c r="Q107" s="612"/>
      <c r="R107" s="612"/>
      <c r="S107" s="612"/>
      <c r="T107" s="612"/>
      <c r="U107" s="612"/>
      <c r="V107" s="612"/>
      <c r="W107" s="612"/>
      <c r="X107" s="612"/>
      <c r="Y107" s="612"/>
      <c r="Z107" s="612"/>
      <c r="AA107" s="612"/>
      <c r="AB107" s="613"/>
      <c r="AC107" s="612"/>
      <c r="AD107" s="613"/>
      <c r="AE107" s="612"/>
      <c r="AF107" s="613"/>
      <c r="AG107" s="612"/>
      <c r="AH107" s="613"/>
      <c r="AI107" s="612"/>
      <c r="AJ107" s="612"/>
      <c r="AK107" s="613"/>
      <c r="AL107" s="612"/>
      <c r="AM107" s="613"/>
      <c r="AN107" s="612"/>
      <c r="AO107" s="613"/>
      <c r="AP107" s="612"/>
      <c r="AQ107" s="578">
        <f t="shared" si="34"/>
        <v>0</v>
      </c>
      <c r="AR107" s="806">
        <v>4000</v>
      </c>
      <c r="AS107" s="374" t="s">
        <v>596</v>
      </c>
      <c r="AT107" s="8">
        <v>3000</v>
      </c>
    </row>
    <row r="108" spans="1:46" ht="15" x14ac:dyDescent="0.2">
      <c r="A108" s="350"/>
      <c r="B108" s="284">
        <v>6247000</v>
      </c>
      <c r="C108" s="300" t="s">
        <v>223</v>
      </c>
      <c r="D108" s="305"/>
      <c r="E108" s="614"/>
      <c r="F108" s="615"/>
      <c r="G108" s="615"/>
      <c r="H108" s="615"/>
      <c r="I108" s="759">
        <v>28</v>
      </c>
      <c r="J108" s="759">
        <v>95.2</v>
      </c>
      <c r="K108" s="759">
        <f>70+9.82</f>
        <v>79.819999999999993</v>
      </c>
      <c r="L108" s="615"/>
      <c r="M108" s="615"/>
      <c r="N108" s="615"/>
      <c r="O108" s="615"/>
      <c r="P108" s="615"/>
      <c r="Q108" s="615"/>
      <c r="R108" s="615"/>
      <c r="S108" s="615"/>
      <c r="T108" s="615"/>
      <c r="U108" s="615"/>
      <c r="V108" s="615"/>
      <c r="W108" s="615"/>
      <c r="X108" s="615"/>
      <c r="Y108" s="615"/>
      <c r="Z108" s="615"/>
      <c r="AA108" s="615"/>
      <c r="AB108" s="616"/>
      <c r="AC108" s="615"/>
      <c r="AD108" s="616"/>
      <c r="AE108" s="615"/>
      <c r="AF108" s="616"/>
      <c r="AG108" s="615"/>
      <c r="AH108" s="616"/>
      <c r="AI108" s="615"/>
      <c r="AJ108" s="615"/>
      <c r="AK108" s="616"/>
      <c r="AL108" s="615"/>
      <c r="AM108" s="616"/>
      <c r="AN108" s="615"/>
      <c r="AO108" s="616"/>
      <c r="AP108" s="615"/>
      <c r="AQ108" s="579">
        <f t="shared" si="34"/>
        <v>203.01999999999998</v>
      </c>
      <c r="AR108" s="819" t="s">
        <v>588</v>
      </c>
      <c r="AS108" s="374" t="s">
        <v>596</v>
      </c>
    </row>
    <row r="109" spans="1:46" ht="15" x14ac:dyDescent="0.2">
      <c r="A109" s="350"/>
      <c r="B109" s="284">
        <v>6251000</v>
      </c>
      <c r="C109" s="300" t="s">
        <v>224</v>
      </c>
      <c r="D109" s="305"/>
      <c r="E109" s="614"/>
      <c r="F109" s="759">
        <f>271.82</f>
        <v>271.82</v>
      </c>
      <c r="G109" s="615"/>
      <c r="H109" s="759">
        <f>89.94+325.98</f>
        <v>415.92</v>
      </c>
      <c r="I109" s="615"/>
      <c r="J109" s="615"/>
      <c r="K109" s="759">
        <f>95.88+257.02</f>
        <v>352.9</v>
      </c>
      <c r="L109" s="615"/>
      <c r="M109" s="759">
        <v>120</v>
      </c>
      <c r="N109" s="615"/>
      <c r="O109" s="615"/>
      <c r="P109" s="615"/>
      <c r="Q109" s="615"/>
      <c r="R109" s="615"/>
      <c r="S109" s="615"/>
      <c r="T109" s="615"/>
      <c r="U109" s="615"/>
      <c r="V109" s="615"/>
      <c r="W109" s="615"/>
      <c r="X109" s="615"/>
      <c r="Y109" s="615"/>
      <c r="Z109" s="615"/>
      <c r="AA109" s="615"/>
      <c r="AB109" s="616"/>
      <c r="AC109" s="615"/>
      <c r="AD109" s="616"/>
      <c r="AE109" s="615"/>
      <c r="AF109" s="616"/>
      <c r="AG109" s="615"/>
      <c r="AH109" s="616"/>
      <c r="AI109" s="615"/>
      <c r="AJ109" s="615"/>
      <c r="AK109" s="616"/>
      <c r="AL109" s="615"/>
      <c r="AM109" s="616"/>
      <c r="AN109" s="615"/>
      <c r="AO109" s="616"/>
      <c r="AP109" s="615"/>
      <c r="AQ109" s="579">
        <f t="shared" si="34"/>
        <v>1160.6399999999999</v>
      </c>
      <c r="AR109" s="819" t="s">
        <v>588</v>
      </c>
      <c r="AS109" s="374" t="s">
        <v>596</v>
      </c>
    </row>
    <row r="110" spans="1:46" ht="15" x14ac:dyDescent="0.2">
      <c r="A110" s="350"/>
      <c r="B110" s="284">
        <v>6252000</v>
      </c>
      <c r="C110" s="300" t="s">
        <v>225</v>
      </c>
      <c r="D110" s="305"/>
      <c r="E110" s="614"/>
      <c r="F110" s="615"/>
      <c r="G110" s="615"/>
      <c r="H110" s="615"/>
      <c r="I110" s="615"/>
      <c r="J110" s="615"/>
      <c r="K110" s="615"/>
      <c r="L110" s="615"/>
      <c r="M110" s="615"/>
      <c r="N110" s="615"/>
      <c r="O110" s="615"/>
      <c r="P110" s="615"/>
      <c r="Q110" s="615"/>
      <c r="R110" s="615"/>
      <c r="S110" s="615"/>
      <c r="T110" s="615"/>
      <c r="U110" s="615"/>
      <c r="V110" s="615"/>
      <c r="W110" s="615"/>
      <c r="X110" s="615"/>
      <c r="Y110" s="615"/>
      <c r="Z110" s="615"/>
      <c r="AA110" s="615"/>
      <c r="AB110" s="616"/>
      <c r="AC110" s="615"/>
      <c r="AD110" s="616"/>
      <c r="AE110" s="615"/>
      <c r="AF110" s="616"/>
      <c r="AG110" s="615"/>
      <c r="AH110" s="616"/>
      <c r="AI110" s="615"/>
      <c r="AJ110" s="615"/>
      <c r="AK110" s="616"/>
      <c r="AL110" s="615"/>
      <c r="AM110" s="616"/>
      <c r="AN110" s="615"/>
      <c r="AO110" s="616"/>
      <c r="AP110" s="615"/>
      <c r="AQ110" s="579">
        <f t="shared" si="34"/>
        <v>0</v>
      </c>
      <c r="AR110" s="819" t="s">
        <v>588</v>
      </c>
      <c r="AS110" s="374" t="s">
        <v>596</v>
      </c>
    </row>
    <row r="111" spans="1:46" ht="15" x14ac:dyDescent="0.2">
      <c r="A111" s="352"/>
      <c r="B111" s="286">
        <v>6257000</v>
      </c>
      <c r="C111" s="301" t="s">
        <v>226</v>
      </c>
      <c r="D111" s="306"/>
      <c r="E111" s="680">
        <f>69.84+83.1</f>
        <v>152.94</v>
      </c>
      <c r="F111" s="618"/>
      <c r="G111" s="770">
        <f>10.17</f>
        <v>10.17</v>
      </c>
      <c r="H111" s="770">
        <f>89.29+54.55</f>
        <v>143.84</v>
      </c>
      <c r="I111" s="770">
        <f>230.69</f>
        <v>230.69</v>
      </c>
      <c r="J111" s="618"/>
      <c r="K111" s="618"/>
      <c r="L111" s="770">
        <v>27.64</v>
      </c>
      <c r="M111" s="770">
        <f>62.51+60.69</f>
        <v>123.19999999999999</v>
      </c>
      <c r="N111" s="618"/>
      <c r="O111" s="618"/>
      <c r="P111" s="618"/>
      <c r="Q111" s="618">
        <v>500</v>
      </c>
      <c r="R111" s="618"/>
      <c r="S111" s="618"/>
      <c r="T111" s="618"/>
      <c r="U111" s="618"/>
      <c r="V111" s="618">
        <v>500</v>
      </c>
      <c r="W111" s="618"/>
      <c r="X111" s="618"/>
      <c r="Y111" s="618"/>
      <c r="Z111" s="618"/>
      <c r="AA111" s="618"/>
      <c r="AB111" s="619"/>
      <c r="AC111" s="618">
        <v>800</v>
      </c>
      <c r="AD111" s="619"/>
      <c r="AE111" s="618"/>
      <c r="AF111" s="619"/>
      <c r="AG111" s="618"/>
      <c r="AH111" s="619"/>
      <c r="AI111" s="618"/>
      <c r="AJ111" s="618"/>
      <c r="AK111" s="619"/>
      <c r="AL111" s="618"/>
      <c r="AM111" s="619"/>
      <c r="AN111" s="618"/>
      <c r="AO111" s="619"/>
      <c r="AP111" s="618"/>
      <c r="AQ111" s="581">
        <f t="shared" si="34"/>
        <v>2488.48</v>
      </c>
      <c r="AR111" s="818" t="s">
        <v>588</v>
      </c>
      <c r="AS111" s="374" t="s">
        <v>596</v>
      </c>
    </row>
    <row r="112" spans="1:46" ht="15" x14ac:dyDescent="0.2">
      <c r="A112" s="373">
        <v>5172000</v>
      </c>
      <c r="B112" s="297">
        <v>6788500</v>
      </c>
      <c r="C112" s="295" t="s">
        <v>227</v>
      </c>
      <c r="D112" s="299"/>
      <c r="E112" s="608"/>
      <c r="F112" s="609"/>
      <c r="G112" s="609"/>
      <c r="H112" s="760">
        <v>415</v>
      </c>
      <c r="I112" s="609"/>
      <c r="J112" s="760">
        <v>439.72</v>
      </c>
      <c r="K112" s="609"/>
      <c r="L112" s="760">
        <v>376.07</v>
      </c>
      <c r="M112" s="609"/>
      <c r="N112" s="692">
        <v>1130</v>
      </c>
      <c r="O112" s="692">
        <f>1772.46</f>
        <v>1772.46</v>
      </c>
      <c r="P112" s="609"/>
      <c r="Q112" s="609"/>
      <c r="R112" s="609"/>
      <c r="S112" s="609"/>
      <c r="T112" s="609"/>
      <c r="U112" s="609"/>
      <c r="V112" s="609"/>
      <c r="W112" s="609"/>
      <c r="X112" s="609"/>
      <c r="Y112" s="609"/>
      <c r="Z112" s="609"/>
      <c r="AA112" s="609"/>
      <c r="AB112" s="610"/>
      <c r="AC112" s="609"/>
      <c r="AD112" s="610"/>
      <c r="AE112" s="609"/>
      <c r="AF112" s="610"/>
      <c r="AG112" s="609"/>
      <c r="AH112" s="610"/>
      <c r="AI112" s="609"/>
      <c r="AJ112" s="609"/>
      <c r="AK112" s="610"/>
      <c r="AL112" s="609"/>
      <c r="AM112" s="610"/>
      <c r="AN112" s="609"/>
      <c r="AO112" s="610"/>
      <c r="AP112" s="609"/>
      <c r="AQ112" s="587">
        <f t="shared" si="34"/>
        <v>4133.25</v>
      </c>
      <c r="AR112" s="821">
        <v>5000</v>
      </c>
      <c r="AS112" s="374" t="s">
        <v>596</v>
      </c>
      <c r="AT112" s="8">
        <v>3000</v>
      </c>
    </row>
    <row r="113" spans="1:45" ht="25.15" customHeight="1" thickBot="1" x14ac:dyDescent="0.25">
      <c r="A113" s="377">
        <v>51</v>
      </c>
      <c r="B113" s="307" t="s">
        <v>232</v>
      </c>
      <c r="C113" s="307"/>
      <c r="D113" s="308"/>
      <c r="E113" s="623">
        <f t="shared" ref="E113:AR113" si="38">SUM(E94:E112)</f>
        <v>2584.81</v>
      </c>
      <c r="F113" s="624">
        <f t="shared" si="38"/>
        <v>382.08</v>
      </c>
      <c r="G113" s="624">
        <f t="shared" si="38"/>
        <v>3378.67</v>
      </c>
      <c r="H113" s="624">
        <f t="shared" si="38"/>
        <v>4659</v>
      </c>
      <c r="I113" s="624">
        <f t="shared" si="38"/>
        <v>-105.99000000000001</v>
      </c>
      <c r="J113" s="624">
        <f t="shared" si="38"/>
        <v>7904.24</v>
      </c>
      <c r="K113" s="624">
        <f t="shared" si="38"/>
        <v>650.34999999999991</v>
      </c>
      <c r="L113" s="624">
        <f t="shared" si="38"/>
        <v>873.51</v>
      </c>
      <c r="M113" s="624">
        <f t="shared" si="38"/>
        <v>243.2</v>
      </c>
      <c r="N113" s="624">
        <f t="shared" si="38"/>
        <v>3306</v>
      </c>
      <c r="O113" s="624">
        <f t="shared" si="38"/>
        <v>3948.46</v>
      </c>
      <c r="P113" s="624">
        <f t="shared" si="38"/>
        <v>2976</v>
      </c>
      <c r="Q113" s="624">
        <f t="shared" si="38"/>
        <v>3326</v>
      </c>
      <c r="R113" s="624">
        <f t="shared" si="38"/>
        <v>2176</v>
      </c>
      <c r="S113" s="624">
        <f t="shared" si="38"/>
        <v>2826</v>
      </c>
      <c r="T113" s="624">
        <f t="shared" si="38"/>
        <v>3626</v>
      </c>
      <c r="U113" s="624">
        <f t="shared" si="38"/>
        <v>2826</v>
      </c>
      <c r="V113" s="624">
        <f t="shared" si="38"/>
        <v>3326</v>
      </c>
      <c r="W113" s="624">
        <f t="shared" si="38"/>
        <v>3476</v>
      </c>
      <c r="X113" s="624">
        <f t="shared" si="38"/>
        <v>3526</v>
      </c>
      <c r="Y113" s="624">
        <f t="shared" si="38"/>
        <v>2826</v>
      </c>
      <c r="Z113" s="624">
        <f t="shared" ref="Z113:AJ113" si="39">SUM(Z94:Z112)</f>
        <v>2826</v>
      </c>
      <c r="AA113" s="624">
        <f t="shared" si="39"/>
        <v>2826</v>
      </c>
      <c r="AB113" s="625">
        <f t="shared" si="39"/>
        <v>4676</v>
      </c>
      <c r="AC113" s="624">
        <f t="shared" ref="AC113:AI113" si="40">SUM(AC94:AC112)</f>
        <v>4876</v>
      </c>
      <c r="AD113" s="625">
        <f t="shared" si="40"/>
        <v>2826</v>
      </c>
      <c r="AE113" s="624">
        <f t="shared" si="40"/>
        <v>0</v>
      </c>
      <c r="AF113" s="625">
        <f t="shared" si="40"/>
        <v>0</v>
      </c>
      <c r="AG113" s="624">
        <f t="shared" si="40"/>
        <v>0</v>
      </c>
      <c r="AH113" s="625">
        <f t="shared" si="40"/>
        <v>0</v>
      </c>
      <c r="AI113" s="624">
        <f t="shared" si="40"/>
        <v>0</v>
      </c>
      <c r="AJ113" s="624">
        <f t="shared" si="39"/>
        <v>0</v>
      </c>
      <c r="AK113" s="625">
        <f t="shared" ref="AK113:AN113" si="41">SUM(AK94:AK112)</f>
        <v>0</v>
      </c>
      <c r="AL113" s="624">
        <f t="shared" si="41"/>
        <v>0</v>
      </c>
      <c r="AM113" s="625">
        <f t="shared" si="41"/>
        <v>0</v>
      </c>
      <c r="AN113" s="624">
        <f t="shared" si="41"/>
        <v>0</v>
      </c>
      <c r="AO113" s="625">
        <f t="shared" ref="AO113:AP113" si="42">SUM(AO94:AO112)</f>
        <v>0</v>
      </c>
      <c r="AP113" s="624">
        <f t="shared" si="42"/>
        <v>0</v>
      </c>
      <c r="AQ113" s="590">
        <f t="shared" si="38"/>
        <v>76764.33</v>
      </c>
      <c r="AR113" s="591">
        <f t="shared" si="38"/>
        <v>82000</v>
      </c>
      <c r="AS113" s="378"/>
    </row>
    <row r="114" spans="1:45" ht="25.15" customHeight="1" x14ac:dyDescent="0.2">
      <c r="A114" s="362"/>
      <c r="D114" s="363"/>
      <c r="E114" s="391"/>
      <c r="F114" s="391"/>
      <c r="G114" s="391"/>
      <c r="H114" s="391"/>
      <c r="I114" s="391"/>
      <c r="J114" s="391"/>
      <c r="K114" s="391"/>
      <c r="L114" s="391"/>
      <c r="M114" s="391"/>
      <c r="N114" s="391"/>
      <c r="O114" s="391"/>
      <c r="P114" s="391"/>
      <c r="Q114" s="391"/>
      <c r="R114" s="391"/>
      <c r="S114" s="391"/>
      <c r="T114" s="391"/>
      <c r="U114" s="391"/>
      <c r="V114" s="391"/>
      <c r="W114" s="391"/>
      <c r="X114" s="391"/>
      <c r="Y114" s="391"/>
      <c r="Z114" s="391"/>
      <c r="AA114" s="391"/>
      <c r="AB114" s="391"/>
      <c r="AC114" s="391"/>
      <c r="AD114" s="391"/>
      <c r="AE114" s="391"/>
      <c r="AF114" s="391"/>
      <c r="AG114" s="391"/>
      <c r="AH114" s="391"/>
      <c r="AI114" s="391"/>
      <c r="AJ114" s="391"/>
      <c r="AK114" s="391"/>
      <c r="AL114" s="391"/>
      <c r="AM114" s="391"/>
      <c r="AN114" s="391"/>
      <c r="AO114" s="391"/>
      <c r="AP114" s="391"/>
      <c r="AQ114" s="392"/>
      <c r="AR114" s="393"/>
    </row>
    <row r="115" spans="1:45" ht="25.15" customHeight="1" x14ac:dyDescent="0.2">
      <c r="A115" s="334" t="s">
        <v>619</v>
      </c>
      <c r="B115" s="334"/>
      <c r="C115" s="334"/>
      <c r="D115" s="335"/>
      <c r="E115" s="518">
        <f t="shared" ref="E115:AR115" si="43">SUMIFS(E$12:E$113,$AS$12:$AS$113,"Frais chantier")</f>
        <v>2584.81</v>
      </c>
      <c r="F115" s="519">
        <f t="shared" si="43"/>
        <v>13094.29</v>
      </c>
      <c r="G115" s="519">
        <f t="shared" si="43"/>
        <v>11295.91</v>
      </c>
      <c r="H115" s="519">
        <f t="shared" si="43"/>
        <v>40088.82</v>
      </c>
      <c r="I115" s="519">
        <f t="shared" si="43"/>
        <v>22247.109999999997</v>
      </c>
      <c r="J115" s="519">
        <f t="shared" si="43"/>
        <v>24611.340000000004</v>
      </c>
      <c r="K115" s="519">
        <f t="shared" si="43"/>
        <v>23339.690000000002</v>
      </c>
      <c r="L115" s="519">
        <f t="shared" si="43"/>
        <v>18207.440000000002</v>
      </c>
      <c r="M115" s="519">
        <f t="shared" si="43"/>
        <v>28187.090000000007</v>
      </c>
      <c r="N115" s="519">
        <f t="shared" si="43"/>
        <v>32647.480000000003</v>
      </c>
      <c r="O115" s="519">
        <f t="shared" si="43"/>
        <v>26065.46</v>
      </c>
      <c r="P115" s="519">
        <f t="shared" si="43"/>
        <v>27175</v>
      </c>
      <c r="Q115" s="519">
        <f t="shared" si="43"/>
        <v>23359</v>
      </c>
      <c r="R115" s="519">
        <f t="shared" si="43"/>
        <v>21963</v>
      </c>
      <c r="S115" s="519">
        <f t="shared" si="43"/>
        <v>22939</v>
      </c>
      <c r="T115" s="519">
        <f t="shared" si="43"/>
        <v>21439</v>
      </c>
      <c r="U115" s="519">
        <f t="shared" si="43"/>
        <v>20089</v>
      </c>
      <c r="V115" s="519">
        <f t="shared" si="43"/>
        <v>26089</v>
      </c>
      <c r="W115" s="519">
        <f t="shared" si="43"/>
        <v>13460.571428571429</v>
      </c>
      <c r="X115" s="519">
        <f t="shared" si="43"/>
        <v>14546.642857142861</v>
      </c>
      <c r="Y115" s="519">
        <f t="shared" si="43"/>
        <v>10815.71428571429</v>
      </c>
      <c r="Z115" s="519">
        <f t="shared" si="43"/>
        <v>10751.78571428571</v>
      </c>
      <c r="AA115" s="519">
        <f t="shared" si="43"/>
        <v>10687.857142857139</v>
      </c>
      <c r="AB115" s="520">
        <f t="shared" si="43"/>
        <v>14873.928571428571</v>
      </c>
      <c r="AC115" s="519">
        <f t="shared" si="43"/>
        <v>22610</v>
      </c>
      <c r="AD115" s="520">
        <f t="shared" si="43"/>
        <v>6676</v>
      </c>
      <c r="AE115" s="519">
        <f t="shared" si="43"/>
        <v>150</v>
      </c>
      <c r="AF115" s="520">
        <f t="shared" si="43"/>
        <v>150</v>
      </c>
      <c r="AG115" s="519">
        <f t="shared" si="43"/>
        <v>0</v>
      </c>
      <c r="AH115" s="520">
        <f t="shared" si="43"/>
        <v>0</v>
      </c>
      <c r="AI115" s="519">
        <f t="shared" si="43"/>
        <v>0</v>
      </c>
      <c r="AJ115" s="519">
        <f t="shared" si="43"/>
        <v>0</v>
      </c>
      <c r="AK115" s="520">
        <f t="shared" si="43"/>
        <v>0</v>
      </c>
      <c r="AL115" s="519">
        <f t="shared" si="43"/>
        <v>0</v>
      </c>
      <c r="AM115" s="520">
        <f t="shared" si="43"/>
        <v>0</v>
      </c>
      <c r="AN115" s="519">
        <f t="shared" si="43"/>
        <v>0</v>
      </c>
      <c r="AO115" s="520">
        <f t="shared" si="43"/>
        <v>0</v>
      </c>
      <c r="AP115" s="519">
        <f t="shared" si="43"/>
        <v>0</v>
      </c>
      <c r="AQ115" s="521">
        <f t="shared" si="43"/>
        <v>510144.94000000006</v>
      </c>
      <c r="AR115" s="521">
        <f t="shared" si="43"/>
        <v>543523</v>
      </c>
      <c r="AS115" s="336" t="s">
        <v>596</v>
      </c>
    </row>
    <row r="116" spans="1:45" ht="25.15" customHeight="1" thickBot="1" x14ac:dyDescent="0.25">
      <c r="A116" s="337" t="s">
        <v>620</v>
      </c>
      <c r="B116" s="337"/>
      <c r="C116" s="337"/>
      <c r="D116" s="338"/>
      <c r="E116" s="522">
        <f t="shared" ref="E116:AR116" si="44">SUMIFS(E$12:E$113,$AS$12:$AS$113,"Feuille de vente")</f>
        <v>0</v>
      </c>
      <c r="F116" s="523">
        <f t="shared" si="44"/>
        <v>806.53</v>
      </c>
      <c r="G116" s="523">
        <f t="shared" si="44"/>
        <v>5210.6000000000004</v>
      </c>
      <c r="H116" s="523">
        <f t="shared" si="44"/>
        <v>5087.59</v>
      </c>
      <c r="I116" s="523">
        <f t="shared" si="44"/>
        <v>-265.52999999999997</v>
      </c>
      <c r="J116" s="523">
        <f t="shared" si="44"/>
        <v>15396.96</v>
      </c>
      <c r="K116" s="523">
        <f t="shared" si="44"/>
        <v>5869.71</v>
      </c>
      <c r="L116" s="523">
        <f t="shared" si="44"/>
        <v>5765.77</v>
      </c>
      <c r="M116" s="523">
        <f t="shared" si="44"/>
        <v>6034.89</v>
      </c>
      <c r="N116" s="523">
        <f t="shared" si="44"/>
        <v>4330.43</v>
      </c>
      <c r="O116" s="523">
        <f t="shared" si="44"/>
        <v>3782.26</v>
      </c>
      <c r="P116" s="523">
        <f t="shared" si="44"/>
        <v>5750</v>
      </c>
      <c r="Q116" s="523">
        <f t="shared" si="44"/>
        <v>9200</v>
      </c>
      <c r="R116" s="523">
        <f t="shared" si="44"/>
        <v>2700</v>
      </c>
      <c r="S116" s="523">
        <f t="shared" si="44"/>
        <v>2200</v>
      </c>
      <c r="T116" s="523">
        <f t="shared" si="44"/>
        <v>5220</v>
      </c>
      <c r="U116" s="523">
        <f t="shared" si="44"/>
        <v>57100</v>
      </c>
      <c r="V116" s="523">
        <f t="shared" si="44"/>
        <v>3600</v>
      </c>
      <c r="W116" s="523">
        <f t="shared" si="44"/>
        <v>3100</v>
      </c>
      <c r="X116" s="523">
        <f t="shared" si="44"/>
        <v>2200</v>
      </c>
      <c r="Y116" s="523">
        <f t="shared" si="44"/>
        <v>1951</v>
      </c>
      <c r="Z116" s="523">
        <f t="shared" si="44"/>
        <v>2200</v>
      </c>
      <c r="AA116" s="523">
        <f t="shared" si="44"/>
        <v>2200</v>
      </c>
      <c r="AB116" s="524">
        <f t="shared" si="44"/>
        <v>2200</v>
      </c>
      <c r="AC116" s="523">
        <f t="shared" si="44"/>
        <v>2200</v>
      </c>
      <c r="AD116" s="524">
        <f t="shared" si="44"/>
        <v>1600</v>
      </c>
      <c r="AE116" s="523">
        <f t="shared" si="44"/>
        <v>0</v>
      </c>
      <c r="AF116" s="524">
        <f t="shared" si="44"/>
        <v>0</v>
      </c>
      <c r="AG116" s="523">
        <f t="shared" si="44"/>
        <v>0</v>
      </c>
      <c r="AH116" s="524">
        <f t="shared" si="44"/>
        <v>0</v>
      </c>
      <c r="AI116" s="523">
        <f t="shared" si="44"/>
        <v>0</v>
      </c>
      <c r="AJ116" s="523">
        <f t="shared" si="44"/>
        <v>0</v>
      </c>
      <c r="AK116" s="524">
        <f t="shared" si="44"/>
        <v>0</v>
      </c>
      <c r="AL116" s="523">
        <f t="shared" si="44"/>
        <v>0</v>
      </c>
      <c r="AM116" s="524">
        <f t="shared" si="44"/>
        <v>0</v>
      </c>
      <c r="AN116" s="523">
        <f t="shared" si="44"/>
        <v>0</v>
      </c>
      <c r="AO116" s="524">
        <f t="shared" si="44"/>
        <v>0</v>
      </c>
      <c r="AP116" s="523">
        <f t="shared" si="44"/>
        <v>0</v>
      </c>
      <c r="AQ116" s="525">
        <f t="shared" si="44"/>
        <v>155440.21</v>
      </c>
      <c r="AR116" s="525">
        <f t="shared" si="44"/>
        <v>168500</v>
      </c>
      <c r="AS116" s="339" t="s">
        <v>597</v>
      </c>
    </row>
    <row r="117" spans="1:45" ht="25.15" customHeight="1" thickBot="1" x14ac:dyDescent="0.25">
      <c r="A117" s="340" t="s">
        <v>621</v>
      </c>
      <c r="B117" s="341"/>
      <c r="C117" s="341"/>
      <c r="D117" s="342"/>
      <c r="E117" s="526">
        <f t="shared" ref="E117:AR117" si="45">SUM(E12:E114)/2</f>
        <v>2584.81</v>
      </c>
      <c r="F117" s="527">
        <f t="shared" si="45"/>
        <v>13900.819999999998</v>
      </c>
      <c r="G117" s="527">
        <f t="shared" si="45"/>
        <v>16506.509999999998</v>
      </c>
      <c r="H117" s="527">
        <f t="shared" si="45"/>
        <v>45176.409999999989</v>
      </c>
      <c r="I117" s="527">
        <f t="shared" si="45"/>
        <v>21981.580000000005</v>
      </c>
      <c r="J117" s="527">
        <f t="shared" si="45"/>
        <v>40008.300000000003</v>
      </c>
      <c r="K117" s="527">
        <f t="shared" si="45"/>
        <v>29209.399999999998</v>
      </c>
      <c r="L117" s="527">
        <f t="shared" si="45"/>
        <v>23973.21</v>
      </c>
      <c r="M117" s="527">
        <f t="shared" si="45"/>
        <v>34221.979999999996</v>
      </c>
      <c r="N117" s="527">
        <f t="shared" si="45"/>
        <v>36977.910000000003</v>
      </c>
      <c r="O117" s="527">
        <f t="shared" si="45"/>
        <v>29847.72</v>
      </c>
      <c r="P117" s="527">
        <f t="shared" si="45"/>
        <v>32925</v>
      </c>
      <c r="Q117" s="527">
        <f t="shared" si="45"/>
        <v>32559</v>
      </c>
      <c r="R117" s="527">
        <f t="shared" si="45"/>
        <v>24663</v>
      </c>
      <c r="S117" s="527">
        <f t="shared" si="45"/>
        <v>25139</v>
      </c>
      <c r="T117" s="527">
        <f t="shared" si="45"/>
        <v>26659</v>
      </c>
      <c r="U117" s="527">
        <f t="shared" si="45"/>
        <v>77189</v>
      </c>
      <c r="V117" s="527">
        <f t="shared" si="45"/>
        <v>29689</v>
      </c>
      <c r="W117" s="527">
        <f t="shared" si="45"/>
        <v>16560.571428571428</v>
      </c>
      <c r="X117" s="527">
        <f t="shared" si="45"/>
        <v>16746.642857142859</v>
      </c>
      <c r="Y117" s="527">
        <f t="shared" si="45"/>
        <v>12766.71428571429</v>
      </c>
      <c r="Z117" s="527">
        <f t="shared" ref="Z117:AJ117" si="46">SUM(Z12:Z114)/2</f>
        <v>12951.78571428571</v>
      </c>
      <c r="AA117" s="527">
        <f t="shared" si="46"/>
        <v>12887.857142857141</v>
      </c>
      <c r="AB117" s="528">
        <f t="shared" si="46"/>
        <v>17073.928571428569</v>
      </c>
      <c r="AC117" s="527">
        <f t="shared" ref="AC117:AI117" si="47">SUM(AC12:AC114)/2</f>
        <v>24810</v>
      </c>
      <c r="AD117" s="528">
        <f t="shared" si="47"/>
        <v>8276</v>
      </c>
      <c r="AE117" s="527">
        <f t="shared" si="47"/>
        <v>150</v>
      </c>
      <c r="AF117" s="528">
        <f t="shared" si="47"/>
        <v>150</v>
      </c>
      <c r="AG117" s="527">
        <f t="shared" si="47"/>
        <v>0</v>
      </c>
      <c r="AH117" s="528">
        <f t="shared" si="47"/>
        <v>0</v>
      </c>
      <c r="AI117" s="527">
        <f t="shared" si="47"/>
        <v>0</v>
      </c>
      <c r="AJ117" s="527">
        <f t="shared" si="46"/>
        <v>0</v>
      </c>
      <c r="AK117" s="528">
        <f t="shared" ref="AK117:AN117" si="48">SUM(AK12:AK114)/2</f>
        <v>0</v>
      </c>
      <c r="AL117" s="527">
        <f t="shared" si="48"/>
        <v>0</v>
      </c>
      <c r="AM117" s="528">
        <f t="shared" si="48"/>
        <v>0</v>
      </c>
      <c r="AN117" s="527">
        <f t="shared" si="48"/>
        <v>0</v>
      </c>
      <c r="AO117" s="528">
        <f t="shared" ref="AO117:AP117" si="49">SUM(AO12:AO114)/2</f>
        <v>0</v>
      </c>
      <c r="AP117" s="527">
        <f t="shared" si="49"/>
        <v>0</v>
      </c>
      <c r="AQ117" s="529">
        <f t="shared" si="45"/>
        <v>665585.14999999991</v>
      </c>
      <c r="AR117" s="530">
        <f t="shared" si="45"/>
        <v>712023</v>
      </c>
    </row>
    <row r="118" spans="1:45" ht="25.15" customHeight="1" thickBot="1" x14ac:dyDescent="0.25">
      <c r="E118" s="296">
        <f>+E3</f>
        <v>45383</v>
      </c>
      <c r="F118" s="296">
        <f t="shared" ref="F118:Y118" si="50">+F3</f>
        <v>45413</v>
      </c>
      <c r="G118" s="296">
        <f t="shared" si="50"/>
        <v>45444</v>
      </c>
      <c r="H118" s="296">
        <f t="shared" si="50"/>
        <v>45474</v>
      </c>
      <c r="I118" s="296">
        <f t="shared" si="50"/>
        <v>45505</v>
      </c>
      <c r="J118" s="296">
        <f t="shared" si="50"/>
        <v>45536</v>
      </c>
      <c r="K118" s="296">
        <f t="shared" si="50"/>
        <v>45566</v>
      </c>
      <c r="L118" s="296">
        <f t="shared" si="50"/>
        <v>45597</v>
      </c>
      <c r="M118" s="296">
        <f t="shared" si="50"/>
        <v>45627</v>
      </c>
      <c r="N118" s="296">
        <f t="shared" si="50"/>
        <v>45658</v>
      </c>
      <c r="O118" s="296">
        <f t="shared" si="50"/>
        <v>45689</v>
      </c>
      <c r="P118" s="296">
        <f t="shared" si="50"/>
        <v>45717</v>
      </c>
      <c r="Q118" s="296">
        <f t="shared" si="50"/>
        <v>45748</v>
      </c>
      <c r="R118" s="296">
        <f t="shared" si="50"/>
        <v>45778</v>
      </c>
      <c r="S118" s="296">
        <f t="shared" si="50"/>
        <v>45809</v>
      </c>
      <c r="T118" s="296">
        <f t="shared" si="50"/>
        <v>45839</v>
      </c>
      <c r="U118" s="296">
        <f t="shared" si="50"/>
        <v>45870</v>
      </c>
      <c r="V118" s="296">
        <f t="shared" si="50"/>
        <v>45901</v>
      </c>
      <c r="W118" s="296">
        <f t="shared" si="50"/>
        <v>45931</v>
      </c>
      <c r="X118" s="296">
        <f t="shared" si="50"/>
        <v>45962</v>
      </c>
      <c r="Y118" s="296">
        <f t="shared" si="50"/>
        <v>45992</v>
      </c>
      <c r="Z118" s="296">
        <f t="shared" ref="Z118:AJ118" si="51">+Z3</f>
        <v>46023</v>
      </c>
      <c r="AA118" s="296">
        <f t="shared" si="51"/>
        <v>46054</v>
      </c>
      <c r="AB118" s="296">
        <f t="shared" si="51"/>
        <v>46082</v>
      </c>
      <c r="AC118" s="296">
        <f t="shared" ref="AC118:AI118" si="52">+AC3</f>
        <v>46113</v>
      </c>
      <c r="AD118" s="296">
        <f t="shared" si="52"/>
        <v>46143</v>
      </c>
      <c r="AE118" s="296">
        <f t="shared" si="52"/>
        <v>46174</v>
      </c>
      <c r="AF118" s="296">
        <f t="shared" si="52"/>
        <v>46204</v>
      </c>
      <c r="AG118" s="296">
        <f t="shared" si="52"/>
        <v>46235</v>
      </c>
      <c r="AH118" s="296">
        <f t="shared" si="52"/>
        <v>46266</v>
      </c>
      <c r="AI118" s="296">
        <f t="shared" si="52"/>
        <v>46296</v>
      </c>
      <c r="AJ118" s="296">
        <f t="shared" si="51"/>
        <v>46327</v>
      </c>
      <c r="AK118" s="296">
        <f t="shared" ref="AK118:AN118" si="53">+AK3</f>
        <v>46357</v>
      </c>
      <c r="AL118" s="296">
        <f t="shared" si="53"/>
        <v>46388</v>
      </c>
      <c r="AM118" s="296">
        <f t="shared" si="53"/>
        <v>46419</v>
      </c>
      <c r="AN118" s="296">
        <f t="shared" si="53"/>
        <v>46447</v>
      </c>
      <c r="AO118" s="296">
        <f t="shared" ref="AO118:AP118" si="54">+AO3</f>
        <v>46478</v>
      </c>
      <c r="AP118" s="296">
        <f t="shared" si="54"/>
        <v>46508</v>
      </c>
      <c r="AQ118" s="531">
        <f>+SUM(E117:AJ117)</f>
        <v>665585.14999999991</v>
      </c>
    </row>
    <row r="122" spans="1:45" ht="25.15" customHeight="1" x14ac:dyDescent="0.2">
      <c r="S122" s="8" t="s">
        <v>1046</v>
      </c>
    </row>
  </sheetData>
  <mergeCells count="1">
    <mergeCell ref="F58:L58"/>
  </mergeCells>
  <conditionalFormatting sqref="AQ118">
    <cfRule type="cellIs" dxfId="15" priority="1" operator="notEqual">
      <formula>$AQ$117</formula>
    </cfRule>
    <cfRule type="cellIs" dxfId="14" priority="2" operator="equal">
      <formula>$AQ$117</formula>
    </cfRule>
  </conditionalFormatting>
  <pageMargins left="0.70866141732283472" right="0.70866141732283472" top="0.74803149606299213" bottom="0.74803149606299213" header="0.31496062992125984" footer="0.31496062992125984"/>
  <pageSetup paperSize="8" scale="32" fitToHeight="0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7">
    <tabColor rgb="FF00B0F0"/>
    <pageSetUpPr fitToPage="1"/>
  </sheetPr>
  <dimension ref="A1:AB41"/>
  <sheetViews>
    <sheetView zoomScale="85" zoomScaleNormal="85" workbookViewId="0">
      <selection activeCell="J8" sqref="J8"/>
    </sheetView>
  </sheetViews>
  <sheetFormatPr baseColWidth="10" defaultColWidth="27.5703125" defaultRowHeight="15" x14ac:dyDescent="0.2"/>
  <cols>
    <col min="1" max="1" width="12.28515625" style="2" bestFit="1" customWidth="1"/>
    <col min="2" max="2" width="22.28515625" style="2" bestFit="1" customWidth="1"/>
    <col min="3" max="3" width="9.42578125" style="2" bestFit="1" customWidth="1"/>
    <col min="4" max="4" width="9.28515625" style="2" bestFit="1" customWidth="1"/>
    <col min="5" max="5" width="9.42578125" style="461" bestFit="1" customWidth="1"/>
    <col min="6" max="10" width="9" style="2" bestFit="1" customWidth="1"/>
    <col min="11" max="11" width="9.42578125" style="2" bestFit="1" customWidth="1"/>
    <col min="12" max="14" width="9" style="2" bestFit="1" customWidth="1"/>
    <col min="15" max="15" width="9.42578125" style="2" bestFit="1" customWidth="1"/>
    <col min="16" max="16" width="9.28515625" style="2" bestFit="1" customWidth="1"/>
    <col min="17" max="17" width="9.42578125" style="2" bestFit="1" customWidth="1"/>
    <col min="18" max="22" width="9" style="2" bestFit="1" customWidth="1"/>
    <col min="23" max="23" width="9.42578125" style="2" bestFit="1" customWidth="1"/>
    <col min="24" max="26" width="9" style="2" bestFit="1" customWidth="1"/>
    <col min="27" max="27" width="11" style="2" bestFit="1" customWidth="1"/>
    <col min="28" max="28" width="26.7109375" style="2" bestFit="1" customWidth="1"/>
    <col min="29" max="16384" width="27.5703125" style="2"/>
  </cols>
  <sheetData>
    <row r="1" spans="1:28" ht="19.5" thickBot="1" x14ac:dyDescent="0.25">
      <c r="A1" s="841" t="s">
        <v>623</v>
      </c>
      <c r="B1" s="842"/>
      <c r="C1" s="842"/>
      <c r="D1" s="842"/>
      <c r="E1" s="842"/>
      <c r="F1" s="842"/>
      <c r="G1" s="842"/>
      <c r="H1" s="842"/>
      <c r="I1" s="842"/>
      <c r="J1" s="842"/>
      <c r="K1" s="842"/>
      <c r="L1" s="842"/>
      <c r="M1" s="842"/>
      <c r="N1" s="842"/>
      <c r="O1" s="842"/>
      <c r="P1" s="842"/>
      <c r="Q1" s="842"/>
      <c r="R1" s="842"/>
      <c r="S1" s="842"/>
      <c r="T1" s="842"/>
      <c r="U1" s="842"/>
      <c r="V1" s="842"/>
      <c r="W1" s="842"/>
      <c r="X1" s="842"/>
      <c r="Y1" s="842"/>
      <c r="Z1" s="842"/>
      <c r="AA1" s="843"/>
    </row>
    <row r="2" spans="1:28" ht="24.95" customHeight="1" x14ac:dyDescent="0.2"/>
    <row r="3" spans="1:28" ht="24.95" customHeight="1" x14ac:dyDescent="0.2">
      <c r="A3" s="407" t="s">
        <v>68</v>
      </c>
      <c r="B3" s="407" t="s">
        <v>5</v>
      </c>
      <c r="C3" s="436">
        <f>+FC!E3</f>
        <v>45383</v>
      </c>
      <c r="D3" s="436">
        <f>+FC!F3</f>
        <v>45413</v>
      </c>
      <c r="E3" s="436">
        <f>+FC!G3</f>
        <v>45444</v>
      </c>
      <c r="F3" s="436">
        <f>+FC!H3</f>
        <v>45474</v>
      </c>
      <c r="G3" s="436">
        <f>+FC!I3</f>
        <v>45505</v>
      </c>
      <c r="H3" s="436">
        <f>+FC!J3</f>
        <v>45536</v>
      </c>
      <c r="I3" s="436">
        <f>+FC!K3</f>
        <v>45566</v>
      </c>
      <c r="J3" s="436">
        <f>+FC!L3</f>
        <v>45597</v>
      </c>
      <c r="K3" s="436">
        <f>+FC!M3</f>
        <v>45627</v>
      </c>
      <c r="L3" s="436">
        <f>+FC!N3</f>
        <v>45658</v>
      </c>
      <c r="M3" s="436">
        <f>+FC!O3</f>
        <v>45689</v>
      </c>
      <c r="N3" s="436">
        <f>+FC!P3</f>
        <v>45717</v>
      </c>
      <c r="O3" s="436">
        <f>+FC!Q3</f>
        <v>45748</v>
      </c>
      <c r="P3" s="436">
        <f>+FC!R3</f>
        <v>45778</v>
      </c>
      <c r="Q3" s="436">
        <f>+FC!S3</f>
        <v>45809</v>
      </c>
      <c r="R3" s="436">
        <f>+FC!T3</f>
        <v>45839</v>
      </c>
      <c r="S3" s="436">
        <f>+FC!U3</f>
        <v>45870</v>
      </c>
      <c r="T3" s="436">
        <f>+FC!V3</f>
        <v>45901</v>
      </c>
      <c r="U3" s="436">
        <f>+FC!W3</f>
        <v>45931</v>
      </c>
      <c r="V3" s="436">
        <f>+FC!X3</f>
        <v>45962</v>
      </c>
      <c r="W3" s="436">
        <f>+FC!Y3</f>
        <v>45992</v>
      </c>
      <c r="X3" s="436" t="e">
        <f>+FC!#REF!</f>
        <v>#REF!</v>
      </c>
      <c r="Y3" s="436" t="e">
        <f>+FC!#REF!</f>
        <v>#REF!</v>
      </c>
      <c r="Z3" s="436" t="e">
        <f>+FC!#REF!</f>
        <v>#REF!</v>
      </c>
      <c r="AA3" s="436" t="s">
        <v>0</v>
      </c>
    </row>
    <row r="4" spans="1:28" ht="24.95" customHeight="1" x14ac:dyDescent="0.2">
      <c r="A4" s="234">
        <v>6000410</v>
      </c>
      <c r="B4" s="234" t="s">
        <v>603</v>
      </c>
      <c r="C4" s="543"/>
      <c r="D4" s="764">
        <v>3067.77</v>
      </c>
      <c r="E4" s="764">
        <v>82.14</v>
      </c>
      <c r="F4" s="764">
        <v>45.05</v>
      </c>
      <c r="G4" s="764">
        <v>0</v>
      </c>
      <c r="H4" s="764">
        <v>0</v>
      </c>
      <c r="I4" s="764">
        <v>20.52</v>
      </c>
      <c r="J4" s="764">
        <v>484.5</v>
      </c>
      <c r="K4" s="764">
        <v>1242.8</v>
      </c>
      <c r="L4" s="543"/>
      <c r="M4" s="543"/>
      <c r="N4" s="543"/>
      <c r="O4" s="543"/>
      <c r="P4" s="543"/>
      <c r="Q4" s="543"/>
      <c r="R4" s="543"/>
      <c r="S4" s="543"/>
      <c r="T4" s="543"/>
      <c r="U4" s="543"/>
      <c r="V4" s="543"/>
      <c r="W4" s="543"/>
      <c r="X4" s="543"/>
      <c r="Y4" s="543"/>
      <c r="Z4" s="543"/>
      <c r="AA4" s="551">
        <f>+SUM(C4:Z4)</f>
        <v>4942.78</v>
      </c>
    </row>
    <row r="5" spans="1:28" ht="24.95" customHeight="1" x14ac:dyDescent="0.2">
      <c r="A5" s="185">
        <v>6010000</v>
      </c>
      <c r="B5" s="185" t="s">
        <v>69</v>
      </c>
      <c r="C5" s="544"/>
      <c r="D5" s="765">
        <f>1014.52+1800.42</f>
        <v>2814.94</v>
      </c>
      <c r="E5" s="765">
        <f>1629.38</f>
        <v>1629.38</v>
      </c>
      <c r="F5" s="765">
        <f>1983.83+1052.96+106.7</f>
        <v>3143.49</v>
      </c>
      <c r="G5" s="765">
        <v>0</v>
      </c>
      <c r="H5" s="765">
        <f>86.8+269.49+505.64</f>
        <v>861.93000000000006</v>
      </c>
      <c r="I5" s="772">
        <f>759.6+1582.26</f>
        <v>2341.86</v>
      </c>
      <c r="J5" s="772">
        <f>594.84</f>
        <v>594.84</v>
      </c>
      <c r="K5" s="772">
        <f>1513.89+124.2+406.62</f>
        <v>2044.71</v>
      </c>
      <c r="L5" s="186"/>
      <c r="M5" s="186"/>
      <c r="N5" s="186"/>
      <c r="O5" s="186"/>
      <c r="P5" s="186"/>
      <c r="Q5" s="186"/>
      <c r="R5" s="186"/>
      <c r="S5" s="186"/>
      <c r="T5" s="186"/>
      <c r="U5" s="186"/>
      <c r="V5" s="186"/>
      <c r="W5" s="186"/>
      <c r="X5" s="186"/>
      <c r="Y5" s="186"/>
      <c r="Z5" s="186"/>
      <c r="AA5" s="552">
        <f>+SUM(C5:Z5)</f>
        <v>13431.150000000001</v>
      </c>
    </row>
    <row r="6" spans="1:28" ht="24.95" customHeight="1" x14ac:dyDescent="0.2">
      <c r="A6" s="185">
        <v>6010500</v>
      </c>
      <c r="B6" s="185" t="s">
        <v>624</v>
      </c>
      <c r="C6" s="544"/>
      <c r="D6" s="765">
        <f>650.28+290.34</f>
        <v>940.61999999999989</v>
      </c>
      <c r="E6" s="544"/>
      <c r="F6" s="765">
        <v>194.58</v>
      </c>
      <c r="G6" s="765">
        <v>0</v>
      </c>
      <c r="H6" s="765">
        <v>817.15</v>
      </c>
      <c r="I6" s="765">
        <f>1416.82+10490.59+389.26</f>
        <v>12296.67</v>
      </c>
      <c r="J6" s="765">
        <v>587.88</v>
      </c>
      <c r="K6" s="765">
        <f>72.3+67.2+3327.07</f>
        <v>3466.57</v>
      </c>
      <c r="L6" s="544"/>
      <c r="M6" s="544">
        <v>13038.4</v>
      </c>
      <c r="N6" s="544"/>
      <c r="O6" s="544"/>
      <c r="P6" s="544"/>
      <c r="Q6" s="544"/>
      <c r="R6" s="544"/>
      <c r="S6" s="544"/>
      <c r="T6" s="544"/>
      <c r="U6" s="544"/>
      <c r="V6" s="544"/>
      <c r="W6" s="544"/>
      <c r="X6" s="544"/>
      <c r="Y6" s="544"/>
      <c r="Z6" s="544"/>
      <c r="AA6" s="552">
        <f>+SUM(C6:Z6)</f>
        <v>31341.870000000003</v>
      </c>
    </row>
    <row r="7" spans="1:28" ht="24.95" customHeight="1" x14ac:dyDescent="0.2">
      <c r="A7" s="185">
        <v>6022300</v>
      </c>
      <c r="B7" s="185" t="s">
        <v>70</v>
      </c>
      <c r="C7" s="544"/>
      <c r="D7" s="765">
        <f>3153.81+173.02+15.73</f>
        <v>3342.56</v>
      </c>
      <c r="E7" s="544"/>
      <c r="F7" s="765">
        <f>77.86+251.29+50.66+245.27+282.88+2986.7</f>
        <v>3894.66</v>
      </c>
      <c r="G7" s="765">
        <f>4367.15</f>
        <v>4367.1499999999996</v>
      </c>
      <c r="H7" s="765">
        <f>142.27+425.76+304</f>
        <v>872.03</v>
      </c>
      <c r="I7" s="765">
        <f>2603.55+145.83+1739.91+48.65+311.53+78.55</f>
        <v>4928.0199999999995</v>
      </c>
      <c r="J7" s="765">
        <f>1822.77+1772.12+28.74+2603.55+4367.15-1772.12</f>
        <v>8822.2099999999991</v>
      </c>
      <c r="K7" s="765">
        <f>653.43+45.99-154.55+392.69+36.45</f>
        <v>974.01</v>
      </c>
      <c r="L7" s="544"/>
      <c r="M7" s="544"/>
      <c r="N7" s="544"/>
      <c r="O7" s="544"/>
      <c r="P7" s="544"/>
      <c r="Q7" s="544"/>
      <c r="R7" s="544"/>
      <c r="S7" s="544"/>
      <c r="T7" s="544"/>
      <c r="U7" s="544"/>
      <c r="V7" s="544"/>
      <c r="W7" s="544"/>
      <c r="X7" s="544"/>
      <c r="Y7" s="544"/>
      <c r="Z7" s="544"/>
      <c r="AA7" s="552">
        <f>+SUM(C7:Z7)</f>
        <v>27200.639999999996</v>
      </c>
    </row>
    <row r="8" spans="1:28" ht="24.95" customHeight="1" x14ac:dyDescent="0.2">
      <c r="A8" s="191">
        <v>6063000</v>
      </c>
      <c r="B8" s="191" t="s">
        <v>71</v>
      </c>
      <c r="C8" s="545"/>
      <c r="D8" s="545"/>
      <c r="E8" s="545"/>
      <c r="F8" s="769">
        <v>340.9</v>
      </c>
      <c r="G8" s="769">
        <v>0</v>
      </c>
      <c r="H8" s="769">
        <v>0</v>
      </c>
      <c r="I8" s="545"/>
      <c r="J8" s="769">
        <v>535</v>
      </c>
      <c r="K8" s="545"/>
      <c r="L8" s="545"/>
      <c r="M8" s="545"/>
      <c r="N8" s="545"/>
      <c r="O8" s="545"/>
      <c r="P8" s="545"/>
      <c r="Q8" s="545"/>
      <c r="R8" s="545"/>
      <c r="S8" s="545"/>
      <c r="T8" s="545"/>
      <c r="U8" s="545"/>
      <c r="V8" s="545"/>
      <c r="W8" s="545"/>
      <c r="X8" s="545"/>
      <c r="Y8" s="545"/>
      <c r="Z8" s="545"/>
      <c r="AA8" s="553">
        <f>+SUM(C8:Z8)</f>
        <v>875.9</v>
      </c>
    </row>
    <row r="9" spans="1:28" ht="24.95" customHeight="1" x14ac:dyDescent="0.2">
      <c r="E9" s="2"/>
    </row>
    <row r="10" spans="1:28" ht="24.95" customHeight="1" x14ac:dyDescent="0.2">
      <c r="A10" s="179" t="s">
        <v>604</v>
      </c>
      <c r="B10" s="179"/>
      <c r="C10" s="200">
        <f>+THM!C7</f>
        <v>0</v>
      </c>
      <c r="D10" s="200">
        <f>+THM!D7</f>
        <v>78</v>
      </c>
      <c r="E10" s="200">
        <f>+THM!E7</f>
        <v>16</v>
      </c>
      <c r="F10" s="200">
        <f>+THM!F7</f>
        <v>322.5</v>
      </c>
      <c r="G10" s="200">
        <f>+THM!G7</f>
        <v>187</v>
      </c>
      <c r="H10" s="200">
        <f>+THM!H7</f>
        <v>591</v>
      </c>
      <c r="I10" s="200">
        <f>+THM!I7</f>
        <v>1503</v>
      </c>
      <c r="J10" s="200">
        <f>+THM!J7</f>
        <v>1055.5</v>
      </c>
      <c r="K10" s="200">
        <f>+THM!K7</f>
        <v>775.5</v>
      </c>
      <c r="L10" s="200">
        <f>+THM!L7</f>
        <v>1185</v>
      </c>
      <c r="M10" s="200">
        <f>+THM!M7</f>
        <v>0</v>
      </c>
      <c r="N10" s="200">
        <f>+THM!N7</f>
        <v>0</v>
      </c>
      <c r="O10" s="200">
        <f>+THM!O7</f>
        <v>0</v>
      </c>
      <c r="P10" s="200">
        <f>+THM!P7</f>
        <v>0</v>
      </c>
      <c r="Q10" s="200">
        <f>+THM!Q7</f>
        <v>0</v>
      </c>
      <c r="R10" s="200">
        <f>+THM!R7</f>
        <v>0</v>
      </c>
      <c r="S10" s="200">
        <f>+THM!S7</f>
        <v>0</v>
      </c>
      <c r="T10" s="200">
        <f>+THM!T7</f>
        <v>0</v>
      </c>
      <c r="U10" s="200">
        <f>+THM!U7</f>
        <v>0</v>
      </c>
      <c r="V10" s="200">
        <f>+THM!V7</f>
        <v>0</v>
      </c>
      <c r="W10" s="200">
        <f>+THM!W7</f>
        <v>0</v>
      </c>
      <c r="X10" s="200">
        <f>+THM!X7</f>
        <v>0</v>
      </c>
      <c r="Y10" s="200">
        <f>+THM!Y7</f>
        <v>0</v>
      </c>
      <c r="Z10" s="200">
        <f>+THM!Z7</f>
        <v>0</v>
      </c>
      <c r="AA10" s="235">
        <f>+SUM(C10:Z10)</f>
        <v>5713.5</v>
      </c>
    </row>
    <row r="11" spans="1:28" ht="24.95" customHeight="1" thickBot="1" x14ac:dyDescent="0.25">
      <c r="E11" s="2"/>
    </row>
    <row r="12" spans="1:28" ht="24.95" customHeight="1" x14ac:dyDescent="0.2">
      <c r="A12" s="463" t="s">
        <v>649</v>
      </c>
      <c r="B12" s="463"/>
      <c r="C12" s="436">
        <f>+FC!E3</f>
        <v>45383</v>
      </c>
      <c r="D12" s="436">
        <f>+FC!F3</f>
        <v>45413</v>
      </c>
      <c r="E12" s="436">
        <f>+FC!G3</f>
        <v>45444</v>
      </c>
      <c r="F12" s="436">
        <f>+FC!H3</f>
        <v>45474</v>
      </c>
      <c r="G12" s="436">
        <f>+FC!I3</f>
        <v>45505</v>
      </c>
      <c r="H12" s="436">
        <f>+FC!J3</f>
        <v>45536</v>
      </c>
      <c r="I12" s="436">
        <f>+FC!K3</f>
        <v>45566</v>
      </c>
      <c r="J12" s="436">
        <f>+FC!L3</f>
        <v>45597</v>
      </c>
      <c r="K12" s="436">
        <f>+FC!M3</f>
        <v>45627</v>
      </c>
      <c r="L12" s="436">
        <f>+FC!N3</f>
        <v>45658</v>
      </c>
      <c r="M12" s="436">
        <f>+FC!O3</f>
        <v>45689</v>
      </c>
      <c r="N12" s="436">
        <f>+FC!P3</f>
        <v>45717</v>
      </c>
      <c r="O12" s="436">
        <f>+FC!Q3</f>
        <v>45748</v>
      </c>
      <c r="P12" s="436">
        <f>+FC!R3</f>
        <v>45778</v>
      </c>
      <c r="Q12" s="436">
        <f>+FC!S3</f>
        <v>45809</v>
      </c>
      <c r="R12" s="436">
        <f>+FC!T3</f>
        <v>45839</v>
      </c>
      <c r="S12" s="436">
        <f>+FC!U3</f>
        <v>45870</v>
      </c>
      <c r="T12" s="436">
        <f>+FC!V3</f>
        <v>45901</v>
      </c>
      <c r="U12" s="436">
        <f>+FC!W3</f>
        <v>45931</v>
      </c>
      <c r="V12" s="436">
        <f>+FC!X3</f>
        <v>45962</v>
      </c>
      <c r="W12" s="436">
        <f>+FC!Y3</f>
        <v>45992</v>
      </c>
      <c r="X12" s="436" t="e">
        <f>+FC!#REF!</f>
        <v>#REF!</v>
      </c>
      <c r="Y12" s="436" t="e">
        <f>+FC!#REF!</f>
        <v>#REF!</v>
      </c>
      <c r="Z12" s="436" t="e">
        <f>+FC!#REF!</f>
        <v>#REF!</v>
      </c>
      <c r="AA12" s="464" t="s">
        <v>0</v>
      </c>
      <c r="AB12" s="465" t="s">
        <v>123</v>
      </c>
    </row>
    <row r="13" spans="1:28" ht="24.95" customHeight="1" x14ac:dyDescent="0.2">
      <c r="A13" s="234">
        <v>6000410</v>
      </c>
      <c r="B13" s="234" t="s">
        <v>603</v>
      </c>
      <c r="C13" s="543" t="e">
        <f>+SUM($C4:C4)/SUM($C$10:C$10)</f>
        <v>#DIV/0!</v>
      </c>
      <c r="D13" s="543">
        <f>+SUM($C4:D4)/SUM($C$10:D$10)</f>
        <v>39.330384615384617</v>
      </c>
      <c r="E13" s="543">
        <f>+SUM($C4:E4)/SUM($C$10:E$10)</f>
        <v>33.509680851063827</v>
      </c>
      <c r="F13" s="543">
        <f>+SUM($C4:F4)/SUM($C$10:F$10)</f>
        <v>7.6709723889555823</v>
      </c>
      <c r="G13" s="543">
        <f>+SUM($C4:G4)/SUM($C$10:G$10)</f>
        <v>5.2940513670256832</v>
      </c>
      <c r="H13" s="543">
        <f>+SUM($C4:H4)/SUM($C$10:H$10)</f>
        <v>2.6747258267057346</v>
      </c>
      <c r="I13" s="543">
        <f>+SUM($C4:I4)/SUM($C$10:I$10)</f>
        <v>1.1920222428174236</v>
      </c>
      <c r="J13" s="543">
        <f>+SUM($C4:J4)/SUM($C$10:J$10)</f>
        <v>0.98587263522515323</v>
      </c>
      <c r="K13" s="543">
        <f>+SUM($C4:K4)/SUM($C$10:K$10)</f>
        <v>1.0914828309594788</v>
      </c>
      <c r="L13" s="543">
        <f>+SUM($C4:L4)/SUM($C$10:L$10)</f>
        <v>0.86510545199964994</v>
      </c>
      <c r="M13" s="543">
        <f>+SUM($C4:M4)/SUM($C$10:M$10)</f>
        <v>0.86510545199964994</v>
      </c>
      <c r="N13" s="543">
        <f>+SUM($C4:N4)/SUM($C$10:N$10)</f>
        <v>0.86510545199964994</v>
      </c>
      <c r="O13" s="543">
        <f>+SUM($C4:O4)/SUM($C$10:O$10)</f>
        <v>0.86510545199964994</v>
      </c>
      <c r="P13" s="543">
        <f>+SUM($C4:P4)/SUM($C$10:P$10)</f>
        <v>0.86510545199964994</v>
      </c>
      <c r="Q13" s="543">
        <f>+SUM($C4:Q4)/SUM($C$10:Q$10)</f>
        <v>0.86510545199964994</v>
      </c>
      <c r="R13" s="543">
        <f>+SUM($C4:R4)/SUM($C$10:R$10)</f>
        <v>0.86510545199964994</v>
      </c>
      <c r="S13" s="543">
        <f>+SUM($C4:S4)/SUM($C$10:S$10)</f>
        <v>0.86510545199964994</v>
      </c>
      <c r="T13" s="543">
        <f>+SUM($C4:T4)/SUM($C$10:T$10)</f>
        <v>0.86510545199964994</v>
      </c>
      <c r="U13" s="543">
        <f>+SUM($C4:U4)/SUM($C$10:U$10)</f>
        <v>0.86510545199964994</v>
      </c>
      <c r="V13" s="543">
        <f>+SUM($C4:V4)/SUM($C$10:V$10)</f>
        <v>0.86510545199964994</v>
      </c>
      <c r="W13" s="543">
        <f>+SUM($C4:W4)/SUM($C$10:W$10)</f>
        <v>0.86510545199964994</v>
      </c>
      <c r="X13" s="543">
        <f>+SUM($C4:X4)/SUM($C$10:X$10)</f>
        <v>0.86510545199964994</v>
      </c>
      <c r="Y13" s="543">
        <f>+SUM($C4:Y4)/SUM($C$10:Y$10)</f>
        <v>0.86510545199964994</v>
      </c>
      <c r="Z13" s="546">
        <f>+SUM($C4:Z4)/SUM($C$10:Z$10)</f>
        <v>0.86510545199964994</v>
      </c>
      <c r="AA13" s="554">
        <f>+SUM($C4:AA4)/SUM($C$10:AA$10)</f>
        <v>0.86510545199964994</v>
      </c>
      <c r="AB13" s="555">
        <v>0.5</v>
      </c>
    </row>
    <row r="14" spans="1:28" ht="24.95" customHeight="1" x14ac:dyDescent="0.2">
      <c r="A14" s="185">
        <v>6010000</v>
      </c>
      <c r="B14" s="185" t="s">
        <v>69</v>
      </c>
      <c r="C14" s="544" t="e">
        <f>+SUM($C5:C5)/SUM($C$10:C$10)</f>
        <v>#DIV/0!</v>
      </c>
      <c r="D14" s="544">
        <f>+SUM($C5:D5)/SUM($C$10:D$10)</f>
        <v>36.088974358974362</v>
      </c>
      <c r="E14" s="544">
        <f>+SUM($C5:E5)/SUM($C$10:E$10)</f>
        <v>47.279999999999994</v>
      </c>
      <c r="F14" s="544">
        <f>+SUM($C5:F5)/SUM($C$10:F$10)</f>
        <v>18.218031212484991</v>
      </c>
      <c r="G14" s="544">
        <f>+SUM($C5:G5)/SUM($C$10:G$10)</f>
        <v>12.573007456503728</v>
      </c>
      <c r="H14" s="544">
        <f>+SUM($C5:H5)/SUM($C$10:H$10)</f>
        <v>7.0738719129342815</v>
      </c>
      <c r="I14" s="544">
        <f>+SUM($C5:I5)/SUM($C$10:I$10)</f>
        <v>4.0005931417979612</v>
      </c>
      <c r="J14" s="544">
        <f>+SUM($C5:J5)/SUM($C$10:J$10)</f>
        <v>3.0339568345323742</v>
      </c>
      <c r="K14" s="544">
        <f>+SUM($C5:K5)/SUM($C$10:K$10)</f>
        <v>2.9659158661808549</v>
      </c>
      <c r="L14" s="544">
        <f>+SUM($C5:L5)/SUM($C$10:L$10)</f>
        <v>2.3507744814912055</v>
      </c>
      <c r="M14" s="544">
        <f>+SUM($C5:M5)/SUM($C$10:M$10)</f>
        <v>2.3507744814912055</v>
      </c>
      <c r="N14" s="544">
        <f>+SUM($C5:N5)/SUM($C$10:N$10)</f>
        <v>2.3507744814912055</v>
      </c>
      <c r="O14" s="544">
        <f>+SUM($C5:O5)/SUM($C$10:O$10)</f>
        <v>2.3507744814912055</v>
      </c>
      <c r="P14" s="544">
        <f>+SUM($C5:P5)/SUM($C$10:P$10)</f>
        <v>2.3507744814912055</v>
      </c>
      <c r="Q14" s="544">
        <f>+SUM($C5:Q5)/SUM($C$10:Q$10)</f>
        <v>2.3507744814912055</v>
      </c>
      <c r="R14" s="544">
        <f>+SUM($C5:R5)/SUM($C$10:R$10)</f>
        <v>2.3507744814912055</v>
      </c>
      <c r="S14" s="544">
        <f>+SUM($C5:S5)/SUM($C$10:S$10)</f>
        <v>2.3507744814912055</v>
      </c>
      <c r="T14" s="544">
        <f>+SUM($C5:T5)/SUM($C$10:T$10)</f>
        <v>2.3507744814912055</v>
      </c>
      <c r="U14" s="544">
        <f>+SUM($C5:U5)/SUM($C$10:U$10)</f>
        <v>2.3507744814912055</v>
      </c>
      <c r="V14" s="544">
        <f>+SUM($C5:V5)/SUM($C$10:V$10)</f>
        <v>2.3507744814912055</v>
      </c>
      <c r="W14" s="544">
        <f>+SUM($C5:W5)/SUM($C$10:W$10)</f>
        <v>2.3507744814912055</v>
      </c>
      <c r="X14" s="544">
        <f>+SUM($C5:X5)/SUM($C$10:X$10)</f>
        <v>2.3507744814912055</v>
      </c>
      <c r="Y14" s="544">
        <f>+SUM($C5:Y5)/SUM($C$10:Y$10)</f>
        <v>2.3507744814912055</v>
      </c>
      <c r="Z14" s="547">
        <f>+SUM($C5:Z5)/SUM($C$10:Z$10)</f>
        <v>2.3507744814912055</v>
      </c>
      <c r="AA14" s="556">
        <f>+SUM($C5:AA5)/SUM($C$10:AA$10)</f>
        <v>2.3507744814912055</v>
      </c>
      <c r="AB14" s="557">
        <v>1.5</v>
      </c>
    </row>
    <row r="15" spans="1:28" ht="24.95" customHeight="1" x14ac:dyDescent="0.2">
      <c r="A15" s="185"/>
      <c r="B15" s="185" t="s">
        <v>133</v>
      </c>
      <c r="C15" s="544" t="e">
        <f>+SUM($C6:C6)/SUM($C$10:C$10)</f>
        <v>#DIV/0!</v>
      </c>
      <c r="D15" s="544">
        <f>+SUM($C6:D6)/SUM($C$10:D$10)</f>
        <v>12.059230769230767</v>
      </c>
      <c r="E15" s="544">
        <f>+SUM($C6:E6)/SUM($C$10:E$10)</f>
        <v>10.006595744680849</v>
      </c>
      <c r="F15" s="544">
        <f>+SUM($C6:F6)/SUM($C$10:F$10)</f>
        <v>2.7255702280912359</v>
      </c>
      <c r="G15" s="544">
        <f>+SUM($C6:G6)/SUM($C$10:G$10)</f>
        <v>1.8810273405136699</v>
      </c>
      <c r="H15" s="544">
        <f>+SUM($C6:H6)/SUM($C$10:H$10)</f>
        <v>1.6344495604855587</v>
      </c>
      <c r="I15" s="544">
        <f>+SUM($C6:I6)/SUM($C$10:I$10)</f>
        <v>5.2823058387395738</v>
      </c>
      <c r="J15" s="544">
        <f>+SUM($C6:J6)/SUM($C$10:J$10)</f>
        <v>3.9533439914734876</v>
      </c>
      <c r="K15" s="544">
        <f>+SUM($C6:K6)/SUM($C$10:K$10)</f>
        <v>4.0418394611902402</v>
      </c>
      <c r="L15" s="544">
        <f>+SUM($C6:L6)/SUM($C$10:L$10)</f>
        <v>3.2035477378139494</v>
      </c>
      <c r="M15" s="544">
        <f>+SUM($C6:M6)/SUM($C$10:M$10)</f>
        <v>5.4855815174586509</v>
      </c>
      <c r="N15" s="544">
        <f>+SUM($C6:N6)/SUM($C$10:N$10)</f>
        <v>5.4855815174586509</v>
      </c>
      <c r="O15" s="544">
        <f>+SUM($C6:O6)/SUM($C$10:O$10)</f>
        <v>5.4855815174586509</v>
      </c>
      <c r="P15" s="544">
        <f>+SUM($C6:P6)/SUM($C$10:P$10)</f>
        <v>5.4855815174586509</v>
      </c>
      <c r="Q15" s="544">
        <f>+SUM($C6:Q6)/SUM($C$10:Q$10)</f>
        <v>5.4855815174586509</v>
      </c>
      <c r="R15" s="544">
        <f>+SUM($C6:R6)/SUM($C$10:R$10)</f>
        <v>5.4855815174586509</v>
      </c>
      <c r="S15" s="544">
        <f>+SUM($C6:S6)/SUM($C$10:S$10)</f>
        <v>5.4855815174586509</v>
      </c>
      <c r="T15" s="544">
        <f>+SUM($C6:T6)/SUM($C$10:T$10)</f>
        <v>5.4855815174586509</v>
      </c>
      <c r="U15" s="544">
        <f>+SUM($C6:U6)/SUM($C$10:U$10)</f>
        <v>5.4855815174586509</v>
      </c>
      <c r="V15" s="544">
        <f>+SUM($C6:V6)/SUM($C$10:V$10)</f>
        <v>5.4855815174586509</v>
      </c>
      <c r="W15" s="544">
        <f>+SUM($C6:W6)/SUM($C$10:W$10)</f>
        <v>5.4855815174586509</v>
      </c>
      <c r="X15" s="544">
        <f>+SUM($C6:X6)/SUM($C$10:X$10)</f>
        <v>5.4855815174586509</v>
      </c>
      <c r="Y15" s="544">
        <f>+SUM($C6:Y6)/SUM($C$10:Y$10)</f>
        <v>5.4855815174586509</v>
      </c>
      <c r="Z15" s="547">
        <f>+SUM($C6:Z6)/SUM($C$10:Z$10)</f>
        <v>5.4855815174586509</v>
      </c>
      <c r="AA15" s="556">
        <f>+SUM($C6:AA6)/SUM($C$10:AA$10)</f>
        <v>5.4855815174586509</v>
      </c>
      <c r="AB15" s="557">
        <v>1</v>
      </c>
    </row>
    <row r="16" spans="1:28" ht="24.95" customHeight="1" x14ac:dyDescent="0.2">
      <c r="A16" s="185">
        <v>6022300</v>
      </c>
      <c r="B16" s="185" t="s">
        <v>70</v>
      </c>
      <c r="C16" s="544" t="e">
        <f>+SUM($C7:C7)/SUM($C$10:C$10)</f>
        <v>#DIV/0!</v>
      </c>
      <c r="D16" s="544">
        <f>+SUM($C7:D7)/SUM($C$10:D$10)</f>
        <v>42.853333333333332</v>
      </c>
      <c r="E16" s="544">
        <f>+SUM($C7:E7)/SUM($C$10:E$10)</f>
        <v>35.55914893617021</v>
      </c>
      <c r="F16" s="544">
        <f>+SUM($C7:F7)/SUM($C$10:F$10)</f>
        <v>17.376278511404561</v>
      </c>
      <c r="G16" s="544">
        <f>+SUM($C7:G7)/SUM($C$10:G$10)</f>
        <v>19.228450704225349</v>
      </c>
      <c r="H16" s="544">
        <f>+SUM($C7:H7)/SUM($C$10:H$10)</f>
        <v>10.444872331519464</v>
      </c>
      <c r="I16" s="544">
        <f>+SUM($C7:I7)/SUM($C$10:I$10)</f>
        <v>6.4520556070435582</v>
      </c>
      <c r="J16" s="544">
        <f>+SUM($C7:J7)/SUM($C$10:J$10)</f>
        <v>6.9881774580335723</v>
      </c>
      <c r="K16" s="544">
        <f>+SUM($C7:K7)/SUM($C$10:K$10)</f>
        <v>6.006545213646902</v>
      </c>
      <c r="L16" s="544">
        <f>+SUM($C7:L7)/SUM($C$10:L$10)</f>
        <v>4.7607666054082429</v>
      </c>
      <c r="M16" s="544">
        <f>+SUM($C7:M7)/SUM($C$10:M$10)</f>
        <v>4.7607666054082429</v>
      </c>
      <c r="N16" s="544">
        <f>+SUM($C7:N7)/SUM($C$10:N$10)</f>
        <v>4.7607666054082429</v>
      </c>
      <c r="O16" s="544">
        <f>+SUM($C7:O7)/SUM($C$10:O$10)</f>
        <v>4.7607666054082429</v>
      </c>
      <c r="P16" s="544">
        <f>+SUM($C7:P7)/SUM($C$10:P$10)</f>
        <v>4.7607666054082429</v>
      </c>
      <c r="Q16" s="544">
        <f>+SUM($C7:Q7)/SUM($C$10:Q$10)</f>
        <v>4.7607666054082429</v>
      </c>
      <c r="R16" s="544">
        <f>+SUM($C7:R7)/SUM($C$10:R$10)</f>
        <v>4.7607666054082429</v>
      </c>
      <c r="S16" s="544">
        <f>+SUM($C7:S7)/SUM($C$10:S$10)</f>
        <v>4.7607666054082429</v>
      </c>
      <c r="T16" s="544">
        <f>+SUM($C7:T7)/SUM($C$10:T$10)</f>
        <v>4.7607666054082429</v>
      </c>
      <c r="U16" s="544">
        <f>+SUM($C7:U7)/SUM($C$10:U$10)</f>
        <v>4.7607666054082429</v>
      </c>
      <c r="V16" s="544">
        <f>+SUM($C7:V7)/SUM($C$10:V$10)</f>
        <v>4.7607666054082429</v>
      </c>
      <c r="W16" s="544">
        <f>+SUM($C7:W7)/SUM($C$10:W$10)</f>
        <v>4.7607666054082429</v>
      </c>
      <c r="X16" s="544">
        <f>+SUM($C7:X7)/SUM($C$10:X$10)</f>
        <v>4.7607666054082429</v>
      </c>
      <c r="Y16" s="544">
        <f>+SUM($C7:Y7)/SUM($C$10:Y$10)</f>
        <v>4.7607666054082429</v>
      </c>
      <c r="Z16" s="547">
        <f>+SUM($C7:Z7)/SUM($C$10:Z$10)</f>
        <v>4.7607666054082429</v>
      </c>
      <c r="AA16" s="556">
        <f>+SUM($C7:AA7)/SUM($C$10:AA$10)</f>
        <v>4.7607666054082429</v>
      </c>
      <c r="AB16" s="555">
        <v>1</v>
      </c>
    </row>
    <row r="17" spans="1:28" ht="24.95" customHeight="1" thickBot="1" x14ac:dyDescent="0.25">
      <c r="A17" s="191">
        <v>6063000</v>
      </c>
      <c r="B17" s="191" t="s">
        <v>71</v>
      </c>
      <c r="C17" s="545" t="e">
        <f>+SUM($C8:C8)/SUM($C$10:C$10)</f>
        <v>#DIV/0!</v>
      </c>
      <c r="D17" s="545">
        <f>+SUM($C8:D8)/SUM($C$10:D$10)</f>
        <v>0</v>
      </c>
      <c r="E17" s="545">
        <f>+SUM($C8:E8)/SUM($C$10:E$10)</f>
        <v>0</v>
      </c>
      <c r="F17" s="545">
        <f>+SUM($C8:F8)/SUM($C$10:F$10)</f>
        <v>0.81848739495798317</v>
      </c>
      <c r="G17" s="545">
        <f>+SUM($C8:G8)/SUM($C$10:G$10)</f>
        <v>0.56487158243579116</v>
      </c>
      <c r="H17" s="545">
        <f>+SUM($C8:H8)/SUM($C$10:H$10)</f>
        <v>0.28539137714524904</v>
      </c>
      <c r="I17" s="545">
        <f>+SUM($C8:I8)/SUM($C$10:I$10)</f>
        <v>0.12637627432808154</v>
      </c>
      <c r="J17" s="545">
        <f>+SUM($C8:J8)/SUM($C$10:J$10)</f>
        <v>0.23338662403410604</v>
      </c>
      <c r="K17" s="545">
        <f>+SUM($C8:K8)/SUM($C$10:K$10)</f>
        <v>0.19341945456552942</v>
      </c>
      <c r="L17" s="545">
        <f>+SUM($C8:L8)/SUM($C$10:L$10)</f>
        <v>0.1533035792421458</v>
      </c>
      <c r="M17" s="545">
        <f>+SUM($C8:M8)/SUM($C$10:M$10)</f>
        <v>0.1533035792421458</v>
      </c>
      <c r="N17" s="545">
        <f>+SUM($C8:N8)/SUM($C$10:N$10)</f>
        <v>0.1533035792421458</v>
      </c>
      <c r="O17" s="545">
        <f>+SUM($C8:O8)/SUM($C$10:O$10)</f>
        <v>0.1533035792421458</v>
      </c>
      <c r="P17" s="545">
        <f>+SUM($C8:P8)/SUM($C$10:P$10)</f>
        <v>0.1533035792421458</v>
      </c>
      <c r="Q17" s="545">
        <f>+SUM($C8:Q8)/SUM($C$10:Q$10)</f>
        <v>0.1533035792421458</v>
      </c>
      <c r="R17" s="545">
        <f>+SUM($C8:R8)/SUM($C$10:R$10)</f>
        <v>0.1533035792421458</v>
      </c>
      <c r="S17" s="545">
        <f>+SUM($C8:S8)/SUM($C$10:S$10)</f>
        <v>0.1533035792421458</v>
      </c>
      <c r="T17" s="545">
        <f>+SUM($C8:T8)/SUM($C$10:T$10)</f>
        <v>0.1533035792421458</v>
      </c>
      <c r="U17" s="545">
        <f>+SUM($C8:U8)/SUM($C$10:U$10)</f>
        <v>0.1533035792421458</v>
      </c>
      <c r="V17" s="545">
        <f>+SUM($C8:V8)/SUM($C$10:V$10)</f>
        <v>0.1533035792421458</v>
      </c>
      <c r="W17" s="545">
        <f>+SUM($C8:W8)/SUM($C$10:W$10)</f>
        <v>0.1533035792421458</v>
      </c>
      <c r="X17" s="545">
        <f>+SUM($C8:X8)/SUM($C$10:X$10)</f>
        <v>0.1533035792421458</v>
      </c>
      <c r="Y17" s="545">
        <f>+SUM($C8:Y8)/SUM($C$10:Y$10)</f>
        <v>0.1533035792421458</v>
      </c>
      <c r="Z17" s="548">
        <f>+SUM($C8:Z8)/SUM($C$10:Z$10)</f>
        <v>0.1533035792421458</v>
      </c>
      <c r="AA17" s="554">
        <f>+SUM($C8:AA8)/SUM($C$10:AA$10)</f>
        <v>0.1533035792421458</v>
      </c>
      <c r="AB17" s="555">
        <v>0.5</v>
      </c>
    </row>
    <row r="18" spans="1:28" ht="15.75" thickBot="1" x14ac:dyDescent="0.25">
      <c r="B18" s="466" t="s">
        <v>16</v>
      </c>
      <c r="C18" s="549" t="e">
        <f t="shared" ref="C18:Z18" si="0">SUM(C13:C17)</f>
        <v>#DIV/0!</v>
      </c>
      <c r="D18" s="549">
        <f t="shared" si="0"/>
        <v>130.33192307692306</v>
      </c>
      <c r="E18" s="549">
        <f t="shared" si="0"/>
        <v>126.35542553191488</v>
      </c>
      <c r="F18" s="549">
        <f t="shared" si="0"/>
        <v>46.809339735894355</v>
      </c>
      <c r="G18" s="549">
        <f t="shared" si="0"/>
        <v>39.541408450704218</v>
      </c>
      <c r="H18" s="549">
        <f t="shared" si="0"/>
        <v>22.113311008790287</v>
      </c>
      <c r="I18" s="549">
        <f t="shared" si="0"/>
        <v>17.053353104726597</v>
      </c>
      <c r="J18" s="549">
        <f t="shared" si="0"/>
        <v>15.194737543298693</v>
      </c>
      <c r="K18" s="549">
        <f t="shared" si="0"/>
        <v>14.299202826543006</v>
      </c>
      <c r="L18" s="549">
        <f t="shared" si="0"/>
        <v>11.333497855955192</v>
      </c>
      <c r="M18" s="549">
        <f t="shared" si="0"/>
        <v>13.615531635599893</v>
      </c>
      <c r="N18" s="549">
        <f t="shared" si="0"/>
        <v>13.615531635599893</v>
      </c>
      <c r="O18" s="549">
        <f t="shared" si="0"/>
        <v>13.615531635599893</v>
      </c>
      <c r="P18" s="549">
        <f t="shared" si="0"/>
        <v>13.615531635599893</v>
      </c>
      <c r="Q18" s="549">
        <f t="shared" si="0"/>
        <v>13.615531635599893</v>
      </c>
      <c r="R18" s="549">
        <f t="shared" si="0"/>
        <v>13.615531635599893</v>
      </c>
      <c r="S18" s="549">
        <f t="shared" si="0"/>
        <v>13.615531635599893</v>
      </c>
      <c r="T18" s="549">
        <f t="shared" si="0"/>
        <v>13.615531635599893</v>
      </c>
      <c r="U18" s="549">
        <f t="shared" si="0"/>
        <v>13.615531635599893</v>
      </c>
      <c r="V18" s="549">
        <f t="shared" si="0"/>
        <v>13.615531635599893</v>
      </c>
      <c r="W18" s="549">
        <f t="shared" si="0"/>
        <v>13.615531635599893</v>
      </c>
      <c r="X18" s="549">
        <f t="shared" si="0"/>
        <v>13.615531635599893</v>
      </c>
      <c r="Y18" s="549">
        <f t="shared" si="0"/>
        <v>13.615531635599893</v>
      </c>
      <c r="Z18" s="550">
        <f t="shared" si="0"/>
        <v>13.615531635599893</v>
      </c>
      <c r="AA18" s="558">
        <f>SUM(AA13:AA17)</f>
        <v>13.615531635599893</v>
      </c>
      <c r="AB18" s="559">
        <f>SUM(AB13:AB17)</f>
        <v>4.5</v>
      </c>
    </row>
    <row r="20" spans="1:28" x14ac:dyDescent="0.2">
      <c r="F20" s="462"/>
    </row>
    <row r="21" spans="1:28" x14ac:dyDescent="0.2">
      <c r="F21" s="462"/>
    </row>
    <row r="22" spans="1:28" x14ac:dyDescent="0.2">
      <c r="F22" s="462"/>
    </row>
    <row r="23" spans="1:28" x14ac:dyDescent="0.2">
      <c r="F23" s="462"/>
    </row>
    <row r="24" spans="1:28" x14ac:dyDescent="0.2">
      <c r="F24" s="462"/>
    </row>
    <row r="25" spans="1:28" x14ac:dyDescent="0.2">
      <c r="F25" s="462"/>
    </row>
    <row r="26" spans="1:28" x14ac:dyDescent="0.2">
      <c r="F26" s="462"/>
    </row>
    <row r="27" spans="1:28" x14ac:dyDescent="0.2">
      <c r="F27" s="462"/>
    </row>
    <row r="28" spans="1:28" x14ac:dyDescent="0.2">
      <c r="F28" s="462"/>
    </row>
    <row r="29" spans="1:28" x14ac:dyDescent="0.2">
      <c r="F29" s="462"/>
    </row>
    <row r="30" spans="1:28" x14ac:dyDescent="0.2">
      <c r="F30" s="462"/>
    </row>
    <row r="31" spans="1:28" x14ac:dyDescent="0.2">
      <c r="F31" s="462"/>
    </row>
    <row r="32" spans="1:28" x14ac:dyDescent="0.2">
      <c r="F32" s="462"/>
    </row>
    <row r="33" spans="2:26" x14ac:dyDescent="0.2">
      <c r="F33" s="462"/>
    </row>
    <row r="34" spans="2:26" x14ac:dyDescent="0.2">
      <c r="F34" s="462"/>
    </row>
    <row r="35" spans="2:26" x14ac:dyDescent="0.2">
      <c r="F35" s="462"/>
    </row>
    <row r="36" spans="2:26" x14ac:dyDescent="0.2">
      <c r="F36" s="462"/>
    </row>
    <row r="37" spans="2:26" x14ac:dyDescent="0.2">
      <c r="F37" s="462"/>
    </row>
    <row r="38" spans="2:26" x14ac:dyDescent="0.2">
      <c r="F38" s="462"/>
    </row>
    <row r="39" spans="2:26" x14ac:dyDescent="0.2">
      <c r="F39" s="462"/>
    </row>
    <row r="40" spans="2:26" x14ac:dyDescent="0.2">
      <c r="F40" s="462"/>
    </row>
    <row r="41" spans="2:26" x14ac:dyDescent="0.2">
      <c r="B41" s="606" t="s">
        <v>650</v>
      </c>
      <c r="C41" s="607">
        <f>+$AB$18</f>
        <v>4.5</v>
      </c>
      <c r="D41" s="607">
        <f t="shared" ref="D41:Z41" si="1">+$AB$18</f>
        <v>4.5</v>
      </c>
      <c r="E41" s="607">
        <f t="shared" si="1"/>
        <v>4.5</v>
      </c>
      <c r="F41" s="607">
        <f t="shared" si="1"/>
        <v>4.5</v>
      </c>
      <c r="G41" s="607">
        <f t="shared" si="1"/>
        <v>4.5</v>
      </c>
      <c r="H41" s="607">
        <f t="shared" si="1"/>
        <v>4.5</v>
      </c>
      <c r="I41" s="607">
        <f t="shared" si="1"/>
        <v>4.5</v>
      </c>
      <c r="J41" s="607">
        <f t="shared" si="1"/>
        <v>4.5</v>
      </c>
      <c r="K41" s="607">
        <f t="shared" si="1"/>
        <v>4.5</v>
      </c>
      <c r="L41" s="607">
        <f t="shared" si="1"/>
        <v>4.5</v>
      </c>
      <c r="M41" s="607">
        <f t="shared" si="1"/>
        <v>4.5</v>
      </c>
      <c r="N41" s="607">
        <f t="shared" si="1"/>
        <v>4.5</v>
      </c>
      <c r="O41" s="607">
        <f t="shared" si="1"/>
        <v>4.5</v>
      </c>
      <c r="P41" s="607">
        <f t="shared" si="1"/>
        <v>4.5</v>
      </c>
      <c r="Q41" s="607">
        <f t="shared" si="1"/>
        <v>4.5</v>
      </c>
      <c r="R41" s="607">
        <f t="shared" si="1"/>
        <v>4.5</v>
      </c>
      <c r="S41" s="607">
        <f t="shared" si="1"/>
        <v>4.5</v>
      </c>
      <c r="T41" s="607">
        <f t="shared" si="1"/>
        <v>4.5</v>
      </c>
      <c r="U41" s="607">
        <f t="shared" si="1"/>
        <v>4.5</v>
      </c>
      <c r="V41" s="607">
        <f t="shared" si="1"/>
        <v>4.5</v>
      </c>
      <c r="W41" s="607">
        <f t="shared" si="1"/>
        <v>4.5</v>
      </c>
      <c r="X41" s="607">
        <f t="shared" si="1"/>
        <v>4.5</v>
      </c>
      <c r="Y41" s="607">
        <f t="shared" si="1"/>
        <v>4.5</v>
      </c>
      <c r="Z41" s="607">
        <f t="shared" si="1"/>
        <v>4.5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AA1"/>
  </mergeCells>
  <printOptions horizontalCentered="1" verticalCentered="1"/>
  <pageMargins left="0" right="0" top="0.39370078740157483" bottom="0.39370078740157483" header="0" footer="0"/>
  <pageSetup paperSize="8" scale="72" orientation="landscape" r:id="rId1"/>
  <headerFooter alignWithMargins="0">
    <oddHeader>&amp;R&amp;T;&amp;D</oddHeader>
    <oddFooter>&amp;L&amp;Z&amp;F&amp;R&amp;P/&amp;N</oddFooter>
  </headerFooter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82949-FBB4-47E1-863F-EC2B841B2B3F}">
  <sheetPr codeName="Feuil8">
    <tabColor theme="7"/>
    <pageSetUpPr fitToPage="1"/>
  </sheetPr>
  <dimension ref="A1:AS32"/>
  <sheetViews>
    <sheetView zoomScale="85" zoomScaleNormal="85" zoomScaleSheetLayoutView="70" workbookViewId="0">
      <pane xSplit="4" ySplit="3" topLeftCell="E9" activePane="bottomRight" state="frozen"/>
      <selection pane="topRight" activeCell="E1" sqref="E1"/>
      <selection pane="bottomLeft" activeCell="A4" sqref="A4"/>
      <selection pane="bottomRight" activeCell="AN26" sqref="AN26"/>
    </sheetView>
  </sheetViews>
  <sheetFormatPr baseColWidth="10" defaultRowHeight="25.15" customHeight="1" x14ac:dyDescent="0.2"/>
  <cols>
    <col min="1" max="1" width="15.7109375" style="8" customWidth="1"/>
    <col min="2" max="2" width="20.28515625" style="8" customWidth="1"/>
    <col min="3" max="3" width="55.28515625" style="8" bestFit="1" customWidth="1"/>
    <col min="4" max="4" width="14.85546875" style="8" bestFit="1" customWidth="1"/>
    <col min="5" max="5" width="10.85546875" style="8" customWidth="1"/>
    <col min="6" max="6" width="10.28515625" style="8" customWidth="1"/>
    <col min="7" max="7" width="10.42578125" style="8" customWidth="1"/>
    <col min="8" max="8" width="9.42578125" style="8" bestFit="1" customWidth="1"/>
    <col min="9" max="9" width="10.28515625" style="8" customWidth="1"/>
    <col min="10" max="10" width="9.28515625" style="8" bestFit="1" customWidth="1"/>
    <col min="11" max="29" width="10.7109375" style="8" customWidth="1"/>
    <col min="30" max="35" width="8.7109375" style="8" customWidth="1"/>
    <col min="36" max="37" width="11" style="8" customWidth="1"/>
    <col min="38" max="41" width="8.7109375" style="8" customWidth="1"/>
    <col min="42" max="42" width="11" style="8" customWidth="1"/>
    <col min="43" max="43" width="16.7109375" style="8" bestFit="1" customWidth="1"/>
    <col min="44" max="44" width="18.28515625" style="8" bestFit="1" customWidth="1"/>
    <col min="45" max="45" width="15.5703125" style="8" bestFit="1" customWidth="1"/>
    <col min="46" max="46" width="12" style="8" bestFit="1" customWidth="1"/>
    <col min="47" max="163" width="11.5703125" style="8"/>
    <col min="164" max="164" width="17.42578125" style="8" customWidth="1"/>
    <col min="165" max="165" width="22.5703125" style="8" customWidth="1"/>
    <col min="166" max="166" width="21.42578125" style="8" customWidth="1"/>
    <col min="167" max="167" width="26.7109375" style="8" customWidth="1"/>
    <col min="168" max="168" width="17" style="8" customWidth="1"/>
    <col min="169" max="192" width="2.42578125" style="8" customWidth="1"/>
    <col min="193" max="193" width="3" style="8" customWidth="1"/>
    <col min="194" max="202" width="2.42578125" style="8" customWidth="1"/>
    <col min="203" max="203" width="3.42578125" style="8" customWidth="1"/>
    <col min="204" max="223" width="2.42578125" style="8" customWidth="1"/>
    <col min="224" max="224" width="2.85546875" style="8" customWidth="1"/>
    <col min="225" max="273" width="2.42578125" style="8" customWidth="1"/>
    <col min="274" max="298" width="11.5703125" style="8" customWidth="1"/>
    <col min="299" max="300" width="25.7109375" style="8" customWidth="1"/>
    <col min="301" max="301" width="15.140625" style="8" customWidth="1"/>
    <col min="302" max="302" width="12" style="8" bestFit="1" customWidth="1"/>
    <col min="303" max="419" width="11.5703125" style="8"/>
    <col min="420" max="420" width="17.42578125" style="8" customWidth="1"/>
    <col min="421" max="421" width="22.5703125" style="8" customWidth="1"/>
    <col min="422" max="422" width="21.42578125" style="8" customWidth="1"/>
    <col min="423" max="423" width="26.7109375" style="8" customWidth="1"/>
    <col min="424" max="424" width="17" style="8" customWidth="1"/>
    <col min="425" max="448" width="2.42578125" style="8" customWidth="1"/>
    <col min="449" max="449" width="3" style="8" customWidth="1"/>
    <col min="450" max="458" width="2.42578125" style="8" customWidth="1"/>
    <col min="459" max="459" width="3.42578125" style="8" customWidth="1"/>
    <col min="460" max="479" width="2.42578125" style="8" customWidth="1"/>
    <col min="480" max="480" width="2.85546875" style="8" customWidth="1"/>
    <col min="481" max="529" width="2.42578125" style="8" customWidth="1"/>
    <col min="530" max="554" width="11.5703125" style="8" customWidth="1"/>
    <col min="555" max="556" width="25.7109375" style="8" customWidth="1"/>
    <col min="557" max="557" width="15.140625" style="8" customWidth="1"/>
    <col min="558" max="558" width="12" style="8" bestFit="1" customWidth="1"/>
    <col min="559" max="675" width="11.5703125" style="8"/>
    <col min="676" max="676" width="17.42578125" style="8" customWidth="1"/>
    <col min="677" max="677" width="22.5703125" style="8" customWidth="1"/>
    <col min="678" max="678" width="21.42578125" style="8" customWidth="1"/>
    <col min="679" max="679" width="26.7109375" style="8" customWidth="1"/>
    <col min="680" max="680" width="17" style="8" customWidth="1"/>
    <col min="681" max="704" width="2.42578125" style="8" customWidth="1"/>
    <col min="705" max="705" width="3" style="8" customWidth="1"/>
    <col min="706" max="714" width="2.42578125" style="8" customWidth="1"/>
    <col min="715" max="715" width="3.42578125" style="8" customWidth="1"/>
    <col min="716" max="735" width="2.42578125" style="8" customWidth="1"/>
    <col min="736" max="736" width="2.85546875" style="8" customWidth="1"/>
    <col min="737" max="785" width="2.42578125" style="8" customWidth="1"/>
    <col min="786" max="810" width="11.5703125" style="8" customWidth="1"/>
    <col min="811" max="812" width="25.7109375" style="8" customWidth="1"/>
    <col min="813" max="813" width="15.140625" style="8" customWidth="1"/>
    <col min="814" max="814" width="12" style="8" bestFit="1" customWidth="1"/>
    <col min="815" max="931" width="11.5703125" style="8"/>
    <col min="932" max="932" width="17.42578125" style="8" customWidth="1"/>
    <col min="933" max="933" width="22.5703125" style="8" customWidth="1"/>
    <col min="934" max="934" width="21.42578125" style="8" customWidth="1"/>
    <col min="935" max="935" width="26.7109375" style="8" customWidth="1"/>
    <col min="936" max="936" width="17" style="8" customWidth="1"/>
    <col min="937" max="960" width="2.42578125" style="8" customWidth="1"/>
    <col min="961" max="961" width="3" style="8" customWidth="1"/>
    <col min="962" max="970" width="2.42578125" style="8" customWidth="1"/>
    <col min="971" max="971" width="3.42578125" style="8" customWidth="1"/>
    <col min="972" max="991" width="2.42578125" style="8" customWidth="1"/>
    <col min="992" max="992" width="2.85546875" style="8" customWidth="1"/>
    <col min="993" max="1041" width="2.42578125" style="8" customWidth="1"/>
    <col min="1042" max="1066" width="11.5703125" style="8" customWidth="1"/>
    <col min="1067" max="1068" width="25.7109375" style="8" customWidth="1"/>
    <col min="1069" max="1069" width="15.140625" style="8" customWidth="1"/>
    <col min="1070" max="1070" width="12" style="8" bestFit="1" customWidth="1"/>
    <col min="1071" max="1187" width="11.5703125" style="8"/>
    <col min="1188" max="1188" width="17.42578125" style="8" customWidth="1"/>
    <col min="1189" max="1189" width="22.5703125" style="8" customWidth="1"/>
    <col min="1190" max="1190" width="21.42578125" style="8" customWidth="1"/>
    <col min="1191" max="1191" width="26.7109375" style="8" customWidth="1"/>
    <col min="1192" max="1192" width="17" style="8" customWidth="1"/>
    <col min="1193" max="1216" width="2.42578125" style="8" customWidth="1"/>
    <col min="1217" max="1217" width="3" style="8" customWidth="1"/>
    <col min="1218" max="1226" width="2.42578125" style="8" customWidth="1"/>
    <col min="1227" max="1227" width="3.42578125" style="8" customWidth="1"/>
    <col min="1228" max="1247" width="2.42578125" style="8" customWidth="1"/>
    <col min="1248" max="1248" width="2.85546875" style="8" customWidth="1"/>
    <col min="1249" max="1297" width="2.42578125" style="8" customWidth="1"/>
    <col min="1298" max="1322" width="11.5703125" style="8" customWidth="1"/>
    <col min="1323" max="1324" width="25.7109375" style="8" customWidth="1"/>
    <col min="1325" max="1325" width="15.140625" style="8" customWidth="1"/>
    <col min="1326" max="1326" width="12" style="8" bestFit="1" customWidth="1"/>
    <col min="1327" max="1443" width="11.5703125" style="8"/>
    <col min="1444" max="1444" width="17.42578125" style="8" customWidth="1"/>
    <col min="1445" max="1445" width="22.5703125" style="8" customWidth="1"/>
    <col min="1446" max="1446" width="21.42578125" style="8" customWidth="1"/>
    <col min="1447" max="1447" width="26.7109375" style="8" customWidth="1"/>
    <col min="1448" max="1448" width="17" style="8" customWidth="1"/>
    <col min="1449" max="1472" width="2.42578125" style="8" customWidth="1"/>
    <col min="1473" max="1473" width="3" style="8" customWidth="1"/>
    <col min="1474" max="1482" width="2.42578125" style="8" customWidth="1"/>
    <col min="1483" max="1483" width="3.42578125" style="8" customWidth="1"/>
    <col min="1484" max="1503" width="2.42578125" style="8" customWidth="1"/>
    <col min="1504" max="1504" width="2.85546875" style="8" customWidth="1"/>
    <col min="1505" max="1553" width="2.42578125" style="8" customWidth="1"/>
    <col min="1554" max="1578" width="11.5703125" style="8" customWidth="1"/>
    <col min="1579" max="1580" width="25.7109375" style="8" customWidth="1"/>
    <col min="1581" max="1581" width="15.140625" style="8" customWidth="1"/>
    <col min="1582" max="1582" width="12" style="8" bestFit="1" customWidth="1"/>
    <col min="1583" max="1699" width="11.5703125" style="8"/>
    <col min="1700" max="1700" width="17.42578125" style="8" customWidth="1"/>
    <col min="1701" max="1701" width="22.5703125" style="8" customWidth="1"/>
    <col min="1702" max="1702" width="21.42578125" style="8" customWidth="1"/>
    <col min="1703" max="1703" width="26.7109375" style="8" customWidth="1"/>
    <col min="1704" max="1704" width="17" style="8" customWidth="1"/>
    <col min="1705" max="1728" width="2.42578125" style="8" customWidth="1"/>
    <col min="1729" max="1729" width="3" style="8" customWidth="1"/>
    <col min="1730" max="1738" width="2.42578125" style="8" customWidth="1"/>
    <col min="1739" max="1739" width="3.42578125" style="8" customWidth="1"/>
    <col min="1740" max="1759" width="2.42578125" style="8" customWidth="1"/>
    <col min="1760" max="1760" width="2.85546875" style="8" customWidth="1"/>
    <col min="1761" max="1809" width="2.42578125" style="8" customWidth="1"/>
    <col min="1810" max="1834" width="11.5703125" style="8" customWidth="1"/>
    <col min="1835" max="1836" width="25.7109375" style="8" customWidth="1"/>
    <col min="1837" max="1837" width="15.140625" style="8" customWidth="1"/>
    <col min="1838" max="1838" width="12" style="8" bestFit="1" customWidth="1"/>
    <col min="1839" max="1955" width="11.5703125" style="8"/>
    <col min="1956" max="1956" width="17.42578125" style="8" customWidth="1"/>
    <col min="1957" max="1957" width="22.5703125" style="8" customWidth="1"/>
    <col min="1958" max="1958" width="21.42578125" style="8" customWidth="1"/>
    <col min="1959" max="1959" width="26.7109375" style="8" customWidth="1"/>
    <col min="1960" max="1960" width="17" style="8" customWidth="1"/>
    <col min="1961" max="1984" width="2.42578125" style="8" customWidth="1"/>
    <col min="1985" max="1985" width="3" style="8" customWidth="1"/>
    <col min="1986" max="1994" width="2.42578125" style="8" customWidth="1"/>
    <col min="1995" max="1995" width="3.42578125" style="8" customWidth="1"/>
    <col min="1996" max="2015" width="2.42578125" style="8" customWidth="1"/>
    <col min="2016" max="2016" width="2.85546875" style="8" customWidth="1"/>
    <col min="2017" max="2065" width="2.42578125" style="8" customWidth="1"/>
    <col min="2066" max="2090" width="11.5703125" style="8" customWidth="1"/>
    <col min="2091" max="2092" width="25.7109375" style="8" customWidth="1"/>
    <col min="2093" max="2093" width="15.140625" style="8" customWidth="1"/>
    <col min="2094" max="2094" width="12" style="8" bestFit="1" customWidth="1"/>
    <col min="2095" max="2211" width="11.5703125" style="8"/>
    <col min="2212" max="2212" width="17.42578125" style="8" customWidth="1"/>
    <col min="2213" max="2213" width="22.5703125" style="8" customWidth="1"/>
    <col min="2214" max="2214" width="21.42578125" style="8" customWidth="1"/>
    <col min="2215" max="2215" width="26.7109375" style="8" customWidth="1"/>
    <col min="2216" max="2216" width="17" style="8" customWidth="1"/>
    <col min="2217" max="2240" width="2.42578125" style="8" customWidth="1"/>
    <col min="2241" max="2241" width="3" style="8" customWidth="1"/>
    <col min="2242" max="2250" width="2.42578125" style="8" customWidth="1"/>
    <col min="2251" max="2251" width="3.42578125" style="8" customWidth="1"/>
    <col min="2252" max="2271" width="2.42578125" style="8" customWidth="1"/>
    <col min="2272" max="2272" width="2.85546875" style="8" customWidth="1"/>
    <col min="2273" max="2321" width="2.42578125" style="8" customWidth="1"/>
    <col min="2322" max="2346" width="11.5703125" style="8" customWidth="1"/>
    <col min="2347" max="2348" width="25.7109375" style="8" customWidth="1"/>
    <col min="2349" max="2349" width="15.140625" style="8" customWidth="1"/>
    <col min="2350" max="2350" width="12" style="8" bestFit="1" customWidth="1"/>
    <col min="2351" max="2467" width="11.5703125" style="8"/>
    <col min="2468" max="2468" width="17.42578125" style="8" customWidth="1"/>
    <col min="2469" max="2469" width="22.5703125" style="8" customWidth="1"/>
    <col min="2470" max="2470" width="21.42578125" style="8" customWidth="1"/>
    <col min="2471" max="2471" width="26.7109375" style="8" customWidth="1"/>
    <col min="2472" max="2472" width="17" style="8" customWidth="1"/>
    <col min="2473" max="2496" width="2.42578125" style="8" customWidth="1"/>
    <col min="2497" max="2497" width="3" style="8" customWidth="1"/>
    <col min="2498" max="2506" width="2.42578125" style="8" customWidth="1"/>
    <col min="2507" max="2507" width="3.42578125" style="8" customWidth="1"/>
    <col min="2508" max="2527" width="2.42578125" style="8" customWidth="1"/>
    <col min="2528" max="2528" width="2.85546875" style="8" customWidth="1"/>
    <col min="2529" max="2577" width="2.42578125" style="8" customWidth="1"/>
    <col min="2578" max="2602" width="11.5703125" style="8" customWidth="1"/>
    <col min="2603" max="2604" width="25.7109375" style="8" customWidth="1"/>
    <col min="2605" max="2605" width="15.140625" style="8" customWidth="1"/>
    <col min="2606" max="2606" width="12" style="8" bestFit="1" customWidth="1"/>
    <col min="2607" max="2723" width="11.5703125" style="8"/>
    <col min="2724" max="2724" width="17.42578125" style="8" customWidth="1"/>
    <col min="2725" max="2725" width="22.5703125" style="8" customWidth="1"/>
    <col min="2726" max="2726" width="21.42578125" style="8" customWidth="1"/>
    <col min="2727" max="2727" width="26.7109375" style="8" customWidth="1"/>
    <col min="2728" max="2728" width="17" style="8" customWidth="1"/>
    <col min="2729" max="2752" width="2.42578125" style="8" customWidth="1"/>
    <col min="2753" max="2753" width="3" style="8" customWidth="1"/>
    <col min="2754" max="2762" width="2.42578125" style="8" customWidth="1"/>
    <col min="2763" max="2763" width="3.42578125" style="8" customWidth="1"/>
    <col min="2764" max="2783" width="2.42578125" style="8" customWidth="1"/>
    <col min="2784" max="2784" width="2.85546875" style="8" customWidth="1"/>
    <col min="2785" max="2833" width="2.42578125" style="8" customWidth="1"/>
    <col min="2834" max="2858" width="11.5703125" style="8" customWidth="1"/>
    <col min="2859" max="2860" width="25.7109375" style="8" customWidth="1"/>
    <col min="2861" max="2861" width="15.140625" style="8" customWidth="1"/>
    <col min="2862" max="2862" width="12" style="8" bestFit="1" customWidth="1"/>
    <col min="2863" max="2979" width="11.5703125" style="8"/>
    <col min="2980" max="2980" width="17.42578125" style="8" customWidth="1"/>
    <col min="2981" max="2981" width="22.5703125" style="8" customWidth="1"/>
    <col min="2982" max="2982" width="21.42578125" style="8" customWidth="1"/>
    <col min="2983" max="2983" width="26.7109375" style="8" customWidth="1"/>
    <col min="2984" max="2984" width="17" style="8" customWidth="1"/>
    <col min="2985" max="3008" width="2.42578125" style="8" customWidth="1"/>
    <col min="3009" max="3009" width="3" style="8" customWidth="1"/>
    <col min="3010" max="3018" width="2.42578125" style="8" customWidth="1"/>
    <col min="3019" max="3019" width="3.42578125" style="8" customWidth="1"/>
    <col min="3020" max="3039" width="2.42578125" style="8" customWidth="1"/>
    <col min="3040" max="3040" width="2.85546875" style="8" customWidth="1"/>
    <col min="3041" max="3089" width="2.42578125" style="8" customWidth="1"/>
    <col min="3090" max="3114" width="11.5703125" style="8" customWidth="1"/>
    <col min="3115" max="3116" width="25.7109375" style="8" customWidth="1"/>
    <col min="3117" max="3117" width="15.140625" style="8" customWidth="1"/>
    <col min="3118" max="3118" width="12" style="8" bestFit="1" customWidth="1"/>
    <col min="3119" max="3235" width="11.5703125" style="8"/>
    <col min="3236" max="3236" width="17.42578125" style="8" customWidth="1"/>
    <col min="3237" max="3237" width="22.5703125" style="8" customWidth="1"/>
    <col min="3238" max="3238" width="21.42578125" style="8" customWidth="1"/>
    <col min="3239" max="3239" width="26.7109375" style="8" customWidth="1"/>
    <col min="3240" max="3240" width="17" style="8" customWidth="1"/>
    <col min="3241" max="3264" width="2.42578125" style="8" customWidth="1"/>
    <col min="3265" max="3265" width="3" style="8" customWidth="1"/>
    <col min="3266" max="3274" width="2.42578125" style="8" customWidth="1"/>
    <col min="3275" max="3275" width="3.42578125" style="8" customWidth="1"/>
    <col min="3276" max="3295" width="2.42578125" style="8" customWidth="1"/>
    <col min="3296" max="3296" width="2.85546875" style="8" customWidth="1"/>
    <col min="3297" max="3345" width="2.42578125" style="8" customWidth="1"/>
    <col min="3346" max="3370" width="11.5703125" style="8" customWidth="1"/>
    <col min="3371" max="3372" width="25.7109375" style="8" customWidth="1"/>
    <col min="3373" max="3373" width="15.140625" style="8" customWidth="1"/>
    <col min="3374" max="3374" width="12" style="8" bestFit="1" customWidth="1"/>
    <col min="3375" max="3491" width="11.5703125" style="8"/>
    <col min="3492" max="3492" width="17.42578125" style="8" customWidth="1"/>
    <col min="3493" max="3493" width="22.5703125" style="8" customWidth="1"/>
    <col min="3494" max="3494" width="21.42578125" style="8" customWidth="1"/>
    <col min="3495" max="3495" width="26.7109375" style="8" customWidth="1"/>
    <col min="3496" max="3496" width="17" style="8" customWidth="1"/>
    <col min="3497" max="3520" width="2.42578125" style="8" customWidth="1"/>
    <col min="3521" max="3521" width="3" style="8" customWidth="1"/>
    <col min="3522" max="3530" width="2.42578125" style="8" customWidth="1"/>
    <col min="3531" max="3531" width="3.42578125" style="8" customWidth="1"/>
    <col min="3532" max="3551" width="2.42578125" style="8" customWidth="1"/>
    <col min="3552" max="3552" width="2.85546875" style="8" customWidth="1"/>
    <col min="3553" max="3601" width="2.42578125" style="8" customWidth="1"/>
    <col min="3602" max="3626" width="11.5703125" style="8" customWidth="1"/>
    <col min="3627" max="3628" width="25.7109375" style="8" customWidth="1"/>
    <col min="3629" max="3629" width="15.140625" style="8" customWidth="1"/>
    <col min="3630" max="3630" width="12" style="8" bestFit="1" customWidth="1"/>
    <col min="3631" max="3747" width="11.5703125" style="8"/>
    <col min="3748" max="3748" width="17.42578125" style="8" customWidth="1"/>
    <col min="3749" max="3749" width="22.5703125" style="8" customWidth="1"/>
    <col min="3750" max="3750" width="21.42578125" style="8" customWidth="1"/>
    <col min="3751" max="3751" width="26.7109375" style="8" customWidth="1"/>
    <col min="3752" max="3752" width="17" style="8" customWidth="1"/>
    <col min="3753" max="3776" width="2.42578125" style="8" customWidth="1"/>
    <col min="3777" max="3777" width="3" style="8" customWidth="1"/>
    <col min="3778" max="3786" width="2.42578125" style="8" customWidth="1"/>
    <col min="3787" max="3787" width="3.42578125" style="8" customWidth="1"/>
    <col min="3788" max="3807" width="2.42578125" style="8" customWidth="1"/>
    <col min="3808" max="3808" width="2.85546875" style="8" customWidth="1"/>
    <col min="3809" max="3857" width="2.42578125" style="8" customWidth="1"/>
    <col min="3858" max="3882" width="11.5703125" style="8" customWidth="1"/>
    <col min="3883" max="3884" width="25.7109375" style="8" customWidth="1"/>
    <col min="3885" max="3885" width="15.140625" style="8" customWidth="1"/>
    <col min="3886" max="3886" width="12" style="8" bestFit="1" customWidth="1"/>
    <col min="3887" max="4003" width="11.5703125" style="8"/>
    <col min="4004" max="4004" width="17.42578125" style="8" customWidth="1"/>
    <col min="4005" max="4005" width="22.5703125" style="8" customWidth="1"/>
    <col min="4006" max="4006" width="21.42578125" style="8" customWidth="1"/>
    <col min="4007" max="4007" width="26.7109375" style="8" customWidth="1"/>
    <col min="4008" max="4008" width="17" style="8" customWidth="1"/>
    <col min="4009" max="4032" width="2.42578125" style="8" customWidth="1"/>
    <col min="4033" max="4033" width="3" style="8" customWidth="1"/>
    <col min="4034" max="4042" width="2.42578125" style="8" customWidth="1"/>
    <col min="4043" max="4043" width="3.42578125" style="8" customWidth="1"/>
    <col min="4044" max="4063" width="2.42578125" style="8" customWidth="1"/>
    <col min="4064" max="4064" width="2.85546875" style="8" customWidth="1"/>
    <col min="4065" max="4113" width="2.42578125" style="8" customWidth="1"/>
    <col min="4114" max="4138" width="11.5703125" style="8" customWidth="1"/>
    <col min="4139" max="4140" width="25.7109375" style="8" customWidth="1"/>
    <col min="4141" max="4141" width="15.140625" style="8" customWidth="1"/>
    <col min="4142" max="4142" width="12" style="8" bestFit="1" customWidth="1"/>
    <col min="4143" max="4259" width="11.5703125" style="8"/>
    <col min="4260" max="4260" width="17.42578125" style="8" customWidth="1"/>
    <col min="4261" max="4261" width="22.5703125" style="8" customWidth="1"/>
    <col min="4262" max="4262" width="21.42578125" style="8" customWidth="1"/>
    <col min="4263" max="4263" width="26.7109375" style="8" customWidth="1"/>
    <col min="4264" max="4264" width="17" style="8" customWidth="1"/>
    <col min="4265" max="4288" width="2.42578125" style="8" customWidth="1"/>
    <col min="4289" max="4289" width="3" style="8" customWidth="1"/>
    <col min="4290" max="4298" width="2.42578125" style="8" customWidth="1"/>
    <col min="4299" max="4299" width="3.42578125" style="8" customWidth="1"/>
    <col min="4300" max="4319" width="2.42578125" style="8" customWidth="1"/>
    <col min="4320" max="4320" width="2.85546875" style="8" customWidth="1"/>
    <col min="4321" max="4369" width="2.42578125" style="8" customWidth="1"/>
    <col min="4370" max="4394" width="11.5703125" style="8" customWidth="1"/>
    <col min="4395" max="4396" width="25.7109375" style="8" customWidth="1"/>
    <col min="4397" max="4397" width="15.140625" style="8" customWidth="1"/>
    <col min="4398" max="4398" width="12" style="8" bestFit="1" customWidth="1"/>
    <col min="4399" max="4515" width="11.5703125" style="8"/>
    <col min="4516" max="4516" width="17.42578125" style="8" customWidth="1"/>
    <col min="4517" max="4517" width="22.5703125" style="8" customWidth="1"/>
    <col min="4518" max="4518" width="21.42578125" style="8" customWidth="1"/>
    <col min="4519" max="4519" width="26.7109375" style="8" customWidth="1"/>
    <col min="4520" max="4520" width="17" style="8" customWidth="1"/>
    <col min="4521" max="4544" width="2.42578125" style="8" customWidth="1"/>
    <col min="4545" max="4545" width="3" style="8" customWidth="1"/>
    <col min="4546" max="4554" width="2.42578125" style="8" customWidth="1"/>
    <col min="4555" max="4555" width="3.42578125" style="8" customWidth="1"/>
    <col min="4556" max="4575" width="2.42578125" style="8" customWidth="1"/>
    <col min="4576" max="4576" width="2.85546875" style="8" customWidth="1"/>
    <col min="4577" max="4625" width="2.42578125" style="8" customWidth="1"/>
    <col min="4626" max="4650" width="11.5703125" style="8" customWidth="1"/>
    <col min="4651" max="4652" width="25.7109375" style="8" customWidth="1"/>
    <col min="4653" max="4653" width="15.140625" style="8" customWidth="1"/>
    <col min="4654" max="4654" width="12" style="8" bestFit="1" customWidth="1"/>
    <col min="4655" max="4771" width="11.5703125" style="8"/>
    <col min="4772" max="4772" width="17.42578125" style="8" customWidth="1"/>
    <col min="4773" max="4773" width="22.5703125" style="8" customWidth="1"/>
    <col min="4774" max="4774" width="21.42578125" style="8" customWidth="1"/>
    <col min="4775" max="4775" width="26.7109375" style="8" customWidth="1"/>
    <col min="4776" max="4776" width="17" style="8" customWidth="1"/>
    <col min="4777" max="4800" width="2.42578125" style="8" customWidth="1"/>
    <col min="4801" max="4801" width="3" style="8" customWidth="1"/>
    <col min="4802" max="4810" width="2.42578125" style="8" customWidth="1"/>
    <col min="4811" max="4811" width="3.42578125" style="8" customWidth="1"/>
    <col min="4812" max="4831" width="2.42578125" style="8" customWidth="1"/>
    <col min="4832" max="4832" width="2.85546875" style="8" customWidth="1"/>
    <col min="4833" max="4881" width="2.42578125" style="8" customWidth="1"/>
    <col min="4882" max="4906" width="11.5703125" style="8" customWidth="1"/>
    <col min="4907" max="4908" width="25.7109375" style="8" customWidth="1"/>
    <col min="4909" max="4909" width="15.140625" style="8" customWidth="1"/>
    <col min="4910" max="4910" width="12" style="8" bestFit="1" customWidth="1"/>
    <col min="4911" max="5027" width="11.5703125" style="8"/>
    <col min="5028" max="5028" width="17.42578125" style="8" customWidth="1"/>
    <col min="5029" max="5029" width="22.5703125" style="8" customWidth="1"/>
    <col min="5030" max="5030" width="21.42578125" style="8" customWidth="1"/>
    <col min="5031" max="5031" width="26.7109375" style="8" customWidth="1"/>
    <col min="5032" max="5032" width="17" style="8" customWidth="1"/>
    <col min="5033" max="5056" width="2.42578125" style="8" customWidth="1"/>
    <col min="5057" max="5057" width="3" style="8" customWidth="1"/>
    <col min="5058" max="5066" width="2.42578125" style="8" customWidth="1"/>
    <col min="5067" max="5067" width="3.42578125" style="8" customWidth="1"/>
    <col min="5068" max="5087" width="2.42578125" style="8" customWidth="1"/>
    <col min="5088" max="5088" width="2.85546875" style="8" customWidth="1"/>
    <col min="5089" max="5137" width="2.42578125" style="8" customWidth="1"/>
    <col min="5138" max="5162" width="11.5703125" style="8" customWidth="1"/>
    <col min="5163" max="5164" width="25.7109375" style="8" customWidth="1"/>
    <col min="5165" max="5165" width="15.140625" style="8" customWidth="1"/>
    <col min="5166" max="5166" width="12" style="8" bestFit="1" customWidth="1"/>
    <col min="5167" max="5283" width="11.5703125" style="8"/>
    <col min="5284" max="5284" width="17.42578125" style="8" customWidth="1"/>
    <col min="5285" max="5285" width="22.5703125" style="8" customWidth="1"/>
    <col min="5286" max="5286" width="21.42578125" style="8" customWidth="1"/>
    <col min="5287" max="5287" width="26.7109375" style="8" customWidth="1"/>
    <col min="5288" max="5288" width="17" style="8" customWidth="1"/>
    <col min="5289" max="5312" width="2.42578125" style="8" customWidth="1"/>
    <col min="5313" max="5313" width="3" style="8" customWidth="1"/>
    <col min="5314" max="5322" width="2.42578125" style="8" customWidth="1"/>
    <col min="5323" max="5323" width="3.42578125" style="8" customWidth="1"/>
    <col min="5324" max="5343" width="2.42578125" style="8" customWidth="1"/>
    <col min="5344" max="5344" width="2.85546875" style="8" customWidth="1"/>
    <col min="5345" max="5393" width="2.42578125" style="8" customWidth="1"/>
    <col min="5394" max="5418" width="11.5703125" style="8" customWidth="1"/>
    <col min="5419" max="5420" width="25.7109375" style="8" customWidth="1"/>
    <col min="5421" max="5421" width="15.140625" style="8" customWidth="1"/>
    <col min="5422" max="5422" width="12" style="8" bestFit="1" customWidth="1"/>
    <col min="5423" max="5539" width="11.5703125" style="8"/>
    <col min="5540" max="5540" width="17.42578125" style="8" customWidth="1"/>
    <col min="5541" max="5541" width="22.5703125" style="8" customWidth="1"/>
    <col min="5542" max="5542" width="21.42578125" style="8" customWidth="1"/>
    <col min="5543" max="5543" width="26.7109375" style="8" customWidth="1"/>
    <col min="5544" max="5544" width="17" style="8" customWidth="1"/>
    <col min="5545" max="5568" width="2.42578125" style="8" customWidth="1"/>
    <col min="5569" max="5569" width="3" style="8" customWidth="1"/>
    <col min="5570" max="5578" width="2.42578125" style="8" customWidth="1"/>
    <col min="5579" max="5579" width="3.42578125" style="8" customWidth="1"/>
    <col min="5580" max="5599" width="2.42578125" style="8" customWidth="1"/>
    <col min="5600" max="5600" width="2.85546875" style="8" customWidth="1"/>
    <col min="5601" max="5649" width="2.42578125" style="8" customWidth="1"/>
    <col min="5650" max="5674" width="11.5703125" style="8" customWidth="1"/>
    <col min="5675" max="5676" width="25.7109375" style="8" customWidth="1"/>
    <col min="5677" max="5677" width="15.140625" style="8" customWidth="1"/>
    <col min="5678" max="5678" width="12" style="8" bestFit="1" customWidth="1"/>
    <col min="5679" max="5795" width="11.5703125" style="8"/>
    <col min="5796" max="5796" width="17.42578125" style="8" customWidth="1"/>
    <col min="5797" max="5797" width="22.5703125" style="8" customWidth="1"/>
    <col min="5798" max="5798" width="21.42578125" style="8" customWidth="1"/>
    <col min="5799" max="5799" width="26.7109375" style="8" customWidth="1"/>
    <col min="5800" max="5800" width="17" style="8" customWidth="1"/>
    <col min="5801" max="5824" width="2.42578125" style="8" customWidth="1"/>
    <col min="5825" max="5825" width="3" style="8" customWidth="1"/>
    <col min="5826" max="5834" width="2.42578125" style="8" customWidth="1"/>
    <col min="5835" max="5835" width="3.42578125" style="8" customWidth="1"/>
    <col min="5836" max="5855" width="2.42578125" style="8" customWidth="1"/>
    <col min="5856" max="5856" width="2.85546875" style="8" customWidth="1"/>
    <col min="5857" max="5905" width="2.42578125" style="8" customWidth="1"/>
    <col min="5906" max="5930" width="11.5703125" style="8" customWidth="1"/>
    <col min="5931" max="5932" width="25.7109375" style="8" customWidth="1"/>
    <col min="5933" max="5933" width="15.140625" style="8" customWidth="1"/>
    <col min="5934" max="5934" width="12" style="8" bestFit="1" customWidth="1"/>
    <col min="5935" max="6051" width="11.5703125" style="8"/>
    <col min="6052" max="6052" width="17.42578125" style="8" customWidth="1"/>
    <col min="6053" max="6053" width="22.5703125" style="8" customWidth="1"/>
    <col min="6054" max="6054" width="21.42578125" style="8" customWidth="1"/>
    <col min="6055" max="6055" width="26.7109375" style="8" customWidth="1"/>
    <col min="6056" max="6056" width="17" style="8" customWidth="1"/>
    <col min="6057" max="6080" width="2.42578125" style="8" customWidth="1"/>
    <col min="6081" max="6081" width="3" style="8" customWidth="1"/>
    <col min="6082" max="6090" width="2.42578125" style="8" customWidth="1"/>
    <col min="6091" max="6091" width="3.42578125" style="8" customWidth="1"/>
    <col min="6092" max="6111" width="2.42578125" style="8" customWidth="1"/>
    <col min="6112" max="6112" width="2.85546875" style="8" customWidth="1"/>
    <col min="6113" max="6161" width="2.42578125" style="8" customWidth="1"/>
    <col min="6162" max="6186" width="11.5703125" style="8" customWidth="1"/>
    <col min="6187" max="6188" width="25.7109375" style="8" customWidth="1"/>
    <col min="6189" max="6189" width="15.140625" style="8" customWidth="1"/>
    <col min="6190" max="6190" width="12" style="8" bestFit="1" customWidth="1"/>
    <col min="6191" max="6307" width="11.5703125" style="8"/>
    <col min="6308" max="6308" width="17.42578125" style="8" customWidth="1"/>
    <col min="6309" max="6309" width="22.5703125" style="8" customWidth="1"/>
    <col min="6310" max="6310" width="21.42578125" style="8" customWidth="1"/>
    <col min="6311" max="6311" width="26.7109375" style="8" customWidth="1"/>
    <col min="6312" max="6312" width="17" style="8" customWidth="1"/>
    <col min="6313" max="6336" width="2.42578125" style="8" customWidth="1"/>
    <col min="6337" max="6337" width="3" style="8" customWidth="1"/>
    <col min="6338" max="6346" width="2.42578125" style="8" customWidth="1"/>
    <col min="6347" max="6347" width="3.42578125" style="8" customWidth="1"/>
    <col min="6348" max="6367" width="2.42578125" style="8" customWidth="1"/>
    <col min="6368" max="6368" width="2.85546875" style="8" customWidth="1"/>
    <col min="6369" max="6417" width="2.42578125" style="8" customWidth="1"/>
    <col min="6418" max="6442" width="11.5703125" style="8" customWidth="1"/>
    <col min="6443" max="6444" width="25.7109375" style="8" customWidth="1"/>
    <col min="6445" max="6445" width="15.140625" style="8" customWidth="1"/>
    <col min="6446" max="6446" width="12" style="8" bestFit="1" customWidth="1"/>
    <col min="6447" max="6563" width="11.5703125" style="8"/>
    <col min="6564" max="6564" width="17.42578125" style="8" customWidth="1"/>
    <col min="6565" max="6565" width="22.5703125" style="8" customWidth="1"/>
    <col min="6566" max="6566" width="21.42578125" style="8" customWidth="1"/>
    <col min="6567" max="6567" width="26.7109375" style="8" customWidth="1"/>
    <col min="6568" max="6568" width="17" style="8" customWidth="1"/>
    <col min="6569" max="6592" width="2.42578125" style="8" customWidth="1"/>
    <col min="6593" max="6593" width="3" style="8" customWidth="1"/>
    <col min="6594" max="6602" width="2.42578125" style="8" customWidth="1"/>
    <col min="6603" max="6603" width="3.42578125" style="8" customWidth="1"/>
    <col min="6604" max="6623" width="2.42578125" style="8" customWidth="1"/>
    <col min="6624" max="6624" width="2.85546875" style="8" customWidth="1"/>
    <col min="6625" max="6673" width="2.42578125" style="8" customWidth="1"/>
    <col min="6674" max="6698" width="11.5703125" style="8" customWidth="1"/>
    <col min="6699" max="6700" width="25.7109375" style="8" customWidth="1"/>
    <col min="6701" max="6701" width="15.140625" style="8" customWidth="1"/>
    <col min="6702" max="6702" width="12" style="8" bestFit="1" customWidth="1"/>
    <col min="6703" max="6819" width="11.5703125" style="8"/>
    <col min="6820" max="6820" width="17.42578125" style="8" customWidth="1"/>
    <col min="6821" max="6821" width="22.5703125" style="8" customWidth="1"/>
    <col min="6822" max="6822" width="21.42578125" style="8" customWidth="1"/>
    <col min="6823" max="6823" width="26.7109375" style="8" customWidth="1"/>
    <col min="6824" max="6824" width="17" style="8" customWidth="1"/>
    <col min="6825" max="6848" width="2.42578125" style="8" customWidth="1"/>
    <col min="6849" max="6849" width="3" style="8" customWidth="1"/>
    <col min="6850" max="6858" width="2.42578125" style="8" customWidth="1"/>
    <col min="6859" max="6859" width="3.42578125" style="8" customWidth="1"/>
    <col min="6860" max="6879" width="2.42578125" style="8" customWidth="1"/>
    <col min="6880" max="6880" width="2.85546875" style="8" customWidth="1"/>
    <col min="6881" max="6929" width="2.42578125" style="8" customWidth="1"/>
    <col min="6930" max="6954" width="11.5703125" style="8" customWidth="1"/>
    <col min="6955" max="6956" width="25.7109375" style="8" customWidth="1"/>
    <col min="6957" max="6957" width="15.140625" style="8" customWidth="1"/>
    <col min="6958" max="6958" width="12" style="8" bestFit="1" customWidth="1"/>
    <col min="6959" max="7075" width="11.5703125" style="8"/>
    <col min="7076" max="7076" width="17.42578125" style="8" customWidth="1"/>
    <col min="7077" max="7077" width="22.5703125" style="8" customWidth="1"/>
    <col min="7078" max="7078" width="21.42578125" style="8" customWidth="1"/>
    <col min="7079" max="7079" width="26.7109375" style="8" customWidth="1"/>
    <col min="7080" max="7080" width="17" style="8" customWidth="1"/>
    <col min="7081" max="7104" width="2.42578125" style="8" customWidth="1"/>
    <col min="7105" max="7105" width="3" style="8" customWidth="1"/>
    <col min="7106" max="7114" width="2.42578125" style="8" customWidth="1"/>
    <col min="7115" max="7115" width="3.42578125" style="8" customWidth="1"/>
    <col min="7116" max="7135" width="2.42578125" style="8" customWidth="1"/>
    <col min="7136" max="7136" width="2.85546875" style="8" customWidth="1"/>
    <col min="7137" max="7185" width="2.42578125" style="8" customWidth="1"/>
    <col min="7186" max="7210" width="11.5703125" style="8" customWidth="1"/>
    <col min="7211" max="7212" width="25.7109375" style="8" customWidth="1"/>
    <col min="7213" max="7213" width="15.140625" style="8" customWidth="1"/>
    <col min="7214" max="7214" width="12" style="8" bestFit="1" customWidth="1"/>
    <col min="7215" max="7331" width="11.5703125" style="8"/>
    <col min="7332" max="7332" width="17.42578125" style="8" customWidth="1"/>
    <col min="7333" max="7333" width="22.5703125" style="8" customWidth="1"/>
    <col min="7334" max="7334" width="21.42578125" style="8" customWidth="1"/>
    <col min="7335" max="7335" width="26.7109375" style="8" customWidth="1"/>
    <col min="7336" max="7336" width="17" style="8" customWidth="1"/>
    <col min="7337" max="7360" width="2.42578125" style="8" customWidth="1"/>
    <col min="7361" max="7361" width="3" style="8" customWidth="1"/>
    <col min="7362" max="7370" width="2.42578125" style="8" customWidth="1"/>
    <col min="7371" max="7371" width="3.42578125" style="8" customWidth="1"/>
    <col min="7372" max="7391" width="2.42578125" style="8" customWidth="1"/>
    <col min="7392" max="7392" width="2.85546875" style="8" customWidth="1"/>
    <col min="7393" max="7441" width="2.42578125" style="8" customWidth="1"/>
    <col min="7442" max="7466" width="11.5703125" style="8" customWidth="1"/>
    <col min="7467" max="7468" width="25.7109375" style="8" customWidth="1"/>
    <col min="7469" max="7469" width="15.140625" style="8" customWidth="1"/>
    <col min="7470" max="7470" width="12" style="8" bestFit="1" customWidth="1"/>
    <col min="7471" max="7587" width="11.5703125" style="8"/>
    <col min="7588" max="7588" width="17.42578125" style="8" customWidth="1"/>
    <col min="7589" max="7589" width="22.5703125" style="8" customWidth="1"/>
    <col min="7590" max="7590" width="21.42578125" style="8" customWidth="1"/>
    <col min="7591" max="7591" width="26.7109375" style="8" customWidth="1"/>
    <col min="7592" max="7592" width="17" style="8" customWidth="1"/>
    <col min="7593" max="7616" width="2.42578125" style="8" customWidth="1"/>
    <col min="7617" max="7617" width="3" style="8" customWidth="1"/>
    <col min="7618" max="7626" width="2.42578125" style="8" customWidth="1"/>
    <col min="7627" max="7627" width="3.42578125" style="8" customWidth="1"/>
    <col min="7628" max="7647" width="2.42578125" style="8" customWidth="1"/>
    <col min="7648" max="7648" width="2.85546875" style="8" customWidth="1"/>
    <col min="7649" max="7697" width="2.42578125" style="8" customWidth="1"/>
    <col min="7698" max="7722" width="11.5703125" style="8" customWidth="1"/>
    <col min="7723" max="7724" width="25.7109375" style="8" customWidth="1"/>
    <col min="7725" max="7725" width="15.140625" style="8" customWidth="1"/>
    <col min="7726" max="7726" width="12" style="8" bestFit="1" customWidth="1"/>
    <col min="7727" max="7843" width="11.5703125" style="8"/>
    <col min="7844" max="7844" width="17.42578125" style="8" customWidth="1"/>
    <col min="7845" max="7845" width="22.5703125" style="8" customWidth="1"/>
    <col min="7846" max="7846" width="21.42578125" style="8" customWidth="1"/>
    <col min="7847" max="7847" width="26.7109375" style="8" customWidth="1"/>
    <col min="7848" max="7848" width="17" style="8" customWidth="1"/>
    <col min="7849" max="7872" width="2.42578125" style="8" customWidth="1"/>
    <col min="7873" max="7873" width="3" style="8" customWidth="1"/>
    <col min="7874" max="7882" width="2.42578125" style="8" customWidth="1"/>
    <col min="7883" max="7883" width="3.42578125" style="8" customWidth="1"/>
    <col min="7884" max="7903" width="2.42578125" style="8" customWidth="1"/>
    <col min="7904" max="7904" width="2.85546875" style="8" customWidth="1"/>
    <col min="7905" max="7953" width="2.42578125" style="8" customWidth="1"/>
    <col min="7954" max="7978" width="11.5703125" style="8" customWidth="1"/>
    <col min="7979" max="7980" width="25.7109375" style="8" customWidth="1"/>
    <col min="7981" max="7981" width="15.140625" style="8" customWidth="1"/>
    <col min="7982" max="7982" width="12" style="8" bestFit="1" customWidth="1"/>
    <col min="7983" max="8099" width="11.5703125" style="8"/>
    <col min="8100" max="8100" width="17.42578125" style="8" customWidth="1"/>
    <col min="8101" max="8101" width="22.5703125" style="8" customWidth="1"/>
    <col min="8102" max="8102" width="21.42578125" style="8" customWidth="1"/>
    <col min="8103" max="8103" width="26.7109375" style="8" customWidth="1"/>
    <col min="8104" max="8104" width="17" style="8" customWidth="1"/>
    <col min="8105" max="8128" width="2.42578125" style="8" customWidth="1"/>
    <col min="8129" max="8129" width="3" style="8" customWidth="1"/>
    <col min="8130" max="8138" width="2.42578125" style="8" customWidth="1"/>
    <col min="8139" max="8139" width="3.42578125" style="8" customWidth="1"/>
    <col min="8140" max="8159" width="2.42578125" style="8" customWidth="1"/>
    <col min="8160" max="8160" width="2.85546875" style="8" customWidth="1"/>
    <col min="8161" max="8209" width="2.42578125" style="8" customWidth="1"/>
    <col min="8210" max="8234" width="11.5703125" style="8" customWidth="1"/>
    <col min="8235" max="8236" width="25.7109375" style="8" customWidth="1"/>
    <col min="8237" max="8237" width="15.140625" style="8" customWidth="1"/>
    <col min="8238" max="8238" width="12" style="8" bestFit="1" customWidth="1"/>
    <col min="8239" max="8355" width="11.5703125" style="8"/>
    <col min="8356" max="8356" width="17.42578125" style="8" customWidth="1"/>
    <col min="8357" max="8357" width="22.5703125" style="8" customWidth="1"/>
    <col min="8358" max="8358" width="21.42578125" style="8" customWidth="1"/>
    <col min="8359" max="8359" width="26.7109375" style="8" customWidth="1"/>
    <col min="8360" max="8360" width="17" style="8" customWidth="1"/>
    <col min="8361" max="8384" width="2.42578125" style="8" customWidth="1"/>
    <col min="8385" max="8385" width="3" style="8" customWidth="1"/>
    <col min="8386" max="8394" width="2.42578125" style="8" customWidth="1"/>
    <col min="8395" max="8395" width="3.42578125" style="8" customWidth="1"/>
    <col min="8396" max="8415" width="2.42578125" style="8" customWidth="1"/>
    <col min="8416" max="8416" width="2.85546875" style="8" customWidth="1"/>
    <col min="8417" max="8465" width="2.42578125" style="8" customWidth="1"/>
    <col min="8466" max="8490" width="11.5703125" style="8" customWidth="1"/>
    <col min="8491" max="8492" width="25.7109375" style="8" customWidth="1"/>
    <col min="8493" max="8493" width="15.140625" style="8" customWidth="1"/>
    <col min="8494" max="8494" width="12" style="8" bestFit="1" customWidth="1"/>
    <col min="8495" max="8611" width="11.5703125" style="8"/>
    <col min="8612" max="8612" width="17.42578125" style="8" customWidth="1"/>
    <col min="8613" max="8613" width="22.5703125" style="8" customWidth="1"/>
    <col min="8614" max="8614" width="21.42578125" style="8" customWidth="1"/>
    <col min="8615" max="8615" width="26.7109375" style="8" customWidth="1"/>
    <col min="8616" max="8616" width="17" style="8" customWidth="1"/>
    <col min="8617" max="8640" width="2.42578125" style="8" customWidth="1"/>
    <col min="8641" max="8641" width="3" style="8" customWidth="1"/>
    <col min="8642" max="8650" width="2.42578125" style="8" customWidth="1"/>
    <col min="8651" max="8651" width="3.42578125" style="8" customWidth="1"/>
    <col min="8652" max="8671" width="2.42578125" style="8" customWidth="1"/>
    <col min="8672" max="8672" width="2.85546875" style="8" customWidth="1"/>
    <col min="8673" max="8721" width="2.42578125" style="8" customWidth="1"/>
    <col min="8722" max="8746" width="11.5703125" style="8" customWidth="1"/>
    <col min="8747" max="8748" width="25.7109375" style="8" customWidth="1"/>
    <col min="8749" max="8749" width="15.140625" style="8" customWidth="1"/>
    <col min="8750" max="8750" width="12" style="8" bestFit="1" customWidth="1"/>
    <col min="8751" max="8867" width="11.5703125" style="8"/>
    <col min="8868" max="8868" width="17.42578125" style="8" customWidth="1"/>
    <col min="8869" max="8869" width="22.5703125" style="8" customWidth="1"/>
    <col min="8870" max="8870" width="21.42578125" style="8" customWidth="1"/>
    <col min="8871" max="8871" width="26.7109375" style="8" customWidth="1"/>
    <col min="8872" max="8872" width="17" style="8" customWidth="1"/>
    <col min="8873" max="8896" width="2.42578125" style="8" customWidth="1"/>
    <col min="8897" max="8897" width="3" style="8" customWidth="1"/>
    <col min="8898" max="8906" width="2.42578125" style="8" customWidth="1"/>
    <col min="8907" max="8907" width="3.42578125" style="8" customWidth="1"/>
    <col min="8908" max="8927" width="2.42578125" style="8" customWidth="1"/>
    <col min="8928" max="8928" width="2.85546875" style="8" customWidth="1"/>
    <col min="8929" max="8977" width="2.42578125" style="8" customWidth="1"/>
    <col min="8978" max="9002" width="11.5703125" style="8" customWidth="1"/>
    <col min="9003" max="9004" width="25.7109375" style="8" customWidth="1"/>
    <col min="9005" max="9005" width="15.140625" style="8" customWidth="1"/>
    <col min="9006" max="9006" width="12" style="8" bestFit="1" customWidth="1"/>
    <col min="9007" max="9123" width="11.5703125" style="8"/>
    <col min="9124" max="9124" width="17.42578125" style="8" customWidth="1"/>
    <col min="9125" max="9125" width="22.5703125" style="8" customWidth="1"/>
    <col min="9126" max="9126" width="21.42578125" style="8" customWidth="1"/>
    <col min="9127" max="9127" width="26.7109375" style="8" customWidth="1"/>
    <col min="9128" max="9128" width="17" style="8" customWidth="1"/>
    <col min="9129" max="9152" width="2.42578125" style="8" customWidth="1"/>
    <col min="9153" max="9153" width="3" style="8" customWidth="1"/>
    <col min="9154" max="9162" width="2.42578125" style="8" customWidth="1"/>
    <col min="9163" max="9163" width="3.42578125" style="8" customWidth="1"/>
    <col min="9164" max="9183" width="2.42578125" style="8" customWidth="1"/>
    <col min="9184" max="9184" width="2.85546875" style="8" customWidth="1"/>
    <col min="9185" max="9233" width="2.42578125" style="8" customWidth="1"/>
    <col min="9234" max="9258" width="11.5703125" style="8" customWidth="1"/>
    <col min="9259" max="9260" width="25.7109375" style="8" customWidth="1"/>
    <col min="9261" max="9261" width="15.140625" style="8" customWidth="1"/>
    <col min="9262" max="9262" width="12" style="8" bestFit="1" customWidth="1"/>
    <col min="9263" max="9379" width="11.5703125" style="8"/>
    <col min="9380" max="9380" width="17.42578125" style="8" customWidth="1"/>
    <col min="9381" max="9381" width="22.5703125" style="8" customWidth="1"/>
    <col min="9382" max="9382" width="21.42578125" style="8" customWidth="1"/>
    <col min="9383" max="9383" width="26.7109375" style="8" customWidth="1"/>
    <col min="9384" max="9384" width="17" style="8" customWidth="1"/>
    <col min="9385" max="9408" width="2.42578125" style="8" customWidth="1"/>
    <col min="9409" max="9409" width="3" style="8" customWidth="1"/>
    <col min="9410" max="9418" width="2.42578125" style="8" customWidth="1"/>
    <col min="9419" max="9419" width="3.42578125" style="8" customWidth="1"/>
    <col min="9420" max="9439" width="2.42578125" style="8" customWidth="1"/>
    <col min="9440" max="9440" width="2.85546875" style="8" customWidth="1"/>
    <col min="9441" max="9489" width="2.42578125" style="8" customWidth="1"/>
    <col min="9490" max="9514" width="11.5703125" style="8" customWidth="1"/>
    <col min="9515" max="9516" width="25.7109375" style="8" customWidth="1"/>
    <col min="9517" max="9517" width="15.140625" style="8" customWidth="1"/>
    <col min="9518" max="9518" width="12" style="8" bestFit="1" customWidth="1"/>
    <col min="9519" max="9635" width="11.5703125" style="8"/>
    <col min="9636" max="9636" width="17.42578125" style="8" customWidth="1"/>
    <col min="9637" max="9637" width="22.5703125" style="8" customWidth="1"/>
    <col min="9638" max="9638" width="21.42578125" style="8" customWidth="1"/>
    <col min="9639" max="9639" width="26.7109375" style="8" customWidth="1"/>
    <col min="9640" max="9640" width="17" style="8" customWidth="1"/>
    <col min="9641" max="9664" width="2.42578125" style="8" customWidth="1"/>
    <col min="9665" max="9665" width="3" style="8" customWidth="1"/>
    <col min="9666" max="9674" width="2.42578125" style="8" customWidth="1"/>
    <col min="9675" max="9675" width="3.42578125" style="8" customWidth="1"/>
    <col min="9676" max="9695" width="2.42578125" style="8" customWidth="1"/>
    <col min="9696" max="9696" width="2.85546875" style="8" customWidth="1"/>
    <col min="9697" max="9745" width="2.42578125" style="8" customWidth="1"/>
    <col min="9746" max="9770" width="11.5703125" style="8" customWidth="1"/>
    <col min="9771" max="9772" width="25.7109375" style="8" customWidth="1"/>
    <col min="9773" max="9773" width="15.140625" style="8" customWidth="1"/>
    <col min="9774" max="9774" width="12" style="8" bestFit="1" customWidth="1"/>
    <col min="9775" max="9891" width="11.5703125" style="8"/>
    <col min="9892" max="9892" width="17.42578125" style="8" customWidth="1"/>
    <col min="9893" max="9893" width="22.5703125" style="8" customWidth="1"/>
    <col min="9894" max="9894" width="21.42578125" style="8" customWidth="1"/>
    <col min="9895" max="9895" width="26.7109375" style="8" customWidth="1"/>
    <col min="9896" max="9896" width="17" style="8" customWidth="1"/>
    <col min="9897" max="9920" width="2.42578125" style="8" customWidth="1"/>
    <col min="9921" max="9921" width="3" style="8" customWidth="1"/>
    <col min="9922" max="9930" width="2.42578125" style="8" customWidth="1"/>
    <col min="9931" max="9931" width="3.42578125" style="8" customWidth="1"/>
    <col min="9932" max="9951" width="2.42578125" style="8" customWidth="1"/>
    <col min="9952" max="9952" width="2.85546875" style="8" customWidth="1"/>
    <col min="9953" max="10001" width="2.42578125" style="8" customWidth="1"/>
    <col min="10002" max="10026" width="11.5703125" style="8" customWidth="1"/>
    <col min="10027" max="10028" width="25.7109375" style="8" customWidth="1"/>
    <col min="10029" max="10029" width="15.140625" style="8" customWidth="1"/>
    <col min="10030" max="10030" width="12" style="8" bestFit="1" customWidth="1"/>
    <col min="10031" max="10147" width="11.5703125" style="8"/>
    <col min="10148" max="10148" width="17.42578125" style="8" customWidth="1"/>
    <col min="10149" max="10149" width="22.5703125" style="8" customWidth="1"/>
    <col min="10150" max="10150" width="21.42578125" style="8" customWidth="1"/>
    <col min="10151" max="10151" width="26.7109375" style="8" customWidth="1"/>
    <col min="10152" max="10152" width="17" style="8" customWidth="1"/>
    <col min="10153" max="10176" width="2.42578125" style="8" customWidth="1"/>
    <col min="10177" max="10177" width="3" style="8" customWidth="1"/>
    <col min="10178" max="10186" width="2.42578125" style="8" customWidth="1"/>
    <col min="10187" max="10187" width="3.42578125" style="8" customWidth="1"/>
    <col min="10188" max="10207" width="2.42578125" style="8" customWidth="1"/>
    <col min="10208" max="10208" width="2.85546875" style="8" customWidth="1"/>
    <col min="10209" max="10257" width="2.42578125" style="8" customWidth="1"/>
    <col min="10258" max="10282" width="11.5703125" style="8" customWidth="1"/>
    <col min="10283" max="10284" width="25.7109375" style="8" customWidth="1"/>
    <col min="10285" max="10285" width="15.140625" style="8" customWidth="1"/>
    <col min="10286" max="10286" width="12" style="8" bestFit="1" customWidth="1"/>
    <col min="10287" max="10403" width="11.5703125" style="8"/>
    <col min="10404" max="10404" width="17.42578125" style="8" customWidth="1"/>
    <col min="10405" max="10405" width="22.5703125" style="8" customWidth="1"/>
    <col min="10406" max="10406" width="21.42578125" style="8" customWidth="1"/>
    <col min="10407" max="10407" width="26.7109375" style="8" customWidth="1"/>
    <col min="10408" max="10408" width="17" style="8" customWidth="1"/>
    <col min="10409" max="10432" width="2.42578125" style="8" customWidth="1"/>
    <col min="10433" max="10433" width="3" style="8" customWidth="1"/>
    <col min="10434" max="10442" width="2.42578125" style="8" customWidth="1"/>
    <col min="10443" max="10443" width="3.42578125" style="8" customWidth="1"/>
    <col min="10444" max="10463" width="2.42578125" style="8" customWidth="1"/>
    <col min="10464" max="10464" width="2.85546875" style="8" customWidth="1"/>
    <col min="10465" max="10513" width="2.42578125" style="8" customWidth="1"/>
    <col min="10514" max="10538" width="11.5703125" style="8" customWidth="1"/>
    <col min="10539" max="10540" width="25.7109375" style="8" customWidth="1"/>
    <col min="10541" max="10541" width="15.140625" style="8" customWidth="1"/>
    <col min="10542" max="10542" width="12" style="8" bestFit="1" customWidth="1"/>
    <col min="10543" max="10659" width="11.5703125" style="8"/>
    <col min="10660" max="10660" width="17.42578125" style="8" customWidth="1"/>
    <col min="10661" max="10661" width="22.5703125" style="8" customWidth="1"/>
    <col min="10662" max="10662" width="21.42578125" style="8" customWidth="1"/>
    <col min="10663" max="10663" width="26.7109375" style="8" customWidth="1"/>
    <col min="10664" max="10664" width="17" style="8" customWidth="1"/>
    <col min="10665" max="10688" width="2.42578125" style="8" customWidth="1"/>
    <col min="10689" max="10689" width="3" style="8" customWidth="1"/>
    <col min="10690" max="10698" width="2.42578125" style="8" customWidth="1"/>
    <col min="10699" max="10699" width="3.42578125" style="8" customWidth="1"/>
    <col min="10700" max="10719" width="2.42578125" style="8" customWidth="1"/>
    <col min="10720" max="10720" width="2.85546875" style="8" customWidth="1"/>
    <col min="10721" max="10769" width="2.42578125" style="8" customWidth="1"/>
    <col min="10770" max="10794" width="11.5703125" style="8" customWidth="1"/>
    <col min="10795" max="10796" width="25.7109375" style="8" customWidth="1"/>
    <col min="10797" max="10797" width="15.140625" style="8" customWidth="1"/>
    <col min="10798" max="10798" width="12" style="8" bestFit="1" customWidth="1"/>
    <col min="10799" max="10915" width="11.5703125" style="8"/>
    <col min="10916" max="10916" width="17.42578125" style="8" customWidth="1"/>
    <col min="10917" max="10917" width="22.5703125" style="8" customWidth="1"/>
    <col min="10918" max="10918" width="21.42578125" style="8" customWidth="1"/>
    <col min="10919" max="10919" width="26.7109375" style="8" customWidth="1"/>
    <col min="10920" max="10920" width="17" style="8" customWidth="1"/>
    <col min="10921" max="10944" width="2.42578125" style="8" customWidth="1"/>
    <col min="10945" max="10945" width="3" style="8" customWidth="1"/>
    <col min="10946" max="10954" width="2.42578125" style="8" customWidth="1"/>
    <col min="10955" max="10955" width="3.42578125" style="8" customWidth="1"/>
    <col min="10956" max="10975" width="2.42578125" style="8" customWidth="1"/>
    <col min="10976" max="10976" width="2.85546875" style="8" customWidth="1"/>
    <col min="10977" max="11025" width="2.42578125" style="8" customWidth="1"/>
    <col min="11026" max="11050" width="11.5703125" style="8" customWidth="1"/>
    <col min="11051" max="11052" width="25.7109375" style="8" customWidth="1"/>
    <col min="11053" max="11053" width="15.140625" style="8" customWidth="1"/>
    <col min="11054" max="11054" width="12" style="8" bestFit="1" customWidth="1"/>
    <col min="11055" max="11171" width="11.5703125" style="8"/>
    <col min="11172" max="11172" width="17.42578125" style="8" customWidth="1"/>
    <col min="11173" max="11173" width="22.5703125" style="8" customWidth="1"/>
    <col min="11174" max="11174" width="21.42578125" style="8" customWidth="1"/>
    <col min="11175" max="11175" width="26.7109375" style="8" customWidth="1"/>
    <col min="11176" max="11176" width="17" style="8" customWidth="1"/>
    <col min="11177" max="11200" width="2.42578125" style="8" customWidth="1"/>
    <col min="11201" max="11201" width="3" style="8" customWidth="1"/>
    <col min="11202" max="11210" width="2.42578125" style="8" customWidth="1"/>
    <col min="11211" max="11211" width="3.42578125" style="8" customWidth="1"/>
    <col min="11212" max="11231" width="2.42578125" style="8" customWidth="1"/>
    <col min="11232" max="11232" width="2.85546875" style="8" customWidth="1"/>
    <col min="11233" max="11281" width="2.42578125" style="8" customWidth="1"/>
    <col min="11282" max="11306" width="11.5703125" style="8" customWidth="1"/>
    <col min="11307" max="11308" width="25.7109375" style="8" customWidth="1"/>
    <col min="11309" max="11309" width="15.140625" style="8" customWidth="1"/>
    <col min="11310" max="11310" width="12" style="8" bestFit="1" customWidth="1"/>
    <col min="11311" max="11427" width="11.5703125" style="8"/>
    <col min="11428" max="11428" width="17.42578125" style="8" customWidth="1"/>
    <col min="11429" max="11429" width="22.5703125" style="8" customWidth="1"/>
    <col min="11430" max="11430" width="21.42578125" style="8" customWidth="1"/>
    <col min="11431" max="11431" width="26.7109375" style="8" customWidth="1"/>
    <col min="11432" max="11432" width="17" style="8" customWidth="1"/>
    <col min="11433" max="11456" width="2.42578125" style="8" customWidth="1"/>
    <col min="11457" max="11457" width="3" style="8" customWidth="1"/>
    <col min="11458" max="11466" width="2.42578125" style="8" customWidth="1"/>
    <col min="11467" max="11467" width="3.42578125" style="8" customWidth="1"/>
    <col min="11468" max="11487" width="2.42578125" style="8" customWidth="1"/>
    <col min="11488" max="11488" width="2.85546875" style="8" customWidth="1"/>
    <col min="11489" max="11537" width="2.42578125" style="8" customWidth="1"/>
    <col min="11538" max="11562" width="11.5703125" style="8" customWidth="1"/>
    <col min="11563" max="11564" width="25.7109375" style="8" customWidth="1"/>
    <col min="11565" max="11565" width="15.140625" style="8" customWidth="1"/>
    <col min="11566" max="11566" width="12" style="8" bestFit="1" customWidth="1"/>
    <col min="11567" max="11683" width="11.5703125" style="8"/>
    <col min="11684" max="11684" width="17.42578125" style="8" customWidth="1"/>
    <col min="11685" max="11685" width="22.5703125" style="8" customWidth="1"/>
    <col min="11686" max="11686" width="21.42578125" style="8" customWidth="1"/>
    <col min="11687" max="11687" width="26.7109375" style="8" customWidth="1"/>
    <col min="11688" max="11688" width="17" style="8" customWidth="1"/>
    <col min="11689" max="11712" width="2.42578125" style="8" customWidth="1"/>
    <col min="11713" max="11713" width="3" style="8" customWidth="1"/>
    <col min="11714" max="11722" width="2.42578125" style="8" customWidth="1"/>
    <col min="11723" max="11723" width="3.42578125" style="8" customWidth="1"/>
    <col min="11724" max="11743" width="2.42578125" style="8" customWidth="1"/>
    <col min="11744" max="11744" width="2.85546875" style="8" customWidth="1"/>
    <col min="11745" max="11793" width="2.42578125" style="8" customWidth="1"/>
    <col min="11794" max="11818" width="11.5703125" style="8" customWidth="1"/>
    <col min="11819" max="11820" width="25.7109375" style="8" customWidth="1"/>
    <col min="11821" max="11821" width="15.140625" style="8" customWidth="1"/>
    <col min="11822" max="11822" width="12" style="8" bestFit="1" customWidth="1"/>
    <col min="11823" max="11939" width="11.5703125" style="8"/>
    <col min="11940" max="11940" width="17.42578125" style="8" customWidth="1"/>
    <col min="11941" max="11941" width="22.5703125" style="8" customWidth="1"/>
    <col min="11942" max="11942" width="21.42578125" style="8" customWidth="1"/>
    <col min="11943" max="11943" width="26.7109375" style="8" customWidth="1"/>
    <col min="11944" max="11944" width="17" style="8" customWidth="1"/>
    <col min="11945" max="11968" width="2.42578125" style="8" customWidth="1"/>
    <col min="11969" max="11969" width="3" style="8" customWidth="1"/>
    <col min="11970" max="11978" width="2.42578125" style="8" customWidth="1"/>
    <col min="11979" max="11979" width="3.42578125" style="8" customWidth="1"/>
    <col min="11980" max="11999" width="2.42578125" style="8" customWidth="1"/>
    <col min="12000" max="12000" width="2.85546875" style="8" customWidth="1"/>
    <col min="12001" max="12049" width="2.42578125" style="8" customWidth="1"/>
    <col min="12050" max="12074" width="11.5703125" style="8" customWidth="1"/>
    <col min="12075" max="12076" width="25.7109375" style="8" customWidth="1"/>
    <col min="12077" max="12077" width="15.140625" style="8" customWidth="1"/>
    <col min="12078" max="12078" width="12" style="8" bestFit="1" customWidth="1"/>
    <col min="12079" max="12195" width="11.5703125" style="8"/>
    <col min="12196" max="12196" width="17.42578125" style="8" customWidth="1"/>
    <col min="12197" max="12197" width="22.5703125" style="8" customWidth="1"/>
    <col min="12198" max="12198" width="21.42578125" style="8" customWidth="1"/>
    <col min="12199" max="12199" width="26.7109375" style="8" customWidth="1"/>
    <col min="12200" max="12200" width="17" style="8" customWidth="1"/>
    <col min="12201" max="12224" width="2.42578125" style="8" customWidth="1"/>
    <col min="12225" max="12225" width="3" style="8" customWidth="1"/>
    <col min="12226" max="12234" width="2.42578125" style="8" customWidth="1"/>
    <col min="12235" max="12235" width="3.42578125" style="8" customWidth="1"/>
    <col min="12236" max="12255" width="2.42578125" style="8" customWidth="1"/>
    <col min="12256" max="12256" width="2.85546875" style="8" customWidth="1"/>
    <col min="12257" max="12305" width="2.42578125" style="8" customWidth="1"/>
    <col min="12306" max="12330" width="11.5703125" style="8" customWidth="1"/>
    <col min="12331" max="12332" width="25.7109375" style="8" customWidth="1"/>
    <col min="12333" max="12333" width="15.140625" style="8" customWidth="1"/>
    <col min="12334" max="12334" width="12" style="8" bestFit="1" customWidth="1"/>
    <col min="12335" max="12451" width="11.5703125" style="8"/>
    <col min="12452" max="12452" width="17.42578125" style="8" customWidth="1"/>
    <col min="12453" max="12453" width="22.5703125" style="8" customWidth="1"/>
    <col min="12454" max="12454" width="21.42578125" style="8" customWidth="1"/>
    <col min="12455" max="12455" width="26.7109375" style="8" customWidth="1"/>
    <col min="12456" max="12456" width="17" style="8" customWidth="1"/>
    <col min="12457" max="12480" width="2.42578125" style="8" customWidth="1"/>
    <col min="12481" max="12481" width="3" style="8" customWidth="1"/>
    <col min="12482" max="12490" width="2.42578125" style="8" customWidth="1"/>
    <col min="12491" max="12491" width="3.42578125" style="8" customWidth="1"/>
    <col min="12492" max="12511" width="2.42578125" style="8" customWidth="1"/>
    <col min="12512" max="12512" width="2.85546875" style="8" customWidth="1"/>
    <col min="12513" max="12561" width="2.42578125" style="8" customWidth="1"/>
    <col min="12562" max="12586" width="11.5703125" style="8" customWidth="1"/>
    <col min="12587" max="12588" width="25.7109375" style="8" customWidth="1"/>
    <col min="12589" max="12589" width="15.140625" style="8" customWidth="1"/>
    <col min="12590" max="12590" width="12" style="8" bestFit="1" customWidth="1"/>
    <col min="12591" max="12707" width="11.5703125" style="8"/>
    <col min="12708" max="12708" width="17.42578125" style="8" customWidth="1"/>
    <col min="12709" max="12709" width="22.5703125" style="8" customWidth="1"/>
    <col min="12710" max="12710" width="21.42578125" style="8" customWidth="1"/>
    <col min="12711" max="12711" width="26.7109375" style="8" customWidth="1"/>
    <col min="12712" max="12712" width="17" style="8" customWidth="1"/>
    <col min="12713" max="12736" width="2.42578125" style="8" customWidth="1"/>
    <col min="12737" max="12737" width="3" style="8" customWidth="1"/>
    <col min="12738" max="12746" width="2.42578125" style="8" customWidth="1"/>
    <col min="12747" max="12747" width="3.42578125" style="8" customWidth="1"/>
    <col min="12748" max="12767" width="2.42578125" style="8" customWidth="1"/>
    <col min="12768" max="12768" width="2.85546875" style="8" customWidth="1"/>
    <col min="12769" max="12817" width="2.42578125" style="8" customWidth="1"/>
    <col min="12818" max="12842" width="11.5703125" style="8" customWidth="1"/>
    <col min="12843" max="12844" width="25.7109375" style="8" customWidth="1"/>
    <col min="12845" max="12845" width="15.140625" style="8" customWidth="1"/>
    <col min="12846" max="12846" width="12" style="8" bestFit="1" customWidth="1"/>
    <col min="12847" max="12963" width="11.5703125" style="8"/>
    <col min="12964" max="12964" width="17.42578125" style="8" customWidth="1"/>
    <col min="12965" max="12965" width="22.5703125" style="8" customWidth="1"/>
    <col min="12966" max="12966" width="21.42578125" style="8" customWidth="1"/>
    <col min="12967" max="12967" width="26.7109375" style="8" customWidth="1"/>
    <col min="12968" max="12968" width="17" style="8" customWidth="1"/>
    <col min="12969" max="12992" width="2.42578125" style="8" customWidth="1"/>
    <col min="12993" max="12993" width="3" style="8" customWidth="1"/>
    <col min="12994" max="13002" width="2.42578125" style="8" customWidth="1"/>
    <col min="13003" max="13003" width="3.42578125" style="8" customWidth="1"/>
    <col min="13004" max="13023" width="2.42578125" style="8" customWidth="1"/>
    <col min="13024" max="13024" width="2.85546875" style="8" customWidth="1"/>
    <col min="13025" max="13073" width="2.42578125" style="8" customWidth="1"/>
    <col min="13074" max="13098" width="11.5703125" style="8" customWidth="1"/>
    <col min="13099" max="13100" width="25.7109375" style="8" customWidth="1"/>
    <col min="13101" max="13101" width="15.140625" style="8" customWidth="1"/>
    <col min="13102" max="13102" width="12" style="8" bestFit="1" customWidth="1"/>
    <col min="13103" max="13219" width="11.5703125" style="8"/>
    <col min="13220" max="13220" width="17.42578125" style="8" customWidth="1"/>
    <col min="13221" max="13221" width="22.5703125" style="8" customWidth="1"/>
    <col min="13222" max="13222" width="21.42578125" style="8" customWidth="1"/>
    <col min="13223" max="13223" width="26.7109375" style="8" customWidth="1"/>
    <col min="13224" max="13224" width="17" style="8" customWidth="1"/>
    <col min="13225" max="13248" width="2.42578125" style="8" customWidth="1"/>
    <col min="13249" max="13249" width="3" style="8" customWidth="1"/>
    <col min="13250" max="13258" width="2.42578125" style="8" customWidth="1"/>
    <col min="13259" max="13259" width="3.42578125" style="8" customWidth="1"/>
    <col min="13260" max="13279" width="2.42578125" style="8" customWidth="1"/>
    <col min="13280" max="13280" width="2.85546875" style="8" customWidth="1"/>
    <col min="13281" max="13329" width="2.42578125" style="8" customWidth="1"/>
    <col min="13330" max="13354" width="11.5703125" style="8" customWidth="1"/>
    <col min="13355" max="13356" width="25.7109375" style="8" customWidth="1"/>
    <col min="13357" max="13357" width="15.140625" style="8" customWidth="1"/>
    <col min="13358" max="13358" width="12" style="8" bestFit="1" customWidth="1"/>
    <col min="13359" max="13475" width="11.5703125" style="8"/>
    <col min="13476" max="13476" width="17.42578125" style="8" customWidth="1"/>
    <col min="13477" max="13477" width="22.5703125" style="8" customWidth="1"/>
    <col min="13478" max="13478" width="21.42578125" style="8" customWidth="1"/>
    <col min="13479" max="13479" width="26.7109375" style="8" customWidth="1"/>
    <col min="13480" max="13480" width="17" style="8" customWidth="1"/>
    <col min="13481" max="13504" width="2.42578125" style="8" customWidth="1"/>
    <col min="13505" max="13505" width="3" style="8" customWidth="1"/>
    <col min="13506" max="13514" width="2.42578125" style="8" customWidth="1"/>
    <col min="13515" max="13515" width="3.42578125" style="8" customWidth="1"/>
    <col min="13516" max="13535" width="2.42578125" style="8" customWidth="1"/>
    <col min="13536" max="13536" width="2.85546875" style="8" customWidth="1"/>
    <col min="13537" max="13585" width="2.42578125" style="8" customWidth="1"/>
    <col min="13586" max="13610" width="11.5703125" style="8" customWidth="1"/>
    <col min="13611" max="13612" width="25.7109375" style="8" customWidth="1"/>
    <col min="13613" max="13613" width="15.140625" style="8" customWidth="1"/>
    <col min="13614" max="13614" width="12" style="8" bestFit="1" customWidth="1"/>
    <col min="13615" max="13731" width="11.5703125" style="8"/>
    <col min="13732" max="13732" width="17.42578125" style="8" customWidth="1"/>
    <col min="13733" max="13733" width="22.5703125" style="8" customWidth="1"/>
    <col min="13734" max="13734" width="21.42578125" style="8" customWidth="1"/>
    <col min="13735" max="13735" width="26.7109375" style="8" customWidth="1"/>
    <col min="13736" max="13736" width="17" style="8" customWidth="1"/>
    <col min="13737" max="13760" width="2.42578125" style="8" customWidth="1"/>
    <col min="13761" max="13761" width="3" style="8" customWidth="1"/>
    <col min="13762" max="13770" width="2.42578125" style="8" customWidth="1"/>
    <col min="13771" max="13771" width="3.42578125" style="8" customWidth="1"/>
    <col min="13772" max="13791" width="2.42578125" style="8" customWidth="1"/>
    <col min="13792" max="13792" width="2.85546875" style="8" customWidth="1"/>
    <col min="13793" max="13841" width="2.42578125" style="8" customWidth="1"/>
    <col min="13842" max="13866" width="11.5703125" style="8" customWidth="1"/>
    <col min="13867" max="13868" width="25.7109375" style="8" customWidth="1"/>
    <col min="13869" max="13869" width="15.140625" style="8" customWidth="1"/>
    <col min="13870" max="13870" width="12" style="8" bestFit="1" customWidth="1"/>
    <col min="13871" max="13987" width="11.5703125" style="8"/>
    <col min="13988" max="13988" width="17.42578125" style="8" customWidth="1"/>
    <col min="13989" max="13989" width="22.5703125" style="8" customWidth="1"/>
    <col min="13990" max="13990" width="21.42578125" style="8" customWidth="1"/>
    <col min="13991" max="13991" width="26.7109375" style="8" customWidth="1"/>
    <col min="13992" max="13992" width="17" style="8" customWidth="1"/>
    <col min="13993" max="14016" width="2.42578125" style="8" customWidth="1"/>
    <col min="14017" max="14017" width="3" style="8" customWidth="1"/>
    <col min="14018" max="14026" width="2.42578125" style="8" customWidth="1"/>
    <col min="14027" max="14027" width="3.42578125" style="8" customWidth="1"/>
    <col min="14028" max="14047" width="2.42578125" style="8" customWidth="1"/>
    <col min="14048" max="14048" width="2.85546875" style="8" customWidth="1"/>
    <col min="14049" max="14097" width="2.42578125" style="8" customWidth="1"/>
    <col min="14098" max="14122" width="11.5703125" style="8" customWidth="1"/>
    <col min="14123" max="14124" width="25.7109375" style="8" customWidth="1"/>
    <col min="14125" max="14125" width="15.140625" style="8" customWidth="1"/>
    <col min="14126" max="14126" width="12" style="8" bestFit="1" customWidth="1"/>
    <col min="14127" max="14243" width="11.5703125" style="8"/>
    <col min="14244" max="14244" width="17.42578125" style="8" customWidth="1"/>
    <col min="14245" max="14245" width="22.5703125" style="8" customWidth="1"/>
    <col min="14246" max="14246" width="21.42578125" style="8" customWidth="1"/>
    <col min="14247" max="14247" width="26.7109375" style="8" customWidth="1"/>
    <col min="14248" max="14248" width="17" style="8" customWidth="1"/>
    <col min="14249" max="14272" width="2.42578125" style="8" customWidth="1"/>
    <col min="14273" max="14273" width="3" style="8" customWidth="1"/>
    <col min="14274" max="14282" width="2.42578125" style="8" customWidth="1"/>
    <col min="14283" max="14283" width="3.42578125" style="8" customWidth="1"/>
    <col min="14284" max="14303" width="2.42578125" style="8" customWidth="1"/>
    <col min="14304" max="14304" width="2.85546875" style="8" customWidth="1"/>
    <col min="14305" max="14353" width="2.42578125" style="8" customWidth="1"/>
    <col min="14354" max="14378" width="11.5703125" style="8" customWidth="1"/>
    <col min="14379" max="14380" width="25.7109375" style="8" customWidth="1"/>
    <col min="14381" max="14381" width="15.140625" style="8" customWidth="1"/>
    <col min="14382" max="14382" width="12" style="8" bestFit="1" customWidth="1"/>
    <col min="14383" max="14499" width="11.5703125" style="8"/>
    <col min="14500" max="14500" width="17.42578125" style="8" customWidth="1"/>
    <col min="14501" max="14501" width="22.5703125" style="8" customWidth="1"/>
    <col min="14502" max="14502" width="21.42578125" style="8" customWidth="1"/>
    <col min="14503" max="14503" width="26.7109375" style="8" customWidth="1"/>
    <col min="14504" max="14504" width="17" style="8" customWidth="1"/>
    <col min="14505" max="14528" width="2.42578125" style="8" customWidth="1"/>
    <col min="14529" max="14529" width="3" style="8" customWidth="1"/>
    <col min="14530" max="14538" width="2.42578125" style="8" customWidth="1"/>
    <col min="14539" max="14539" width="3.42578125" style="8" customWidth="1"/>
    <col min="14540" max="14559" width="2.42578125" style="8" customWidth="1"/>
    <col min="14560" max="14560" width="2.85546875" style="8" customWidth="1"/>
    <col min="14561" max="14609" width="2.42578125" style="8" customWidth="1"/>
    <col min="14610" max="14634" width="11.5703125" style="8" customWidth="1"/>
    <col min="14635" max="14636" width="25.7109375" style="8" customWidth="1"/>
    <col min="14637" max="14637" width="15.140625" style="8" customWidth="1"/>
    <col min="14638" max="14638" width="12" style="8" bestFit="1" customWidth="1"/>
    <col min="14639" max="14755" width="11.5703125" style="8"/>
    <col min="14756" max="14756" width="17.42578125" style="8" customWidth="1"/>
    <col min="14757" max="14757" width="22.5703125" style="8" customWidth="1"/>
    <col min="14758" max="14758" width="21.42578125" style="8" customWidth="1"/>
    <col min="14759" max="14759" width="26.7109375" style="8" customWidth="1"/>
    <col min="14760" max="14760" width="17" style="8" customWidth="1"/>
    <col min="14761" max="14784" width="2.42578125" style="8" customWidth="1"/>
    <col min="14785" max="14785" width="3" style="8" customWidth="1"/>
    <col min="14786" max="14794" width="2.42578125" style="8" customWidth="1"/>
    <col min="14795" max="14795" width="3.42578125" style="8" customWidth="1"/>
    <col min="14796" max="14815" width="2.42578125" style="8" customWidth="1"/>
    <col min="14816" max="14816" width="2.85546875" style="8" customWidth="1"/>
    <col min="14817" max="14865" width="2.42578125" style="8" customWidth="1"/>
    <col min="14866" max="14890" width="11.5703125" style="8" customWidth="1"/>
    <col min="14891" max="14892" width="25.7109375" style="8" customWidth="1"/>
    <col min="14893" max="14893" width="15.140625" style="8" customWidth="1"/>
    <col min="14894" max="14894" width="12" style="8" bestFit="1" customWidth="1"/>
    <col min="14895" max="15011" width="11.5703125" style="8"/>
    <col min="15012" max="15012" width="17.42578125" style="8" customWidth="1"/>
    <col min="15013" max="15013" width="22.5703125" style="8" customWidth="1"/>
    <col min="15014" max="15014" width="21.42578125" style="8" customWidth="1"/>
    <col min="15015" max="15015" width="26.7109375" style="8" customWidth="1"/>
    <col min="15016" max="15016" width="17" style="8" customWidth="1"/>
    <col min="15017" max="15040" width="2.42578125" style="8" customWidth="1"/>
    <col min="15041" max="15041" width="3" style="8" customWidth="1"/>
    <col min="15042" max="15050" width="2.42578125" style="8" customWidth="1"/>
    <col min="15051" max="15051" width="3.42578125" style="8" customWidth="1"/>
    <col min="15052" max="15071" width="2.42578125" style="8" customWidth="1"/>
    <col min="15072" max="15072" width="2.85546875" style="8" customWidth="1"/>
    <col min="15073" max="15121" width="2.42578125" style="8" customWidth="1"/>
    <col min="15122" max="15146" width="11.5703125" style="8" customWidth="1"/>
    <col min="15147" max="15148" width="25.7109375" style="8" customWidth="1"/>
    <col min="15149" max="15149" width="15.140625" style="8" customWidth="1"/>
    <col min="15150" max="15150" width="12" style="8" bestFit="1" customWidth="1"/>
    <col min="15151" max="15267" width="11.5703125" style="8"/>
    <col min="15268" max="15268" width="17.42578125" style="8" customWidth="1"/>
    <col min="15269" max="15269" width="22.5703125" style="8" customWidth="1"/>
    <col min="15270" max="15270" width="21.42578125" style="8" customWidth="1"/>
    <col min="15271" max="15271" width="26.7109375" style="8" customWidth="1"/>
    <col min="15272" max="15272" width="17" style="8" customWidth="1"/>
    <col min="15273" max="15296" width="2.42578125" style="8" customWidth="1"/>
    <col min="15297" max="15297" width="3" style="8" customWidth="1"/>
    <col min="15298" max="15306" width="2.42578125" style="8" customWidth="1"/>
    <col min="15307" max="15307" width="3.42578125" style="8" customWidth="1"/>
    <col min="15308" max="15327" width="2.42578125" style="8" customWidth="1"/>
    <col min="15328" max="15328" width="2.85546875" style="8" customWidth="1"/>
    <col min="15329" max="15377" width="2.42578125" style="8" customWidth="1"/>
    <col min="15378" max="15402" width="11.5703125" style="8" customWidth="1"/>
    <col min="15403" max="15404" width="25.7109375" style="8" customWidth="1"/>
    <col min="15405" max="15405" width="15.140625" style="8" customWidth="1"/>
    <col min="15406" max="15406" width="12" style="8" bestFit="1" customWidth="1"/>
    <col min="15407" max="15523" width="11.5703125" style="8"/>
    <col min="15524" max="15524" width="17.42578125" style="8" customWidth="1"/>
    <col min="15525" max="15525" width="22.5703125" style="8" customWidth="1"/>
    <col min="15526" max="15526" width="21.42578125" style="8" customWidth="1"/>
    <col min="15527" max="15527" width="26.7109375" style="8" customWidth="1"/>
    <col min="15528" max="15528" width="17" style="8" customWidth="1"/>
    <col min="15529" max="15552" width="2.42578125" style="8" customWidth="1"/>
    <col min="15553" max="15553" width="3" style="8" customWidth="1"/>
    <col min="15554" max="15562" width="2.42578125" style="8" customWidth="1"/>
    <col min="15563" max="15563" width="3.42578125" style="8" customWidth="1"/>
    <col min="15564" max="15583" width="2.42578125" style="8" customWidth="1"/>
    <col min="15584" max="15584" width="2.85546875" style="8" customWidth="1"/>
    <col min="15585" max="15633" width="2.42578125" style="8" customWidth="1"/>
    <col min="15634" max="15658" width="11.5703125" style="8" customWidth="1"/>
    <col min="15659" max="15660" width="25.7109375" style="8" customWidth="1"/>
    <col min="15661" max="15661" width="15.140625" style="8" customWidth="1"/>
    <col min="15662" max="15662" width="12" style="8" bestFit="1" customWidth="1"/>
    <col min="15663" max="15779" width="11.5703125" style="8"/>
    <col min="15780" max="15780" width="17.42578125" style="8" customWidth="1"/>
    <col min="15781" max="15781" width="22.5703125" style="8" customWidth="1"/>
    <col min="15782" max="15782" width="21.42578125" style="8" customWidth="1"/>
    <col min="15783" max="15783" width="26.7109375" style="8" customWidth="1"/>
    <col min="15784" max="15784" width="17" style="8" customWidth="1"/>
    <col min="15785" max="15808" width="2.42578125" style="8" customWidth="1"/>
    <col min="15809" max="15809" width="3" style="8" customWidth="1"/>
    <col min="15810" max="15818" width="2.42578125" style="8" customWidth="1"/>
    <col min="15819" max="15819" width="3.42578125" style="8" customWidth="1"/>
    <col min="15820" max="15839" width="2.42578125" style="8" customWidth="1"/>
    <col min="15840" max="15840" width="2.85546875" style="8" customWidth="1"/>
    <col min="15841" max="15889" width="2.42578125" style="8" customWidth="1"/>
    <col min="15890" max="15914" width="11.5703125" style="8" customWidth="1"/>
    <col min="15915" max="15916" width="25.7109375" style="8" customWidth="1"/>
    <col min="15917" max="15917" width="15.140625" style="8" customWidth="1"/>
    <col min="15918" max="15918" width="12" style="8" bestFit="1" customWidth="1"/>
    <col min="15919" max="16035" width="11.5703125" style="8"/>
    <col min="16036" max="16036" width="17.42578125" style="8" customWidth="1"/>
    <col min="16037" max="16037" width="22.5703125" style="8" customWidth="1"/>
    <col min="16038" max="16038" width="21.42578125" style="8" customWidth="1"/>
    <col min="16039" max="16039" width="26.7109375" style="8" customWidth="1"/>
    <col min="16040" max="16040" width="17" style="8" customWidth="1"/>
    <col min="16041" max="16064" width="2.42578125" style="8" customWidth="1"/>
    <col min="16065" max="16065" width="3" style="8" customWidth="1"/>
    <col min="16066" max="16074" width="2.42578125" style="8" customWidth="1"/>
    <col min="16075" max="16075" width="3.42578125" style="8" customWidth="1"/>
    <col min="16076" max="16095" width="2.42578125" style="8" customWidth="1"/>
    <col min="16096" max="16096" width="2.85546875" style="8" customWidth="1"/>
    <col min="16097" max="16145" width="2.42578125" style="8" customWidth="1"/>
    <col min="16146" max="16170" width="11.5703125" style="8" customWidth="1"/>
    <col min="16171" max="16172" width="25.7109375" style="8" customWidth="1"/>
    <col min="16173" max="16173" width="15.140625" style="8" customWidth="1"/>
    <col min="16174" max="16174" width="12" style="8" bestFit="1" customWidth="1"/>
    <col min="16175" max="16384" width="11.5703125" style="8"/>
  </cols>
  <sheetData>
    <row r="1" spans="1:45" ht="25.15" customHeight="1" thickBot="1" x14ac:dyDescent="0.25">
      <c r="A1" s="408"/>
      <c r="B1" s="409" t="s">
        <v>152</v>
      </c>
      <c r="C1" s="410"/>
      <c r="D1" s="411"/>
      <c r="E1" s="411"/>
      <c r="F1" s="411"/>
      <c r="G1" s="411"/>
      <c r="H1" s="411"/>
      <c r="I1" s="411"/>
      <c r="J1" s="411"/>
      <c r="K1" s="411"/>
      <c r="L1" s="411"/>
      <c r="M1" s="411"/>
      <c r="N1" s="411"/>
      <c r="O1" s="411"/>
      <c r="P1" s="411"/>
      <c r="Q1" s="411"/>
      <c r="R1" s="411"/>
      <c r="S1" s="411"/>
      <c r="T1" s="411"/>
      <c r="U1" s="411"/>
      <c r="V1" s="411"/>
      <c r="W1" s="411"/>
      <c r="X1" s="411"/>
      <c r="Y1" s="411"/>
      <c r="Z1" s="411"/>
      <c r="AA1" s="411"/>
      <c r="AB1" s="411"/>
      <c r="AC1" s="411"/>
      <c r="AD1" s="411"/>
      <c r="AE1" s="411"/>
      <c r="AF1" s="411"/>
      <c r="AG1" s="411"/>
      <c r="AH1" s="411"/>
      <c r="AI1" s="411"/>
      <c r="AJ1" s="411"/>
      <c r="AK1" s="411"/>
      <c r="AL1" s="411"/>
      <c r="AM1" s="411"/>
      <c r="AN1" s="411"/>
      <c r="AO1" s="411"/>
      <c r="AP1" s="411"/>
    </row>
    <row r="2" spans="1:45" ht="25.15" customHeight="1" x14ac:dyDescent="0.2">
      <c r="A2" s="266"/>
      <c r="B2" s="267"/>
      <c r="C2" s="268"/>
      <c r="D2" s="269"/>
      <c r="E2" s="269"/>
      <c r="F2" s="269"/>
      <c r="G2" s="269"/>
      <c r="H2" s="269"/>
      <c r="I2" s="269"/>
      <c r="J2" s="269"/>
      <c r="K2" s="269"/>
      <c r="L2" s="269"/>
      <c r="M2" s="269"/>
      <c r="N2" s="269"/>
      <c r="O2" s="269"/>
      <c r="P2" s="269"/>
      <c r="Q2" s="269"/>
      <c r="R2" s="269"/>
      <c r="S2" s="269"/>
      <c r="T2" s="269"/>
      <c r="U2" s="269"/>
      <c r="V2" s="269"/>
      <c r="W2" s="269"/>
      <c r="X2" s="269"/>
      <c r="Y2" s="269"/>
      <c r="Z2" s="269"/>
      <c r="AA2" s="269"/>
      <c r="AB2" s="269"/>
      <c r="AC2" s="269"/>
      <c r="AD2" s="269"/>
      <c r="AE2" s="269"/>
      <c r="AF2" s="269"/>
      <c r="AG2" s="269"/>
      <c r="AH2" s="269"/>
      <c r="AI2" s="269"/>
      <c r="AJ2" s="269"/>
      <c r="AK2" s="269"/>
      <c r="AL2" s="269"/>
      <c r="AM2" s="269"/>
      <c r="AN2" s="269"/>
      <c r="AO2" s="269"/>
      <c r="AP2" s="269"/>
    </row>
    <row r="3" spans="1:45" ht="25.15" customHeight="1" x14ac:dyDescent="0.2">
      <c r="A3" s="270" t="s">
        <v>35</v>
      </c>
      <c r="B3" s="271" t="s">
        <v>140</v>
      </c>
      <c r="C3" s="272"/>
      <c r="D3" s="270"/>
      <c r="E3" s="273">
        <v>45383</v>
      </c>
      <c r="F3" s="273">
        <v>45413</v>
      </c>
      <c r="G3" s="273">
        <v>45444</v>
      </c>
      <c r="H3" s="273">
        <v>45474</v>
      </c>
      <c r="I3" s="273">
        <v>45505</v>
      </c>
      <c r="J3" s="273">
        <v>45536</v>
      </c>
      <c r="K3" s="273">
        <v>45566</v>
      </c>
      <c r="L3" s="273">
        <v>45597</v>
      </c>
      <c r="M3" s="273">
        <v>45627</v>
      </c>
      <c r="N3" s="273">
        <v>45658</v>
      </c>
      <c r="O3" s="273">
        <v>45689</v>
      </c>
      <c r="P3" s="273">
        <v>45717</v>
      </c>
      <c r="Q3" s="273">
        <v>45748</v>
      </c>
      <c r="R3" s="273">
        <v>45778</v>
      </c>
      <c r="S3" s="273">
        <v>45809</v>
      </c>
      <c r="T3" s="273">
        <v>45839</v>
      </c>
      <c r="U3" s="273">
        <v>45870</v>
      </c>
      <c r="V3" s="273">
        <v>45901</v>
      </c>
      <c r="W3" s="273">
        <v>45931</v>
      </c>
      <c r="X3" s="273">
        <v>45962</v>
      </c>
      <c r="Y3" s="273">
        <v>45992</v>
      </c>
      <c r="Z3" s="273">
        <v>46023</v>
      </c>
      <c r="AA3" s="273">
        <v>46054</v>
      </c>
      <c r="AB3" s="273">
        <v>46082</v>
      </c>
      <c r="AC3" s="273">
        <v>46113</v>
      </c>
      <c r="AD3" s="273">
        <v>46143</v>
      </c>
      <c r="AE3" s="273">
        <v>46174</v>
      </c>
      <c r="AF3" s="273">
        <v>46204</v>
      </c>
      <c r="AG3" s="273">
        <v>46235</v>
      </c>
      <c r="AH3" s="273">
        <v>46266</v>
      </c>
      <c r="AI3" s="273">
        <v>46296</v>
      </c>
      <c r="AJ3" s="273">
        <v>46327</v>
      </c>
      <c r="AK3" s="273">
        <v>46357</v>
      </c>
      <c r="AL3" s="273">
        <v>46388</v>
      </c>
      <c r="AM3" s="273">
        <v>46419</v>
      </c>
      <c r="AN3" s="273">
        <v>46447</v>
      </c>
      <c r="AO3" s="273">
        <v>46478</v>
      </c>
      <c r="AP3" s="273">
        <v>46508</v>
      </c>
    </row>
    <row r="4" spans="1:45" ht="15" x14ac:dyDescent="0.2">
      <c r="A4" s="176"/>
      <c r="B4" s="274"/>
      <c r="C4" s="274"/>
      <c r="D4" s="274"/>
      <c r="E4" s="176"/>
      <c r="F4" s="176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76"/>
      <c r="T4" s="176"/>
      <c r="U4" s="176"/>
      <c r="V4" s="176"/>
      <c r="W4" s="176"/>
      <c r="X4" s="176"/>
      <c r="Y4" s="176"/>
      <c r="Z4" s="176"/>
      <c r="AA4" s="176"/>
      <c r="AB4" s="176"/>
      <c r="AC4" s="176"/>
      <c r="AD4" s="176"/>
      <c r="AE4" s="176"/>
      <c r="AF4" s="176"/>
      <c r="AG4" s="176"/>
      <c r="AH4" s="176"/>
      <c r="AI4" s="176"/>
      <c r="AJ4" s="176"/>
      <c r="AK4" s="176"/>
      <c r="AL4" s="176"/>
      <c r="AM4" s="176"/>
      <c r="AN4" s="176"/>
      <c r="AO4" s="176"/>
      <c r="AP4" s="176"/>
    </row>
    <row r="5" spans="1:45" ht="15" x14ac:dyDescent="0.2">
      <c r="A5" s="176"/>
      <c r="B5" s="275" t="s">
        <v>141</v>
      </c>
      <c r="C5" s="276"/>
      <c r="D5" s="276"/>
      <c r="E5" s="176"/>
      <c r="F5" s="176"/>
      <c r="G5" s="177" t="s">
        <v>669</v>
      </c>
      <c r="H5" s="177"/>
      <c r="I5" s="176"/>
      <c r="J5" s="176"/>
      <c r="K5" s="176"/>
      <c r="L5" s="176"/>
      <c r="M5" s="176"/>
      <c r="N5" s="176"/>
      <c r="O5" s="176"/>
      <c r="P5" s="176"/>
      <c r="Q5" s="176"/>
      <c r="R5" s="176"/>
      <c r="S5" s="176"/>
      <c r="T5" s="176"/>
      <c r="U5" s="176"/>
      <c r="V5" s="176"/>
      <c r="W5" s="176"/>
      <c r="X5" s="176"/>
      <c r="Y5" s="176"/>
      <c r="Z5" s="176"/>
      <c r="AA5" s="176"/>
      <c r="AB5" s="176"/>
      <c r="AC5" s="176"/>
      <c r="AD5" s="176"/>
      <c r="AE5" s="176"/>
      <c r="AF5" s="176"/>
      <c r="AG5" s="176"/>
      <c r="AH5" s="176"/>
      <c r="AI5" s="176"/>
      <c r="AJ5" s="176"/>
      <c r="AK5" s="176"/>
      <c r="AL5" s="176"/>
      <c r="AM5" s="176"/>
      <c r="AN5" s="176"/>
      <c r="AO5" s="176"/>
      <c r="AP5" s="176"/>
    </row>
    <row r="6" spans="1:45" ht="15" x14ac:dyDescent="0.2">
      <c r="A6" s="176"/>
      <c r="B6" s="275" t="s">
        <v>142</v>
      </c>
      <c r="C6" s="276"/>
      <c r="D6" s="276"/>
      <c r="E6" s="176"/>
      <c r="F6" s="176"/>
      <c r="G6" s="178" t="s">
        <v>142</v>
      </c>
      <c r="H6" s="178"/>
      <c r="I6" s="178"/>
      <c r="J6" s="178"/>
      <c r="K6" s="178"/>
      <c r="L6" s="178"/>
      <c r="M6" s="178"/>
      <c r="N6" s="203"/>
      <c r="O6" s="203"/>
      <c r="P6" s="203"/>
      <c r="Q6" s="669"/>
      <c r="R6" s="176"/>
      <c r="S6" s="176"/>
      <c r="T6" s="176"/>
      <c r="U6" s="176"/>
      <c r="V6" s="176"/>
      <c r="W6" s="176"/>
      <c r="X6" s="176"/>
      <c r="Y6" s="176"/>
      <c r="Z6" s="176"/>
      <c r="AA6" s="176"/>
      <c r="AB6" s="176"/>
      <c r="AC6" s="176"/>
      <c r="AD6" s="176"/>
      <c r="AE6" s="176"/>
      <c r="AF6" s="176"/>
      <c r="AG6" s="176"/>
      <c r="AH6" s="176"/>
      <c r="AI6" s="176"/>
      <c r="AJ6" s="176"/>
      <c r="AK6" s="176"/>
      <c r="AL6" s="176"/>
      <c r="AM6" s="176"/>
      <c r="AN6" s="176"/>
      <c r="AO6" s="176"/>
      <c r="AP6" s="176"/>
    </row>
    <row r="7" spans="1:45" ht="15" x14ac:dyDescent="0.2">
      <c r="A7" s="176"/>
      <c r="B7" s="275" t="s">
        <v>143</v>
      </c>
      <c r="C7" s="276"/>
      <c r="D7" s="276"/>
      <c r="E7" s="176"/>
      <c r="F7" s="176"/>
      <c r="G7" s="176"/>
      <c r="H7" s="176"/>
      <c r="I7" s="176"/>
      <c r="J7" s="176"/>
      <c r="K7" s="176"/>
      <c r="L7" s="176"/>
      <c r="M7" s="176"/>
      <c r="N7" s="176"/>
      <c r="O7" s="673" t="s">
        <v>143</v>
      </c>
      <c r="P7" s="673"/>
      <c r="Q7" s="673"/>
      <c r="R7" s="673"/>
      <c r="S7" s="673"/>
      <c r="T7" s="673"/>
      <c r="U7" s="673"/>
      <c r="V7" s="673"/>
      <c r="W7" s="673"/>
      <c r="X7" s="673"/>
      <c r="Y7" s="673"/>
      <c r="Z7" s="673"/>
      <c r="AA7" s="673"/>
      <c r="AB7" s="673"/>
      <c r="AC7" s="673"/>
      <c r="AD7" s="176"/>
      <c r="AE7" s="176"/>
      <c r="AF7" s="176"/>
      <c r="AG7" s="176"/>
      <c r="AH7" s="176"/>
      <c r="AI7" s="176"/>
      <c r="AJ7" s="176"/>
      <c r="AK7" s="176"/>
      <c r="AL7" s="176"/>
      <c r="AM7" s="176"/>
      <c r="AN7" s="176"/>
      <c r="AO7" s="176"/>
      <c r="AP7" s="176"/>
    </row>
    <row r="8" spans="1:45" ht="15" x14ac:dyDescent="0.2">
      <c r="A8" s="176"/>
      <c r="B8" s="275" t="s">
        <v>719</v>
      </c>
      <c r="C8" s="276"/>
      <c r="D8" s="276"/>
      <c r="E8" s="176"/>
      <c r="F8" s="176"/>
      <c r="G8" s="176"/>
      <c r="H8" s="176"/>
      <c r="I8" s="176"/>
      <c r="J8" s="176"/>
      <c r="K8" s="176"/>
      <c r="L8" s="176"/>
      <c r="M8" s="176"/>
      <c r="N8" s="176"/>
      <c r="O8" s="176"/>
      <c r="P8" s="176"/>
      <c r="Q8" s="176"/>
      <c r="R8" s="176"/>
      <c r="S8" s="176"/>
      <c r="T8" s="176"/>
      <c r="U8" s="176"/>
      <c r="V8" s="176"/>
      <c r="W8" s="176"/>
      <c r="X8" s="176"/>
      <c r="Y8" s="176"/>
      <c r="Z8" s="176"/>
      <c r="AA8" s="176"/>
      <c r="AB8" s="176"/>
      <c r="AC8" s="675" t="s">
        <v>719</v>
      </c>
      <c r="AD8" s="676"/>
      <c r="AE8" s="676"/>
      <c r="AF8" s="176"/>
      <c r="AG8" s="176"/>
      <c r="AH8" s="176"/>
      <c r="AI8" s="176"/>
      <c r="AJ8" s="176"/>
      <c r="AK8" s="176"/>
      <c r="AL8" s="176"/>
      <c r="AM8" s="176"/>
      <c r="AN8" s="176"/>
      <c r="AO8" s="176"/>
      <c r="AP8" s="176"/>
    </row>
    <row r="9" spans="1:45" ht="15" x14ac:dyDescent="0.2">
      <c r="A9" s="670"/>
      <c r="B9" s="671" t="s">
        <v>720</v>
      </c>
      <c r="C9" s="672"/>
      <c r="D9" s="672"/>
      <c r="E9" s="670"/>
      <c r="F9" s="670"/>
      <c r="G9" s="670"/>
      <c r="H9" s="670"/>
      <c r="I9" s="670"/>
      <c r="J9" s="670"/>
      <c r="K9" s="670"/>
      <c r="L9" s="670"/>
      <c r="M9" s="670"/>
      <c r="N9" s="670"/>
      <c r="O9" s="670"/>
      <c r="P9" s="670"/>
      <c r="Q9" s="670"/>
      <c r="R9" s="670"/>
      <c r="S9" s="670"/>
      <c r="T9" s="670"/>
      <c r="U9" s="670"/>
      <c r="V9" s="670"/>
      <c r="W9" s="670"/>
      <c r="X9" s="670"/>
      <c r="Y9" s="670"/>
      <c r="Z9" s="670"/>
      <c r="AA9" s="670"/>
      <c r="AB9" s="670"/>
      <c r="AC9" s="678" t="s">
        <v>721</v>
      </c>
      <c r="AD9" s="677"/>
      <c r="AE9" s="677"/>
      <c r="AF9" s="677"/>
      <c r="AG9" s="677"/>
      <c r="AH9" s="677"/>
      <c r="AI9" s="677"/>
      <c r="AJ9" s="677"/>
      <c r="AK9" s="677"/>
      <c r="AL9" s="677"/>
      <c r="AM9" s="677"/>
      <c r="AN9" s="677"/>
      <c r="AO9" s="677"/>
      <c r="AP9" s="670"/>
    </row>
    <row r="10" spans="1:45" ht="25.15" customHeight="1" thickBot="1" x14ac:dyDescent="0.25">
      <c r="A10" s="277"/>
      <c r="B10" s="278"/>
      <c r="C10" s="278"/>
      <c r="D10" s="278"/>
      <c r="E10" s="278"/>
      <c r="F10" s="278"/>
      <c r="M10" s="278"/>
      <c r="N10" s="278"/>
      <c r="O10" s="278"/>
      <c r="P10" s="278"/>
      <c r="Q10" s="278"/>
      <c r="R10" s="278"/>
      <c r="S10" s="278"/>
      <c r="T10" s="278"/>
      <c r="U10" s="278"/>
      <c r="V10" s="278"/>
      <c r="W10" s="278"/>
      <c r="X10" s="278"/>
      <c r="Y10" s="278"/>
      <c r="Z10" s="278"/>
      <c r="AA10" s="278"/>
      <c r="AB10" s="278"/>
      <c r="AC10" s="278"/>
      <c r="AD10" s="278"/>
      <c r="AE10" s="278"/>
      <c r="AF10" s="278"/>
      <c r="AG10" s="278"/>
      <c r="AH10" s="278"/>
      <c r="AI10" s="278"/>
      <c r="AJ10" s="278"/>
      <c r="AK10" s="278"/>
      <c r="AL10" s="278"/>
      <c r="AM10" s="278"/>
      <c r="AN10" s="278"/>
      <c r="AO10" s="278"/>
      <c r="AP10" s="278"/>
    </row>
    <row r="11" spans="1:45" ht="25.15" customHeight="1" x14ac:dyDescent="0.2">
      <c r="A11" s="343" t="s">
        <v>601</v>
      </c>
      <c r="B11" s="344" t="s">
        <v>144</v>
      </c>
      <c r="C11" s="345" t="s">
        <v>5</v>
      </c>
      <c r="D11" s="346" t="s">
        <v>145</v>
      </c>
      <c r="E11" s="273">
        <v>45383</v>
      </c>
      <c r="F11" s="273">
        <v>45413</v>
      </c>
      <c r="G11" s="273">
        <v>45444</v>
      </c>
      <c r="H11" s="273">
        <v>45474</v>
      </c>
      <c r="I11" s="273">
        <v>45505</v>
      </c>
      <c r="J11" s="273">
        <v>45536</v>
      </c>
      <c r="K11" s="273">
        <v>45566</v>
      </c>
      <c r="L11" s="273">
        <v>45597</v>
      </c>
      <c r="M11" s="273">
        <v>45627</v>
      </c>
      <c r="N11" s="273">
        <v>45658</v>
      </c>
      <c r="O11" s="273">
        <v>45689</v>
      </c>
      <c r="P11" s="273">
        <v>45717</v>
      </c>
      <c r="Q11" s="273">
        <v>45748</v>
      </c>
      <c r="R11" s="273">
        <v>45778</v>
      </c>
      <c r="S11" s="273">
        <v>45809</v>
      </c>
      <c r="T11" s="273">
        <v>45839</v>
      </c>
      <c r="U11" s="273">
        <v>45870</v>
      </c>
      <c r="V11" s="273">
        <v>45901</v>
      </c>
      <c r="W11" s="273">
        <v>45931</v>
      </c>
      <c r="X11" s="273">
        <v>45962</v>
      </c>
      <c r="Y11" s="273">
        <v>45992</v>
      </c>
      <c r="Z11" s="273">
        <v>46023</v>
      </c>
      <c r="AA11" s="273">
        <v>46054</v>
      </c>
      <c r="AB11" s="273">
        <v>46082</v>
      </c>
      <c r="AC11" s="273">
        <v>46113</v>
      </c>
      <c r="AD11" s="273">
        <v>46143</v>
      </c>
      <c r="AE11" s="273">
        <v>46174</v>
      </c>
      <c r="AF11" s="273">
        <v>46204</v>
      </c>
      <c r="AG11" s="273">
        <v>46235</v>
      </c>
      <c r="AH11" s="273">
        <v>46266</v>
      </c>
      <c r="AI11" s="273">
        <v>46296</v>
      </c>
      <c r="AJ11" s="273">
        <v>46327</v>
      </c>
      <c r="AK11" s="273">
        <v>46357</v>
      </c>
      <c r="AL11" s="273">
        <v>46388</v>
      </c>
      <c r="AM11" s="273">
        <v>46419</v>
      </c>
      <c r="AN11" s="273">
        <v>46447</v>
      </c>
      <c r="AO11" s="273">
        <v>46478</v>
      </c>
      <c r="AP11" s="273">
        <v>46508</v>
      </c>
      <c r="AQ11" s="280" t="s">
        <v>138</v>
      </c>
      <c r="AR11" s="281" t="s">
        <v>139</v>
      </c>
    </row>
    <row r="12" spans="1:45" ht="15" x14ac:dyDescent="0.2">
      <c r="A12" s="347"/>
      <c r="B12" s="282"/>
      <c r="C12" s="283" t="s">
        <v>612</v>
      </c>
      <c r="D12" s="348"/>
      <c r="E12" s="660">
        <f>IF(THM!C10&gt;0,+THM!C24,0)</f>
        <v>17462.47</v>
      </c>
      <c r="F12" s="779">
        <f>IF(THM!D10&gt;0,+THM!D24,0)</f>
        <v>11111.032135734717</v>
      </c>
      <c r="G12" s="779">
        <f>IF(THM!E10&gt;0,+THM!E24,0)</f>
        <v>13624.463407049665</v>
      </c>
      <c r="H12" s="779">
        <f>IF(THM!F10&gt;0,+THM!F24,0)</f>
        <v>23283.049406299418</v>
      </c>
      <c r="I12" s="779">
        <f>IF(THM!G10&gt;0,+THM!G24,0)</f>
        <v>8817.848487312167</v>
      </c>
      <c r="J12" s="779">
        <f>IF(THM!H10&gt;0,+THM!H24,0)</f>
        <v>15139.559882594338</v>
      </c>
      <c r="K12" s="779">
        <f>IF(THM!I10&gt;0,+THM!I24,0)</f>
        <v>14479.655970113608</v>
      </c>
      <c r="L12" s="779">
        <f>IF(THM!J10&gt;0,+THM!J24,0)</f>
        <v>14779.625333240438</v>
      </c>
      <c r="M12" s="779">
        <f>IF(THM!K10&gt;0,+THM!K24,0)</f>
        <v>12552.394469200168</v>
      </c>
      <c r="N12" s="645">
        <f>IF(THM!L10&gt;0,+THM!L24,0)</f>
        <v>0</v>
      </c>
      <c r="O12" s="645">
        <f>IF(THM!M10&gt;0,+THM!M24,0)</f>
        <v>0</v>
      </c>
      <c r="P12" s="645">
        <f>IF(THM!N10&gt;0,+THM!N24,0)</f>
        <v>0</v>
      </c>
      <c r="Q12" s="645">
        <f>IF(THM!O10&gt;0,+THM!O24,0)</f>
        <v>0</v>
      </c>
      <c r="R12" s="645">
        <f>IF(THM!P10&gt;0,+THM!P24,0)</f>
        <v>0</v>
      </c>
      <c r="S12" s="645">
        <f>IF(THM!Q10&gt;0,+THM!Q24,0)</f>
        <v>0</v>
      </c>
      <c r="T12" s="645">
        <f>IF(THM!R10&gt;0,+THM!R24,0)</f>
        <v>0</v>
      </c>
      <c r="U12" s="645">
        <f>IF(THM!S10&gt;0,+THM!S24,0)</f>
        <v>0</v>
      </c>
      <c r="V12" s="645">
        <f>IF(THM!T10&gt;0,+THM!T24,0)</f>
        <v>0</v>
      </c>
      <c r="W12" s="645">
        <f>IF(THM!U10&gt;0,+THM!U24,0)</f>
        <v>0</v>
      </c>
      <c r="X12" s="645">
        <f>IF(THM!V10&gt;0,+THM!V24,0)</f>
        <v>0</v>
      </c>
      <c r="Y12" s="645">
        <f>IF(THM!W10&gt;0,+THM!W24,0)</f>
        <v>0</v>
      </c>
      <c r="Z12" s="645">
        <f>IF(THM!X10&gt;0,+THM!X24,0)</f>
        <v>0</v>
      </c>
      <c r="AA12" s="645">
        <f>IF(THM!Y10&gt;0,+THM!Y24,0)</f>
        <v>0</v>
      </c>
      <c r="AB12" s="645">
        <f>IF(THM!Z10&gt;0,+THM!Z24,0)</f>
        <v>0</v>
      </c>
      <c r="AC12" s="645">
        <f>IF(THM!AA10&gt;0,+THM!AA24,0)</f>
        <v>0</v>
      </c>
      <c r="AD12" s="645">
        <f>IF(THM!AB10&gt;0,+THM!AB24,0)</f>
        <v>0</v>
      </c>
      <c r="AE12" s="645">
        <f>IF(THM!AC10&gt;0,+THM!AC24,0)</f>
        <v>0</v>
      </c>
      <c r="AF12" s="645">
        <f>IF(THM!AD10&gt;0,+THM!AD24,0)</f>
        <v>0</v>
      </c>
      <c r="AG12" s="645">
        <f>IF(THM!AE10&gt;0,+THM!AE24,0)</f>
        <v>0</v>
      </c>
      <c r="AH12" s="645">
        <f>IF(THM!AF10&gt;0,+THM!AF24,0)</f>
        <v>0</v>
      </c>
      <c r="AI12" s="645">
        <f>IF(THM!AG10&gt;0,+THM!AG24,0)</f>
        <v>0</v>
      </c>
      <c r="AJ12" s="645">
        <f>IF(THM!AH10&gt;0,+THM!AH24,0)</f>
        <v>0</v>
      </c>
      <c r="AK12" s="645">
        <f>IF(THM!AI10&gt;0,+THM!AI24,0)</f>
        <v>0</v>
      </c>
      <c r="AL12" s="645">
        <f>IF(THM!AJ10&gt;0,+THM!AJ24,0)</f>
        <v>0</v>
      </c>
      <c r="AM12" s="645">
        <f>IF(THM!AK10&gt;0,+THM!AK24,0)</f>
        <v>0</v>
      </c>
      <c r="AN12" s="645">
        <f>IF(THM!AL10&gt;0,+THM!AL24,0)</f>
        <v>0</v>
      </c>
      <c r="AO12" s="645">
        <f>IF(THM!AM10&gt;0,+THM!AM24,0)</f>
        <v>0</v>
      </c>
      <c r="AP12" s="645">
        <f>IF(THM!AN10&gt;0,+THM!AN24,0)</f>
        <v>0</v>
      </c>
      <c r="AQ12" s="578">
        <f>SUM(E12:AP12)</f>
        <v>131250.09909154451</v>
      </c>
      <c r="AR12" s="801">
        <v>500000</v>
      </c>
      <c r="AS12" s="349" t="s">
        <v>597</v>
      </c>
    </row>
    <row r="13" spans="1:45" ht="15" x14ac:dyDescent="0.2">
      <c r="A13" s="727">
        <v>0.1</v>
      </c>
      <c r="B13" s="726" t="s">
        <v>935</v>
      </c>
      <c r="C13" s="285" t="s">
        <v>724</v>
      </c>
      <c r="D13" s="351">
        <v>12000</v>
      </c>
      <c r="E13" s="646"/>
      <c r="F13" s="647"/>
      <c r="G13" s="647"/>
      <c r="H13" s="647"/>
      <c r="I13" s="647"/>
      <c r="J13" s="647"/>
      <c r="K13" s="647"/>
      <c r="L13" s="647"/>
      <c r="M13" s="647"/>
      <c r="N13" s="647">
        <f t="shared" ref="N13:AC13" si="0">12000*0.25</f>
        <v>3000</v>
      </c>
      <c r="O13" s="647">
        <f t="shared" si="0"/>
        <v>3000</v>
      </c>
      <c r="P13" s="647">
        <f t="shared" si="0"/>
        <v>3000</v>
      </c>
      <c r="Q13" s="647">
        <f t="shared" si="0"/>
        <v>3000</v>
      </c>
      <c r="R13" s="647">
        <f t="shared" si="0"/>
        <v>3000</v>
      </c>
      <c r="S13" s="647">
        <f t="shared" si="0"/>
        <v>3000</v>
      </c>
      <c r="T13" s="647">
        <f t="shared" si="0"/>
        <v>3000</v>
      </c>
      <c r="U13" s="647">
        <v>500</v>
      </c>
      <c r="V13" s="647">
        <f t="shared" si="0"/>
        <v>3000</v>
      </c>
      <c r="W13" s="647">
        <f t="shared" si="0"/>
        <v>3000</v>
      </c>
      <c r="X13" s="647">
        <f t="shared" si="0"/>
        <v>3000</v>
      </c>
      <c r="Y13" s="647">
        <v>2500</v>
      </c>
      <c r="Z13" s="647">
        <f t="shared" si="0"/>
        <v>3000</v>
      </c>
      <c r="AA13" s="647">
        <f t="shared" si="0"/>
        <v>3000</v>
      </c>
      <c r="AB13" s="647">
        <f t="shared" si="0"/>
        <v>3000</v>
      </c>
      <c r="AC13" s="647">
        <f t="shared" si="0"/>
        <v>3000</v>
      </c>
      <c r="AD13" s="647"/>
      <c r="AE13" s="647"/>
      <c r="AF13" s="647"/>
      <c r="AG13" s="647"/>
      <c r="AH13" s="647"/>
      <c r="AI13" s="647"/>
      <c r="AJ13" s="647"/>
      <c r="AK13" s="647"/>
      <c r="AL13" s="647"/>
      <c r="AM13" s="647"/>
      <c r="AN13" s="647"/>
      <c r="AO13" s="647"/>
      <c r="AP13" s="647"/>
      <c r="AQ13" s="579">
        <f t="shared" ref="AQ13:AQ18" si="1">SUM(E13:AP13)</f>
        <v>45000</v>
      </c>
      <c r="AR13" s="580" t="s">
        <v>588</v>
      </c>
      <c r="AS13" s="179"/>
    </row>
    <row r="14" spans="1:45" ht="15" x14ac:dyDescent="0.2">
      <c r="A14" s="727">
        <v>0.5</v>
      </c>
      <c r="B14" s="284" t="s">
        <v>936</v>
      </c>
      <c r="C14" s="285" t="s">
        <v>1083</v>
      </c>
      <c r="D14" s="351">
        <v>8000</v>
      </c>
      <c r="E14" s="646"/>
      <c r="F14" s="646"/>
      <c r="G14" s="646"/>
      <c r="H14" s="646"/>
      <c r="I14" s="646"/>
      <c r="J14" s="646"/>
      <c r="K14" s="646"/>
      <c r="L14" s="646"/>
      <c r="M14" s="646"/>
      <c r="N14" s="646">
        <v>5000</v>
      </c>
      <c r="O14" s="794"/>
      <c r="P14" s="794"/>
      <c r="Q14" s="794">
        <v>3000</v>
      </c>
      <c r="R14" s="794">
        <v>3000</v>
      </c>
      <c r="S14" s="794">
        <v>3000</v>
      </c>
      <c r="T14" s="794">
        <v>6000</v>
      </c>
      <c r="U14" s="794">
        <v>6000</v>
      </c>
      <c r="V14" s="794">
        <v>6000</v>
      </c>
      <c r="W14" s="794">
        <v>6000</v>
      </c>
      <c r="X14" s="794">
        <v>6000</v>
      </c>
      <c r="Y14" s="794">
        <v>6000</v>
      </c>
      <c r="Z14" s="794">
        <v>6000</v>
      </c>
      <c r="AA14" s="794">
        <v>6000</v>
      </c>
      <c r="AB14" s="794">
        <v>6000</v>
      </c>
      <c r="AC14" s="794">
        <v>3000</v>
      </c>
      <c r="AD14" s="794">
        <v>3000</v>
      </c>
      <c r="AE14" s="794">
        <v>3000</v>
      </c>
      <c r="AF14" s="647"/>
      <c r="AG14" s="647"/>
      <c r="AH14" s="647"/>
      <c r="AI14" s="647"/>
      <c r="AJ14" s="647"/>
      <c r="AK14" s="647"/>
      <c r="AL14" s="647"/>
      <c r="AM14" s="647"/>
      <c r="AN14" s="647"/>
      <c r="AO14" s="647"/>
      <c r="AP14" s="647"/>
      <c r="AQ14" s="579">
        <f t="shared" si="1"/>
        <v>77000</v>
      </c>
      <c r="AR14" s="580" t="s">
        <v>588</v>
      </c>
      <c r="AS14" s="179"/>
    </row>
    <row r="15" spans="1:45" ht="15" x14ac:dyDescent="0.2">
      <c r="A15" s="727">
        <v>1</v>
      </c>
      <c r="B15" s="284" t="s">
        <v>937</v>
      </c>
      <c r="C15" s="285" t="s">
        <v>1085</v>
      </c>
      <c r="D15" s="351">
        <v>6000</v>
      </c>
      <c r="E15" s="646"/>
      <c r="F15" s="647"/>
      <c r="G15" s="647"/>
      <c r="H15" s="647"/>
      <c r="I15" s="647"/>
      <c r="J15" s="647"/>
      <c r="K15" s="647"/>
      <c r="L15" s="647"/>
      <c r="M15" s="647"/>
      <c r="N15" s="647">
        <f t="shared" ref="N15:O15" si="2">1*$D$15</f>
        <v>6000</v>
      </c>
      <c r="O15" s="647">
        <f t="shared" si="2"/>
        <v>6000</v>
      </c>
      <c r="P15" s="647">
        <v>11000</v>
      </c>
      <c r="Q15" s="647">
        <v>5000</v>
      </c>
      <c r="R15" s="647">
        <v>5000</v>
      </c>
      <c r="S15" s="647">
        <v>5000</v>
      </c>
      <c r="T15" s="647">
        <v>5000</v>
      </c>
      <c r="U15" s="647">
        <v>5000</v>
      </c>
      <c r="V15" s="647">
        <v>5000</v>
      </c>
      <c r="W15" s="647">
        <v>5000</v>
      </c>
      <c r="X15" s="647">
        <v>5000</v>
      </c>
      <c r="Y15" s="647">
        <v>5000</v>
      </c>
      <c r="Z15" s="647">
        <v>5000</v>
      </c>
      <c r="AA15" s="647">
        <v>5000</v>
      </c>
      <c r="AB15" s="647">
        <v>5000</v>
      </c>
      <c r="AC15" s="647">
        <v>5000</v>
      </c>
      <c r="AD15" s="647">
        <v>1000</v>
      </c>
      <c r="AE15" s="647"/>
      <c r="AF15" s="647"/>
      <c r="AG15" s="647"/>
      <c r="AH15" s="647"/>
      <c r="AI15" s="647"/>
      <c r="AJ15" s="647"/>
      <c r="AK15" s="647"/>
      <c r="AL15" s="647"/>
      <c r="AM15" s="647"/>
      <c r="AN15" s="647"/>
      <c r="AO15" s="647"/>
      <c r="AP15" s="647"/>
      <c r="AQ15" s="579">
        <f t="shared" si="1"/>
        <v>89000</v>
      </c>
      <c r="AR15" s="580" t="s">
        <v>588</v>
      </c>
      <c r="AS15" s="179"/>
    </row>
    <row r="16" spans="1:45" ht="15" x14ac:dyDescent="0.2">
      <c r="A16" s="727">
        <v>1</v>
      </c>
      <c r="B16" s="284" t="s">
        <v>938</v>
      </c>
      <c r="C16" s="285" t="s">
        <v>1084</v>
      </c>
      <c r="D16" s="351">
        <v>6000</v>
      </c>
      <c r="E16" s="646"/>
      <c r="F16" s="647"/>
      <c r="G16" s="647"/>
      <c r="H16" s="647"/>
      <c r="I16" s="647"/>
      <c r="J16" s="647"/>
      <c r="K16" s="647"/>
      <c r="L16" s="647"/>
      <c r="M16" s="647"/>
      <c r="N16" s="647"/>
      <c r="O16" s="647">
        <v>5000</v>
      </c>
      <c r="P16" s="647">
        <v>5000</v>
      </c>
      <c r="Q16" s="647">
        <v>5000</v>
      </c>
      <c r="R16" s="647">
        <v>5000</v>
      </c>
      <c r="S16" s="647">
        <v>5000</v>
      </c>
      <c r="T16" s="647">
        <v>5000</v>
      </c>
      <c r="U16" s="647">
        <v>5000</v>
      </c>
      <c r="V16" s="647">
        <v>5000</v>
      </c>
      <c r="W16" s="647">
        <v>5000</v>
      </c>
      <c r="X16" s="647">
        <v>5000</v>
      </c>
      <c r="Y16" s="647">
        <v>5000</v>
      </c>
      <c r="Z16" s="647">
        <v>5000</v>
      </c>
      <c r="AA16" s="647">
        <v>5000</v>
      </c>
      <c r="AB16" s="647">
        <v>5000</v>
      </c>
      <c r="AC16" s="647">
        <v>5000</v>
      </c>
      <c r="AD16" s="647">
        <v>3000</v>
      </c>
      <c r="AE16" s="647">
        <f>0.5*$D$15</f>
        <v>3000</v>
      </c>
      <c r="AF16" s="804">
        <f>0.5*$D$15</f>
        <v>3000</v>
      </c>
      <c r="AG16" s="804">
        <v>2000</v>
      </c>
      <c r="AH16" s="804">
        <v>1000</v>
      </c>
      <c r="AI16" s="804">
        <v>500</v>
      </c>
      <c r="AJ16" s="804">
        <v>500</v>
      </c>
      <c r="AK16" s="804">
        <v>500</v>
      </c>
      <c r="AL16" s="647"/>
      <c r="AM16" s="647"/>
      <c r="AN16" s="647"/>
      <c r="AO16" s="647"/>
      <c r="AP16" s="647"/>
      <c r="AQ16" s="579">
        <f t="shared" si="1"/>
        <v>88500</v>
      </c>
      <c r="AR16" s="580" t="s">
        <v>588</v>
      </c>
      <c r="AS16" s="179"/>
    </row>
    <row r="17" spans="1:45" ht="15" x14ac:dyDescent="0.2">
      <c r="A17" s="727">
        <v>1</v>
      </c>
      <c r="B17" s="284" t="s">
        <v>939</v>
      </c>
      <c r="C17" s="285" t="s">
        <v>722</v>
      </c>
      <c r="D17" s="351">
        <v>6000</v>
      </c>
      <c r="E17" s="646"/>
      <c r="F17" s="647"/>
      <c r="G17" s="647"/>
      <c r="H17" s="647"/>
      <c r="I17" s="647"/>
      <c r="J17" s="647"/>
      <c r="K17" s="647"/>
      <c r="L17" s="647"/>
      <c r="M17" s="647"/>
      <c r="N17" s="647">
        <f t="shared" ref="N17:Q17" si="3">1*$D$15</f>
        <v>6000</v>
      </c>
      <c r="O17" s="647">
        <f t="shared" si="3"/>
        <v>6000</v>
      </c>
      <c r="P17" s="647">
        <f t="shared" si="3"/>
        <v>6000</v>
      </c>
      <c r="Q17" s="647">
        <f t="shared" si="3"/>
        <v>6000</v>
      </c>
      <c r="R17" s="647">
        <v>6000</v>
      </c>
      <c r="S17" s="647">
        <v>6000</v>
      </c>
      <c r="T17" s="647">
        <v>6000</v>
      </c>
      <c r="U17" s="647">
        <v>3000</v>
      </c>
      <c r="V17" s="647">
        <v>3000</v>
      </c>
      <c r="W17" s="647"/>
      <c r="X17" s="647"/>
      <c r="Y17" s="647"/>
      <c r="Z17" s="647"/>
      <c r="AA17" s="647"/>
      <c r="AB17" s="647"/>
      <c r="AC17" s="647"/>
      <c r="AD17" s="647"/>
      <c r="AE17" s="647"/>
      <c r="AF17" s="647"/>
      <c r="AG17" s="647"/>
      <c r="AH17" s="647"/>
      <c r="AI17" s="647"/>
      <c r="AJ17" s="647"/>
      <c r="AK17" s="647"/>
      <c r="AL17" s="647"/>
      <c r="AM17" s="647"/>
      <c r="AN17" s="647"/>
      <c r="AO17" s="647"/>
      <c r="AP17" s="647"/>
      <c r="AQ17" s="579">
        <f t="shared" si="1"/>
        <v>48000</v>
      </c>
      <c r="AR17" s="580" t="s">
        <v>588</v>
      </c>
      <c r="AS17" s="179"/>
    </row>
    <row r="18" spans="1:45" ht="15.75" thickBot="1" x14ac:dyDescent="0.25">
      <c r="A18" s="728">
        <v>1</v>
      </c>
      <c r="B18" s="286" t="s">
        <v>940</v>
      </c>
      <c r="C18" s="287" t="s">
        <v>723</v>
      </c>
      <c r="D18" s="353">
        <v>6000</v>
      </c>
      <c r="E18" s="648"/>
      <c r="F18" s="649"/>
      <c r="G18" s="649"/>
      <c r="H18" s="649"/>
      <c r="I18" s="649"/>
      <c r="J18" s="649"/>
      <c r="K18" s="649"/>
      <c r="L18" s="649"/>
      <c r="M18" s="649"/>
      <c r="N18" s="649"/>
      <c r="O18" s="649"/>
      <c r="P18" s="649"/>
      <c r="Q18" s="647"/>
      <c r="R18" s="647"/>
      <c r="S18" s="647"/>
      <c r="T18" s="647"/>
      <c r="U18" s="647"/>
      <c r="V18" s="647"/>
      <c r="W18" s="647"/>
      <c r="X18" s="647"/>
      <c r="Y18" s="647"/>
      <c r="Z18" s="647"/>
      <c r="AA18" s="649"/>
      <c r="AB18" s="649"/>
      <c r="AC18" s="649"/>
      <c r="AD18" s="649"/>
      <c r="AE18" s="649"/>
      <c r="AF18" s="649"/>
      <c r="AG18" s="649"/>
      <c r="AH18" s="649"/>
      <c r="AI18" s="649"/>
      <c r="AJ18" s="649"/>
      <c r="AK18" s="649"/>
      <c r="AL18" s="649"/>
      <c r="AM18" s="649"/>
      <c r="AN18" s="649"/>
      <c r="AO18" s="649"/>
      <c r="AP18" s="649"/>
      <c r="AQ18" s="581">
        <f t="shared" si="1"/>
        <v>0</v>
      </c>
      <c r="AR18" s="582" t="s">
        <v>588</v>
      </c>
      <c r="AS18" s="179"/>
    </row>
    <row r="19" spans="1:45" ht="25.15" customHeight="1" thickBot="1" x14ac:dyDescent="0.25">
      <c r="A19" s="354">
        <v>11</v>
      </c>
      <c r="B19" s="288" t="s">
        <v>147</v>
      </c>
      <c r="C19" s="355"/>
      <c r="D19" s="356"/>
      <c r="E19" s="650">
        <f>IF(E12&gt;0,SUM(E12:E18),0)</f>
        <v>17462.47</v>
      </c>
      <c r="F19" s="651">
        <f t="shared" ref="F19:Q19" si="4">SUM(F12:F18)</f>
        <v>11111.032135734717</v>
      </c>
      <c r="G19" s="651">
        <f t="shared" si="4"/>
        <v>13624.463407049665</v>
      </c>
      <c r="H19" s="651">
        <f t="shared" si="4"/>
        <v>23283.049406299418</v>
      </c>
      <c r="I19" s="651">
        <f t="shared" si="4"/>
        <v>8817.848487312167</v>
      </c>
      <c r="J19" s="651">
        <f t="shared" si="4"/>
        <v>15139.559882594338</v>
      </c>
      <c r="K19" s="651">
        <f t="shared" si="4"/>
        <v>14479.655970113608</v>
      </c>
      <c r="L19" s="651">
        <f t="shared" si="4"/>
        <v>14779.625333240438</v>
      </c>
      <c r="M19" s="651">
        <f t="shared" si="4"/>
        <v>12552.394469200168</v>
      </c>
      <c r="N19" s="651">
        <f t="shared" si="4"/>
        <v>20000</v>
      </c>
      <c r="O19" s="651">
        <f t="shared" si="4"/>
        <v>20000</v>
      </c>
      <c r="P19" s="651">
        <f t="shared" si="4"/>
        <v>25000</v>
      </c>
      <c r="Q19" s="651">
        <f t="shared" si="4"/>
        <v>22000</v>
      </c>
      <c r="R19" s="651">
        <f t="shared" ref="R19:AA19" si="5">SUM(R12:R18)</f>
        <v>22000</v>
      </c>
      <c r="S19" s="651">
        <f t="shared" si="5"/>
        <v>22000</v>
      </c>
      <c r="T19" s="651">
        <f t="shared" si="5"/>
        <v>25000</v>
      </c>
      <c r="U19" s="651">
        <f t="shared" si="5"/>
        <v>19500</v>
      </c>
      <c r="V19" s="651">
        <f t="shared" si="5"/>
        <v>22000</v>
      </c>
      <c r="W19" s="651">
        <f t="shared" si="5"/>
        <v>19000</v>
      </c>
      <c r="X19" s="651">
        <f t="shared" si="5"/>
        <v>19000</v>
      </c>
      <c r="Y19" s="651">
        <f t="shared" si="5"/>
        <v>18500</v>
      </c>
      <c r="Z19" s="651">
        <f t="shared" si="5"/>
        <v>19000</v>
      </c>
      <c r="AA19" s="651">
        <f t="shared" si="5"/>
        <v>19000</v>
      </c>
      <c r="AB19" s="651">
        <f t="shared" ref="AB19:AI19" si="6">SUM(AB12:AB18)</f>
        <v>19000</v>
      </c>
      <c r="AC19" s="651">
        <f t="shared" si="6"/>
        <v>16000</v>
      </c>
      <c r="AD19" s="651">
        <f t="shared" si="6"/>
        <v>7000</v>
      </c>
      <c r="AE19" s="651">
        <f t="shared" si="6"/>
        <v>6000</v>
      </c>
      <c r="AF19" s="651">
        <f t="shared" si="6"/>
        <v>3000</v>
      </c>
      <c r="AG19" s="651">
        <f t="shared" si="6"/>
        <v>2000</v>
      </c>
      <c r="AH19" s="651">
        <f t="shared" si="6"/>
        <v>1000</v>
      </c>
      <c r="AI19" s="651">
        <f t="shared" si="6"/>
        <v>500</v>
      </c>
      <c r="AJ19" s="651">
        <f t="shared" ref="AJ19" si="7">SUM(AJ12:AJ18)</f>
        <v>500</v>
      </c>
      <c r="AK19" s="651">
        <f>SUM(AK12:AK18)</f>
        <v>500</v>
      </c>
      <c r="AL19" s="651">
        <f t="shared" ref="AL19:AP19" si="8">SUM(AL12:AL18)</f>
        <v>0</v>
      </c>
      <c r="AM19" s="651">
        <f t="shared" si="8"/>
        <v>0</v>
      </c>
      <c r="AN19" s="651">
        <f t="shared" si="8"/>
        <v>0</v>
      </c>
      <c r="AO19" s="651">
        <f t="shared" ref="AO19" si="9">SUM(AO12:AO18)</f>
        <v>0</v>
      </c>
      <c r="AP19" s="651">
        <f t="shared" si="8"/>
        <v>0</v>
      </c>
      <c r="AQ19" s="583">
        <f>SUM(AQ12:AQ18)</f>
        <v>478750.09909154451</v>
      </c>
      <c r="AR19" s="584">
        <f>SUM(AR12:AR18)</f>
        <v>500000</v>
      </c>
      <c r="AS19" s="357">
        <f>AQ19/AQ31</f>
        <v>0.71797700941933862</v>
      </c>
    </row>
    <row r="20" spans="1:45" ht="15" x14ac:dyDescent="0.2">
      <c r="A20" s="358">
        <v>1510000</v>
      </c>
      <c r="B20" s="289">
        <v>6000513</v>
      </c>
      <c r="C20" s="290" t="s">
        <v>148</v>
      </c>
      <c r="D20" s="359"/>
      <c r="E20" s="652"/>
      <c r="F20" s="653"/>
      <c r="G20" s="653"/>
      <c r="H20" s="653"/>
      <c r="I20" s="653"/>
      <c r="J20" s="653"/>
      <c r="K20" s="653"/>
      <c r="L20" s="653"/>
      <c r="M20" s="653"/>
      <c r="N20" s="653"/>
      <c r="O20" s="653"/>
      <c r="P20" s="653"/>
      <c r="Q20" s="653"/>
      <c r="R20" s="653"/>
      <c r="S20" s="653"/>
      <c r="T20" s="653"/>
      <c r="U20" s="653"/>
      <c r="V20" s="653"/>
      <c r="W20" s="653"/>
      <c r="X20" s="653"/>
      <c r="Y20" s="653"/>
      <c r="Z20" s="653"/>
      <c r="AA20" s="653"/>
      <c r="AB20" s="653"/>
      <c r="AC20" s="653"/>
      <c r="AD20" s="653"/>
      <c r="AE20" s="653"/>
      <c r="AF20" s="653"/>
      <c r="AG20" s="653"/>
      <c r="AH20" s="653"/>
      <c r="AI20" s="653"/>
      <c r="AJ20" s="653"/>
      <c r="AK20" s="653"/>
      <c r="AL20" s="653"/>
      <c r="AM20" s="653"/>
      <c r="AN20" s="653"/>
      <c r="AO20" s="653"/>
      <c r="AP20" s="653"/>
      <c r="AQ20" s="585">
        <f t="shared" ref="AQ20:AQ28" si="10">SUM(E20:AP20)</f>
        <v>0</v>
      </c>
      <c r="AR20" s="586">
        <v>173000</v>
      </c>
      <c r="AS20" s="349" t="s">
        <v>597</v>
      </c>
    </row>
    <row r="21" spans="1:45" ht="15" x14ac:dyDescent="0.2">
      <c r="A21" s="350"/>
      <c r="B21" s="284"/>
      <c r="C21" s="285" t="s">
        <v>725</v>
      </c>
      <c r="D21" s="291">
        <v>8000</v>
      </c>
      <c r="E21" s="658">
        <v>33829.4</v>
      </c>
      <c r="F21" s="647"/>
      <c r="G21" s="647"/>
      <c r="H21" s="647"/>
      <c r="I21" s="647"/>
      <c r="J21" s="647"/>
      <c r="K21" s="647"/>
      <c r="L21" s="647"/>
      <c r="M21" s="647"/>
      <c r="N21" s="647">
        <f t="shared" ref="N21:O21" si="11">0.2*$D$21</f>
        <v>1600</v>
      </c>
      <c r="O21" s="647">
        <f t="shared" si="11"/>
        <v>1600</v>
      </c>
      <c r="P21" s="647"/>
      <c r="Q21" s="647"/>
      <c r="R21" s="647"/>
      <c r="S21" s="647"/>
      <c r="T21" s="647"/>
      <c r="U21" s="647"/>
      <c r="V21" s="647"/>
      <c r="W21" s="647"/>
      <c r="X21" s="647"/>
      <c r="Y21" s="647"/>
      <c r="Z21" s="647"/>
      <c r="AA21" s="647"/>
      <c r="AB21" s="647"/>
      <c r="AC21" s="647"/>
      <c r="AD21" s="647"/>
      <c r="AE21" s="647"/>
      <c r="AF21" s="647"/>
      <c r="AG21" s="647"/>
      <c r="AH21" s="647"/>
      <c r="AI21" s="647"/>
      <c r="AJ21" s="647"/>
      <c r="AK21" s="647"/>
      <c r="AL21" s="647"/>
      <c r="AM21" s="647"/>
      <c r="AN21" s="647"/>
      <c r="AO21" s="647"/>
      <c r="AP21" s="647"/>
      <c r="AQ21" s="579">
        <f>SUM(E21:AP21)</f>
        <v>37029.4</v>
      </c>
      <c r="AR21" s="580" t="s">
        <v>588</v>
      </c>
      <c r="AS21" s="179"/>
    </row>
    <row r="22" spans="1:45" ht="15" x14ac:dyDescent="0.2">
      <c r="A22" s="727">
        <v>1</v>
      </c>
      <c r="B22" s="284" t="s">
        <v>941</v>
      </c>
      <c r="C22" s="285" t="s">
        <v>726</v>
      </c>
      <c r="D22" s="291">
        <v>6000</v>
      </c>
      <c r="E22" s="658">
        <f>-5473-7158+6103+7998+2538+7838+1401.15</f>
        <v>13247.15</v>
      </c>
      <c r="F22" s="763">
        <v>2346</v>
      </c>
      <c r="G22" s="763">
        <v>9188</v>
      </c>
      <c r="H22" s="763">
        <v>11555</v>
      </c>
      <c r="I22" s="763">
        <v>3186</v>
      </c>
      <c r="J22" s="763">
        <v>13321</v>
      </c>
      <c r="K22" s="763">
        <v>12530</v>
      </c>
      <c r="L22" s="763">
        <v>11663</v>
      </c>
      <c r="M22" s="763">
        <v>5659</v>
      </c>
      <c r="N22" s="647">
        <f t="shared" ref="N22:P22" si="12">1*$D$22</f>
        <v>6000</v>
      </c>
      <c r="O22" s="647">
        <f t="shared" si="12"/>
        <v>6000</v>
      </c>
      <c r="P22" s="647">
        <f t="shared" si="12"/>
        <v>6000</v>
      </c>
      <c r="Q22" s="647">
        <v>2000</v>
      </c>
      <c r="R22" s="647">
        <v>2000</v>
      </c>
      <c r="S22" s="647">
        <v>2000</v>
      </c>
      <c r="T22" s="647">
        <v>1000</v>
      </c>
      <c r="U22" s="647">
        <v>1000</v>
      </c>
      <c r="V22" s="647">
        <v>1000</v>
      </c>
      <c r="W22" s="647">
        <v>1000</v>
      </c>
      <c r="X22" s="647">
        <v>1000</v>
      </c>
      <c r="Y22" s="647">
        <v>1000</v>
      </c>
      <c r="Z22" s="647">
        <v>1000</v>
      </c>
      <c r="AA22" s="647"/>
      <c r="AB22" s="647"/>
      <c r="AC22" s="647"/>
      <c r="AD22" s="647"/>
      <c r="AE22" s="647"/>
      <c r="AF22" s="647"/>
      <c r="AG22" s="647"/>
      <c r="AH22" s="647"/>
      <c r="AI22" s="647"/>
      <c r="AJ22" s="647"/>
      <c r="AK22" s="647"/>
      <c r="AL22" s="647"/>
      <c r="AM22" s="647"/>
      <c r="AN22" s="647"/>
      <c r="AO22" s="647"/>
      <c r="AP22" s="647"/>
      <c r="AQ22" s="579">
        <f t="shared" si="10"/>
        <v>113695.15</v>
      </c>
      <c r="AR22" s="580" t="s">
        <v>588</v>
      </c>
      <c r="AS22" s="179"/>
    </row>
    <row r="23" spans="1:45" ht="15" x14ac:dyDescent="0.2">
      <c r="A23" s="727">
        <v>0.5</v>
      </c>
      <c r="B23" s="284" t="s">
        <v>942</v>
      </c>
      <c r="C23" s="285" t="s">
        <v>836</v>
      </c>
      <c r="D23" s="291">
        <v>6000</v>
      </c>
      <c r="E23" s="696"/>
      <c r="F23" s="647"/>
      <c r="G23" s="647"/>
      <c r="H23" s="647"/>
      <c r="I23" s="647"/>
      <c r="J23" s="647"/>
      <c r="K23" s="647"/>
      <c r="L23" s="647"/>
      <c r="M23" s="647"/>
      <c r="N23" s="647"/>
      <c r="O23" s="647"/>
      <c r="P23" s="647"/>
      <c r="Q23" s="647"/>
      <c r="R23" s="647"/>
      <c r="S23" s="647"/>
      <c r="T23" s="647"/>
      <c r="U23" s="647"/>
      <c r="V23" s="647"/>
      <c r="W23" s="647"/>
      <c r="X23" s="647"/>
      <c r="Y23" s="647"/>
      <c r="Z23" s="647"/>
      <c r="AA23" s="647"/>
      <c r="AB23" s="647"/>
      <c r="AC23" s="647"/>
      <c r="AD23" s="647"/>
      <c r="AE23" s="647"/>
      <c r="AF23" s="647"/>
      <c r="AG23" s="647"/>
      <c r="AH23" s="647"/>
      <c r="AI23" s="647"/>
      <c r="AJ23" s="647"/>
      <c r="AK23" s="647"/>
      <c r="AL23" s="647"/>
      <c r="AM23" s="647"/>
      <c r="AN23" s="647"/>
      <c r="AO23" s="647"/>
      <c r="AP23" s="647"/>
      <c r="AQ23" s="579">
        <f>SUM(E23:AP23)</f>
        <v>0</v>
      </c>
      <c r="AR23" s="580" t="s">
        <v>588</v>
      </c>
      <c r="AS23" s="179"/>
    </row>
    <row r="24" spans="1:45" ht="15" x14ac:dyDescent="0.2">
      <c r="A24" s="728">
        <v>0.15</v>
      </c>
      <c r="B24" s="286" t="s">
        <v>940</v>
      </c>
      <c r="C24" s="287" t="s">
        <v>727</v>
      </c>
      <c r="D24" s="292">
        <v>6000</v>
      </c>
      <c r="E24" s="648"/>
      <c r="F24" s="649"/>
      <c r="G24" s="649"/>
      <c r="H24" s="649"/>
      <c r="I24" s="649"/>
      <c r="J24" s="649"/>
      <c r="K24" s="649"/>
      <c r="L24" s="649"/>
      <c r="M24" s="649"/>
      <c r="N24" s="649">
        <f t="shared" ref="N24:O24" si="13">0.25*$D$24</f>
        <v>1500</v>
      </c>
      <c r="O24" s="649">
        <f t="shared" si="13"/>
        <v>1500</v>
      </c>
      <c r="P24" s="649"/>
      <c r="Q24" s="649"/>
      <c r="R24" s="649"/>
      <c r="S24" s="649"/>
      <c r="T24" s="649"/>
      <c r="U24" s="649"/>
      <c r="V24" s="649"/>
      <c r="W24" s="649"/>
      <c r="X24" s="649"/>
      <c r="Y24" s="649"/>
      <c r="Z24" s="649"/>
      <c r="AA24" s="649"/>
      <c r="AB24" s="649"/>
      <c r="AC24" s="649"/>
      <c r="AD24" s="649"/>
      <c r="AE24" s="649"/>
      <c r="AF24" s="649"/>
      <c r="AG24" s="649"/>
      <c r="AH24" s="649"/>
      <c r="AI24" s="649"/>
      <c r="AJ24" s="649"/>
      <c r="AK24" s="649"/>
      <c r="AL24" s="649"/>
      <c r="AM24" s="649"/>
      <c r="AN24" s="649"/>
      <c r="AO24" s="649"/>
      <c r="AP24" s="649"/>
      <c r="AQ24" s="581">
        <f t="shared" si="10"/>
        <v>3000</v>
      </c>
      <c r="AR24" s="582" t="s">
        <v>588</v>
      </c>
      <c r="AS24" s="179"/>
    </row>
    <row r="25" spans="1:45" ht="15" x14ac:dyDescent="0.2">
      <c r="A25" s="347">
        <v>1520000</v>
      </c>
      <c r="B25" s="282">
        <v>6000514</v>
      </c>
      <c r="C25" s="271" t="s">
        <v>149</v>
      </c>
      <c r="D25" s="293"/>
      <c r="E25" s="644"/>
      <c r="F25" s="645"/>
      <c r="G25" s="645"/>
      <c r="H25" s="645"/>
      <c r="I25" s="645"/>
      <c r="J25" s="645"/>
      <c r="K25" s="645"/>
      <c r="L25" s="645"/>
      <c r="M25" s="645"/>
      <c r="N25" s="645"/>
      <c r="O25" s="645"/>
      <c r="P25" s="645"/>
      <c r="Q25" s="645"/>
      <c r="R25" s="645"/>
      <c r="S25" s="645"/>
      <c r="T25" s="645"/>
      <c r="U25" s="645"/>
      <c r="V25" s="645"/>
      <c r="W25" s="645"/>
      <c r="X25" s="645"/>
      <c r="Y25" s="645"/>
      <c r="Z25" s="645"/>
      <c r="AA25" s="645"/>
      <c r="AB25" s="645"/>
      <c r="AC25" s="645"/>
      <c r="AD25" s="645"/>
      <c r="AE25" s="645"/>
      <c r="AF25" s="645"/>
      <c r="AG25" s="645"/>
      <c r="AH25" s="645"/>
      <c r="AI25" s="645"/>
      <c r="AJ25" s="645"/>
      <c r="AK25" s="645"/>
      <c r="AL25" s="645"/>
      <c r="AM25" s="645"/>
      <c r="AN25" s="645"/>
      <c r="AO25" s="645"/>
      <c r="AP25" s="645"/>
      <c r="AQ25" s="578">
        <f t="shared" si="10"/>
        <v>0</v>
      </c>
      <c r="AR25" s="801">
        <v>30000</v>
      </c>
      <c r="AS25" s="349" t="s">
        <v>597</v>
      </c>
    </row>
    <row r="26" spans="1:45" ht="15" x14ac:dyDescent="0.2">
      <c r="A26" s="350"/>
      <c r="B26" s="284"/>
      <c r="C26" s="285" t="s">
        <v>143</v>
      </c>
      <c r="D26" s="291">
        <v>6000</v>
      </c>
      <c r="E26" s="658">
        <v>12579</v>
      </c>
      <c r="F26" s="763">
        <v>1535</v>
      </c>
      <c r="G26" s="763">
        <v>4604</v>
      </c>
      <c r="H26" s="763">
        <v>2188</v>
      </c>
      <c r="I26" s="763">
        <v>462.4</v>
      </c>
      <c r="J26" s="763">
        <v>363</v>
      </c>
      <c r="K26" s="763">
        <v>33</v>
      </c>
      <c r="L26" s="763">
        <v>297</v>
      </c>
      <c r="M26" s="647">
        <v>0</v>
      </c>
      <c r="N26" s="647"/>
      <c r="O26" s="647"/>
      <c r="P26" s="647"/>
      <c r="Q26" s="647"/>
      <c r="R26" s="647"/>
      <c r="S26" s="647"/>
      <c r="T26" s="647"/>
      <c r="U26" s="647"/>
      <c r="V26" s="647"/>
      <c r="W26" s="647"/>
      <c r="X26" s="647"/>
      <c r="Y26" s="647"/>
      <c r="Z26" s="647"/>
      <c r="AA26" s="647"/>
      <c r="AB26" s="647"/>
      <c r="AC26" s="647"/>
      <c r="AD26" s="647"/>
      <c r="AE26" s="647"/>
      <c r="AF26" s="647"/>
      <c r="AG26" s="647"/>
      <c r="AH26" s="647"/>
      <c r="AI26" s="647"/>
      <c r="AJ26" s="647"/>
      <c r="AK26" s="647"/>
      <c r="AL26" s="647"/>
      <c r="AM26" s="647"/>
      <c r="AN26" s="647"/>
      <c r="AO26" s="647"/>
      <c r="AP26" s="647"/>
      <c r="AQ26" s="579">
        <f t="shared" si="10"/>
        <v>22061.4</v>
      </c>
      <c r="AR26" s="580" t="s">
        <v>588</v>
      </c>
      <c r="AS26" s="179"/>
    </row>
    <row r="27" spans="1:45" ht="15" x14ac:dyDescent="0.2">
      <c r="A27" s="352"/>
      <c r="B27" s="286"/>
      <c r="C27" s="287" t="s">
        <v>150</v>
      </c>
      <c r="D27" s="292">
        <v>5000</v>
      </c>
      <c r="E27" s="697">
        <v>3861</v>
      </c>
      <c r="F27" s="649"/>
      <c r="G27" s="649"/>
      <c r="H27" s="649"/>
      <c r="I27" s="649"/>
      <c r="J27" s="649"/>
      <c r="K27" s="649"/>
      <c r="L27" s="649"/>
      <c r="M27" s="649"/>
      <c r="N27" s="649"/>
      <c r="P27" s="649"/>
      <c r="Q27" s="649"/>
      <c r="R27" s="649"/>
      <c r="S27" s="649"/>
      <c r="T27" s="649"/>
      <c r="U27" s="649"/>
      <c r="V27" s="649"/>
      <c r="W27" s="649"/>
      <c r="X27" s="649"/>
      <c r="Y27" s="649"/>
      <c r="Z27" s="649"/>
      <c r="AA27" s="649"/>
      <c r="AB27" s="649"/>
      <c r="AC27" s="649"/>
      <c r="AD27" s="649"/>
      <c r="AE27" s="649"/>
      <c r="AF27" s="649"/>
      <c r="AG27" s="649"/>
      <c r="AH27" s="649"/>
      <c r="AI27" s="649"/>
      <c r="AJ27" s="649"/>
      <c r="AK27" s="649"/>
      <c r="AL27" s="649"/>
      <c r="AM27" s="649"/>
      <c r="AN27" s="649"/>
      <c r="AO27" s="649"/>
      <c r="AP27" s="649"/>
      <c r="AQ27" s="581">
        <f t="shared" si="10"/>
        <v>3861</v>
      </c>
      <c r="AR27" s="582" t="s">
        <v>588</v>
      </c>
      <c r="AS27" s="179"/>
    </row>
    <row r="28" spans="1:45" ht="29.25" thickBot="1" x14ac:dyDescent="0.25">
      <c r="A28" s="360">
        <v>1530000</v>
      </c>
      <c r="B28" s="294" t="s">
        <v>151</v>
      </c>
      <c r="C28" s="295" t="s">
        <v>825</v>
      </c>
      <c r="D28" s="361"/>
      <c r="E28" s="654"/>
      <c r="F28" s="771">
        <f>1067.67</f>
        <v>1067.67</v>
      </c>
      <c r="G28" s="771">
        <f>830</f>
        <v>830</v>
      </c>
      <c r="H28" s="771">
        <f>1179.5</f>
        <v>1179.5</v>
      </c>
      <c r="I28" s="793">
        <v>1500</v>
      </c>
      <c r="J28" s="793">
        <v>3000</v>
      </c>
      <c r="K28" s="655"/>
      <c r="L28" s="655"/>
      <c r="M28" s="655"/>
      <c r="N28" s="655"/>
      <c r="O28" s="649"/>
      <c r="P28" s="655"/>
      <c r="Q28" s="655"/>
      <c r="R28" s="655">
        <v>830</v>
      </c>
      <c r="S28" s="655"/>
      <c r="T28" s="655"/>
      <c r="U28" s="655"/>
      <c r="V28" s="655"/>
      <c r="W28" s="655"/>
      <c r="X28" s="655"/>
      <c r="Y28" s="655"/>
      <c r="Z28" s="655"/>
      <c r="AA28" s="655"/>
      <c r="AB28" s="655"/>
      <c r="AC28" s="655"/>
      <c r="AD28" s="655"/>
      <c r="AE28" s="655"/>
      <c r="AF28" s="655"/>
      <c r="AG28" s="655"/>
      <c r="AH28" s="655"/>
      <c r="AI28" s="655"/>
      <c r="AJ28" s="655"/>
      <c r="AK28" s="655"/>
      <c r="AL28" s="655"/>
      <c r="AM28" s="655"/>
      <c r="AN28" s="655"/>
      <c r="AO28" s="655"/>
      <c r="AP28" s="655"/>
      <c r="AQ28" s="587">
        <f t="shared" si="10"/>
        <v>8407.17</v>
      </c>
      <c r="AR28" s="588">
        <v>8500</v>
      </c>
      <c r="AS28" s="349" t="s">
        <v>597</v>
      </c>
    </row>
    <row r="29" spans="1:45" ht="25.15" customHeight="1" thickBot="1" x14ac:dyDescent="0.25">
      <c r="A29" s="354">
        <v>15</v>
      </c>
      <c r="B29" s="288" t="s">
        <v>152</v>
      </c>
      <c r="C29" s="355"/>
      <c r="D29" s="356"/>
      <c r="E29" s="650">
        <f>SUM(E20:E28)</f>
        <v>63516.55</v>
      </c>
      <c r="F29" s="651">
        <f t="shared" ref="F29:AK29" si="14">SUM(F20:F28)</f>
        <v>4948.67</v>
      </c>
      <c r="G29" s="651">
        <f t="shared" si="14"/>
        <v>14622</v>
      </c>
      <c r="H29" s="651">
        <f t="shared" si="14"/>
        <v>14922.5</v>
      </c>
      <c r="I29" s="651">
        <f t="shared" si="14"/>
        <v>5148.3999999999996</v>
      </c>
      <c r="J29" s="651">
        <f t="shared" si="14"/>
        <v>16684</v>
      </c>
      <c r="K29" s="651">
        <f t="shared" si="14"/>
        <v>12563</v>
      </c>
      <c r="L29" s="651">
        <f t="shared" si="14"/>
        <v>11960</v>
      </c>
      <c r="M29" s="651">
        <f t="shared" si="14"/>
        <v>5659</v>
      </c>
      <c r="N29" s="651">
        <f t="shared" si="14"/>
        <v>9100</v>
      </c>
      <c r="O29" s="651">
        <f>SUM(O20:O28)</f>
        <v>9100</v>
      </c>
      <c r="P29" s="651">
        <f t="shared" si="14"/>
        <v>6000</v>
      </c>
      <c r="Q29" s="651">
        <f t="shared" si="14"/>
        <v>2000</v>
      </c>
      <c r="R29" s="651">
        <f t="shared" ref="R29:AA29" si="15">SUM(R20:R28)</f>
        <v>2830</v>
      </c>
      <c r="S29" s="651">
        <f t="shared" si="15"/>
        <v>2000</v>
      </c>
      <c r="T29" s="651">
        <f t="shared" si="15"/>
        <v>1000</v>
      </c>
      <c r="U29" s="651">
        <f t="shared" si="15"/>
        <v>1000</v>
      </c>
      <c r="V29" s="651">
        <f t="shared" si="15"/>
        <v>1000</v>
      </c>
      <c r="W29" s="651">
        <f t="shared" si="15"/>
        <v>1000</v>
      </c>
      <c r="X29" s="651">
        <f t="shared" si="15"/>
        <v>1000</v>
      </c>
      <c r="Y29" s="651">
        <f t="shared" si="15"/>
        <v>1000</v>
      </c>
      <c r="Z29" s="651">
        <f t="shared" si="15"/>
        <v>1000</v>
      </c>
      <c r="AA29" s="651">
        <f t="shared" si="15"/>
        <v>0</v>
      </c>
      <c r="AB29" s="651">
        <f t="shared" si="14"/>
        <v>0</v>
      </c>
      <c r="AC29" s="651">
        <f t="shared" si="14"/>
        <v>0</v>
      </c>
      <c r="AD29" s="651">
        <f t="shared" si="14"/>
        <v>0</v>
      </c>
      <c r="AE29" s="651">
        <f t="shared" si="14"/>
        <v>0</v>
      </c>
      <c r="AF29" s="651">
        <f t="shared" si="14"/>
        <v>0</v>
      </c>
      <c r="AG29" s="651">
        <f t="shared" si="14"/>
        <v>0</v>
      </c>
      <c r="AH29" s="651">
        <f t="shared" si="14"/>
        <v>0</v>
      </c>
      <c r="AI29" s="651">
        <f t="shared" si="14"/>
        <v>0</v>
      </c>
      <c r="AJ29" s="651">
        <f t="shared" ref="AJ29" si="16">SUM(AJ20:AJ28)</f>
        <v>0</v>
      </c>
      <c r="AK29" s="651">
        <f t="shared" si="14"/>
        <v>0</v>
      </c>
      <c r="AL29" s="651">
        <f t="shared" ref="AL29:AP29" si="17">SUM(AL20:AL28)</f>
        <v>0</v>
      </c>
      <c r="AM29" s="651">
        <f t="shared" si="17"/>
        <v>0</v>
      </c>
      <c r="AN29" s="651">
        <f t="shared" si="17"/>
        <v>0</v>
      </c>
      <c r="AO29" s="651">
        <f t="shared" ref="AO29" si="18">SUM(AO20:AO28)</f>
        <v>0</v>
      </c>
      <c r="AP29" s="651">
        <f t="shared" si="17"/>
        <v>0</v>
      </c>
      <c r="AQ29" s="583">
        <f>SUM(AQ20:AQ28)</f>
        <v>188054.12</v>
      </c>
      <c r="AR29" s="584">
        <f>SUM(AR20:AR28)</f>
        <v>211500</v>
      </c>
      <c r="AS29" s="357" t="e">
        <f>AQ29/AQ38</f>
        <v>#DIV/0!</v>
      </c>
    </row>
    <row r="30" spans="1:45" ht="15" x14ac:dyDescent="0.2">
      <c r="A30" s="362"/>
      <c r="D30" s="363"/>
      <c r="AQ30" s="364"/>
      <c r="AR30" s="365"/>
    </row>
    <row r="31" spans="1:45" ht="25.15" customHeight="1" thickBot="1" x14ac:dyDescent="0.25">
      <c r="A31" s="366" t="s">
        <v>602</v>
      </c>
      <c r="B31" s="367"/>
      <c r="C31" s="367"/>
      <c r="D31" s="368"/>
      <c r="E31" s="534">
        <f t="shared" ref="E31:Q31" si="19">SUM(E12:E30)/2</f>
        <v>80979.01999999999</v>
      </c>
      <c r="F31" s="535">
        <f t="shared" si="19"/>
        <v>16059.702135734715</v>
      </c>
      <c r="G31" s="535">
        <f t="shared" si="19"/>
        <v>28246.463407049665</v>
      </c>
      <c r="H31" s="535">
        <f t="shared" si="19"/>
        <v>38205.549406299418</v>
      </c>
      <c r="I31" s="535">
        <f t="shared" si="19"/>
        <v>13966.248487312168</v>
      </c>
      <c r="J31" s="535">
        <f t="shared" si="19"/>
        <v>31823.559882594338</v>
      </c>
      <c r="K31" s="535">
        <f t="shared" si="19"/>
        <v>27042.655970113607</v>
      </c>
      <c r="L31" s="535">
        <f t="shared" si="19"/>
        <v>26739.625333240438</v>
      </c>
      <c r="M31" s="535">
        <f t="shared" si="19"/>
        <v>18211.394469200168</v>
      </c>
      <c r="N31" s="535">
        <f t="shared" si="19"/>
        <v>29100</v>
      </c>
      <c r="O31" s="535">
        <f t="shared" si="19"/>
        <v>29100</v>
      </c>
      <c r="P31" s="535">
        <f t="shared" si="19"/>
        <v>31000</v>
      </c>
      <c r="Q31" s="535">
        <f t="shared" si="19"/>
        <v>24000</v>
      </c>
      <c r="R31" s="535">
        <f t="shared" ref="R31:AA31" si="20">SUM(R12:R30)/2</f>
        <v>24830</v>
      </c>
      <c r="S31" s="535">
        <f t="shared" si="20"/>
        <v>24000</v>
      </c>
      <c r="T31" s="535">
        <f t="shared" si="20"/>
        <v>26000</v>
      </c>
      <c r="U31" s="535">
        <f t="shared" si="20"/>
        <v>20500</v>
      </c>
      <c r="V31" s="535">
        <f t="shared" si="20"/>
        <v>23000</v>
      </c>
      <c r="W31" s="535">
        <f t="shared" si="20"/>
        <v>20000</v>
      </c>
      <c r="X31" s="535">
        <f t="shared" si="20"/>
        <v>20000</v>
      </c>
      <c r="Y31" s="535">
        <f t="shared" si="20"/>
        <v>19500</v>
      </c>
      <c r="Z31" s="535">
        <f t="shared" si="20"/>
        <v>20000</v>
      </c>
      <c r="AA31" s="535">
        <f t="shared" si="20"/>
        <v>19000</v>
      </c>
      <c r="AB31" s="535">
        <f t="shared" ref="AB31:AI31" si="21">SUM(AB12:AB30)/2</f>
        <v>19000</v>
      </c>
      <c r="AC31" s="535">
        <f t="shared" si="21"/>
        <v>16000</v>
      </c>
      <c r="AD31" s="535">
        <f t="shared" si="21"/>
        <v>7000</v>
      </c>
      <c r="AE31" s="535">
        <f t="shared" si="21"/>
        <v>6000</v>
      </c>
      <c r="AF31" s="535">
        <f t="shared" si="21"/>
        <v>3000</v>
      </c>
      <c r="AG31" s="535">
        <f t="shared" si="21"/>
        <v>2000</v>
      </c>
      <c r="AH31" s="535">
        <f t="shared" si="21"/>
        <v>1000</v>
      </c>
      <c r="AI31" s="535">
        <f t="shared" si="21"/>
        <v>500</v>
      </c>
      <c r="AJ31" s="535">
        <f t="shared" ref="AJ31" si="22">SUM(AJ12:AJ30)/2</f>
        <v>500</v>
      </c>
      <c r="AK31" s="535">
        <f>SUM(AK12:AK30)/2</f>
        <v>500</v>
      </c>
      <c r="AL31" s="535">
        <f t="shared" ref="AL31:AP31" si="23">SUM(AL12:AL30)/2</f>
        <v>0</v>
      </c>
      <c r="AM31" s="535">
        <f t="shared" si="23"/>
        <v>0</v>
      </c>
      <c r="AN31" s="535">
        <f t="shared" si="23"/>
        <v>0</v>
      </c>
      <c r="AO31" s="535">
        <f t="shared" ref="AO31" si="24">SUM(AO12:AO30)/2</f>
        <v>0</v>
      </c>
      <c r="AP31" s="535">
        <f t="shared" si="23"/>
        <v>0</v>
      </c>
      <c r="AQ31" s="536">
        <f>SUM(AQ12:AQ29)/2</f>
        <v>666804.21909154439</v>
      </c>
      <c r="AR31" s="537">
        <f>SUM(AR12:AR29)/2</f>
        <v>711500</v>
      </c>
    </row>
    <row r="32" spans="1:45" ht="25.15" customHeight="1" thickBot="1" x14ac:dyDescent="0.25">
      <c r="E32" s="296">
        <f>+FC!E3</f>
        <v>45383</v>
      </c>
      <c r="F32" s="296">
        <f>+FC!F3</f>
        <v>45413</v>
      </c>
      <c r="G32" s="296">
        <f>+FC!G3</f>
        <v>45444</v>
      </c>
      <c r="H32" s="296">
        <f>+FC!H3</f>
        <v>45474</v>
      </c>
      <c r="I32" s="296">
        <f>+FC!I3</f>
        <v>45505</v>
      </c>
      <c r="J32" s="296">
        <f>+FC!J3</f>
        <v>45536</v>
      </c>
      <c r="K32" s="296">
        <f>+FC!K3</f>
        <v>45566</v>
      </c>
      <c r="L32" s="296">
        <f>+FC!L3</f>
        <v>45597</v>
      </c>
      <c r="M32" s="296">
        <f>+FC!M3</f>
        <v>45627</v>
      </c>
      <c r="N32" s="296">
        <f>+FC!N3</f>
        <v>45658</v>
      </c>
      <c r="O32" s="296">
        <f>+FC!O3</f>
        <v>45689</v>
      </c>
      <c r="P32" s="296">
        <f>+FC!P3</f>
        <v>45717</v>
      </c>
      <c r="Q32" s="296">
        <f>+FC!Q3</f>
        <v>45748</v>
      </c>
      <c r="R32" s="296">
        <f>+FC!H3</f>
        <v>45474</v>
      </c>
      <c r="S32" s="296">
        <f>+FC!I3</f>
        <v>45505</v>
      </c>
      <c r="T32" s="296">
        <f>+FC!J3</f>
        <v>45536</v>
      </c>
      <c r="U32" s="296">
        <f>+FC!K3</f>
        <v>45566</v>
      </c>
      <c r="V32" s="296">
        <f>+FC!L3</f>
        <v>45597</v>
      </c>
      <c r="W32" s="296">
        <f>+FC!M3</f>
        <v>45627</v>
      </c>
      <c r="X32" s="296">
        <f>+FC!N3</f>
        <v>45658</v>
      </c>
      <c r="Y32" s="296">
        <f>+FC!O3</f>
        <v>45689</v>
      </c>
      <c r="Z32" s="296" t="e">
        <f>+FC!#REF!</f>
        <v>#REF!</v>
      </c>
      <c r="AA32" s="296" t="e">
        <f>+FC!#REF!</f>
        <v>#REF!</v>
      </c>
      <c r="AB32" s="296">
        <f>+FC!R3</f>
        <v>45778</v>
      </c>
      <c r="AC32" s="296">
        <f>+FC!S3</f>
        <v>45809</v>
      </c>
      <c r="AD32" s="296">
        <f>+FC!T3</f>
        <v>45839</v>
      </c>
      <c r="AE32" s="296">
        <f>+FC!U3</f>
        <v>45870</v>
      </c>
      <c r="AF32" s="296">
        <f>+FC!V3</f>
        <v>45901</v>
      </c>
      <c r="AG32" s="296">
        <f>+FC!W3</f>
        <v>45931</v>
      </c>
      <c r="AH32" s="296">
        <f>+FC!X3</f>
        <v>45962</v>
      </c>
      <c r="AI32" s="296">
        <f>+FC!Y3</f>
        <v>45992</v>
      </c>
      <c r="AJ32" s="296" t="e">
        <f>+FC!#REF!</f>
        <v>#REF!</v>
      </c>
      <c r="AK32" s="296" t="e">
        <f>+FC!#REF!</f>
        <v>#REF!</v>
      </c>
      <c r="AL32" s="296">
        <f>+FC!AB3</f>
        <v>46082</v>
      </c>
      <c r="AM32" s="296">
        <f>+FC!AC3</f>
        <v>46113</v>
      </c>
      <c r="AN32" s="296">
        <f>+FC!AD3</f>
        <v>46143</v>
      </c>
      <c r="AO32" s="296">
        <f>+FC!AE3</f>
        <v>46174</v>
      </c>
      <c r="AP32" s="296" t="e">
        <f>+FC!#REF!</f>
        <v>#REF!</v>
      </c>
      <c r="AQ32" s="532">
        <f>+SUM(E31:AP31)</f>
        <v>666804.21909154451</v>
      </c>
      <c r="AR32" s="533"/>
    </row>
  </sheetData>
  <conditionalFormatting sqref="AQ32">
    <cfRule type="cellIs" dxfId="13" priority="1" operator="notEqual">
      <formula>#REF!</formula>
    </cfRule>
    <cfRule type="cellIs" dxfId="12" priority="2" operator="equal">
      <formula>#REF!</formula>
    </cfRule>
  </conditionalFormatting>
  <pageMargins left="0.70866141732283472" right="0.70866141732283472" top="0.74803149606299213" bottom="0.74803149606299213" header="0.31496062992125984" footer="0.31496062992125984"/>
  <pageSetup paperSize="8" scale="40" fitToHeight="0" orientation="landscape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C69EC5-EA1E-4911-BCF7-E35D46FA38E6}">
  <sheetPr codeName="Feuil9">
    <tabColor theme="8"/>
    <pageSetUpPr fitToPage="1"/>
  </sheetPr>
  <dimension ref="A1:FS94"/>
  <sheetViews>
    <sheetView zoomScale="85" zoomScaleNormal="85" workbookViewId="0">
      <selection activeCell="O26" sqref="O26"/>
    </sheetView>
  </sheetViews>
  <sheetFormatPr baseColWidth="10" defaultColWidth="11.42578125" defaultRowHeight="15" x14ac:dyDescent="0.25"/>
  <cols>
    <col min="1" max="1" width="15.85546875" style="91" bestFit="1" customWidth="1"/>
    <col min="2" max="2" width="7.7109375" style="91" bestFit="1" customWidth="1"/>
    <col min="3" max="3" width="4.140625" style="91" bestFit="1" customWidth="1"/>
    <col min="4" max="4" width="7.7109375" style="91" bestFit="1" customWidth="1"/>
    <col min="5" max="5" width="9.28515625" style="91" bestFit="1" customWidth="1"/>
    <col min="6" max="6" width="4.28515625" style="91" bestFit="1" customWidth="1"/>
    <col min="7" max="99" width="5.28515625" style="91" customWidth="1"/>
    <col min="100" max="113" width="3.7109375" style="91" customWidth="1"/>
    <col min="114" max="114" width="3.28515625" style="91" customWidth="1"/>
    <col min="115" max="146" width="3.140625" style="91" customWidth="1"/>
    <col min="147" max="16384" width="11.42578125" style="91"/>
  </cols>
  <sheetData>
    <row r="1" spans="1:175" ht="16.5" thickBot="1" x14ac:dyDescent="0.3">
      <c r="A1" s="204" t="s">
        <v>96</v>
      </c>
      <c r="B1" s="69">
        <v>45689</v>
      </c>
      <c r="C1" s="205"/>
      <c r="D1" s="205"/>
      <c r="E1" s="206"/>
      <c r="F1" s="206"/>
      <c r="G1" s="206"/>
      <c r="H1" s="206"/>
      <c r="I1" s="206"/>
      <c r="J1" s="886" t="s">
        <v>97</v>
      </c>
      <c r="K1" s="887"/>
      <c r="L1" s="887"/>
      <c r="M1" s="887"/>
      <c r="N1" s="887"/>
      <c r="O1" s="887"/>
      <c r="P1" s="887"/>
      <c r="Q1" s="887"/>
      <c r="R1" s="887"/>
      <c r="S1" s="887"/>
      <c r="T1" s="887"/>
      <c r="U1" s="887"/>
      <c r="V1" s="887"/>
      <c r="W1" s="887"/>
      <c r="X1" s="887"/>
      <c r="Y1" s="887"/>
      <c r="Z1" s="887"/>
      <c r="AA1" s="887"/>
      <c r="AB1" s="887"/>
      <c r="AC1" s="887"/>
      <c r="AD1" s="887"/>
      <c r="AE1" s="887"/>
      <c r="AF1" s="887"/>
      <c r="AG1" s="887"/>
      <c r="AH1" s="887"/>
      <c r="AI1" s="887"/>
      <c r="AJ1" s="887"/>
      <c r="AK1" s="887"/>
      <c r="AL1" s="888"/>
      <c r="AM1" s="206"/>
      <c r="AN1" s="206"/>
      <c r="AO1" s="206"/>
      <c r="AP1" s="206"/>
      <c r="AQ1" s="206"/>
      <c r="AR1" s="206"/>
      <c r="AS1" s="206"/>
      <c r="AT1" s="206"/>
      <c r="AU1" s="206"/>
      <c r="AV1" s="206"/>
      <c r="AW1" s="206"/>
      <c r="AX1" s="206"/>
      <c r="AY1" s="206"/>
      <c r="AZ1" s="206"/>
      <c r="BA1" s="206"/>
      <c r="BB1" s="206"/>
      <c r="BC1" s="206"/>
      <c r="BD1" s="206"/>
      <c r="BE1" s="206"/>
      <c r="BF1" s="206"/>
      <c r="BG1" s="206"/>
      <c r="BH1" s="206"/>
      <c r="BI1" s="206"/>
      <c r="BJ1" s="206"/>
      <c r="BK1" s="206"/>
      <c r="BL1" s="206"/>
      <c r="BM1" s="206"/>
      <c r="BN1" s="206"/>
      <c r="BO1" s="206"/>
      <c r="BP1" s="206"/>
      <c r="BQ1" s="206"/>
      <c r="BR1" s="206"/>
      <c r="BS1" s="206"/>
      <c r="BT1" s="206"/>
      <c r="BU1" s="206"/>
      <c r="BV1" s="206"/>
      <c r="BW1" s="206"/>
      <c r="BX1" s="206"/>
      <c r="BY1" s="206"/>
      <c r="BZ1" s="206"/>
      <c r="CA1" s="206"/>
      <c r="CB1" s="206"/>
      <c r="CC1" s="206"/>
      <c r="CD1" s="206"/>
      <c r="CE1" s="206"/>
      <c r="CF1" s="206"/>
      <c r="CG1" s="206"/>
      <c r="CH1" s="206"/>
      <c r="CI1" s="206"/>
      <c r="CJ1" s="206"/>
      <c r="CK1" s="206"/>
      <c r="CL1" s="206"/>
      <c r="CM1" s="206"/>
      <c r="CN1" s="206"/>
      <c r="CO1" s="206"/>
      <c r="CP1" s="206"/>
      <c r="CQ1" s="206"/>
      <c r="CR1" s="206"/>
      <c r="CS1" s="206"/>
      <c r="CT1" s="206"/>
      <c r="CU1" s="206"/>
      <c r="DE1" s="206"/>
      <c r="DF1" s="206"/>
      <c r="DG1" s="206"/>
      <c r="DH1" s="206"/>
      <c r="DI1" s="206"/>
    </row>
    <row r="2" spans="1:175" x14ac:dyDescent="0.25">
      <c r="A2" s="207" t="s">
        <v>98</v>
      </c>
      <c r="B2" s="70">
        <v>45691</v>
      </c>
      <c r="C2" s="208" t="s">
        <v>99</v>
      </c>
      <c r="D2" s="70">
        <v>45716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</row>
    <row r="3" spans="1:175" ht="15.75" thickBot="1" x14ac:dyDescent="0.3">
      <c r="A3" s="207"/>
      <c r="B3" s="70"/>
      <c r="C3" s="208"/>
      <c r="D3" s="70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</row>
    <row r="4" spans="1:175" ht="15.75" thickBot="1" x14ac:dyDescent="0.3">
      <c r="A4" s="207"/>
      <c r="B4" s="70"/>
      <c r="C4" s="208"/>
      <c r="D4" s="70"/>
      <c r="E4" s="7"/>
      <c r="F4" s="7"/>
      <c r="G4" s="889" t="s">
        <v>975</v>
      </c>
      <c r="H4" s="890"/>
      <c r="I4" s="890"/>
      <c r="J4" s="890"/>
      <c r="K4" s="890"/>
      <c r="L4" s="890"/>
      <c r="M4" s="890"/>
      <c r="N4" s="890"/>
      <c r="O4" s="890"/>
      <c r="P4" s="890"/>
      <c r="Q4" s="890"/>
      <c r="R4" s="890"/>
      <c r="S4" s="890"/>
      <c r="T4" s="890"/>
      <c r="U4" s="890"/>
      <c r="V4" s="890"/>
      <c r="W4" s="890"/>
      <c r="X4" s="890"/>
      <c r="Y4" s="778"/>
      <c r="Z4" s="778"/>
      <c r="AA4" s="891" t="s">
        <v>976</v>
      </c>
      <c r="AB4" s="892"/>
      <c r="AC4" s="892"/>
      <c r="AD4" s="892"/>
      <c r="AE4" s="892"/>
      <c r="AF4" s="892"/>
      <c r="AG4" s="892"/>
      <c r="AH4" s="892"/>
      <c r="AI4" s="892"/>
      <c r="AJ4" s="892"/>
      <c r="AK4" s="892"/>
      <c r="AL4" s="892"/>
      <c r="AM4" s="892"/>
      <c r="AN4" s="892"/>
      <c r="AO4" s="892"/>
      <c r="AP4" s="892"/>
      <c r="AQ4" s="892"/>
      <c r="AR4" s="892"/>
      <c r="AS4" s="892"/>
      <c r="AT4" s="892"/>
      <c r="AU4" s="893"/>
      <c r="AV4" s="894" t="s">
        <v>977</v>
      </c>
      <c r="AW4" s="895"/>
      <c r="AX4" s="895"/>
      <c r="AY4" s="895"/>
      <c r="AZ4" s="895"/>
      <c r="BA4" s="895"/>
      <c r="BB4" s="895"/>
      <c r="BC4" s="895"/>
      <c r="BD4" s="895"/>
      <c r="BE4" s="895"/>
      <c r="BF4" s="895"/>
      <c r="BG4" s="895"/>
      <c r="BH4" s="895"/>
      <c r="BI4" s="895"/>
      <c r="BJ4" s="896" t="s">
        <v>978</v>
      </c>
      <c r="BK4" s="897"/>
      <c r="BL4" s="897"/>
      <c r="BM4" s="897"/>
      <c r="BN4" s="897"/>
      <c r="BO4" s="897"/>
      <c r="BP4" s="897"/>
      <c r="BQ4" s="897"/>
      <c r="BR4" s="897"/>
      <c r="BS4" s="897"/>
      <c r="BT4" s="897"/>
      <c r="BU4" s="897"/>
      <c r="BV4" s="898" t="s">
        <v>979</v>
      </c>
      <c r="BW4" s="899"/>
      <c r="BX4" s="899"/>
      <c r="BY4" s="899"/>
      <c r="BZ4" s="899"/>
      <c r="CA4" s="899"/>
      <c r="CB4" s="899"/>
      <c r="CC4" s="899"/>
      <c r="CD4" s="899"/>
      <c r="CE4" s="899"/>
      <c r="CF4" s="889" t="s">
        <v>980</v>
      </c>
      <c r="CG4" s="890"/>
      <c r="CH4" s="890"/>
      <c r="CI4" s="890"/>
      <c r="CJ4" s="890"/>
      <c r="CK4" s="890"/>
      <c r="CL4" s="890"/>
      <c r="CM4" s="890"/>
      <c r="CN4" s="894" t="s">
        <v>981</v>
      </c>
      <c r="CO4" s="895"/>
      <c r="CP4" s="895"/>
      <c r="CQ4" s="895"/>
      <c r="CR4" s="895"/>
      <c r="CS4" s="895"/>
      <c r="CT4" s="895"/>
      <c r="CU4" s="900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</row>
    <row r="5" spans="1:175" ht="13.9" customHeight="1" x14ac:dyDescent="0.25">
      <c r="E5" s="7"/>
      <c r="F5" s="7"/>
      <c r="G5" s="860" t="s">
        <v>656</v>
      </c>
      <c r="H5" s="860" t="s">
        <v>768</v>
      </c>
      <c r="I5" s="860" t="s">
        <v>769</v>
      </c>
      <c r="J5" s="860" t="s">
        <v>756</v>
      </c>
      <c r="K5" s="860" t="s">
        <v>757</v>
      </c>
      <c r="L5" s="860" t="s">
        <v>761</v>
      </c>
      <c r="M5" s="860" t="s">
        <v>770</v>
      </c>
      <c r="N5" s="860" t="s">
        <v>809</v>
      </c>
      <c r="O5" s="860" t="s">
        <v>811</v>
      </c>
      <c r="P5" s="860" t="s">
        <v>810</v>
      </c>
      <c r="Q5" s="860" t="s">
        <v>762</v>
      </c>
      <c r="R5" s="860" t="s">
        <v>763</v>
      </c>
      <c r="S5" s="860" t="s">
        <v>764</v>
      </c>
      <c r="T5" s="860" t="s">
        <v>837</v>
      </c>
      <c r="U5" s="860" t="s">
        <v>774</v>
      </c>
      <c r="V5" s="860" t="s">
        <v>782</v>
      </c>
      <c r="W5" s="860" t="s">
        <v>778</v>
      </c>
      <c r="X5" s="860" t="s">
        <v>882</v>
      </c>
      <c r="Y5" s="901" t="s">
        <v>1024</v>
      </c>
      <c r="Z5" s="904" t="s">
        <v>1026</v>
      </c>
      <c r="AA5" s="878" t="s">
        <v>657</v>
      </c>
      <c r="AB5" s="884" t="s">
        <v>658</v>
      </c>
      <c r="AC5" s="884" t="s">
        <v>659</v>
      </c>
      <c r="AD5" s="884" t="s">
        <v>660</v>
      </c>
      <c r="AE5" s="884" t="s">
        <v>967</v>
      </c>
      <c r="AF5" s="884" t="s">
        <v>968</v>
      </c>
      <c r="AG5" s="884" t="s">
        <v>789</v>
      </c>
      <c r="AH5" s="884" t="s">
        <v>969</v>
      </c>
      <c r="AI5" s="884" t="s">
        <v>746</v>
      </c>
      <c r="AJ5" s="884" t="s">
        <v>801</v>
      </c>
      <c r="AK5" s="884" t="s">
        <v>765</v>
      </c>
      <c r="AL5" s="884" t="s">
        <v>766</v>
      </c>
      <c r="AM5" s="884" t="s">
        <v>767</v>
      </c>
      <c r="AN5" s="884" t="s">
        <v>784</v>
      </c>
      <c r="AO5" s="884" t="s">
        <v>776</v>
      </c>
      <c r="AP5" s="884" t="s">
        <v>779</v>
      </c>
      <c r="AQ5" s="884" t="s">
        <v>970</v>
      </c>
      <c r="AR5" s="884"/>
      <c r="AS5" s="884"/>
      <c r="AT5" s="872" t="s">
        <v>1043</v>
      </c>
      <c r="AU5" s="882" t="s">
        <v>982</v>
      </c>
      <c r="AV5" s="880" t="s">
        <v>847</v>
      </c>
      <c r="AW5" s="880" t="s">
        <v>848</v>
      </c>
      <c r="AX5" s="880" t="s">
        <v>858</v>
      </c>
      <c r="AY5" s="880" t="s">
        <v>791</v>
      </c>
      <c r="AZ5" s="880" t="s">
        <v>849</v>
      </c>
      <c r="BA5" s="880" t="s">
        <v>850</v>
      </c>
      <c r="BB5" s="880" t="s">
        <v>856</v>
      </c>
      <c r="BC5" s="880" t="s">
        <v>854</v>
      </c>
      <c r="BD5" s="880" t="s">
        <v>853</v>
      </c>
      <c r="BE5" s="880" t="s">
        <v>859</v>
      </c>
      <c r="BF5" s="880" t="s">
        <v>851</v>
      </c>
      <c r="BG5" s="880" t="s">
        <v>852</v>
      </c>
      <c r="BH5" s="880" t="s">
        <v>796</v>
      </c>
      <c r="BI5" s="880" t="s">
        <v>797</v>
      </c>
      <c r="BJ5" s="876" t="s">
        <v>788</v>
      </c>
      <c r="BK5" s="876" t="s">
        <v>864</v>
      </c>
      <c r="BL5" s="876" t="s">
        <v>865</v>
      </c>
      <c r="BM5" s="876" t="s">
        <v>738</v>
      </c>
      <c r="BN5" s="876" t="s">
        <v>664</v>
      </c>
      <c r="BO5" s="876" t="s">
        <v>856</v>
      </c>
      <c r="BP5" s="876" t="s">
        <v>867</v>
      </c>
      <c r="BQ5" s="876" t="s">
        <v>868</v>
      </c>
      <c r="BR5" s="876" t="s">
        <v>866</v>
      </c>
      <c r="BS5" s="876" t="s">
        <v>869</v>
      </c>
      <c r="BT5" s="876" t="s">
        <v>796</v>
      </c>
      <c r="BU5" s="876" t="s">
        <v>797</v>
      </c>
      <c r="BV5" s="878" t="s">
        <v>786</v>
      </c>
      <c r="BW5" s="872" t="s">
        <v>738</v>
      </c>
      <c r="BX5" s="872" t="s">
        <v>664</v>
      </c>
      <c r="BY5" s="872" t="s">
        <v>971</v>
      </c>
      <c r="BZ5" s="872" t="s">
        <v>972</v>
      </c>
      <c r="CA5" s="872" t="s">
        <v>973</v>
      </c>
      <c r="CB5" s="872" t="s">
        <v>974</v>
      </c>
      <c r="CC5" s="872" t="s">
        <v>792</v>
      </c>
      <c r="CD5" s="872" t="s">
        <v>796</v>
      </c>
      <c r="CE5" s="872" t="s">
        <v>797</v>
      </c>
      <c r="CF5" s="874" t="s">
        <v>786</v>
      </c>
      <c r="CG5" s="870" t="s">
        <v>738</v>
      </c>
      <c r="CH5" s="870" t="s">
        <v>664</v>
      </c>
      <c r="CI5" s="870" t="s">
        <v>971</v>
      </c>
      <c r="CJ5" s="870" t="s">
        <v>974</v>
      </c>
      <c r="CK5" s="870" t="s">
        <v>792</v>
      </c>
      <c r="CL5" s="870" t="s">
        <v>796</v>
      </c>
      <c r="CM5" s="870" t="s">
        <v>797</v>
      </c>
      <c r="CN5" s="860" t="s">
        <v>879</v>
      </c>
      <c r="CO5" s="860" t="s">
        <v>655</v>
      </c>
      <c r="CP5" s="860"/>
      <c r="CQ5" s="860"/>
      <c r="CR5" s="860"/>
      <c r="CS5" s="860"/>
      <c r="CT5" s="860"/>
      <c r="CU5" s="860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</row>
    <row r="6" spans="1:175" s="53" customFormat="1" ht="15" customHeight="1" thickBot="1" x14ac:dyDescent="0.25">
      <c r="E6" s="7"/>
      <c r="F6" s="7"/>
      <c r="G6" s="860" t="s">
        <v>656</v>
      </c>
      <c r="H6" s="860" t="s">
        <v>768</v>
      </c>
      <c r="I6" s="860" t="s">
        <v>769</v>
      </c>
      <c r="J6" s="860" t="s">
        <v>756</v>
      </c>
      <c r="K6" s="860" t="s">
        <v>757</v>
      </c>
      <c r="L6" s="860" t="s">
        <v>761</v>
      </c>
      <c r="M6" s="860" t="s">
        <v>770</v>
      </c>
      <c r="N6" s="860" t="s">
        <v>809</v>
      </c>
      <c r="O6" s="860" t="s">
        <v>811</v>
      </c>
      <c r="P6" s="860" t="s">
        <v>810</v>
      </c>
      <c r="Q6" s="860" t="s">
        <v>762</v>
      </c>
      <c r="R6" s="860" t="s">
        <v>763</v>
      </c>
      <c r="S6" s="860" t="s">
        <v>764</v>
      </c>
      <c r="T6" s="860" t="s">
        <v>837</v>
      </c>
      <c r="U6" s="860" t="s">
        <v>774</v>
      </c>
      <c r="V6" s="860" t="s">
        <v>782</v>
      </c>
      <c r="W6" s="860" t="s">
        <v>778</v>
      </c>
      <c r="X6" s="860" t="s">
        <v>882</v>
      </c>
      <c r="Y6" s="902"/>
      <c r="Z6" s="905"/>
      <c r="AA6" s="878" t="s">
        <v>657</v>
      </c>
      <c r="AB6" s="884" t="s">
        <v>658</v>
      </c>
      <c r="AC6" s="884" t="s">
        <v>659</v>
      </c>
      <c r="AD6" s="884" t="s">
        <v>660</v>
      </c>
      <c r="AE6" s="884" t="s">
        <v>967</v>
      </c>
      <c r="AF6" s="884" t="s">
        <v>968</v>
      </c>
      <c r="AG6" s="884" t="s">
        <v>789</v>
      </c>
      <c r="AH6" s="884" t="s">
        <v>969</v>
      </c>
      <c r="AI6" s="884" t="s">
        <v>746</v>
      </c>
      <c r="AJ6" s="884" t="s">
        <v>801</v>
      </c>
      <c r="AK6" s="884" t="s">
        <v>765</v>
      </c>
      <c r="AL6" s="884" t="s">
        <v>766</v>
      </c>
      <c r="AM6" s="884" t="s">
        <v>767</v>
      </c>
      <c r="AN6" s="884" t="s">
        <v>784</v>
      </c>
      <c r="AO6" s="884" t="s">
        <v>776</v>
      </c>
      <c r="AP6" s="884" t="s">
        <v>779</v>
      </c>
      <c r="AQ6" s="884" t="s">
        <v>970</v>
      </c>
      <c r="AR6" s="884"/>
      <c r="AS6" s="884"/>
      <c r="AT6" s="872"/>
      <c r="AU6" s="882"/>
      <c r="AV6" s="880"/>
      <c r="AW6" s="880" t="s">
        <v>848</v>
      </c>
      <c r="AX6" s="880" t="s">
        <v>858</v>
      </c>
      <c r="AY6" s="880" t="s">
        <v>791</v>
      </c>
      <c r="AZ6" s="880" t="s">
        <v>849</v>
      </c>
      <c r="BA6" s="880" t="s">
        <v>850</v>
      </c>
      <c r="BB6" s="880" t="s">
        <v>856</v>
      </c>
      <c r="BC6" s="880" t="s">
        <v>854</v>
      </c>
      <c r="BD6" s="880" t="s">
        <v>853</v>
      </c>
      <c r="BE6" s="880" t="s">
        <v>859</v>
      </c>
      <c r="BF6" s="880" t="s">
        <v>851</v>
      </c>
      <c r="BG6" s="880" t="s">
        <v>852</v>
      </c>
      <c r="BH6" s="880" t="s">
        <v>796</v>
      </c>
      <c r="BI6" s="880" t="s">
        <v>797</v>
      </c>
      <c r="BJ6" s="876" t="s">
        <v>788</v>
      </c>
      <c r="BK6" s="876" t="s">
        <v>864</v>
      </c>
      <c r="BL6" s="876" t="s">
        <v>865</v>
      </c>
      <c r="BM6" s="876" t="s">
        <v>738</v>
      </c>
      <c r="BN6" s="876" t="s">
        <v>664</v>
      </c>
      <c r="BO6" s="876" t="s">
        <v>856</v>
      </c>
      <c r="BP6" s="876" t="s">
        <v>867</v>
      </c>
      <c r="BQ6" s="876" t="s">
        <v>868</v>
      </c>
      <c r="BR6" s="876" t="s">
        <v>866</v>
      </c>
      <c r="BS6" s="876" t="s">
        <v>869</v>
      </c>
      <c r="BT6" s="876" t="s">
        <v>796</v>
      </c>
      <c r="BU6" s="876" t="s">
        <v>797</v>
      </c>
      <c r="BV6" s="878" t="s">
        <v>786</v>
      </c>
      <c r="BW6" s="872" t="s">
        <v>738</v>
      </c>
      <c r="BX6" s="872" t="s">
        <v>664</v>
      </c>
      <c r="BY6" s="872" t="s">
        <v>971</v>
      </c>
      <c r="BZ6" s="872" t="s">
        <v>972</v>
      </c>
      <c r="CA6" s="872" t="s">
        <v>973</v>
      </c>
      <c r="CB6" s="872" t="s">
        <v>974</v>
      </c>
      <c r="CC6" s="872" t="s">
        <v>792</v>
      </c>
      <c r="CD6" s="872" t="s">
        <v>796</v>
      </c>
      <c r="CE6" s="872" t="s">
        <v>797</v>
      </c>
      <c r="CF6" s="874" t="s">
        <v>786</v>
      </c>
      <c r="CG6" s="870" t="s">
        <v>738</v>
      </c>
      <c r="CH6" s="870" t="s">
        <v>664</v>
      </c>
      <c r="CI6" s="870" t="s">
        <v>971</v>
      </c>
      <c r="CJ6" s="870" t="s">
        <v>974</v>
      </c>
      <c r="CK6" s="870" t="s">
        <v>792</v>
      </c>
      <c r="CL6" s="870" t="s">
        <v>796</v>
      </c>
      <c r="CM6" s="870" t="s">
        <v>797</v>
      </c>
      <c r="CN6" s="860" t="s">
        <v>879</v>
      </c>
      <c r="CO6" s="860" t="s">
        <v>655</v>
      </c>
      <c r="CP6" s="860"/>
      <c r="CQ6" s="860"/>
      <c r="CR6" s="860"/>
      <c r="CS6" s="860"/>
      <c r="CT6" s="860"/>
      <c r="CU6" s="860"/>
      <c r="CV6" s="67"/>
      <c r="CW6" s="862"/>
      <c r="CX6" s="863"/>
      <c r="CY6" s="863"/>
      <c r="CZ6" s="863"/>
      <c r="DA6" s="863"/>
      <c r="DB6" s="863"/>
      <c r="DC6" s="863"/>
      <c r="DD6" s="863"/>
      <c r="DE6" s="863"/>
      <c r="DF6" s="863"/>
      <c r="DG6" s="863"/>
      <c r="DH6" s="863"/>
      <c r="DI6" s="864"/>
    </row>
    <row r="7" spans="1:175" s="212" customFormat="1" ht="122.45" customHeight="1" thickBot="1" x14ac:dyDescent="0.25">
      <c r="A7" s="7"/>
      <c r="B7" s="7"/>
      <c r="C7" s="7"/>
      <c r="D7" s="7"/>
      <c r="E7" s="865" t="s">
        <v>100</v>
      </c>
      <c r="F7" s="866"/>
      <c r="G7" s="861" t="s">
        <v>656</v>
      </c>
      <c r="H7" s="861" t="s">
        <v>768</v>
      </c>
      <c r="I7" s="861" t="s">
        <v>769</v>
      </c>
      <c r="J7" s="861" t="s">
        <v>756</v>
      </c>
      <c r="K7" s="861" t="s">
        <v>757</v>
      </c>
      <c r="L7" s="861" t="s">
        <v>761</v>
      </c>
      <c r="M7" s="861" t="s">
        <v>770</v>
      </c>
      <c r="N7" s="861" t="s">
        <v>809</v>
      </c>
      <c r="O7" s="861" t="s">
        <v>811</v>
      </c>
      <c r="P7" s="861" t="s">
        <v>810</v>
      </c>
      <c r="Q7" s="861" t="s">
        <v>762</v>
      </c>
      <c r="R7" s="861" t="s">
        <v>763</v>
      </c>
      <c r="S7" s="861" t="s">
        <v>764</v>
      </c>
      <c r="T7" s="861" t="s">
        <v>837</v>
      </c>
      <c r="U7" s="861" t="s">
        <v>774</v>
      </c>
      <c r="V7" s="861" t="s">
        <v>782</v>
      </c>
      <c r="W7" s="861" t="s">
        <v>778</v>
      </c>
      <c r="X7" s="861" t="s">
        <v>882</v>
      </c>
      <c r="Y7" s="903"/>
      <c r="Z7" s="906"/>
      <c r="AA7" s="879" t="s">
        <v>657</v>
      </c>
      <c r="AB7" s="885" t="s">
        <v>658</v>
      </c>
      <c r="AC7" s="885" t="s">
        <v>659</v>
      </c>
      <c r="AD7" s="885" t="s">
        <v>660</v>
      </c>
      <c r="AE7" s="885" t="s">
        <v>967</v>
      </c>
      <c r="AF7" s="885" t="s">
        <v>968</v>
      </c>
      <c r="AG7" s="885" t="s">
        <v>789</v>
      </c>
      <c r="AH7" s="885" t="s">
        <v>969</v>
      </c>
      <c r="AI7" s="885" t="s">
        <v>746</v>
      </c>
      <c r="AJ7" s="885" t="s">
        <v>801</v>
      </c>
      <c r="AK7" s="885" t="s">
        <v>765</v>
      </c>
      <c r="AL7" s="885" t="s">
        <v>766</v>
      </c>
      <c r="AM7" s="885" t="s">
        <v>767</v>
      </c>
      <c r="AN7" s="885" t="s">
        <v>784</v>
      </c>
      <c r="AO7" s="885" t="s">
        <v>776</v>
      </c>
      <c r="AP7" s="885" t="s">
        <v>779</v>
      </c>
      <c r="AQ7" s="885" t="s">
        <v>970</v>
      </c>
      <c r="AR7" s="885"/>
      <c r="AS7" s="885"/>
      <c r="AT7" s="873"/>
      <c r="AU7" s="883"/>
      <c r="AV7" s="881"/>
      <c r="AW7" s="881" t="s">
        <v>848</v>
      </c>
      <c r="AX7" s="881" t="s">
        <v>858</v>
      </c>
      <c r="AY7" s="881" t="s">
        <v>791</v>
      </c>
      <c r="AZ7" s="881" t="s">
        <v>849</v>
      </c>
      <c r="BA7" s="881" t="s">
        <v>850</v>
      </c>
      <c r="BB7" s="881" t="s">
        <v>856</v>
      </c>
      <c r="BC7" s="881" t="s">
        <v>854</v>
      </c>
      <c r="BD7" s="881" t="s">
        <v>853</v>
      </c>
      <c r="BE7" s="881" t="s">
        <v>859</v>
      </c>
      <c r="BF7" s="881" t="s">
        <v>851</v>
      </c>
      <c r="BG7" s="881" t="s">
        <v>852</v>
      </c>
      <c r="BH7" s="881" t="s">
        <v>796</v>
      </c>
      <c r="BI7" s="881" t="s">
        <v>797</v>
      </c>
      <c r="BJ7" s="877" t="s">
        <v>788</v>
      </c>
      <c r="BK7" s="877" t="s">
        <v>864</v>
      </c>
      <c r="BL7" s="877" t="s">
        <v>865</v>
      </c>
      <c r="BM7" s="877" t="s">
        <v>738</v>
      </c>
      <c r="BN7" s="877" t="s">
        <v>664</v>
      </c>
      <c r="BO7" s="877" t="s">
        <v>856</v>
      </c>
      <c r="BP7" s="877" t="s">
        <v>867</v>
      </c>
      <c r="BQ7" s="877" t="s">
        <v>868</v>
      </c>
      <c r="BR7" s="877" t="s">
        <v>866</v>
      </c>
      <c r="BS7" s="877" t="s">
        <v>869</v>
      </c>
      <c r="BT7" s="877" t="s">
        <v>796</v>
      </c>
      <c r="BU7" s="877" t="s">
        <v>797</v>
      </c>
      <c r="BV7" s="879" t="s">
        <v>786</v>
      </c>
      <c r="BW7" s="873" t="s">
        <v>738</v>
      </c>
      <c r="BX7" s="873" t="s">
        <v>664</v>
      </c>
      <c r="BY7" s="873" t="s">
        <v>971</v>
      </c>
      <c r="BZ7" s="873" t="s">
        <v>972</v>
      </c>
      <c r="CA7" s="873" t="s">
        <v>973</v>
      </c>
      <c r="CB7" s="873" t="s">
        <v>974</v>
      </c>
      <c r="CC7" s="873" t="s">
        <v>792</v>
      </c>
      <c r="CD7" s="873" t="s">
        <v>796</v>
      </c>
      <c r="CE7" s="873" t="s">
        <v>797</v>
      </c>
      <c r="CF7" s="875" t="s">
        <v>786</v>
      </c>
      <c r="CG7" s="871" t="s">
        <v>738</v>
      </c>
      <c r="CH7" s="871" t="s">
        <v>664</v>
      </c>
      <c r="CI7" s="871" t="s">
        <v>971</v>
      </c>
      <c r="CJ7" s="871" t="s">
        <v>974</v>
      </c>
      <c r="CK7" s="871" t="s">
        <v>792</v>
      </c>
      <c r="CL7" s="871" t="s">
        <v>796</v>
      </c>
      <c r="CM7" s="871" t="s">
        <v>797</v>
      </c>
      <c r="CN7" s="861" t="s">
        <v>879</v>
      </c>
      <c r="CO7" s="861" t="s">
        <v>655</v>
      </c>
      <c r="CP7" s="861"/>
      <c r="CQ7" s="861"/>
      <c r="CR7" s="861"/>
      <c r="CS7" s="861"/>
      <c r="CT7" s="861"/>
      <c r="CU7" s="861"/>
      <c r="CV7" s="68"/>
      <c r="CW7" s="209"/>
      <c r="CX7" s="210"/>
      <c r="CY7" s="210"/>
      <c r="CZ7" s="210"/>
      <c r="DA7" s="210"/>
      <c r="DB7" s="210"/>
      <c r="DC7" s="210"/>
      <c r="DD7" s="210"/>
      <c r="DE7" s="210"/>
      <c r="DF7" s="210"/>
      <c r="DG7" s="210"/>
      <c r="DH7" s="210"/>
      <c r="DI7" s="211"/>
      <c r="DJ7" s="752"/>
      <c r="DK7" s="753"/>
      <c r="DL7" s="753"/>
      <c r="DM7" s="753"/>
      <c r="DN7" s="753"/>
      <c r="DO7" s="753"/>
      <c r="DP7" s="753"/>
      <c r="DQ7" s="753"/>
      <c r="DR7" s="753"/>
      <c r="DS7" s="753"/>
      <c r="DT7" s="753"/>
      <c r="DU7" s="753"/>
      <c r="DV7" s="754"/>
      <c r="DW7" s="752"/>
      <c r="DX7" s="753"/>
      <c r="DY7" s="753"/>
      <c r="DZ7" s="753"/>
      <c r="EA7" s="753"/>
      <c r="EB7" s="753"/>
      <c r="EC7" s="753" t="s">
        <v>1064</v>
      </c>
      <c r="ED7" s="752" t="s">
        <v>101</v>
      </c>
      <c r="EE7" s="753" t="s">
        <v>23</v>
      </c>
      <c r="EF7" s="753" t="s">
        <v>24</v>
      </c>
      <c r="EG7" s="753" t="s">
        <v>25</v>
      </c>
      <c r="EH7" s="753" t="s">
        <v>26</v>
      </c>
      <c r="EI7" s="753" t="s">
        <v>27</v>
      </c>
      <c r="EJ7" s="753" t="s">
        <v>28</v>
      </c>
      <c r="EK7" s="753" t="s">
        <v>29</v>
      </c>
      <c r="EL7" s="753" t="s">
        <v>30</v>
      </c>
      <c r="EM7" s="753" t="s">
        <v>31</v>
      </c>
      <c r="EN7" s="753" t="s">
        <v>32</v>
      </c>
      <c r="EO7" s="753" t="s">
        <v>33</v>
      </c>
      <c r="EP7" s="754" t="s">
        <v>34</v>
      </c>
    </row>
    <row r="8" spans="1:175" s="212" customFormat="1" ht="29.25" thickBot="1" x14ac:dyDescent="0.25">
      <c r="A8" s="230" t="s">
        <v>613</v>
      </c>
      <c r="B8" s="232">
        <f>+B2</f>
        <v>45691</v>
      </c>
      <c r="C8" s="231" t="s">
        <v>614</v>
      </c>
      <c r="D8" s="233">
        <f>+B8+4</f>
        <v>45695</v>
      </c>
      <c r="E8" s="213" t="s">
        <v>102</v>
      </c>
      <c r="F8" s="214" t="s">
        <v>103</v>
      </c>
      <c r="G8" s="867" t="s">
        <v>122</v>
      </c>
      <c r="H8" s="868"/>
      <c r="I8" s="868"/>
      <c r="J8" s="868"/>
      <c r="K8" s="868"/>
      <c r="L8" s="868"/>
      <c r="M8" s="868"/>
      <c r="N8" s="868"/>
      <c r="O8" s="868"/>
      <c r="P8" s="868"/>
      <c r="Q8" s="868"/>
      <c r="R8" s="868"/>
      <c r="S8" s="868"/>
      <c r="T8" s="868"/>
      <c r="U8" s="868"/>
      <c r="V8" s="868"/>
      <c r="W8" s="868"/>
      <c r="X8" s="868"/>
      <c r="Y8" s="868"/>
      <c r="Z8" s="868"/>
      <c r="AA8" s="868"/>
      <c r="AB8" s="868"/>
      <c r="AC8" s="868"/>
      <c r="AD8" s="868"/>
      <c r="AE8" s="868"/>
      <c r="AF8" s="868"/>
      <c r="AG8" s="868"/>
      <c r="AH8" s="868"/>
      <c r="AI8" s="868"/>
      <c r="AJ8" s="868"/>
      <c r="AK8" s="868"/>
      <c r="AL8" s="868"/>
      <c r="AM8" s="868"/>
      <c r="AN8" s="868"/>
      <c r="AO8" s="868"/>
      <c r="AP8" s="868"/>
      <c r="AQ8" s="868"/>
      <c r="AR8" s="868"/>
      <c r="AS8" s="868"/>
      <c r="AT8" s="868"/>
      <c r="AU8" s="868"/>
      <c r="AV8" s="868"/>
      <c r="AW8" s="868"/>
      <c r="AX8" s="868"/>
      <c r="AY8" s="868"/>
      <c r="AZ8" s="868"/>
      <c r="BA8" s="868"/>
      <c r="BB8" s="868"/>
      <c r="BC8" s="868"/>
      <c r="BD8" s="868"/>
      <c r="BE8" s="868"/>
      <c r="BF8" s="868"/>
      <c r="BG8" s="868"/>
      <c r="BH8" s="868"/>
      <c r="BI8" s="868"/>
      <c r="BJ8" s="868"/>
      <c r="BK8" s="868"/>
      <c r="BL8" s="868"/>
      <c r="BM8" s="868"/>
      <c r="BN8" s="868"/>
      <c r="BO8" s="868"/>
      <c r="BP8" s="868"/>
      <c r="BQ8" s="868"/>
      <c r="BR8" s="868"/>
      <c r="BS8" s="868"/>
      <c r="BT8" s="868"/>
      <c r="BU8" s="868"/>
      <c r="BV8" s="868"/>
      <c r="BW8" s="868"/>
      <c r="BX8" s="868"/>
      <c r="BY8" s="868"/>
      <c r="BZ8" s="868"/>
      <c r="CA8" s="868"/>
      <c r="CB8" s="868"/>
      <c r="CC8" s="868"/>
      <c r="CD8" s="868"/>
      <c r="CE8" s="868"/>
      <c r="CF8" s="868"/>
      <c r="CG8" s="868"/>
      <c r="CH8" s="868"/>
      <c r="CI8" s="868"/>
      <c r="CJ8" s="868"/>
      <c r="CK8" s="868"/>
      <c r="CL8" s="868"/>
      <c r="CM8" s="868"/>
      <c r="CN8" s="868"/>
      <c r="CO8" s="868"/>
      <c r="CP8" s="868"/>
      <c r="CQ8" s="868"/>
      <c r="CR8" s="868"/>
      <c r="CS8" s="868"/>
      <c r="CT8" s="868"/>
      <c r="CU8" s="868"/>
      <c r="CV8" s="868"/>
      <c r="CW8" s="868"/>
      <c r="CX8" s="868"/>
      <c r="CY8" s="868"/>
      <c r="CZ8" s="868"/>
      <c r="DA8" s="868"/>
      <c r="DB8" s="868"/>
      <c r="DC8" s="868"/>
      <c r="DD8" s="868"/>
      <c r="DE8" s="868"/>
      <c r="DF8" s="868"/>
      <c r="DG8" s="868"/>
      <c r="DH8" s="868"/>
      <c r="DI8" s="869"/>
    </row>
    <row r="9" spans="1:175" s="2" customFormat="1" x14ac:dyDescent="0.2">
      <c r="A9" s="854" t="s">
        <v>74</v>
      </c>
      <c r="B9" s="855"/>
      <c r="C9" s="855"/>
      <c r="D9" s="856"/>
      <c r="E9" s="215">
        <v>234</v>
      </c>
      <c r="F9" s="216">
        <v>0</v>
      </c>
      <c r="G9" s="735">
        <v>0</v>
      </c>
      <c r="H9" s="736">
        <v>0</v>
      </c>
      <c r="I9" s="736">
        <v>0</v>
      </c>
      <c r="J9" s="736">
        <v>0</v>
      </c>
      <c r="K9" s="736">
        <v>0</v>
      </c>
      <c r="L9" s="736">
        <v>39</v>
      </c>
      <c r="M9" s="736">
        <v>0</v>
      </c>
      <c r="N9" s="736">
        <v>0</v>
      </c>
      <c r="O9" s="736">
        <v>0</v>
      </c>
      <c r="P9" s="736">
        <v>0</v>
      </c>
      <c r="Q9" s="736">
        <v>0</v>
      </c>
      <c r="R9" s="736">
        <v>0</v>
      </c>
      <c r="S9" s="736">
        <v>0</v>
      </c>
      <c r="T9" s="736">
        <v>0</v>
      </c>
      <c r="U9" s="736">
        <v>0</v>
      </c>
      <c r="V9" s="736">
        <v>0</v>
      </c>
      <c r="W9" s="736">
        <v>0</v>
      </c>
      <c r="X9" s="736">
        <v>0</v>
      </c>
      <c r="Y9" s="736">
        <v>0</v>
      </c>
      <c r="Z9" s="736">
        <v>0</v>
      </c>
      <c r="AA9" s="737">
        <v>0</v>
      </c>
      <c r="AB9" s="737">
        <v>0</v>
      </c>
      <c r="AC9" s="737">
        <v>0</v>
      </c>
      <c r="AD9" s="737">
        <v>0</v>
      </c>
      <c r="AE9" s="737">
        <v>8</v>
      </c>
      <c r="AF9" s="737">
        <v>0</v>
      </c>
      <c r="AG9" s="737">
        <v>0</v>
      </c>
      <c r="AH9" s="737">
        <v>24</v>
      </c>
      <c r="AI9" s="737">
        <v>0</v>
      </c>
      <c r="AJ9" s="737">
        <v>0</v>
      </c>
      <c r="AK9" s="737">
        <v>0</v>
      </c>
      <c r="AL9" s="737">
        <v>0</v>
      </c>
      <c r="AM9" s="737">
        <v>0</v>
      </c>
      <c r="AN9" s="737">
        <v>0</v>
      </c>
      <c r="AO9" s="737">
        <v>0</v>
      </c>
      <c r="AP9" s="737">
        <v>0</v>
      </c>
      <c r="AQ9" s="737">
        <v>0</v>
      </c>
      <c r="AR9" s="737">
        <v>0</v>
      </c>
      <c r="AS9" s="737">
        <v>0</v>
      </c>
      <c r="AT9" s="737">
        <v>40</v>
      </c>
      <c r="AU9" s="738">
        <v>0</v>
      </c>
      <c r="AV9" s="737">
        <v>0</v>
      </c>
      <c r="AW9" s="737">
        <v>8</v>
      </c>
      <c r="AX9" s="737">
        <v>8</v>
      </c>
      <c r="AY9" s="737">
        <v>0</v>
      </c>
      <c r="AZ9" s="737">
        <v>0</v>
      </c>
      <c r="BA9" s="737">
        <v>0</v>
      </c>
      <c r="BB9" s="737">
        <v>107</v>
      </c>
      <c r="BC9" s="737">
        <v>0</v>
      </c>
      <c r="BD9" s="737">
        <v>0</v>
      </c>
      <c r="BE9" s="737">
        <v>0</v>
      </c>
      <c r="BF9" s="737">
        <v>0</v>
      </c>
      <c r="BG9" s="737">
        <v>0</v>
      </c>
      <c r="BH9" s="737">
        <v>0</v>
      </c>
      <c r="BI9" s="737">
        <v>0</v>
      </c>
      <c r="BJ9" s="737">
        <v>0</v>
      </c>
      <c r="BK9" s="737">
        <v>0</v>
      </c>
      <c r="BL9" s="737">
        <v>0</v>
      </c>
      <c r="BM9" s="737">
        <v>0</v>
      </c>
      <c r="BN9" s="737">
        <v>0</v>
      </c>
      <c r="BO9" s="737">
        <v>0</v>
      </c>
      <c r="BP9" s="737">
        <v>0</v>
      </c>
      <c r="BQ9" s="737">
        <v>0</v>
      </c>
      <c r="BR9" s="737">
        <v>0</v>
      </c>
      <c r="BS9" s="737">
        <v>0</v>
      </c>
      <c r="BT9" s="737">
        <v>0</v>
      </c>
      <c r="BU9" s="739">
        <v>0</v>
      </c>
      <c r="BV9" s="737">
        <v>0</v>
      </c>
      <c r="BW9" s="737">
        <v>0</v>
      </c>
      <c r="BX9" s="737">
        <v>0</v>
      </c>
      <c r="BY9" s="737">
        <v>0</v>
      </c>
      <c r="BZ9" s="737">
        <v>0</v>
      </c>
      <c r="CA9" s="737">
        <v>0</v>
      </c>
      <c r="CB9" s="737">
        <v>0</v>
      </c>
      <c r="CC9" s="737">
        <v>0</v>
      </c>
      <c r="CD9" s="737">
        <v>0</v>
      </c>
      <c r="CE9" s="737">
        <v>0</v>
      </c>
      <c r="CF9" s="737">
        <v>0</v>
      </c>
      <c r="CG9" s="737">
        <v>0</v>
      </c>
      <c r="CH9" s="737">
        <v>0</v>
      </c>
      <c r="CI9" s="737">
        <v>0</v>
      </c>
      <c r="CJ9" s="737">
        <v>0</v>
      </c>
      <c r="CK9" s="737">
        <v>0</v>
      </c>
      <c r="CL9" s="737">
        <v>0</v>
      </c>
      <c r="CM9" s="737">
        <v>0</v>
      </c>
      <c r="CN9" s="737">
        <v>0</v>
      </c>
      <c r="CO9" s="737">
        <v>0</v>
      </c>
      <c r="CP9" s="737">
        <v>0</v>
      </c>
      <c r="CQ9" s="737">
        <v>0</v>
      </c>
      <c r="CR9" s="737">
        <v>0</v>
      </c>
      <c r="CS9" s="737">
        <v>0</v>
      </c>
      <c r="CT9" s="737">
        <v>0</v>
      </c>
      <c r="CU9" s="738">
        <v>0</v>
      </c>
      <c r="CV9" s="737">
        <v>0</v>
      </c>
      <c r="CW9" s="737">
        <v>0</v>
      </c>
      <c r="CX9" s="737">
        <v>0</v>
      </c>
      <c r="CY9" s="737">
        <v>0</v>
      </c>
      <c r="CZ9" s="737">
        <v>0</v>
      </c>
      <c r="DA9" s="737">
        <v>0</v>
      </c>
      <c r="DB9" s="737">
        <v>0</v>
      </c>
      <c r="DC9" s="737">
        <v>0</v>
      </c>
      <c r="DD9" s="737">
        <v>0</v>
      </c>
      <c r="DE9" s="737">
        <v>0</v>
      </c>
      <c r="DF9" s="737">
        <v>0</v>
      </c>
      <c r="DG9" s="737">
        <v>0</v>
      </c>
      <c r="DH9" s="738">
        <v>0</v>
      </c>
      <c r="DI9" s="737">
        <v>0</v>
      </c>
      <c r="DJ9" s="737">
        <v>0</v>
      </c>
      <c r="DK9" s="737">
        <v>0</v>
      </c>
      <c r="DL9" s="737">
        <v>0</v>
      </c>
      <c r="DM9" s="737">
        <v>0</v>
      </c>
      <c r="DN9" s="737">
        <v>0</v>
      </c>
      <c r="DO9" s="737">
        <v>0</v>
      </c>
      <c r="DP9" s="737">
        <v>0</v>
      </c>
      <c r="DQ9" s="737">
        <v>0</v>
      </c>
      <c r="DR9" s="737">
        <v>0</v>
      </c>
      <c r="DS9" s="737">
        <v>0</v>
      </c>
      <c r="DT9" s="737">
        <v>0</v>
      </c>
      <c r="DU9" s="737">
        <v>0</v>
      </c>
      <c r="DV9" s="737">
        <v>0</v>
      </c>
      <c r="DW9" s="737">
        <v>0</v>
      </c>
      <c r="DX9" s="737">
        <v>0</v>
      </c>
      <c r="DY9" s="737">
        <v>0</v>
      </c>
      <c r="DZ9" s="737">
        <v>0</v>
      </c>
      <c r="EA9" s="737">
        <v>0</v>
      </c>
      <c r="EB9" s="737">
        <v>0</v>
      </c>
      <c r="EC9" s="737">
        <v>0</v>
      </c>
      <c r="ED9" s="737">
        <v>0</v>
      </c>
      <c r="EE9" s="737">
        <v>0</v>
      </c>
      <c r="EF9" s="737">
        <v>0</v>
      </c>
      <c r="EG9" s="737">
        <v>0</v>
      </c>
      <c r="EH9" s="737">
        <v>0</v>
      </c>
      <c r="EI9" s="737">
        <v>0</v>
      </c>
      <c r="EJ9" s="737">
        <v>0</v>
      </c>
      <c r="EK9" s="737">
        <v>0</v>
      </c>
      <c r="EL9" s="737">
        <v>0</v>
      </c>
      <c r="EM9" s="737">
        <v>0</v>
      </c>
      <c r="EN9" s="737">
        <v>0</v>
      </c>
      <c r="EO9" s="737">
        <v>0</v>
      </c>
      <c r="EP9" s="737">
        <v>0</v>
      </c>
      <c r="EQ9" s="737"/>
      <c r="ER9" s="737">
        <v>0</v>
      </c>
      <c r="ES9" s="737">
        <v>0</v>
      </c>
      <c r="ET9" s="737">
        <v>0</v>
      </c>
      <c r="EU9" s="737">
        <v>0</v>
      </c>
      <c r="EV9" s="737">
        <v>0</v>
      </c>
      <c r="EW9" s="737">
        <v>0</v>
      </c>
      <c r="EX9" s="737">
        <v>0</v>
      </c>
      <c r="EY9" s="737">
        <v>0</v>
      </c>
      <c r="EZ9" s="738">
        <v>0</v>
      </c>
      <c r="FA9" s="737">
        <v>0</v>
      </c>
      <c r="FB9" s="737">
        <v>0</v>
      </c>
      <c r="FC9" s="737">
        <v>0</v>
      </c>
      <c r="FD9" s="737">
        <v>0</v>
      </c>
      <c r="FE9" s="738">
        <v>0</v>
      </c>
      <c r="FF9" s="737">
        <v>0</v>
      </c>
      <c r="FG9" s="737">
        <v>0</v>
      </c>
      <c r="FH9" s="737">
        <v>0</v>
      </c>
      <c r="FI9" s="737">
        <v>0</v>
      </c>
      <c r="FJ9" s="737">
        <v>0</v>
      </c>
      <c r="FK9" s="737">
        <v>0</v>
      </c>
      <c r="FL9" s="737">
        <v>0</v>
      </c>
      <c r="FM9" s="737">
        <v>0</v>
      </c>
      <c r="FN9" s="737">
        <v>0</v>
      </c>
      <c r="FO9" s="737">
        <v>0</v>
      </c>
      <c r="FP9" s="737">
        <v>0</v>
      </c>
      <c r="FQ9" s="737">
        <v>32</v>
      </c>
      <c r="FR9" s="737">
        <v>0</v>
      </c>
      <c r="FS9" s="740">
        <v>0</v>
      </c>
    </row>
    <row r="10" spans="1:175" s="2" customFormat="1" ht="15.75" thickBot="1" x14ac:dyDescent="0.25">
      <c r="A10" s="857" t="s">
        <v>109</v>
      </c>
      <c r="B10" s="858"/>
      <c r="C10" s="858"/>
      <c r="D10" s="859"/>
      <c r="E10" s="217">
        <v>113</v>
      </c>
      <c r="F10" s="218">
        <v>43</v>
      </c>
      <c r="G10" s="219">
        <v>0</v>
      </c>
      <c r="H10" s="219">
        <v>0</v>
      </c>
      <c r="I10" s="219">
        <v>0</v>
      </c>
      <c r="J10" s="219">
        <v>0</v>
      </c>
      <c r="K10" s="219">
        <v>0</v>
      </c>
      <c r="L10" s="219">
        <v>0</v>
      </c>
      <c r="M10" s="219">
        <v>0</v>
      </c>
      <c r="N10" s="219">
        <v>0</v>
      </c>
      <c r="O10" s="219">
        <v>0</v>
      </c>
      <c r="P10" s="219">
        <v>0</v>
      </c>
      <c r="Q10" s="219">
        <v>0</v>
      </c>
      <c r="R10" s="219">
        <v>0</v>
      </c>
      <c r="S10" s="219">
        <v>0</v>
      </c>
      <c r="T10" s="219">
        <v>0</v>
      </c>
      <c r="U10" s="219">
        <v>0</v>
      </c>
      <c r="V10" s="219">
        <v>0</v>
      </c>
      <c r="W10" s="219">
        <v>0</v>
      </c>
      <c r="X10" s="219">
        <v>0</v>
      </c>
      <c r="Y10" s="219">
        <v>0</v>
      </c>
      <c r="Z10" s="219">
        <v>0</v>
      </c>
      <c r="AA10" s="219">
        <v>32</v>
      </c>
      <c r="AB10" s="219">
        <v>0</v>
      </c>
      <c r="AC10" s="219">
        <v>0</v>
      </c>
      <c r="AD10" s="219">
        <v>0</v>
      </c>
      <c r="AE10" s="219">
        <v>29</v>
      </c>
      <c r="AF10" s="219">
        <v>0</v>
      </c>
      <c r="AG10" s="219">
        <v>0</v>
      </c>
      <c r="AH10" s="219">
        <v>8</v>
      </c>
      <c r="AI10" s="219">
        <v>0</v>
      </c>
      <c r="AJ10" s="219">
        <v>0</v>
      </c>
      <c r="AK10" s="219">
        <v>0</v>
      </c>
      <c r="AL10" s="219">
        <v>0</v>
      </c>
      <c r="AM10" s="219">
        <v>0</v>
      </c>
      <c r="AN10" s="219">
        <v>0</v>
      </c>
      <c r="AO10" s="219">
        <v>0</v>
      </c>
      <c r="AP10" s="219">
        <v>0</v>
      </c>
      <c r="AQ10" s="219">
        <v>0</v>
      </c>
      <c r="AR10" s="219">
        <v>0</v>
      </c>
      <c r="AS10" s="219">
        <v>0</v>
      </c>
      <c r="AT10" s="219">
        <v>14</v>
      </c>
      <c r="AU10" s="219">
        <v>0</v>
      </c>
      <c r="AV10" s="219">
        <v>0</v>
      </c>
      <c r="AW10" s="219">
        <v>0</v>
      </c>
      <c r="AX10" s="219">
        <v>0</v>
      </c>
      <c r="AY10" s="219">
        <v>0</v>
      </c>
      <c r="AZ10" s="219">
        <v>0</v>
      </c>
      <c r="BA10" s="219">
        <v>0</v>
      </c>
      <c r="BB10" s="219">
        <v>30</v>
      </c>
      <c r="BC10" s="219">
        <v>0</v>
      </c>
      <c r="BD10" s="219">
        <v>0</v>
      </c>
      <c r="BE10" s="219">
        <v>0</v>
      </c>
      <c r="BF10" s="219">
        <v>0</v>
      </c>
      <c r="BG10" s="219">
        <v>0</v>
      </c>
      <c r="BH10" s="219">
        <v>0</v>
      </c>
      <c r="BI10" s="219">
        <v>0</v>
      </c>
      <c r="BJ10" s="219">
        <v>0</v>
      </c>
      <c r="BK10" s="219">
        <v>0</v>
      </c>
      <c r="BL10" s="219">
        <v>0</v>
      </c>
      <c r="BM10" s="219">
        <v>0</v>
      </c>
      <c r="BN10" s="219">
        <v>0</v>
      </c>
      <c r="BO10" s="219">
        <v>0</v>
      </c>
      <c r="BP10" s="219">
        <v>0</v>
      </c>
      <c r="BQ10" s="219">
        <v>0</v>
      </c>
      <c r="BR10" s="219">
        <v>0</v>
      </c>
      <c r="BS10" s="219">
        <v>0</v>
      </c>
      <c r="BT10" s="219">
        <v>0</v>
      </c>
      <c r="BU10" s="219">
        <v>0</v>
      </c>
      <c r="BV10" s="219">
        <v>0</v>
      </c>
      <c r="BW10" s="219">
        <v>0</v>
      </c>
      <c r="BX10" s="219">
        <v>0</v>
      </c>
      <c r="BY10" s="219">
        <v>0</v>
      </c>
      <c r="BZ10" s="219">
        <v>0</v>
      </c>
      <c r="CA10" s="219">
        <v>0</v>
      </c>
      <c r="CB10" s="219">
        <v>0</v>
      </c>
      <c r="CC10" s="219">
        <v>0</v>
      </c>
      <c r="CD10" s="219">
        <v>0</v>
      </c>
      <c r="CE10" s="219">
        <v>0</v>
      </c>
      <c r="CF10" s="219">
        <v>0</v>
      </c>
      <c r="CG10" s="219">
        <v>0</v>
      </c>
      <c r="CH10" s="219">
        <v>0</v>
      </c>
      <c r="CI10" s="219">
        <v>0</v>
      </c>
      <c r="CJ10" s="219">
        <v>0</v>
      </c>
      <c r="CK10" s="219">
        <v>0</v>
      </c>
      <c r="CL10" s="219">
        <v>0</v>
      </c>
      <c r="CM10" s="219">
        <v>0</v>
      </c>
      <c r="CN10" s="219">
        <v>0</v>
      </c>
      <c r="CO10" s="219">
        <v>0</v>
      </c>
      <c r="CP10" s="219">
        <v>0</v>
      </c>
      <c r="CQ10" s="219">
        <v>0</v>
      </c>
      <c r="CR10" s="219">
        <v>0</v>
      </c>
      <c r="CS10" s="219">
        <v>0</v>
      </c>
      <c r="CT10" s="219">
        <v>0</v>
      </c>
      <c r="CU10" s="219">
        <v>0</v>
      </c>
      <c r="CV10" s="220">
        <v>0</v>
      </c>
      <c r="CW10" s="219">
        <v>0</v>
      </c>
      <c r="CX10" s="219">
        <v>0</v>
      </c>
      <c r="CY10" s="219">
        <v>0</v>
      </c>
      <c r="CZ10" s="219">
        <v>0</v>
      </c>
      <c r="DA10" s="219">
        <v>0</v>
      </c>
      <c r="DB10" s="219">
        <v>0</v>
      </c>
      <c r="DC10" s="219">
        <v>0</v>
      </c>
      <c r="DD10" s="219">
        <v>0</v>
      </c>
      <c r="DE10" s="219">
        <v>0</v>
      </c>
      <c r="DF10" s="219">
        <v>0</v>
      </c>
      <c r="DG10" s="219">
        <v>0</v>
      </c>
      <c r="DH10" s="219">
        <v>0</v>
      </c>
      <c r="DI10" s="221">
        <v>0</v>
      </c>
      <c r="DJ10" s="221">
        <v>0</v>
      </c>
      <c r="DK10" s="221">
        <v>0</v>
      </c>
      <c r="DL10" s="221">
        <v>0</v>
      </c>
      <c r="DM10" s="221">
        <v>0</v>
      </c>
      <c r="DN10" s="221">
        <v>0</v>
      </c>
      <c r="DO10" s="221">
        <v>0</v>
      </c>
      <c r="DP10" s="221">
        <v>0</v>
      </c>
      <c r="DQ10" s="221">
        <v>0</v>
      </c>
      <c r="DR10" s="221">
        <v>0</v>
      </c>
      <c r="DS10" s="221">
        <v>0</v>
      </c>
      <c r="DT10" s="221">
        <v>0</v>
      </c>
      <c r="DU10" s="221">
        <v>0</v>
      </c>
      <c r="DV10" s="221">
        <v>0</v>
      </c>
      <c r="DW10" s="221">
        <v>0</v>
      </c>
      <c r="DX10" s="221">
        <v>0</v>
      </c>
      <c r="DY10" s="221">
        <v>0</v>
      </c>
      <c r="DZ10" s="221">
        <v>0</v>
      </c>
      <c r="EA10" s="221">
        <v>0</v>
      </c>
      <c r="EB10" s="221">
        <v>0</v>
      </c>
      <c r="EC10" s="221">
        <v>0</v>
      </c>
      <c r="ED10" s="221">
        <v>2</v>
      </c>
      <c r="EE10" s="221">
        <v>27</v>
      </c>
      <c r="EF10" s="221">
        <v>0</v>
      </c>
      <c r="EG10" s="221">
        <v>0</v>
      </c>
      <c r="EH10" s="221">
        <v>14</v>
      </c>
      <c r="EI10" s="221">
        <v>0</v>
      </c>
      <c r="EJ10" s="221">
        <v>0</v>
      </c>
      <c r="EK10" s="221">
        <v>0</v>
      </c>
      <c r="EL10" s="221">
        <v>0</v>
      </c>
      <c r="EM10" s="221">
        <v>0</v>
      </c>
      <c r="EN10" s="221">
        <v>0</v>
      </c>
      <c r="EO10" s="221">
        <v>0</v>
      </c>
      <c r="EP10" s="221">
        <v>0</v>
      </c>
    </row>
    <row r="11" spans="1:175" s="2" customFormat="1" ht="15.75" thickBot="1" x14ac:dyDescent="0.25">
      <c r="A11" s="844" t="s">
        <v>110</v>
      </c>
      <c r="B11" s="845"/>
      <c r="C11" s="845"/>
      <c r="D11" s="845"/>
      <c r="E11" s="222">
        <f>SUM(E9:E10)</f>
        <v>347</v>
      </c>
      <c r="F11" s="223">
        <f>SUM(F9:F10)</f>
        <v>43</v>
      </c>
      <c r="G11" s="224">
        <f>SUM(G9:G10)</f>
        <v>0</v>
      </c>
      <c r="H11" s="224">
        <f t="shared" ref="H11:BU11" si="0">SUM(H9:H10)</f>
        <v>0</v>
      </c>
      <c r="I11" s="224">
        <f t="shared" si="0"/>
        <v>0</v>
      </c>
      <c r="J11" s="224">
        <f t="shared" si="0"/>
        <v>0</v>
      </c>
      <c r="K11" s="224">
        <f t="shared" si="0"/>
        <v>0</v>
      </c>
      <c r="L11" s="224">
        <f t="shared" si="0"/>
        <v>39</v>
      </c>
      <c r="M11" s="224">
        <f t="shared" si="0"/>
        <v>0</v>
      </c>
      <c r="N11" s="224">
        <f t="shared" si="0"/>
        <v>0</v>
      </c>
      <c r="O11" s="224">
        <f t="shared" si="0"/>
        <v>0</v>
      </c>
      <c r="P11" s="224">
        <f t="shared" si="0"/>
        <v>0</v>
      </c>
      <c r="Q11" s="224">
        <f t="shared" si="0"/>
        <v>0</v>
      </c>
      <c r="R11" s="224">
        <f t="shared" si="0"/>
        <v>0</v>
      </c>
      <c r="S11" s="224">
        <f t="shared" si="0"/>
        <v>0</v>
      </c>
      <c r="T11" s="224">
        <f t="shared" si="0"/>
        <v>0</v>
      </c>
      <c r="U11" s="224">
        <f t="shared" si="0"/>
        <v>0</v>
      </c>
      <c r="V11" s="224">
        <f t="shared" si="0"/>
        <v>0</v>
      </c>
      <c r="W11" s="224">
        <f t="shared" si="0"/>
        <v>0</v>
      </c>
      <c r="X11" s="224">
        <f t="shared" si="0"/>
        <v>0</v>
      </c>
      <c r="Y11" s="224">
        <f t="shared" si="0"/>
        <v>0</v>
      </c>
      <c r="Z11" s="224">
        <f t="shared" si="0"/>
        <v>0</v>
      </c>
      <c r="AA11" s="224">
        <f t="shared" si="0"/>
        <v>32</v>
      </c>
      <c r="AB11" s="224">
        <f t="shared" si="0"/>
        <v>0</v>
      </c>
      <c r="AC11" s="224">
        <f t="shared" si="0"/>
        <v>0</v>
      </c>
      <c r="AD11" s="224">
        <f t="shared" si="0"/>
        <v>0</v>
      </c>
      <c r="AE11" s="224">
        <f t="shared" si="0"/>
        <v>37</v>
      </c>
      <c r="AF11" s="224">
        <f t="shared" si="0"/>
        <v>0</v>
      </c>
      <c r="AG11" s="224">
        <f t="shared" si="0"/>
        <v>0</v>
      </c>
      <c r="AH11" s="224">
        <f t="shared" si="0"/>
        <v>32</v>
      </c>
      <c r="AI11" s="224">
        <f t="shared" si="0"/>
        <v>0</v>
      </c>
      <c r="AJ11" s="224">
        <f t="shared" si="0"/>
        <v>0</v>
      </c>
      <c r="AK11" s="224">
        <f t="shared" si="0"/>
        <v>0</v>
      </c>
      <c r="AL11" s="224">
        <f t="shared" si="0"/>
        <v>0</v>
      </c>
      <c r="AM11" s="224">
        <f t="shared" si="0"/>
        <v>0</v>
      </c>
      <c r="AN11" s="224">
        <f t="shared" si="0"/>
        <v>0</v>
      </c>
      <c r="AO11" s="224">
        <f t="shared" si="0"/>
        <v>0</v>
      </c>
      <c r="AP11" s="224">
        <f t="shared" si="0"/>
        <v>0</v>
      </c>
      <c r="AQ11" s="224">
        <f t="shared" si="0"/>
        <v>0</v>
      </c>
      <c r="AR11" s="224">
        <f t="shared" si="0"/>
        <v>0</v>
      </c>
      <c r="AS11" s="224">
        <f t="shared" si="0"/>
        <v>0</v>
      </c>
      <c r="AT11" s="224">
        <f t="shared" si="0"/>
        <v>54</v>
      </c>
      <c r="AU11" s="224">
        <f t="shared" si="0"/>
        <v>0</v>
      </c>
      <c r="AV11" s="224">
        <f t="shared" si="0"/>
        <v>0</v>
      </c>
      <c r="AW11" s="224">
        <f t="shared" si="0"/>
        <v>8</v>
      </c>
      <c r="AX11" s="224">
        <f t="shared" si="0"/>
        <v>8</v>
      </c>
      <c r="AY11" s="224">
        <f t="shared" si="0"/>
        <v>0</v>
      </c>
      <c r="AZ11" s="224">
        <f t="shared" si="0"/>
        <v>0</v>
      </c>
      <c r="BA11" s="224">
        <f t="shared" si="0"/>
        <v>0</v>
      </c>
      <c r="BB11" s="224">
        <f t="shared" si="0"/>
        <v>137</v>
      </c>
      <c r="BC11" s="224">
        <f t="shared" si="0"/>
        <v>0</v>
      </c>
      <c r="BD11" s="224">
        <f t="shared" si="0"/>
        <v>0</v>
      </c>
      <c r="BE11" s="224">
        <f t="shared" si="0"/>
        <v>0</v>
      </c>
      <c r="BF11" s="224">
        <f t="shared" si="0"/>
        <v>0</v>
      </c>
      <c r="BG11" s="224">
        <f t="shared" si="0"/>
        <v>0</v>
      </c>
      <c r="BH11" s="224">
        <f t="shared" si="0"/>
        <v>0</v>
      </c>
      <c r="BI11" s="224">
        <f t="shared" si="0"/>
        <v>0</v>
      </c>
      <c r="BJ11" s="224">
        <f t="shared" si="0"/>
        <v>0</v>
      </c>
      <c r="BK11" s="224">
        <f t="shared" si="0"/>
        <v>0</v>
      </c>
      <c r="BL11" s="224">
        <f t="shared" si="0"/>
        <v>0</v>
      </c>
      <c r="BM11" s="224">
        <f t="shared" si="0"/>
        <v>0</v>
      </c>
      <c r="BN11" s="224">
        <f t="shared" si="0"/>
        <v>0</v>
      </c>
      <c r="BO11" s="224">
        <f t="shared" si="0"/>
        <v>0</v>
      </c>
      <c r="BP11" s="224">
        <f t="shared" si="0"/>
        <v>0</v>
      </c>
      <c r="BQ11" s="224">
        <f t="shared" si="0"/>
        <v>0</v>
      </c>
      <c r="BR11" s="224">
        <f t="shared" si="0"/>
        <v>0</v>
      </c>
      <c r="BS11" s="224">
        <f t="shared" si="0"/>
        <v>0</v>
      </c>
      <c r="BT11" s="224">
        <f t="shared" si="0"/>
        <v>0</v>
      </c>
      <c r="BU11" s="224">
        <f t="shared" si="0"/>
        <v>0</v>
      </c>
      <c r="BV11" s="224">
        <f t="shared" ref="BV11:DI11" si="1">SUM(BV9:BV10)</f>
        <v>0</v>
      </c>
      <c r="BW11" s="224">
        <f t="shared" si="1"/>
        <v>0</v>
      </c>
      <c r="BX11" s="224">
        <f t="shared" si="1"/>
        <v>0</v>
      </c>
      <c r="BY11" s="224">
        <f t="shared" si="1"/>
        <v>0</v>
      </c>
      <c r="BZ11" s="224">
        <f t="shared" si="1"/>
        <v>0</v>
      </c>
      <c r="CA11" s="224">
        <f t="shared" si="1"/>
        <v>0</v>
      </c>
      <c r="CB11" s="224">
        <f t="shared" si="1"/>
        <v>0</v>
      </c>
      <c r="CC11" s="224">
        <f t="shared" si="1"/>
        <v>0</v>
      </c>
      <c r="CD11" s="224">
        <f t="shared" si="1"/>
        <v>0</v>
      </c>
      <c r="CE11" s="224">
        <f t="shared" si="1"/>
        <v>0</v>
      </c>
      <c r="CF11" s="224">
        <f t="shared" si="1"/>
        <v>0</v>
      </c>
      <c r="CG11" s="224">
        <f t="shared" si="1"/>
        <v>0</v>
      </c>
      <c r="CH11" s="224">
        <f t="shared" si="1"/>
        <v>0</v>
      </c>
      <c r="CI11" s="224">
        <f t="shared" si="1"/>
        <v>0</v>
      </c>
      <c r="CJ11" s="224">
        <f t="shared" si="1"/>
        <v>0</v>
      </c>
      <c r="CK11" s="224">
        <f t="shared" si="1"/>
        <v>0</v>
      </c>
      <c r="CL11" s="224">
        <f t="shared" si="1"/>
        <v>0</v>
      </c>
      <c r="CM11" s="224">
        <f t="shared" si="1"/>
        <v>0</v>
      </c>
      <c r="CN11" s="224">
        <f t="shared" si="1"/>
        <v>0</v>
      </c>
      <c r="CO11" s="224">
        <f t="shared" si="1"/>
        <v>0</v>
      </c>
      <c r="CP11" s="224">
        <f t="shared" si="1"/>
        <v>0</v>
      </c>
      <c r="CQ11" s="224">
        <f t="shared" si="1"/>
        <v>0</v>
      </c>
      <c r="CR11" s="224">
        <f t="shared" si="1"/>
        <v>0</v>
      </c>
      <c r="CS11" s="224">
        <f t="shared" si="1"/>
        <v>0</v>
      </c>
      <c r="CT11" s="224">
        <f t="shared" si="1"/>
        <v>0</v>
      </c>
      <c r="CU11" s="224">
        <f t="shared" si="1"/>
        <v>0</v>
      </c>
      <c r="CV11" s="224">
        <f t="shared" si="1"/>
        <v>0</v>
      </c>
      <c r="CW11" s="224">
        <f t="shared" si="1"/>
        <v>0</v>
      </c>
      <c r="CX11" s="224">
        <f t="shared" si="1"/>
        <v>0</v>
      </c>
      <c r="CY11" s="224">
        <f t="shared" si="1"/>
        <v>0</v>
      </c>
      <c r="CZ11" s="224">
        <f t="shared" si="1"/>
        <v>0</v>
      </c>
      <c r="DA11" s="224">
        <f t="shared" si="1"/>
        <v>0</v>
      </c>
      <c r="DB11" s="224">
        <f t="shared" si="1"/>
        <v>0</v>
      </c>
      <c r="DC11" s="224">
        <f t="shared" si="1"/>
        <v>0</v>
      </c>
      <c r="DD11" s="224">
        <f t="shared" si="1"/>
        <v>0</v>
      </c>
      <c r="DE11" s="224">
        <f t="shared" si="1"/>
        <v>0</v>
      </c>
      <c r="DF11" s="224">
        <f t="shared" si="1"/>
        <v>0</v>
      </c>
      <c r="DG11" s="224">
        <f t="shared" si="1"/>
        <v>0</v>
      </c>
      <c r="DH11" s="224">
        <f t="shared" si="1"/>
        <v>0</v>
      </c>
      <c r="DI11" s="224">
        <f t="shared" si="1"/>
        <v>0</v>
      </c>
      <c r="DJ11" s="224"/>
      <c r="DK11" s="224"/>
      <c r="DL11" s="224"/>
      <c r="DM11" s="224"/>
      <c r="DN11" s="224"/>
      <c r="DO11" s="224"/>
      <c r="DP11" s="224"/>
      <c r="DQ11" s="224"/>
      <c r="DR11" s="224"/>
      <c r="DS11" s="224"/>
      <c r="DT11" s="224"/>
      <c r="DU11" s="224"/>
      <c r="DV11" s="224"/>
      <c r="DW11" s="224"/>
      <c r="DX11" s="224"/>
      <c r="DY11" s="224"/>
      <c r="DZ11" s="224"/>
      <c r="EA11" s="224"/>
      <c r="EB11" s="224"/>
      <c r="EC11" s="224"/>
      <c r="ED11" s="224"/>
      <c r="EE11" s="224"/>
      <c r="EF11" s="224"/>
      <c r="EG11" s="224"/>
      <c r="EH11" s="224"/>
      <c r="EI11" s="224"/>
      <c r="EJ11" s="224"/>
      <c r="EK11" s="224"/>
      <c r="EL11" s="224"/>
      <c r="EM11" s="224"/>
      <c r="EN11" s="224"/>
      <c r="EO11" s="224"/>
      <c r="EP11" s="224"/>
    </row>
    <row r="12" spans="1:175" s="2" customFormat="1" ht="14.45" customHeight="1" thickBot="1" x14ac:dyDescent="0.25">
      <c r="A12" s="230" t="s">
        <v>613</v>
      </c>
      <c r="B12" s="232">
        <f>+B8+7</f>
        <v>45698</v>
      </c>
      <c r="C12" s="231" t="s">
        <v>614</v>
      </c>
      <c r="D12" s="233">
        <f>+D8+7</f>
        <v>45702</v>
      </c>
      <c r="E12" s="213" t="s">
        <v>102</v>
      </c>
      <c r="F12" s="214" t="s">
        <v>103</v>
      </c>
      <c r="G12" s="219"/>
      <c r="H12" s="219"/>
      <c r="I12" s="219"/>
      <c r="J12" s="219"/>
      <c r="K12" s="219"/>
      <c r="L12" s="219"/>
      <c r="M12" s="219"/>
      <c r="N12" s="219"/>
      <c r="O12" s="219"/>
      <c r="P12" s="219"/>
      <c r="Q12" s="219"/>
      <c r="R12" s="219"/>
      <c r="S12" s="219"/>
      <c r="T12" s="219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19"/>
      <c r="AI12" s="219"/>
      <c r="AJ12" s="219"/>
      <c r="AK12" s="219"/>
      <c r="AL12" s="219"/>
      <c r="AM12" s="219"/>
      <c r="AN12" s="219"/>
      <c r="AO12" s="219"/>
      <c r="AP12" s="219"/>
      <c r="AQ12" s="219"/>
      <c r="AR12" s="219"/>
      <c r="AS12" s="219"/>
      <c r="AT12" s="219"/>
      <c r="AU12" s="219"/>
      <c r="AV12" s="219"/>
      <c r="AW12" s="219"/>
      <c r="AX12" s="219"/>
      <c r="AY12" s="219"/>
      <c r="AZ12" s="219"/>
      <c r="BA12" s="219"/>
      <c r="BB12" s="219"/>
      <c r="BC12" s="219"/>
      <c r="BD12" s="219"/>
      <c r="BE12" s="219"/>
      <c r="BF12" s="219"/>
      <c r="BG12" s="219"/>
      <c r="BH12" s="219"/>
      <c r="BI12" s="219"/>
      <c r="BJ12" s="219"/>
      <c r="BK12" s="219"/>
      <c r="BL12" s="219"/>
      <c r="BM12" s="219"/>
      <c r="BN12" s="219"/>
      <c r="BO12" s="219"/>
      <c r="BP12" s="219"/>
      <c r="BQ12" s="219"/>
      <c r="BR12" s="219"/>
      <c r="BS12" s="219"/>
      <c r="BT12" s="219"/>
      <c r="BU12" s="219"/>
      <c r="BV12" s="219"/>
      <c r="BW12" s="219"/>
      <c r="BX12" s="219"/>
      <c r="BY12" s="219"/>
      <c r="BZ12" s="219"/>
      <c r="CA12" s="219"/>
      <c r="CB12" s="219"/>
      <c r="CC12" s="219"/>
      <c r="CD12" s="219"/>
      <c r="CE12" s="219"/>
      <c r="CF12" s="219"/>
      <c r="CG12" s="219"/>
      <c r="CH12" s="219"/>
      <c r="CI12" s="219"/>
      <c r="CJ12" s="219"/>
      <c r="CK12" s="219"/>
      <c r="CL12" s="219"/>
      <c r="CM12" s="219"/>
      <c r="CN12" s="219"/>
      <c r="CO12" s="219"/>
      <c r="CP12" s="219"/>
      <c r="CQ12" s="219"/>
      <c r="CR12" s="219"/>
      <c r="CS12" s="219"/>
      <c r="CT12" s="219"/>
      <c r="CU12" s="219"/>
      <c r="CV12" s="220"/>
      <c r="CW12" s="219"/>
      <c r="CX12" s="219"/>
      <c r="CY12" s="219"/>
      <c r="CZ12" s="219"/>
      <c r="DA12" s="219"/>
      <c r="DB12" s="219"/>
      <c r="DC12" s="219"/>
      <c r="DD12" s="219"/>
      <c r="DE12" s="219"/>
      <c r="DF12" s="219"/>
      <c r="DG12" s="219"/>
      <c r="DH12" s="219"/>
      <c r="DI12" s="221"/>
      <c r="DJ12" s="221"/>
      <c r="DK12" s="221"/>
      <c r="DL12" s="221"/>
      <c r="DM12" s="221"/>
      <c r="DN12" s="221"/>
      <c r="DO12" s="221"/>
      <c r="DP12" s="221"/>
      <c r="DQ12" s="221"/>
      <c r="DR12" s="221"/>
      <c r="DS12" s="221"/>
      <c r="DT12" s="221"/>
      <c r="DU12" s="221"/>
      <c r="DV12" s="221"/>
      <c r="DW12" s="221"/>
      <c r="DX12" s="221"/>
      <c r="DY12" s="221"/>
      <c r="DZ12" s="221"/>
      <c r="EA12" s="221"/>
      <c r="EB12" s="221"/>
      <c r="EC12" s="221"/>
      <c r="ED12" s="221"/>
      <c r="EE12" s="221"/>
      <c r="EF12" s="221"/>
      <c r="EG12" s="221"/>
      <c r="EH12" s="221"/>
      <c r="EI12" s="221"/>
      <c r="EJ12" s="221"/>
      <c r="EK12" s="221"/>
      <c r="EL12" s="221"/>
      <c r="EM12" s="221"/>
      <c r="EN12" s="221"/>
      <c r="EO12" s="221"/>
      <c r="EP12" s="221"/>
    </row>
    <row r="13" spans="1:175" s="2" customFormat="1" x14ac:dyDescent="0.2">
      <c r="A13" s="854" t="s">
        <v>74</v>
      </c>
      <c r="B13" s="855"/>
      <c r="C13" s="855"/>
      <c r="D13" s="856"/>
      <c r="E13" s="215">
        <v>234</v>
      </c>
      <c r="F13" s="216">
        <v>0</v>
      </c>
      <c r="G13" s="735">
        <v>0</v>
      </c>
      <c r="H13" s="736">
        <v>0</v>
      </c>
      <c r="I13" s="736">
        <v>0</v>
      </c>
      <c r="J13" s="736">
        <v>0</v>
      </c>
      <c r="K13" s="736">
        <v>0</v>
      </c>
      <c r="L13" s="736">
        <v>39</v>
      </c>
      <c r="M13" s="736">
        <v>0</v>
      </c>
      <c r="N13" s="736">
        <v>0</v>
      </c>
      <c r="O13" s="736">
        <v>0</v>
      </c>
      <c r="P13" s="736">
        <v>0</v>
      </c>
      <c r="Q13" s="736">
        <v>0</v>
      </c>
      <c r="R13" s="736">
        <v>0</v>
      </c>
      <c r="S13" s="736">
        <v>0</v>
      </c>
      <c r="T13" s="736">
        <v>0</v>
      </c>
      <c r="U13" s="736">
        <v>0</v>
      </c>
      <c r="V13" s="736">
        <v>0</v>
      </c>
      <c r="W13" s="736">
        <v>0</v>
      </c>
      <c r="X13" s="736">
        <v>0</v>
      </c>
      <c r="Y13" s="736">
        <v>0</v>
      </c>
      <c r="Z13" s="736">
        <v>0</v>
      </c>
      <c r="AA13" s="737">
        <v>0</v>
      </c>
      <c r="AB13" s="737">
        <v>0</v>
      </c>
      <c r="AC13" s="737">
        <v>0</v>
      </c>
      <c r="AD13" s="737">
        <v>0</v>
      </c>
      <c r="AE13" s="737">
        <v>8</v>
      </c>
      <c r="AF13" s="737">
        <v>0</v>
      </c>
      <c r="AG13" s="737">
        <v>0</v>
      </c>
      <c r="AH13" s="737">
        <v>24</v>
      </c>
      <c r="AI13" s="737">
        <v>0</v>
      </c>
      <c r="AJ13" s="737">
        <v>0</v>
      </c>
      <c r="AK13" s="737">
        <v>0</v>
      </c>
      <c r="AL13" s="737">
        <v>0</v>
      </c>
      <c r="AM13" s="737">
        <v>0</v>
      </c>
      <c r="AN13" s="737">
        <v>0</v>
      </c>
      <c r="AO13" s="737">
        <v>0</v>
      </c>
      <c r="AP13" s="737">
        <v>0</v>
      </c>
      <c r="AQ13" s="737">
        <v>0</v>
      </c>
      <c r="AR13" s="737">
        <v>0</v>
      </c>
      <c r="AS13" s="737">
        <v>0</v>
      </c>
      <c r="AT13" s="737">
        <v>40</v>
      </c>
      <c r="AU13" s="738">
        <v>0</v>
      </c>
      <c r="AV13" s="737">
        <v>0</v>
      </c>
      <c r="AW13" s="737">
        <v>8</v>
      </c>
      <c r="AX13" s="737">
        <v>8</v>
      </c>
      <c r="AY13" s="737">
        <v>0</v>
      </c>
      <c r="AZ13" s="737">
        <v>0</v>
      </c>
      <c r="BA13" s="737">
        <v>0</v>
      </c>
      <c r="BB13" s="737">
        <v>107</v>
      </c>
      <c r="BC13" s="737">
        <v>0</v>
      </c>
      <c r="BD13" s="737">
        <v>0</v>
      </c>
      <c r="BE13" s="737">
        <v>0</v>
      </c>
      <c r="BF13" s="737">
        <v>0</v>
      </c>
      <c r="BG13" s="737">
        <v>0</v>
      </c>
      <c r="BH13" s="737">
        <v>0</v>
      </c>
      <c r="BI13" s="737">
        <v>0</v>
      </c>
      <c r="BJ13" s="219">
        <v>0</v>
      </c>
      <c r="BK13" s="219">
        <v>0</v>
      </c>
      <c r="BL13" s="219">
        <v>0</v>
      </c>
      <c r="BM13" s="219">
        <v>0</v>
      </c>
      <c r="BN13" s="219">
        <v>0</v>
      </c>
      <c r="BO13" s="219">
        <v>0</v>
      </c>
      <c r="BP13" s="219">
        <v>0</v>
      </c>
      <c r="BQ13" s="219">
        <v>0</v>
      </c>
      <c r="BR13" s="219">
        <v>0</v>
      </c>
      <c r="BS13" s="219">
        <v>0</v>
      </c>
      <c r="BT13" s="219">
        <v>0</v>
      </c>
      <c r="BU13" s="219">
        <v>0</v>
      </c>
      <c r="BV13" s="219">
        <v>0</v>
      </c>
      <c r="BW13" s="219">
        <v>0</v>
      </c>
      <c r="BX13" s="219">
        <v>0</v>
      </c>
      <c r="BY13" s="219">
        <v>0</v>
      </c>
      <c r="BZ13" s="219">
        <v>0</v>
      </c>
      <c r="CA13" s="219">
        <v>0</v>
      </c>
      <c r="CB13" s="219">
        <v>0</v>
      </c>
      <c r="CC13" s="219">
        <v>0</v>
      </c>
      <c r="CD13" s="219">
        <v>0</v>
      </c>
      <c r="CE13" s="219">
        <v>0</v>
      </c>
      <c r="CF13" s="219">
        <v>0</v>
      </c>
      <c r="CG13" s="219">
        <v>0</v>
      </c>
      <c r="CH13" s="219">
        <v>0</v>
      </c>
      <c r="CI13" s="219">
        <v>0</v>
      </c>
      <c r="CJ13" s="219">
        <v>0</v>
      </c>
      <c r="CK13" s="219">
        <v>0</v>
      </c>
      <c r="CL13" s="219">
        <v>0</v>
      </c>
      <c r="CM13" s="219">
        <v>0</v>
      </c>
      <c r="CN13" s="219">
        <v>0</v>
      </c>
      <c r="CO13" s="219">
        <v>0</v>
      </c>
      <c r="CP13" s="219">
        <v>0</v>
      </c>
      <c r="CQ13" s="219">
        <v>0</v>
      </c>
      <c r="CR13" s="219">
        <v>0</v>
      </c>
      <c r="CS13" s="219">
        <v>0</v>
      </c>
      <c r="CT13" s="219">
        <v>0</v>
      </c>
      <c r="CU13" s="219">
        <v>0</v>
      </c>
      <c r="CV13" s="220">
        <v>0</v>
      </c>
      <c r="CW13" s="219">
        <v>0</v>
      </c>
      <c r="CX13" s="219">
        <v>0</v>
      </c>
      <c r="CY13" s="219">
        <v>0</v>
      </c>
      <c r="CZ13" s="219">
        <v>0</v>
      </c>
      <c r="DA13" s="219">
        <v>0</v>
      </c>
      <c r="DB13" s="219">
        <v>0</v>
      </c>
      <c r="DC13" s="219">
        <v>0</v>
      </c>
      <c r="DD13" s="219">
        <v>0</v>
      </c>
      <c r="DE13" s="219">
        <v>0</v>
      </c>
      <c r="DF13" s="219">
        <v>0</v>
      </c>
      <c r="DG13" s="219">
        <v>0</v>
      </c>
      <c r="DH13" s="219">
        <v>0</v>
      </c>
      <c r="DI13" s="221">
        <v>0</v>
      </c>
      <c r="DJ13" s="221">
        <v>0</v>
      </c>
      <c r="DK13" s="221">
        <v>0</v>
      </c>
      <c r="DL13" s="221">
        <v>0</v>
      </c>
      <c r="DM13" s="221">
        <v>0</v>
      </c>
      <c r="DN13" s="221">
        <v>0</v>
      </c>
      <c r="DO13" s="221">
        <v>0</v>
      </c>
      <c r="DP13" s="221">
        <v>0</v>
      </c>
      <c r="DQ13" s="221">
        <v>0</v>
      </c>
      <c r="DR13" s="221">
        <v>0</v>
      </c>
      <c r="DS13" s="221">
        <v>0</v>
      </c>
      <c r="DT13" s="221">
        <v>0</v>
      </c>
      <c r="DU13" s="221">
        <v>0</v>
      </c>
      <c r="DV13" s="221">
        <v>0</v>
      </c>
      <c r="DW13" s="221">
        <v>0</v>
      </c>
      <c r="DX13" s="221">
        <v>0</v>
      </c>
      <c r="DY13" s="221">
        <v>0</v>
      </c>
      <c r="DZ13" s="221">
        <v>0</v>
      </c>
      <c r="EA13" s="221">
        <v>0</v>
      </c>
      <c r="EB13" s="221">
        <v>0</v>
      </c>
      <c r="EC13" s="221">
        <v>0</v>
      </c>
      <c r="ED13" s="221">
        <v>0</v>
      </c>
      <c r="EE13" s="221">
        <v>0</v>
      </c>
      <c r="EF13" s="221">
        <v>0</v>
      </c>
      <c r="EG13" s="221">
        <v>0</v>
      </c>
      <c r="EH13" s="221">
        <v>0</v>
      </c>
      <c r="EI13" s="221">
        <v>0</v>
      </c>
      <c r="EJ13" s="221">
        <v>0</v>
      </c>
      <c r="EK13" s="221">
        <v>0</v>
      </c>
      <c r="EL13" s="221">
        <v>0</v>
      </c>
      <c r="EM13" s="221">
        <v>0</v>
      </c>
      <c r="EN13" s="221">
        <v>0</v>
      </c>
      <c r="EO13" s="221">
        <v>0</v>
      </c>
      <c r="EP13" s="221">
        <v>0</v>
      </c>
    </row>
    <row r="14" spans="1:175" s="2" customFormat="1" ht="15.75" thickBot="1" x14ac:dyDescent="0.25">
      <c r="A14" s="857" t="s">
        <v>109</v>
      </c>
      <c r="B14" s="858"/>
      <c r="C14" s="858"/>
      <c r="D14" s="859"/>
      <c r="E14" s="217">
        <v>113</v>
      </c>
      <c r="F14" s="218">
        <v>43</v>
      </c>
      <c r="G14" s="219">
        <v>0</v>
      </c>
      <c r="H14" s="219">
        <v>0</v>
      </c>
      <c r="I14" s="219">
        <v>0</v>
      </c>
      <c r="J14" s="219">
        <v>0</v>
      </c>
      <c r="K14" s="219">
        <v>0</v>
      </c>
      <c r="L14" s="219">
        <v>0</v>
      </c>
      <c r="M14" s="219">
        <v>0</v>
      </c>
      <c r="N14" s="219">
        <v>0</v>
      </c>
      <c r="O14" s="219">
        <v>0</v>
      </c>
      <c r="P14" s="219">
        <v>0</v>
      </c>
      <c r="Q14" s="219">
        <v>0</v>
      </c>
      <c r="R14" s="219">
        <v>0</v>
      </c>
      <c r="S14" s="219">
        <v>0</v>
      </c>
      <c r="T14" s="219">
        <v>0</v>
      </c>
      <c r="U14" s="219">
        <v>0</v>
      </c>
      <c r="V14" s="219">
        <v>0</v>
      </c>
      <c r="W14" s="219">
        <v>0</v>
      </c>
      <c r="X14" s="219">
        <v>0</v>
      </c>
      <c r="Y14" s="219">
        <v>0</v>
      </c>
      <c r="Z14" s="219">
        <v>0</v>
      </c>
      <c r="AA14" s="219">
        <v>32</v>
      </c>
      <c r="AB14" s="219">
        <v>0</v>
      </c>
      <c r="AC14" s="219">
        <v>0</v>
      </c>
      <c r="AD14" s="219">
        <v>0</v>
      </c>
      <c r="AE14" s="219">
        <v>29</v>
      </c>
      <c r="AF14" s="219">
        <v>0</v>
      </c>
      <c r="AG14" s="219">
        <v>0</v>
      </c>
      <c r="AH14" s="219">
        <v>8</v>
      </c>
      <c r="AI14" s="219">
        <v>0</v>
      </c>
      <c r="AJ14" s="219">
        <v>0</v>
      </c>
      <c r="AK14" s="219">
        <v>0</v>
      </c>
      <c r="AL14" s="219">
        <v>0</v>
      </c>
      <c r="AM14" s="219">
        <v>0</v>
      </c>
      <c r="AN14" s="219">
        <v>0</v>
      </c>
      <c r="AO14" s="219">
        <v>0</v>
      </c>
      <c r="AP14" s="219">
        <v>0</v>
      </c>
      <c r="AQ14" s="219">
        <v>0</v>
      </c>
      <c r="AR14" s="219">
        <v>0</v>
      </c>
      <c r="AS14" s="219">
        <v>0</v>
      </c>
      <c r="AT14" s="219">
        <v>14</v>
      </c>
      <c r="AU14" s="219">
        <v>0</v>
      </c>
      <c r="AV14" s="219">
        <v>0</v>
      </c>
      <c r="AW14" s="219">
        <v>0</v>
      </c>
      <c r="AX14" s="219">
        <v>0</v>
      </c>
      <c r="AY14" s="219">
        <v>0</v>
      </c>
      <c r="AZ14" s="219">
        <v>0</v>
      </c>
      <c r="BA14" s="219">
        <v>0</v>
      </c>
      <c r="BB14" s="219">
        <v>30</v>
      </c>
      <c r="BC14" s="219">
        <v>0</v>
      </c>
      <c r="BD14" s="219">
        <v>0</v>
      </c>
      <c r="BE14" s="219">
        <v>0</v>
      </c>
      <c r="BF14" s="219">
        <v>0</v>
      </c>
      <c r="BG14" s="219">
        <v>0</v>
      </c>
      <c r="BH14" s="219">
        <v>0</v>
      </c>
      <c r="BI14" s="219">
        <v>0</v>
      </c>
      <c r="BJ14" s="219">
        <v>0</v>
      </c>
      <c r="BK14" s="219">
        <v>0</v>
      </c>
      <c r="BL14" s="219">
        <v>0</v>
      </c>
      <c r="BM14" s="219">
        <v>0</v>
      </c>
      <c r="BN14" s="219">
        <v>0</v>
      </c>
      <c r="BO14" s="219">
        <v>0</v>
      </c>
      <c r="BP14" s="219">
        <v>0</v>
      </c>
      <c r="BQ14" s="219">
        <v>0</v>
      </c>
      <c r="BR14" s="219">
        <v>0</v>
      </c>
      <c r="BS14" s="219">
        <v>0</v>
      </c>
      <c r="BT14" s="219">
        <v>0</v>
      </c>
      <c r="BU14" s="219">
        <v>0</v>
      </c>
      <c r="BV14" s="219">
        <v>0</v>
      </c>
      <c r="BW14" s="219">
        <v>0</v>
      </c>
      <c r="BX14" s="219">
        <v>0</v>
      </c>
      <c r="BY14" s="219">
        <v>0</v>
      </c>
      <c r="BZ14" s="219">
        <v>0</v>
      </c>
      <c r="CA14" s="219">
        <v>0</v>
      </c>
      <c r="CB14" s="219">
        <v>0</v>
      </c>
      <c r="CC14" s="219">
        <v>0</v>
      </c>
      <c r="CD14" s="219">
        <v>0</v>
      </c>
      <c r="CE14" s="219">
        <v>0</v>
      </c>
      <c r="CF14" s="219">
        <v>0</v>
      </c>
      <c r="CG14" s="219">
        <v>0</v>
      </c>
      <c r="CH14" s="219">
        <v>0</v>
      </c>
      <c r="CI14" s="219">
        <v>0</v>
      </c>
      <c r="CJ14" s="219">
        <v>0</v>
      </c>
      <c r="CK14" s="219">
        <v>0</v>
      </c>
      <c r="CL14" s="219">
        <v>0</v>
      </c>
      <c r="CM14" s="219">
        <v>0</v>
      </c>
      <c r="CN14" s="219">
        <v>0</v>
      </c>
      <c r="CO14" s="219">
        <v>0</v>
      </c>
      <c r="CP14" s="219">
        <v>0</v>
      </c>
      <c r="CQ14" s="219">
        <v>0</v>
      </c>
      <c r="CR14" s="219">
        <v>0</v>
      </c>
      <c r="CS14" s="219">
        <v>0</v>
      </c>
      <c r="CT14" s="219">
        <v>0</v>
      </c>
      <c r="CU14" s="219">
        <v>0</v>
      </c>
      <c r="CV14" s="220">
        <v>0</v>
      </c>
      <c r="CW14" s="219">
        <v>0</v>
      </c>
      <c r="CX14" s="219">
        <v>0</v>
      </c>
      <c r="CY14" s="219">
        <v>0</v>
      </c>
      <c r="CZ14" s="219">
        <v>0</v>
      </c>
      <c r="DA14" s="219">
        <v>0</v>
      </c>
      <c r="DB14" s="219">
        <v>0</v>
      </c>
      <c r="DC14" s="219">
        <v>0</v>
      </c>
      <c r="DD14" s="219">
        <v>0</v>
      </c>
      <c r="DE14" s="219">
        <v>0</v>
      </c>
      <c r="DF14" s="219">
        <v>0</v>
      </c>
      <c r="DG14" s="219">
        <v>0</v>
      </c>
      <c r="DH14" s="219">
        <v>0</v>
      </c>
      <c r="DI14" s="221">
        <v>0</v>
      </c>
      <c r="DJ14" s="221">
        <v>0</v>
      </c>
      <c r="DK14" s="221">
        <v>0</v>
      </c>
      <c r="DL14" s="221">
        <v>0</v>
      </c>
      <c r="DM14" s="221">
        <v>0</v>
      </c>
      <c r="DN14" s="221">
        <v>0</v>
      </c>
      <c r="DO14" s="221">
        <v>0</v>
      </c>
      <c r="DP14" s="221">
        <v>0</v>
      </c>
      <c r="DQ14" s="221">
        <v>0</v>
      </c>
      <c r="DR14" s="221">
        <v>0</v>
      </c>
      <c r="DS14" s="221">
        <v>0</v>
      </c>
      <c r="DT14" s="221">
        <v>0</v>
      </c>
      <c r="DU14" s="221">
        <v>0</v>
      </c>
      <c r="DV14" s="221">
        <v>0</v>
      </c>
      <c r="DW14" s="221">
        <v>0</v>
      </c>
      <c r="DX14" s="221">
        <v>0</v>
      </c>
      <c r="DY14" s="221">
        <v>0</v>
      </c>
      <c r="DZ14" s="221">
        <v>0</v>
      </c>
      <c r="EA14" s="221">
        <v>0</v>
      </c>
      <c r="EB14" s="221">
        <v>0</v>
      </c>
      <c r="EC14" s="221">
        <v>0</v>
      </c>
      <c r="ED14" s="221">
        <v>2</v>
      </c>
      <c r="EE14" s="221">
        <v>27</v>
      </c>
      <c r="EF14" s="221">
        <v>0</v>
      </c>
      <c r="EG14" s="221">
        <v>0</v>
      </c>
      <c r="EH14" s="221">
        <v>14</v>
      </c>
      <c r="EI14" s="221">
        <v>0</v>
      </c>
      <c r="EJ14" s="221">
        <v>0</v>
      </c>
      <c r="EK14" s="221">
        <v>0</v>
      </c>
      <c r="EL14" s="221">
        <v>0</v>
      </c>
      <c r="EM14" s="221">
        <v>0</v>
      </c>
      <c r="EN14" s="221">
        <v>0</v>
      </c>
      <c r="EO14" s="221">
        <v>0</v>
      </c>
      <c r="EP14" s="221">
        <v>0</v>
      </c>
    </row>
    <row r="15" spans="1:175" s="2" customFormat="1" ht="15.75" thickBot="1" x14ac:dyDescent="0.25">
      <c r="A15" s="844" t="s">
        <v>110</v>
      </c>
      <c r="B15" s="845"/>
      <c r="C15" s="845"/>
      <c r="D15" s="845"/>
      <c r="E15" s="222">
        <f>SUM(E13:E14)</f>
        <v>347</v>
      </c>
      <c r="F15" s="223">
        <f>SUM(F13:F14)</f>
        <v>43</v>
      </c>
      <c r="G15" s="224">
        <f t="shared" ref="G15:BT15" si="2">SUM(G13:G14)</f>
        <v>0</v>
      </c>
      <c r="H15" s="224">
        <f t="shared" si="2"/>
        <v>0</v>
      </c>
      <c r="I15" s="224">
        <f t="shared" si="2"/>
        <v>0</v>
      </c>
      <c r="J15" s="224">
        <f t="shared" si="2"/>
        <v>0</v>
      </c>
      <c r="K15" s="224">
        <f t="shared" si="2"/>
        <v>0</v>
      </c>
      <c r="L15" s="224">
        <f t="shared" si="2"/>
        <v>39</v>
      </c>
      <c r="M15" s="224">
        <f t="shared" si="2"/>
        <v>0</v>
      </c>
      <c r="N15" s="224">
        <f t="shared" si="2"/>
        <v>0</v>
      </c>
      <c r="O15" s="224">
        <f t="shared" si="2"/>
        <v>0</v>
      </c>
      <c r="P15" s="224">
        <f t="shared" si="2"/>
        <v>0</v>
      </c>
      <c r="Q15" s="224">
        <f t="shared" si="2"/>
        <v>0</v>
      </c>
      <c r="R15" s="224">
        <f t="shared" si="2"/>
        <v>0</v>
      </c>
      <c r="S15" s="224">
        <f t="shared" si="2"/>
        <v>0</v>
      </c>
      <c r="T15" s="224">
        <f t="shared" si="2"/>
        <v>0</v>
      </c>
      <c r="U15" s="224">
        <f t="shared" si="2"/>
        <v>0</v>
      </c>
      <c r="V15" s="224">
        <f t="shared" si="2"/>
        <v>0</v>
      </c>
      <c r="W15" s="224">
        <f t="shared" si="2"/>
        <v>0</v>
      </c>
      <c r="X15" s="224">
        <f t="shared" si="2"/>
        <v>0</v>
      </c>
      <c r="Y15" s="224">
        <f t="shared" si="2"/>
        <v>0</v>
      </c>
      <c r="Z15" s="224">
        <f t="shared" si="2"/>
        <v>0</v>
      </c>
      <c r="AA15" s="224">
        <f t="shared" si="2"/>
        <v>32</v>
      </c>
      <c r="AB15" s="224">
        <f t="shared" si="2"/>
        <v>0</v>
      </c>
      <c r="AC15" s="224">
        <f t="shared" si="2"/>
        <v>0</v>
      </c>
      <c r="AD15" s="224">
        <f t="shared" si="2"/>
        <v>0</v>
      </c>
      <c r="AE15" s="224">
        <f t="shared" si="2"/>
        <v>37</v>
      </c>
      <c r="AF15" s="224">
        <f t="shared" si="2"/>
        <v>0</v>
      </c>
      <c r="AG15" s="224">
        <f t="shared" si="2"/>
        <v>0</v>
      </c>
      <c r="AH15" s="224">
        <f t="shared" si="2"/>
        <v>32</v>
      </c>
      <c r="AI15" s="224">
        <f t="shared" si="2"/>
        <v>0</v>
      </c>
      <c r="AJ15" s="224">
        <f t="shared" si="2"/>
        <v>0</v>
      </c>
      <c r="AK15" s="224">
        <f t="shared" si="2"/>
        <v>0</v>
      </c>
      <c r="AL15" s="224">
        <f t="shared" si="2"/>
        <v>0</v>
      </c>
      <c r="AM15" s="224">
        <f t="shared" si="2"/>
        <v>0</v>
      </c>
      <c r="AN15" s="224">
        <f t="shared" si="2"/>
        <v>0</v>
      </c>
      <c r="AO15" s="224">
        <f t="shared" si="2"/>
        <v>0</v>
      </c>
      <c r="AP15" s="224">
        <f t="shared" si="2"/>
        <v>0</v>
      </c>
      <c r="AQ15" s="224">
        <f t="shared" si="2"/>
        <v>0</v>
      </c>
      <c r="AR15" s="224">
        <f t="shared" si="2"/>
        <v>0</v>
      </c>
      <c r="AS15" s="224">
        <f t="shared" si="2"/>
        <v>0</v>
      </c>
      <c r="AT15" s="224">
        <f t="shared" si="2"/>
        <v>54</v>
      </c>
      <c r="AU15" s="224">
        <f t="shared" si="2"/>
        <v>0</v>
      </c>
      <c r="AV15" s="224">
        <f t="shared" si="2"/>
        <v>0</v>
      </c>
      <c r="AW15" s="224">
        <f t="shared" si="2"/>
        <v>8</v>
      </c>
      <c r="AX15" s="224">
        <f t="shared" si="2"/>
        <v>8</v>
      </c>
      <c r="AY15" s="224">
        <f t="shared" si="2"/>
        <v>0</v>
      </c>
      <c r="AZ15" s="224">
        <f t="shared" si="2"/>
        <v>0</v>
      </c>
      <c r="BA15" s="224">
        <f t="shared" si="2"/>
        <v>0</v>
      </c>
      <c r="BB15" s="224">
        <f t="shared" si="2"/>
        <v>137</v>
      </c>
      <c r="BC15" s="224">
        <f t="shared" si="2"/>
        <v>0</v>
      </c>
      <c r="BD15" s="224">
        <f t="shared" si="2"/>
        <v>0</v>
      </c>
      <c r="BE15" s="224">
        <f t="shared" si="2"/>
        <v>0</v>
      </c>
      <c r="BF15" s="224">
        <f t="shared" si="2"/>
        <v>0</v>
      </c>
      <c r="BG15" s="224">
        <f t="shared" si="2"/>
        <v>0</v>
      </c>
      <c r="BH15" s="224">
        <f t="shared" si="2"/>
        <v>0</v>
      </c>
      <c r="BI15" s="224">
        <f t="shared" si="2"/>
        <v>0</v>
      </c>
      <c r="BJ15" s="224">
        <f t="shared" si="2"/>
        <v>0</v>
      </c>
      <c r="BK15" s="224">
        <f t="shared" si="2"/>
        <v>0</v>
      </c>
      <c r="BL15" s="224">
        <f t="shared" si="2"/>
        <v>0</v>
      </c>
      <c r="BM15" s="224">
        <f t="shared" si="2"/>
        <v>0</v>
      </c>
      <c r="BN15" s="224">
        <f t="shared" si="2"/>
        <v>0</v>
      </c>
      <c r="BO15" s="224">
        <f t="shared" si="2"/>
        <v>0</v>
      </c>
      <c r="BP15" s="224">
        <f t="shared" si="2"/>
        <v>0</v>
      </c>
      <c r="BQ15" s="224">
        <f t="shared" si="2"/>
        <v>0</v>
      </c>
      <c r="BR15" s="224">
        <f t="shared" si="2"/>
        <v>0</v>
      </c>
      <c r="BS15" s="224">
        <f t="shared" si="2"/>
        <v>0</v>
      </c>
      <c r="BT15" s="224">
        <f t="shared" si="2"/>
        <v>0</v>
      </c>
      <c r="BU15" s="224">
        <f t="shared" ref="BU15:DI15" si="3">SUM(BU13:BU14)</f>
        <v>0</v>
      </c>
      <c r="BV15" s="224">
        <f t="shared" si="3"/>
        <v>0</v>
      </c>
      <c r="BW15" s="224">
        <f t="shared" si="3"/>
        <v>0</v>
      </c>
      <c r="BX15" s="224">
        <f t="shared" si="3"/>
        <v>0</v>
      </c>
      <c r="BY15" s="224">
        <f t="shared" si="3"/>
        <v>0</v>
      </c>
      <c r="BZ15" s="224">
        <f t="shared" si="3"/>
        <v>0</v>
      </c>
      <c r="CA15" s="224">
        <f t="shared" si="3"/>
        <v>0</v>
      </c>
      <c r="CB15" s="224">
        <f t="shared" si="3"/>
        <v>0</v>
      </c>
      <c r="CC15" s="224">
        <f t="shared" si="3"/>
        <v>0</v>
      </c>
      <c r="CD15" s="224">
        <f t="shared" si="3"/>
        <v>0</v>
      </c>
      <c r="CE15" s="224">
        <f t="shared" si="3"/>
        <v>0</v>
      </c>
      <c r="CF15" s="224">
        <f t="shared" si="3"/>
        <v>0</v>
      </c>
      <c r="CG15" s="224">
        <f t="shared" si="3"/>
        <v>0</v>
      </c>
      <c r="CH15" s="224">
        <f t="shared" si="3"/>
        <v>0</v>
      </c>
      <c r="CI15" s="224">
        <f t="shared" si="3"/>
        <v>0</v>
      </c>
      <c r="CJ15" s="224">
        <f t="shared" si="3"/>
        <v>0</v>
      </c>
      <c r="CK15" s="224">
        <f t="shared" si="3"/>
        <v>0</v>
      </c>
      <c r="CL15" s="224">
        <f t="shared" si="3"/>
        <v>0</v>
      </c>
      <c r="CM15" s="224">
        <f t="shared" si="3"/>
        <v>0</v>
      </c>
      <c r="CN15" s="224">
        <f t="shared" si="3"/>
        <v>0</v>
      </c>
      <c r="CO15" s="224">
        <f t="shared" si="3"/>
        <v>0</v>
      </c>
      <c r="CP15" s="224">
        <f t="shared" si="3"/>
        <v>0</v>
      </c>
      <c r="CQ15" s="224">
        <f t="shared" si="3"/>
        <v>0</v>
      </c>
      <c r="CR15" s="224">
        <f t="shared" si="3"/>
        <v>0</v>
      </c>
      <c r="CS15" s="224">
        <f t="shared" si="3"/>
        <v>0</v>
      </c>
      <c r="CT15" s="224">
        <f t="shared" si="3"/>
        <v>0</v>
      </c>
      <c r="CU15" s="224">
        <f t="shared" si="3"/>
        <v>0</v>
      </c>
      <c r="CV15" s="224">
        <f t="shared" si="3"/>
        <v>0</v>
      </c>
      <c r="CW15" s="224">
        <f t="shared" si="3"/>
        <v>0</v>
      </c>
      <c r="CX15" s="224">
        <f t="shared" si="3"/>
        <v>0</v>
      </c>
      <c r="CY15" s="224">
        <f t="shared" si="3"/>
        <v>0</v>
      </c>
      <c r="CZ15" s="224">
        <f t="shared" si="3"/>
        <v>0</v>
      </c>
      <c r="DA15" s="224">
        <f t="shared" si="3"/>
        <v>0</v>
      </c>
      <c r="DB15" s="224">
        <f t="shared" si="3"/>
        <v>0</v>
      </c>
      <c r="DC15" s="224">
        <f t="shared" si="3"/>
        <v>0</v>
      </c>
      <c r="DD15" s="224">
        <f t="shared" si="3"/>
        <v>0</v>
      </c>
      <c r="DE15" s="224">
        <f t="shared" si="3"/>
        <v>0</v>
      </c>
      <c r="DF15" s="224">
        <f t="shared" si="3"/>
        <v>0</v>
      </c>
      <c r="DG15" s="224">
        <f t="shared" si="3"/>
        <v>0</v>
      </c>
      <c r="DH15" s="224">
        <f t="shared" si="3"/>
        <v>0</v>
      </c>
      <c r="DI15" s="224">
        <f t="shared" si="3"/>
        <v>0</v>
      </c>
      <c r="DJ15" s="224"/>
      <c r="DK15" s="224"/>
      <c r="DL15" s="224"/>
      <c r="DM15" s="224"/>
      <c r="DN15" s="224"/>
      <c r="DO15" s="224"/>
      <c r="DP15" s="224"/>
      <c r="DQ15" s="224"/>
      <c r="DR15" s="224"/>
      <c r="DS15" s="224"/>
      <c r="DT15" s="224"/>
      <c r="DU15" s="224"/>
      <c r="DV15" s="224"/>
      <c r="DW15" s="224"/>
      <c r="DX15" s="224"/>
      <c r="DY15" s="224"/>
      <c r="DZ15" s="224"/>
      <c r="EA15" s="224"/>
      <c r="EB15" s="224"/>
      <c r="EC15" s="224"/>
      <c r="ED15" s="224"/>
      <c r="EE15" s="224"/>
      <c r="EF15" s="224"/>
      <c r="EG15" s="224"/>
      <c r="EH15" s="224"/>
      <c r="EI15" s="224"/>
      <c r="EJ15" s="224"/>
      <c r="EK15" s="224"/>
      <c r="EL15" s="224"/>
      <c r="EM15" s="224"/>
      <c r="EN15" s="224"/>
      <c r="EO15" s="224"/>
      <c r="EP15" s="224"/>
    </row>
    <row r="16" spans="1:175" s="2" customFormat="1" ht="14.45" customHeight="1" thickBot="1" x14ac:dyDescent="0.25">
      <c r="A16" s="230" t="s">
        <v>613</v>
      </c>
      <c r="B16" s="232">
        <f>+B12+7</f>
        <v>45705</v>
      </c>
      <c r="C16" s="231" t="s">
        <v>614</v>
      </c>
      <c r="D16" s="233">
        <f>+D12+7</f>
        <v>45709</v>
      </c>
      <c r="E16" s="213" t="s">
        <v>102</v>
      </c>
      <c r="F16" s="214" t="s">
        <v>103</v>
      </c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  <c r="BE16" s="219"/>
      <c r="BF16" s="219"/>
      <c r="BG16" s="219"/>
      <c r="BH16" s="219"/>
      <c r="BI16" s="219"/>
      <c r="BJ16" s="219"/>
      <c r="BK16" s="219"/>
      <c r="BL16" s="219"/>
      <c r="BM16" s="219"/>
      <c r="BN16" s="219"/>
      <c r="BO16" s="219"/>
      <c r="BP16" s="219"/>
      <c r="BQ16" s="219"/>
      <c r="BR16" s="219"/>
      <c r="BS16" s="219"/>
      <c r="BT16" s="219"/>
      <c r="BU16" s="219"/>
      <c r="BV16" s="219"/>
      <c r="BW16" s="219"/>
      <c r="BX16" s="219"/>
      <c r="BY16" s="219"/>
      <c r="BZ16" s="219"/>
      <c r="CA16" s="219"/>
      <c r="CB16" s="219"/>
      <c r="CC16" s="219"/>
      <c r="CD16" s="219"/>
      <c r="CE16" s="219"/>
      <c r="CF16" s="219"/>
      <c r="CG16" s="219"/>
      <c r="CH16" s="219"/>
      <c r="CI16" s="219"/>
      <c r="CJ16" s="219"/>
      <c r="CK16" s="219"/>
      <c r="CL16" s="219"/>
      <c r="CM16" s="219"/>
      <c r="CN16" s="219"/>
      <c r="CO16" s="219"/>
      <c r="CP16" s="219"/>
      <c r="CQ16" s="219"/>
      <c r="CR16" s="219"/>
      <c r="CS16" s="219"/>
      <c r="CT16" s="219"/>
      <c r="CU16" s="219"/>
      <c r="CV16" s="220"/>
      <c r="CW16" s="219"/>
      <c r="CX16" s="219"/>
      <c r="CY16" s="219"/>
      <c r="CZ16" s="219"/>
      <c r="DA16" s="219"/>
      <c r="DB16" s="219"/>
      <c r="DC16" s="219"/>
      <c r="DD16" s="219"/>
      <c r="DE16" s="219"/>
      <c r="DF16" s="219"/>
      <c r="DG16" s="219"/>
      <c r="DH16" s="219"/>
      <c r="DI16" s="221"/>
      <c r="DJ16" s="221"/>
      <c r="DK16" s="221"/>
      <c r="DL16" s="221"/>
      <c r="DM16" s="221"/>
      <c r="DN16" s="221"/>
      <c r="DO16" s="221"/>
      <c r="DP16" s="221"/>
      <c r="DQ16" s="221"/>
      <c r="DR16" s="221"/>
      <c r="DS16" s="221"/>
      <c r="DT16" s="221"/>
      <c r="DU16" s="221"/>
      <c r="DV16" s="221"/>
      <c r="DW16" s="221"/>
      <c r="DX16" s="221"/>
      <c r="DY16" s="221"/>
      <c r="DZ16" s="221"/>
      <c r="EA16" s="221"/>
      <c r="EB16" s="221"/>
      <c r="EC16" s="221"/>
      <c r="ED16" s="221"/>
      <c r="EE16" s="221"/>
      <c r="EF16" s="221"/>
      <c r="EG16" s="221"/>
      <c r="EH16" s="221"/>
      <c r="EI16" s="221"/>
      <c r="EJ16" s="221"/>
      <c r="EK16" s="221"/>
      <c r="EL16" s="221"/>
      <c r="EM16" s="221"/>
      <c r="EN16" s="221"/>
      <c r="EO16" s="221"/>
      <c r="EP16" s="221"/>
    </row>
    <row r="17" spans="1:147" s="2" customFormat="1" x14ac:dyDescent="0.2">
      <c r="A17" s="854" t="s">
        <v>74</v>
      </c>
      <c r="B17" s="855"/>
      <c r="C17" s="855"/>
      <c r="D17" s="856"/>
      <c r="E17" s="215">
        <v>219</v>
      </c>
      <c r="F17" s="216">
        <v>15</v>
      </c>
      <c r="G17" s="735">
        <v>0</v>
      </c>
      <c r="H17" s="736">
        <v>0</v>
      </c>
      <c r="I17" s="736">
        <v>0</v>
      </c>
      <c r="J17" s="736">
        <v>0</v>
      </c>
      <c r="K17" s="736">
        <v>0</v>
      </c>
      <c r="L17" s="736">
        <v>39</v>
      </c>
      <c r="M17" s="736">
        <v>0</v>
      </c>
      <c r="N17" s="736">
        <v>0</v>
      </c>
      <c r="O17" s="736">
        <v>0</v>
      </c>
      <c r="P17" s="736">
        <v>0</v>
      </c>
      <c r="Q17" s="736">
        <v>0</v>
      </c>
      <c r="R17" s="736">
        <v>0</v>
      </c>
      <c r="S17" s="736">
        <v>0</v>
      </c>
      <c r="T17" s="736">
        <v>0</v>
      </c>
      <c r="U17" s="736">
        <v>0</v>
      </c>
      <c r="V17" s="736">
        <v>0</v>
      </c>
      <c r="W17" s="736">
        <v>0</v>
      </c>
      <c r="X17" s="736">
        <v>0</v>
      </c>
      <c r="Y17" s="736">
        <v>27</v>
      </c>
      <c r="Z17" s="736">
        <v>8</v>
      </c>
      <c r="AA17" s="737">
        <v>0</v>
      </c>
      <c r="AB17" s="737">
        <v>0</v>
      </c>
      <c r="AC17" s="737">
        <v>0</v>
      </c>
      <c r="AD17" s="737">
        <v>0</v>
      </c>
      <c r="AE17" s="737">
        <v>0</v>
      </c>
      <c r="AF17" s="737">
        <v>0</v>
      </c>
      <c r="AG17" s="737">
        <v>0</v>
      </c>
      <c r="AH17" s="737">
        <v>0</v>
      </c>
      <c r="AI17" s="737">
        <v>0</v>
      </c>
      <c r="AJ17" s="737">
        <v>0</v>
      </c>
      <c r="AK17" s="737">
        <v>0</v>
      </c>
      <c r="AL17" s="737">
        <v>0</v>
      </c>
      <c r="AM17" s="737">
        <v>0</v>
      </c>
      <c r="AN17" s="737">
        <v>0</v>
      </c>
      <c r="AO17" s="737">
        <v>0</v>
      </c>
      <c r="AP17" s="737">
        <v>0</v>
      </c>
      <c r="AQ17" s="737">
        <v>8</v>
      </c>
      <c r="AR17" s="737">
        <v>0</v>
      </c>
      <c r="AS17" s="737">
        <v>0</v>
      </c>
      <c r="AT17" s="737">
        <v>27</v>
      </c>
      <c r="AU17" s="738">
        <v>0</v>
      </c>
      <c r="AV17" s="737">
        <v>0</v>
      </c>
      <c r="AW17" s="737">
        <v>0</v>
      </c>
      <c r="AX17" s="737">
        <v>0</v>
      </c>
      <c r="AY17" s="737">
        <v>0</v>
      </c>
      <c r="AZ17" s="737">
        <v>0</v>
      </c>
      <c r="BA17" s="737">
        <v>7</v>
      </c>
      <c r="BB17" s="737">
        <v>103</v>
      </c>
      <c r="BC17" s="737">
        <v>0</v>
      </c>
      <c r="BD17" s="737">
        <v>0</v>
      </c>
      <c r="BE17" s="737">
        <v>0</v>
      </c>
      <c r="BF17" s="737">
        <v>0</v>
      </c>
      <c r="BG17" s="737">
        <v>0</v>
      </c>
      <c r="BH17" s="737">
        <v>0</v>
      </c>
      <c r="BI17" s="737">
        <v>0</v>
      </c>
      <c r="BJ17" s="219">
        <v>0</v>
      </c>
      <c r="BK17" s="219">
        <v>0</v>
      </c>
      <c r="BL17" s="219">
        <v>0</v>
      </c>
      <c r="BM17" s="219">
        <v>0</v>
      </c>
      <c r="BN17" s="219">
        <v>0</v>
      </c>
      <c r="BO17" s="219">
        <v>0</v>
      </c>
      <c r="BP17" s="219">
        <v>0</v>
      </c>
      <c r="BQ17" s="219">
        <v>0</v>
      </c>
      <c r="BR17" s="219">
        <v>0</v>
      </c>
      <c r="BS17" s="219">
        <v>0</v>
      </c>
      <c r="BT17" s="219">
        <v>0</v>
      </c>
      <c r="BU17" s="219">
        <v>0</v>
      </c>
      <c r="BV17" s="219">
        <v>0</v>
      </c>
      <c r="BW17" s="219">
        <v>0</v>
      </c>
      <c r="BX17" s="219">
        <v>0</v>
      </c>
      <c r="BY17" s="219">
        <v>0</v>
      </c>
      <c r="BZ17" s="219">
        <v>0</v>
      </c>
      <c r="CA17" s="219">
        <v>0</v>
      </c>
      <c r="CB17" s="219">
        <v>0</v>
      </c>
      <c r="CC17" s="219">
        <v>0</v>
      </c>
      <c r="CD17" s="219">
        <v>0</v>
      </c>
      <c r="CE17" s="219">
        <v>0</v>
      </c>
      <c r="CF17" s="219">
        <v>0</v>
      </c>
      <c r="CG17" s="219">
        <v>0</v>
      </c>
      <c r="CH17" s="219">
        <v>0</v>
      </c>
      <c r="CI17" s="219">
        <v>0</v>
      </c>
      <c r="CJ17" s="219">
        <v>0</v>
      </c>
      <c r="CK17" s="219">
        <v>0</v>
      </c>
      <c r="CL17" s="219">
        <v>0</v>
      </c>
      <c r="CM17" s="219">
        <v>0</v>
      </c>
      <c r="CN17" s="219">
        <v>0</v>
      </c>
      <c r="CO17" s="219">
        <v>0</v>
      </c>
      <c r="CP17" s="219">
        <v>0</v>
      </c>
      <c r="CQ17" s="219">
        <v>0</v>
      </c>
      <c r="CR17" s="219">
        <v>0</v>
      </c>
      <c r="CS17" s="219">
        <v>0</v>
      </c>
      <c r="CT17" s="219">
        <v>0</v>
      </c>
      <c r="CU17" s="219">
        <v>0</v>
      </c>
      <c r="CV17" s="220">
        <v>0</v>
      </c>
      <c r="CW17" s="219">
        <v>0</v>
      </c>
      <c r="CX17" s="219">
        <v>0</v>
      </c>
      <c r="CY17" s="219">
        <v>0</v>
      </c>
      <c r="CZ17" s="219">
        <v>0</v>
      </c>
      <c r="DA17" s="219">
        <v>0</v>
      </c>
      <c r="DB17" s="219">
        <v>0</v>
      </c>
      <c r="DC17" s="219">
        <v>0</v>
      </c>
      <c r="DD17" s="219">
        <v>0</v>
      </c>
      <c r="DE17" s="219">
        <v>0</v>
      </c>
      <c r="DF17" s="219">
        <v>0</v>
      </c>
      <c r="DG17" s="219">
        <v>0</v>
      </c>
      <c r="DH17" s="219">
        <v>0</v>
      </c>
      <c r="DI17" s="221">
        <v>0</v>
      </c>
      <c r="DJ17" s="221">
        <v>0</v>
      </c>
      <c r="DK17" s="221">
        <v>0</v>
      </c>
      <c r="DL17" s="221">
        <v>0</v>
      </c>
      <c r="DM17" s="221">
        <v>0</v>
      </c>
      <c r="DN17" s="221">
        <v>0</v>
      </c>
      <c r="DO17" s="221">
        <v>0</v>
      </c>
      <c r="DP17" s="221">
        <v>0</v>
      </c>
      <c r="DQ17" s="221">
        <v>0</v>
      </c>
      <c r="DR17" s="221">
        <v>0</v>
      </c>
      <c r="DS17" s="221">
        <v>0</v>
      </c>
      <c r="DT17" s="221">
        <v>0</v>
      </c>
      <c r="DU17" s="221">
        <v>0</v>
      </c>
      <c r="DV17" s="221">
        <v>0</v>
      </c>
      <c r="DW17" s="221">
        <v>0</v>
      </c>
      <c r="DX17" s="221">
        <v>0</v>
      </c>
      <c r="DY17" s="221">
        <v>0</v>
      </c>
      <c r="DZ17" s="221">
        <v>0</v>
      </c>
      <c r="EA17" s="221">
        <v>0</v>
      </c>
      <c r="EB17" s="221">
        <v>0</v>
      </c>
      <c r="EC17" s="221">
        <v>0</v>
      </c>
      <c r="ED17" s="221">
        <v>0</v>
      </c>
      <c r="EE17" s="221">
        <v>0</v>
      </c>
      <c r="EF17" s="221">
        <v>0</v>
      </c>
      <c r="EG17" s="221">
        <v>0</v>
      </c>
      <c r="EH17" s="221">
        <v>8</v>
      </c>
      <c r="EI17" s="221">
        <v>0</v>
      </c>
      <c r="EJ17" s="221">
        <v>0</v>
      </c>
      <c r="EK17" s="221">
        <v>0</v>
      </c>
      <c r="EL17" s="221">
        <v>0</v>
      </c>
      <c r="EM17" s="221">
        <v>7</v>
      </c>
      <c r="EN17" s="221">
        <v>0</v>
      </c>
      <c r="EO17" s="221">
        <v>0</v>
      </c>
      <c r="EP17" s="221">
        <v>0</v>
      </c>
    </row>
    <row r="18" spans="1:147" s="2" customFormat="1" ht="15.75" thickBot="1" x14ac:dyDescent="0.25">
      <c r="A18" s="857" t="s">
        <v>109</v>
      </c>
      <c r="B18" s="858"/>
      <c r="C18" s="858"/>
      <c r="D18" s="859"/>
      <c r="E18" s="217">
        <v>228.5</v>
      </c>
      <c r="F18" s="218">
        <v>5.5</v>
      </c>
      <c r="G18" s="219">
        <v>0</v>
      </c>
      <c r="H18" s="219">
        <v>0</v>
      </c>
      <c r="I18" s="219">
        <v>0</v>
      </c>
      <c r="J18" s="219">
        <v>0</v>
      </c>
      <c r="K18" s="219">
        <v>0</v>
      </c>
      <c r="L18" s="219">
        <v>0</v>
      </c>
      <c r="M18" s="219">
        <v>0</v>
      </c>
      <c r="N18" s="219">
        <v>0</v>
      </c>
      <c r="O18" s="219">
        <v>0</v>
      </c>
      <c r="P18" s="219">
        <v>0</v>
      </c>
      <c r="Q18" s="219">
        <v>0</v>
      </c>
      <c r="R18" s="219">
        <v>0</v>
      </c>
      <c r="S18" s="219">
        <v>0</v>
      </c>
      <c r="T18" s="219">
        <v>0</v>
      </c>
      <c r="U18" s="219">
        <v>0</v>
      </c>
      <c r="V18" s="219">
        <v>0</v>
      </c>
      <c r="W18" s="219">
        <v>0</v>
      </c>
      <c r="X18" s="219">
        <v>0</v>
      </c>
      <c r="Y18" s="219">
        <v>0</v>
      </c>
      <c r="Z18" s="219">
        <v>0</v>
      </c>
      <c r="AA18" s="219">
        <v>33.5</v>
      </c>
      <c r="AB18" s="219">
        <v>0</v>
      </c>
      <c r="AC18" s="219">
        <v>8</v>
      </c>
      <c r="AD18" s="219">
        <v>0</v>
      </c>
      <c r="AE18" s="219">
        <v>0</v>
      </c>
      <c r="AF18" s="219">
        <v>0</v>
      </c>
      <c r="AG18" s="219">
        <v>0</v>
      </c>
      <c r="AH18" s="219">
        <v>0</v>
      </c>
      <c r="AI18" s="219">
        <v>0</v>
      </c>
      <c r="AJ18" s="219">
        <v>0</v>
      </c>
      <c r="AK18" s="219">
        <v>0</v>
      </c>
      <c r="AL18" s="219">
        <v>0</v>
      </c>
      <c r="AM18" s="219">
        <v>0</v>
      </c>
      <c r="AN18" s="219">
        <v>0</v>
      </c>
      <c r="AO18" s="219">
        <v>0</v>
      </c>
      <c r="AP18" s="219">
        <v>0</v>
      </c>
      <c r="AQ18" s="219">
        <v>42</v>
      </c>
      <c r="AR18" s="219">
        <v>0</v>
      </c>
      <c r="AS18" s="219">
        <v>0</v>
      </c>
      <c r="AT18" s="219">
        <v>106</v>
      </c>
      <c r="AU18" s="219">
        <v>0</v>
      </c>
      <c r="AV18" s="219">
        <v>0</v>
      </c>
      <c r="AW18" s="219">
        <v>0</v>
      </c>
      <c r="AX18" s="219">
        <v>0</v>
      </c>
      <c r="AY18" s="219">
        <v>0</v>
      </c>
      <c r="AZ18" s="219">
        <v>0</v>
      </c>
      <c r="BA18" s="219">
        <v>0</v>
      </c>
      <c r="BB18" s="219">
        <v>39</v>
      </c>
      <c r="BC18" s="219">
        <v>0</v>
      </c>
      <c r="BD18" s="219">
        <v>0</v>
      </c>
      <c r="BE18" s="219">
        <v>0</v>
      </c>
      <c r="BF18" s="219">
        <v>0</v>
      </c>
      <c r="BG18" s="219">
        <v>0</v>
      </c>
      <c r="BH18" s="219">
        <v>0</v>
      </c>
      <c r="BI18" s="219">
        <v>0</v>
      </c>
      <c r="BJ18" s="219">
        <v>0</v>
      </c>
      <c r="BK18" s="219">
        <v>0</v>
      </c>
      <c r="BL18" s="219">
        <v>0</v>
      </c>
      <c r="BM18" s="219">
        <v>0</v>
      </c>
      <c r="BN18" s="219">
        <v>0</v>
      </c>
      <c r="BO18" s="219">
        <v>0</v>
      </c>
      <c r="BP18" s="219">
        <v>0</v>
      </c>
      <c r="BQ18" s="219">
        <v>0</v>
      </c>
      <c r="BR18" s="219">
        <v>0</v>
      </c>
      <c r="BS18" s="219">
        <v>0</v>
      </c>
      <c r="BT18" s="219">
        <v>0</v>
      </c>
      <c r="BU18" s="219">
        <v>0</v>
      </c>
      <c r="BV18" s="219">
        <v>0</v>
      </c>
      <c r="BW18" s="219">
        <v>0</v>
      </c>
      <c r="BX18" s="219">
        <v>0</v>
      </c>
      <c r="BY18" s="219">
        <v>0</v>
      </c>
      <c r="BZ18" s="219">
        <v>0</v>
      </c>
      <c r="CA18" s="219">
        <v>0</v>
      </c>
      <c r="CB18" s="219">
        <v>0</v>
      </c>
      <c r="CC18" s="219">
        <v>0</v>
      </c>
      <c r="CD18" s="219">
        <v>0</v>
      </c>
      <c r="CE18" s="219">
        <v>0</v>
      </c>
      <c r="CF18" s="219">
        <v>0</v>
      </c>
      <c r="CG18" s="219">
        <v>0</v>
      </c>
      <c r="CH18" s="219">
        <v>0</v>
      </c>
      <c r="CI18" s="219">
        <v>0</v>
      </c>
      <c r="CJ18" s="219">
        <v>0</v>
      </c>
      <c r="CK18" s="219">
        <v>0</v>
      </c>
      <c r="CL18" s="219">
        <v>0</v>
      </c>
      <c r="CM18" s="219">
        <v>0</v>
      </c>
      <c r="CN18" s="219">
        <v>0</v>
      </c>
      <c r="CO18" s="219">
        <v>0</v>
      </c>
      <c r="CP18" s="219">
        <v>0</v>
      </c>
      <c r="CQ18" s="219">
        <v>0</v>
      </c>
      <c r="CR18" s="219">
        <v>0</v>
      </c>
      <c r="CS18" s="219">
        <v>0</v>
      </c>
      <c r="CT18" s="219">
        <v>0</v>
      </c>
      <c r="CU18" s="219">
        <v>0</v>
      </c>
      <c r="CV18" s="220">
        <v>0</v>
      </c>
      <c r="CW18" s="219">
        <v>0</v>
      </c>
      <c r="CX18" s="219">
        <v>0</v>
      </c>
      <c r="CY18" s="219">
        <v>0</v>
      </c>
      <c r="CZ18" s="219">
        <v>0</v>
      </c>
      <c r="DA18" s="219">
        <v>0</v>
      </c>
      <c r="DB18" s="219">
        <v>0</v>
      </c>
      <c r="DC18" s="219">
        <v>0</v>
      </c>
      <c r="DD18" s="219">
        <v>0</v>
      </c>
      <c r="DE18" s="219">
        <v>0</v>
      </c>
      <c r="DF18" s="219">
        <v>0</v>
      </c>
      <c r="DG18" s="219">
        <v>0</v>
      </c>
      <c r="DH18" s="219">
        <v>0</v>
      </c>
      <c r="DI18" s="221">
        <v>0</v>
      </c>
      <c r="DJ18" s="221">
        <v>0</v>
      </c>
      <c r="DK18" s="221">
        <v>0</v>
      </c>
      <c r="DL18" s="221">
        <v>0</v>
      </c>
      <c r="DM18" s="221">
        <v>0</v>
      </c>
      <c r="DN18" s="221">
        <v>0</v>
      </c>
      <c r="DO18" s="221">
        <v>0</v>
      </c>
      <c r="DP18" s="221">
        <v>0</v>
      </c>
      <c r="DQ18" s="221">
        <v>0</v>
      </c>
      <c r="DR18" s="221">
        <v>0</v>
      </c>
      <c r="DS18" s="221">
        <v>0</v>
      </c>
      <c r="DT18" s="221">
        <v>0</v>
      </c>
      <c r="DU18" s="221">
        <v>0</v>
      </c>
      <c r="DV18" s="221">
        <v>0</v>
      </c>
      <c r="DW18" s="221">
        <v>0</v>
      </c>
      <c r="DX18" s="221">
        <v>0</v>
      </c>
      <c r="DY18" s="221">
        <v>0</v>
      </c>
      <c r="DZ18" s="221">
        <v>0</v>
      </c>
      <c r="EA18" s="221">
        <v>0</v>
      </c>
      <c r="EB18" s="221">
        <v>0</v>
      </c>
      <c r="EC18" s="221">
        <v>0</v>
      </c>
      <c r="ED18" s="221">
        <v>0</v>
      </c>
      <c r="EE18" s="221">
        <v>0</v>
      </c>
      <c r="EF18" s="221">
        <v>0</v>
      </c>
      <c r="EG18" s="221">
        <v>0</v>
      </c>
      <c r="EH18" s="221">
        <v>5.5</v>
      </c>
      <c r="EI18" s="221">
        <v>0</v>
      </c>
      <c r="EJ18" s="221">
        <v>0</v>
      </c>
      <c r="EK18" s="221">
        <v>0</v>
      </c>
      <c r="EL18" s="221">
        <v>0</v>
      </c>
      <c r="EM18" s="221">
        <v>0</v>
      </c>
      <c r="EN18" s="221">
        <v>0</v>
      </c>
      <c r="EO18" s="221">
        <v>0</v>
      </c>
      <c r="EP18" s="221">
        <v>0</v>
      </c>
    </row>
    <row r="19" spans="1:147" s="2" customFormat="1" ht="15.75" thickBot="1" x14ac:dyDescent="0.25">
      <c r="A19" s="844" t="s">
        <v>110</v>
      </c>
      <c r="B19" s="845"/>
      <c r="C19" s="845"/>
      <c r="D19" s="845"/>
      <c r="E19" s="222">
        <f>SUM(E17:E18)</f>
        <v>447.5</v>
      </c>
      <c r="F19" s="223">
        <f>SUM(F17:F18)</f>
        <v>20.5</v>
      </c>
      <c r="G19" s="224">
        <f t="shared" ref="G19:BT19" si="4">SUM(G17:G18)</f>
        <v>0</v>
      </c>
      <c r="H19" s="224">
        <f t="shared" si="4"/>
        <v>0</v>
      </c>
      <c r="I19" s="224">
        <f t="shared" si="4"/>
        <v>0</v>
      </c>
      <c r="J19" s="224">
        <f t="shared" si="4"/>
        <v>0</v>
      </c>
      <c r="K19" s="224">
        <f t="shared" si="4"/>
        <v>0</v>
      </c>
      <c r="L19" s="224">
        <f t="shared" si="4"/>
        <v>39</v>
      </c>
      <c r="M19" s="224">
        <f t="shared" si="4"/>
        <v>0</v>
      </c>
      <c r="N19" s="224">
        <f t="shared" si="4"/>
        <v>0</v>
      </c>
      <c r="O19" s="224">
        <f t="shared" si="4"/>
        <v>0</v>
      </c>
      <c r="P19" s="224">
        <f t="shared" si="4"/>
        <v>0</v>
      </c>
      <c r="Q19" s="224">
        <f t="shared" si="4"/>
        <v>0</v>
      </c>
      <c r="R19" s="224">
        <f t="shared" si="4"/>
        <v>0</v>
      </c>
      <c r="S19" s="224">
        <f t="shared" si="4"/>
        <v>0</v>
      </c>
      <c r="T19" s="224">
        <f t="shared" si="4"/>
        <v>0</v>
      </c>
      <c r="U19" s="224">
        <f t="shared" si="4"/>
        <v>0</v>
      </c>
      <c r="V19" s="224">
        <f t="shared" si="4"/>
        <v>0</v>
      </c>
      <c r="W19" s="224">
        <f t="shared" si="4"/>
        <v>0</v>
      </c>
      <c r="X19" s="224">
        <f t="shared" si="4"/>
        <v>0</v>
      </c>
      <c r="Y19" s="224">
        <f t="shared" si="4"/>
        <v>27</v>
      </c>
      <c r="Z19" s="224">
        <f t="shared" si="4"/>
        <v>8</v>
      </c>
      <c r="AA19" s="224">
        <f t="shared" si="4"/>
        <v>33.5</v>
      </c>
      <c r="AB19" s="224">
        <f t="shared" si="4"/>
        <v>0</v>
      </c>
      <c r="AC19" s="224">
        <f t="shared" si="4"/>
        <v>8</v>
      </c>
      <c r="AD19" s="224">
        <f t="shared" si="4"/>
        <v>0</v>
      </c>
      <c r="AE19" s="224">
        <f t="shared" si="4"/>
        <v>0</v>
      </c>
      <c r="AF19" s="224">
        <f t="shared" si="4"/>
        <v>0</v>
      </c>
      <c r="AG19" s="224">
        <f t="shared" si="4"/>
        <v>0</v>
      </c>
      <c r="AH19" s="224">
        <f t="shared" si="4"/>
        <v>0</v>
      </c>
      <c r="AI19" s="224">
        <f t="shared" si="4"/>
        <v>0</v>
      </c>
      <c r="AJ19" s="224">
        <f t="shared" si="4"/>
        <v>0</v>
      </c>
      <c r="AK19" s="224">
        <f t="shared" si="4"/>
        <v>0</v>
      </c>
      <c r="AL19" s="224">
        <f t="shared" si="4"/>
        <v>0</v>
      </c>
      <c r="AM19" s="224">
        <f t="shared" si="4"/>
        <v>0</v>
      </c>
      <c r="AN19" s="224">
        <f t="shared" si="4"/>
        <v>0</v>
      </c>
      <c r="AO19" s="224">
        <f t="shared" si="4"/>
        <v>0</v>
      </c>
      <c r="AP19" s="224">
        <f t="shared" si="4"/>
        <v>0</v>
      </c>
      <c r="AQ19" s="224">
        <f t="shared" si="4"/>
        <v>50</v>
      </c>
      <c r="AR19" s="224">
        <f t="shared" si="4"/>
        <v>0</v>
      </c>
      <c r="AS19" s="224">
        <f t="shared" si="4"/>
        <v>0</v>
      </c>
      <c r="AT19" s="224">
        <f t="shared" si="4"/>
        <v>133</v>
      </c>
      <c r="AU19" s="224">
        <f t="shared" si="4"/>
        <v>0</v>
      </c>
      <c r="AV19" s="224">
        <f t="shared" si="4"/>
        <v>0</v>
      </c>
      <c r="AW19" s="224">
        <f t="shared" si="4"/>
        <v>0</v>
      </c>
      <c r="AX19" s="224">
        <f t="shared" si="4"/>
        <v>0</v>
      </c>
      <c r="AY19" s="224">
        <f t="shared" si="4"/>
        <v>0</v>
      </c>
      <c r="AZ19" s="224">
        <f t="shared" si="4"/>
        <v>0</v>
      </c>
      <c r="BA19" s="224">
        <f t="shared" si="4"/>
        <v>7</v>
      </c>
      <c r="BB19" s="224">
        <f t="shared" si="4"/>
        <v>142</v>
      </c>
      <c r="BC19" s="224">
        <f t="shared" si="4"/>
        <v>0</v>
      </c>
      <c r="BD19" s="224">
        <f t="shared" si="4"/>
        <v>0</v>
      </c>
      <c r="BE19" s="224">
        <f t="shared" si="4"/>
        <v>0</v>
      </c>
      <c r="BF19" s="224">
        <f t="shared" si="4"/>
        <v>0</v>
      </c>
      <c r="BG19" s="224">
        <f t="shared" si="4"/>
        <v>0</v>
      </c>
      <c r="BH19" s="224">
        <f t="shared" si="4"/>
        <v>0</v>
      </c>
      <c r="BI19" s="224">
        <f t="shared" si="4"/>
        <v>0</v>
      </c>
      <c r="BJ19" s="224">
        <f t="shared" si="4"/>
        <v>0</v>
      </c>
      <c r="BK19" s="224">
        <f t="shared" si="4"/>
        <v>0</v>
      </c>
      <c r="BL19" s="224">
        <f t="shared" si="4"/>
        <v>0</v>
      </c>
      <c r="BM19" s="224">
        <f t="shared" si="4"/>
        <v>0</v>
      </c>
      <c r="BN19" s="224">
        <f t="shared" si="4"/>
        <v>0</v>
      </c>
      <c r="BO19" s="224">
        <f t="shared" si="4"/>
        <v>0</v>
      </c>
      <c r="BP19" s="224">
        <f t="shared" si="4"/>
        <v>0</v>
      </c>
      <c r="BQ19" s="224">
        <f t="shared" si="4"/>
        <v>0</v>
      </c>
      <c r="BR19" s="224">
        <f t="shared" si="4"/>
        <v>0</v>
      </c>
      <c r="BS19" s="224">
        <f t="shared" si="4"/>
        <v>0</v>
      </c>
      <c r="BT19" s="224">
        <f t="shared" si="4"/>
        <v>0</v>
      </c>
      <c r="BU19" s="224">
        <f t="shared" ref="BU19:DI19" si="5">SUM(BU17:BU18)</f>
        <v>0</v>
      </c>
      <c r="BV19" s="224">
        <f t="shared" si="5"/>
        <v>0</v>
      </c>
      <c r="BW19" s="224">
        <f t="shared" si="5"/>
        <v>0</v>
      </c>
      <c r="BX19" s="224">
        <f t="shared" si="5"/>
        <v>0</v>
      </c>
      <c r="BY19" s="224">
        <f t="shared" si="5"/>
        <v>0</v>
      </c>
      <c r="BZ19" s="224">
        <f t="shared" si="5"/>
        <v>0</v>
      </c>
      <c r="CA19" s="224">
        <f t="shared" si="5"/>
        <v>0</v>
      </c>
      <c r="CB19" s="224">
        <f t="shared" si="5"/>
        <v>0</v>
      </c>
      <c r="CC19" s="224">
        <f t="shared" si="5"/>
        <v>0</v>
      </c>
      <c r="CD19" s="224">
        <f t="shared" si="5"/>
        <v>0</v>
      </c>
      <c r="CE19" s="224">
        <f t="shared" si="5"/>
        <v>0</v>
      </c>
      <c r="CF19" s="224">
        <f t="shared" si="5"/>
        <v>0</v>
      </c>
      <c r="CG19" s="224">
        <f t="shared" si="5"/>
        <v>0</v>
      </c>
      <c r="CH19" s="224">
        <f t="shared" si="5"/>
        <v>0</v>
      </c>
      <c r="CI19" s="224">
        <f t="shared" si="5"/>
        <v>0</v>
      </c>
      <c r="CJ19" s="224">
        <f t="shared" si="5"/>
        <v>0</v>
      </c>
      <c r="CK19" s="224">
        <f t="shared" si="5"/>
        <v>0</v>
      </c>
      <c r="CL19" s="224">
        <f t="shared" si="5"/>
        <v>0</v>
      </c>
      <c r="CM19" s="224">
        <f t="shared" si="5"/>
        <v>0</v>
      </c>
      <c r="CN19" s="224">
        <f t="shared" si="5"/>
        <v>0</v>
      </c>
      <c r="CO19" s="224">
        <f t="shared" si="5"/>
        <v>0</v>
      </c>
      <c r="CP19" s="224">
        <f t="shared" si="5"/>
        <v>0</v>
      </c>
      <c r="CQ19" s="224">
        <f t="shared" si="5"/>
        <v>0</v>
      </c>
      <c r="CR19" s="224">
        <f t="shared" si="5"/>
        <v>0</v>
      </c>
      <c r="CS19" s="224">
        <f t="shared" si="5"/>
        <v>0</v>
      </c>
      <c r="CT19" s="224">
        <f t="shared" si="5"/>
        <v>0</v>
      </c>
      <c r="CU19" s="224">
        <f t="shared" si="5"/>
        <v>0</v>
      </c>
      <c r="CV19" s="224">
        <f t="shared" si="5"/>
        <v>0</v>
      </c>
      <c r="CW19" s="224">
        <f t="shared" si="5"/>
        <v>0</v>
      </c>
      <c r="CX19" s="224">
        <f t="shared" si="5"/>
        <v>0</v>
      </c>
      <c r="CY19" s="224">
        <f t="shared" si="5"/>
        <v>0</v>
      </c>
      <c r="CZ19" s="224">
        <f t="shared" si="5"/>
        <v>0</v>
      </c>
      <c r="DA19" s="224">
        <f t="shared" si="5"/>
        <v>0</v>
      </c>
      <c r="DB19" s="224">
        <f t="shared" si="5"/>
        <v>0</v>
      </c>
      <c r="DC19" s="224">
        <f t="shared" si="5"/>
        <v>0</v>
      </c>
      <c r="DD19" s="224">
        <f t="shared" si="5"/>
        <v>0</v>
      </c>
      <c r="DE19" s="224">
        <f t="shared" si="5"/>
        <v>0</v>
      </c>
      <c r="DF19" s="224">
        <f t="shared" si="5"/>
        <v>0</v>
      </c>
      <c r="DG19" s="224">
        <f t="shared" si="5"/>
        <v>0</v>
      </c>
      <c r="DH19" s="224">
        <f t="shared" si="5"/>
        <v>0</v>
      </c>
      <c r="DI19" s="224">
        <f t="shared" si="5"/>
        <v>0</v>
      </c>
      <c r="DJ19" s="224"/>
      <c r="DK19" s="224"/>
      <c r="DL19" s="224"/>
      <c r="DM19" s="224"/>
      <c r="DN19" s="224"/>
      <c r="DO19" s="224"/>
      <c r="DP19" s="224"/>
      <c r="DQ19" s="224"/>
      <c r="DR19" s="224"/>
      <c r="DS19" s="224"/>
      <c r="DT19" s="224"/>
      <c r="DU19" s="224"/>
      <c r="DV19" s="224"/>
      <c r="DW19" s="224"/>
      <c r="DX19" s="224"/>
      <c r="DY19" s="224"/>
      <c r="DZ19" s="224"/>
      <c r="EA19" s="224"/>
      <c r="EB19" s="224"/>
      <c r="EC19" s="224"/>
      <c r="ED19" s="224"/>
      <c r="EE19" s="224"/>
      <c r="EF19" s="224"/>
      <c r="EG19" s="224"/>
      <c r="EH19" s="224"/>
      <c r="EI19" s="224"/>
      <c r="EJ19" s="224"/>
      <c r="EK19" s="224"/>
      <c r="EL19" s="224"/>
      <c r="EM19" s="224"/>
      <c r="EN19" s="224"/>
      <c r="EO19" s="224"/>
      <c r="EP19" s="224"/>
    </row>
    <row r="20" spans="1:147" s="2" customFormat="1" ht="14.45" customHeight="1" thickBot="1" x14ac:dyDescent="0.25">
      <c r="A20" s="230" t="s">
        <v>613</v>
      </c>
      <c r="B20" s="232">
        <f>+B16+7</f>
        <v>45712</v>
      </c>
      <c r="C20" s="231" t="s">
        <v>614</v>
      </c>
      <c r="D20" s="233">
        <f>+D16+7</f>
        <v>45716</v>
      </c>
      <c r="E20" s="213" t="s">
        <v>102</v>
      </c>
      <c r="F20" s="214" t="s">
        <v>103</v>
      </c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19"/>
      <c r="BK20" s="219"/>
      <c r="BL20" s="219"/>
      <c r="BM20" s="219"/>
      <c r="BN20" s="219"/>
      <c r="BO20" s="219"/>
      <c r="BP20" s="219"/>
      <c r="BQ20" s="219"/>
      <c r="BR20" s="219"/>
      <c r="BS20" s="219"/>
      <c r="BT20" s="219"/>
      <c r="BU20" s="219"/>
      <c r="BV20" s="219"/>
      <c r="BW20" s="219"/>
      <c r="BX20" s="219"/>
      <c r="BY20" s="219"/>
      <c r="BZ20" s="219"/>
      <c r="CA20" s="219"/>
      <c r="CB20" s="219"/>
      <c r="CC20" s="219"/>
      <c r="CD20" s="219"/>
      <c r="CE20" s="219"/>
      <c r="CF20" s="219"/>
      <c r="CG20" s="219"/>
      <c r="CH20" s="219"/>
      <c r="CI20" s="219"/>
      <c r="CJ20" s="219"/>
      <c r="CK20" s="219"/>
      <c r="CL20" s="219"/>
      <c r="CM20" s="219"/>
      <c r="CN20" s="219"/>
      <c r="CO20" s="219"/>
      <c r="CP20" s="219"/>
      <c r="CQ20" s="219"/>
      <c r="CR20" s="219"/>
      <c r="CS20" s="219"/>
      <c r="CT20" s="219"/>
      <c r="CU20" s="219"/>
      <c r="CV20" s="220"/>
      <c r="CW20" s="219"/>
      <c r="CX20" s="219"/>
      <c r="CY20" s="219"/>
      <c r="CZ20" s="219"/>
      <c r="DA20" s="219"/>
      <c r="DB20" s="219"/>
      <c r="DC20" s="219"/>
      <c r="DD20" s="219"/>
      <c r="DE20" s="219"/>
      <c r="DF20" s="219"/>
      <c r="DG20" s="219"/>
      <c r="DH20" s="219"/>
      <c r="DI20" s="221"/>
      <c r="DJ20" s="221"/>
      <c r="DK20" s="221"/>
      <c r="DL20" s="221"/>
      <c r="DM20" s="221"/>
      <c r="DN20" s="221"/>
      <c r="DO20" s="221"/>
      <c r="DP20" s="221"/>
      <c r="DQ20" s="221"/>
      <c r="DR20" s="221"/>
      <c r="DS20" s="221"/>
      <c r="DT20" s="221"/>
      <c r="DU20" s="221"/>
      <c r="DV20" s="221"/>
      <c r="DW20" s="221"/>
      <c r="DX20" s="221"/>
      <c r="DY20" s="221"/>
      <c r="DZ20" s="221"/>
      <c r="EA20" s="221"/>
      <c r="EB20" s="221"/>
      <c r="EC20" s="221"/>
      <c r="ED20" s="221"/>
      <c r="EE20" s="221"/>
      <c r="EF20" s="221"/>
      <c r="EG20" s="221"/>
      <c r="EH20" s="221"/>
      <c r="EI20" s="221"/>
      <c r="EJ20" s="221"/>
      <c r="EK20" s="221"/>
      <c r="EL20" s="221"/>
      <c r="EM20" s="221"/>
      <c r="EN20" s="221"/>
      <c r="EO20" s="221"/>
      <c r="EP20" s="221"/>
    </row>
    <row r="21" spans="1:147" s="2" customFormat="1" x14ac:dyDescent="0.2">
      <c r="A21" s="854" t="s">
        <v>74</v>
      </c>
      <c r="B21" s="855"/>
      <c r="C21" s="855"/>
      <c r="D21" s="856"/>
      <c r="E21" s="215">
        <v>214</v>
      </c>
      <c r="F21" s="216">
        <v>20</v>
      </c>
      <c r="G21" s="735">
        <v>0</v>
      </c>
      <c r="H21" s="736">
        <v>0</v>
      </c>
      <c r="I21" s="736">
        <v>0</v>
      </c>
      <c r="J21" s="736">
        <v>0</v>
      </c>
      <c r="K21" s="736">
        <v>0</v>
      </c>
      <c r="L21" s="736">
        <v>39</v>
      </c>
      <c r="M21" s="736">
        <v>0</v>
      </c>
      <c r="N21" s="736">
        <v>0</v>
      </c>
      <c r="O21" s="736">
        <v>0</v>
      </c>
      <c r="P21" s="736">
        <v>0</v>
      </c>
      <c r="Q21" s="736">
        <v>0</v>
      </c>
      <c r="R21" s="736">
        <v>0</v>
      </c>
      <c r="S21" s="736">
        <v>0</v>
      </c>
      <c r="T21" s="736">
        <v>0</v>
      </c>
      <c r="U21" s="736">
        <v>0</v>
      </c>
      <c r="V21" s="736">
        <v>0</v>
      </c>
      <c r="W21" s="736">
        <v>15</v>
      </c>
      <c r="X21" s="736">
        <v>0</v>
      </c>
      <c r="Y21" s="736">
        <v>16</v>
      </c>
      <c r="Z21" s="736">
        <v>0</v>
      </c>
      <c r="AA21" s="737">
        <v>0</v>
      </c>
      <c r="AB21" s="737">
        <v>0</v>
      </c>
      <c r="AC21" s="737">
        <v>0</v>
      </c>
      <c r="AD21" s="737">
        <v>0</v>
      </c>
      <c r="AE21" s="737">
        <v>4</v>
      </c>
      <c r="AF21" s="737">
        <v>0</v>
      </c>
      <c r="AG21" s="737">
        <v>0</v>
      </c>
      <c r="AH21" s="737">
        <v>0</v>
      </c>
      <c r="AI21" s="737">
        <v>0</v>
      </c>
      <c r="AJ21" s="737">
        <v>0</v>
      </c>
      <c r="AK21" s="737">
        <v>0</v>
      </c>
      <c r="AL21" s="737">
        <v>0</v>
      </c>
      <c r="AM21" s="737">
        <v>4</v>
      </c>
      <c r="AN21" s="737">
        <v>0</v>
      </c>
      <c r="AO21" s="219">
        <v>0</v>
      </c>
      <c r="AP21" s="219">
        <v>0</v>
      </c>
      <c r="AQ21" s="219">
        <v>0</v>
      </c>
      <c r="AR21" s="219">
        <v>0</v>
      </c>
      <c r="AS21" s="219">
        <v>0</v>
      </c>
      <c r="AT21" s="219">
        <v>19</v>
      </c>
      <c r="AU21" s="219">
        <v>0</v>
      </c>
      <c r="AV21" s="219">
        <v>0</v>
      </c>
      <c r="AW21" s="219">
        <v>0</v>
      </c>
      <c r="AX21" s="219">
        <v>0</v>
      </c>
      <c r="AY21" s="219">
        <v>0</v>
      </c>
      <c r="AZ21" s="219">
        <v>0</v>
      </c>
      <c r="BA21" s="219">
        <v>0</v>
      </c>
      <c r="BB21" s="219">
        <v>40</v>
      </c>
      <c r="BC21" s="219">
        <v>0</v>
      </c>
      <c r="BD21" s="219">
        <v>0</v>
      </c>
      <c r="BE21" s="219">
        <v>6</v>
      </c>
      <c r="BF21" s="219">
        <v>58</v>
      </c>
      <c r="BG21" s="219">
        <v>0</v>
      </c>
      <c r="BH21" s="219">
        <v>0</v>
      </c>
      <c r="BI21" s="219">
        <v>13</v>
      </c>
      <c r="BJ21" s="219">
        <v>0</v>
      </c>
      <c r="BK21" s="219">
        <v>0</v>
      </c>
      <c r="BL21" s="219">
        <v>0</v>
      </c>
      <c r="BM21" s="219">
        <v>0</v>
      </c>
      <c r="BN21" s="219">
        <v>0</v>
      </c>
      <c r="BO21" s="219">
        <v>0</v>
      </c>
      <c r="BP21" s="219">
        <v>0</v>
      </c>
      <c r="BQ21" s="219">
        <v>0</v>
      </c>
      <c r="BR21" s="219">
        <v>0</v>
      </c>
      <c r="BS21" s="219">
        <v>0</v>
      </c>
      <c r="BT21" s="219">
        <v>0</v>
      </c>
      <c r="BU21" s="219">
        <v>0</v>
      </c>
      <c r="BV21" s="219">
        <v>0</v>
      </c>
      <c r="BW21" s="219">
        <v>0</v>
      </c>
      <c r="BX21" s="219">
        <v>0</v>
      </c>
      <c r="BY21" s="219">
        <v>0</v>
      </c>
      <c r="BZ21" s="219">
        <v>0</v>
      </c>
      <c r="CA21" s="219">
        <v>0</v>
      </c>
      <c r="CB21" s="219">
        <v>0</v>
      </c>
      <c r="CC21" s="219">
        <v>0</v>
      </c>
      <c r="CD21" s="219">
        <v>0</v>
      </c>
      <c r="CE21" s="219">
        <v>0</v>
      </c>
      <c r="CF21" s="219">
        <v>0</v>
      </c>
      <c r="CG21" s="219">
        <v>0</v>
      </c>
      <c r="CH21" s="219">
        <v>0</v>
      </c>
      <c r="CI21" s="219">
        <v>0</v>
      </c>
      <c r="CJ21" s="219">
        <v>0</v>
      </c>
      <c r="CK21" s="219">
        <v>0</v>
      </c>
      <c r="CL21" s="219">
        <v>0</v>
      </c>
      <c r="CM21" s="219">
        <v>0</v>
      </c>
      <c r="CN21" s="219">
        <v>0</v>
      </c>
      <c r="CO21" s="219">
        <v>0</v>
      </c>
      <c r="CP21" s="219">
        <v>0</v>
      </c>
      <c r="CQ21" s="219">
        <v>0</v>
      </c>
      <c r="CR21" s="219">
        <v>0</v>
      </c>
      <c r="CS21" s="219">
        <v>0</v>
      </c>
      <c r="CT21" s="219">
        <v>0</v>
      </c>
      <c r="CU21" s="219">
        <v>0</v>
      </c>
      <c r="CV21" s="220">
        <v>0</v>
      </c>
      <c r="CW21" s="219">
        <v>0</v>
      </c>
      <c r="CX21" s="219">
        <v>0</v>
      </c>
      <c r="CY21" s="219">
        <v>0</v>
      </c>
      <c r="CZ21" s="219">
        <v>0</v>
      </c>
      <c r="DA21" s="219">
        <v>0</v>
      </c>
      <c r="DB21" s="219">
        <v>0</v>
      </c>
      <c r="DC21" s="219">
        <v>0</v>
      </c>
      <c r="DD21" s="219">
        <v>0</v>
      </c>
      <c r="DE21" s="219">
        <v>0</v>
      </c>
      <c r="DF21" s="219">
        <v>0</v>
      </c>
      <c r="DG21" s="219">
        <v>0</v>
      </c>
      <c r="DH21" s="219">
        <v>0</v>
      </c>
      <c r="DI21" s="221">
        <v>0</v>
      </c>
      <c r="DJ21" s="221">
        <v>0</v>
      </c>
      <c r="DK21" s="221">
        <v>0</v>
      </c>
      <c r="DL21" s="221">
        <v>0</v>
      </c>
      <c r="DM21" s="221">
        <v>0</v>
      </c>
      <c r="DN21" s="221">
        <v>0</v>
      </c>
      <c r="DO21" s="221">
        <v>0</v>
      </c>
      <c r="DP21" s="221">
        <v>0</v>
      </c>
      <c r="DQ21" s="221">
        <v>0</v>
      </c>
      <c r="DR21" s="221">
        <v>0</v>
      </c>
      <c r="DS21" s="221">
        <v>0</v>
      </c>
      <c r="DT21" s="221">
        <v>0</v>
      </c>
      <c r="DU21" s="221">
        <v>0</v>
      </c>
      <c r="DV21" s="221">
        <v>0</v>
      </c>
      <c r="DW21" s="221">
        <v>0</v>
      </c>
      <c r="DX21" s="221">
        <v>0</v>
      </c>
      <c r="DY21" s="221">
        <v>0</v>
      </c>
      <c r="DZ21" s="221">
        <v>0</v>
      </c>
      <c r="EA21" s="221">
        <v>0</v>
      </c>
      <c r="EB21" s="221">
        <v>0</v>
      </c>
      <c r="EC21" s="221">
        <v>0</v>
      </c>
      <c r="ED21" s="221">
        <v>0</v>
      </c>
      <c r="EE21" s="221">
        <v>12</v>
      </c>
      <c r="EF21" s="221">
        <v>0</v>
      </c>
      <c r="EG21" s="221">
        <v>0</v>
      </c>
      <c r="EH21" s="221">
        <v>8</v>
      </c>
      <c r="EI21" s="221">
        <v>0</v>
      </c>
      <c r="EJ21" s="221">
        <v>0</v>
      </c>
      <c r="EK21" s="221">
        <v>0</v>
      </c>
      <c r="EL21" s="221">
        <v>0</v>
      </c>
      <c r="EM21" s="221">
        <v>0</v>
      </c>
      <c r="EN21" s="221">
        <v>0</v>
      </c>
      <c r="EO21" s="221">
        <v>0</v>
      </c>
      <c r="EP21" s="221">
        <v>0</v>
      </c>
    </row>
    <row r="22" spans="1:147" s="2" customFormat="1" ht="15.75" thickBot="1" x14ac:dyDescent="0.25">
      <c r="A22" s="857" t="s">
        <v>109</v>
      </c>
      <c r="B22" s="858"/>
      <c r="C22" s="858"/>
      <c r="D22" s="859"/>
      <c r="E22" s="217">
        <v>234</v>
      </c>
      <c r="F22" s="218">
        <v>0</v>
      </c>
      <c r="G22" s="219">
        <v>0</v>
      </c>
      <c r="H22" s="219">
        <v>0</v>
      </c>
      <c r="I22" s="219">
        <v>0</v>
      </c>
      <c r="J22" s="219">
        <v>0</v>
      </c>
      <c r="K22" s="219">
        <v>0</v>
      </c>
      <c r="L22" s="219">
        <v>0</v>
      </c>
      <c r="M22" s="219">
        <v>0</v>
      </c>
      <c r="N22" s="219">
        <v>0</v>
      </c>
      <c r="O22" s="219">
        <v>0</v>
      </c>
      <c r="P22" s="219">
        <v>0</v>
      </c>
      <c r="Q22" s="219">
        <v>0</v>
      </c>
      <c r="R22" s="219">
        <v>0</v>
      </c>
      <c r="S22" s="219">
        <v>0</v>
      </c>
      <c r="T22" s="219">
        <v>0</v>
      </c>
      <c r="U22" s="219">
        <v>0</v>
      </c>
      <c r="V22" s="219">
        <v>0</v>
      </c>
      <c r="W22" s="219">
        <v>0</v>
      </c>
      <c r="X22" s="219">
        <v>0</v>
      </c>
      <c r="Y22" s="219">
        <v>0</v>
      </c>
      <c r="Z22" s="219">
        <v>0</v>
      </c>
      <c r="AA22" s="219">
        <v>39</v>
      </c>
      <c r="AB22" s="219">
        <v>0</v>
      </c>
      <c r="AC22" s="219">
        <v>0</v>
      </c>
      <c r="AD22" s="219">
        <v>0</v>
      </c>
      <c r="AE22" s="219">
        <v>0</v>
      </c>
      <c r="AF22" s="219">
        <v>0</v>
      </c>
      <c r="AG22" s="219">
        <v>0</v>
      </c>
      <c r="AH22" s="219">
        <v>0</v>
      </c>
      <c r="AI22" s="219">
        <v>0</v>
      </c>
      <c r="AJ22" s="219">
        <v>0</v>
      </c>
      <c r="AK22" s="219">
        <v>0</v>
      </c>
      <c r="AL22" s="219">
        <v>0</v>
      </c>
      <c r="AM22" s="219">
        <v>0</v>
      </c>
      <c r="AN22" s="219">
        <v>0</v>
      </c>
      <c r="AO22" s="219">
        <v>0</v>
      </c>
      <c r="AP22" s="219">
        <v>0</v>
      </c>
      <c r="AQ22" s="219">
        <v>71</v>
      </c>
      <c r="AR22" s="219">
        <v>0</v>
      </c>
      <c r="AS22" s="219">
        <v>0</v>
      </c>
      <c r="AT22" s="219">
        <v>78</v>
      </c>
      <c r="AU22" s="219">
        <v>0</v>
      </c>
      <c r="AV22" s="219">
        <v>0</v>
      </c>
      <c r="AW22" s="219">
        <v>0</v>
      </c>
      <c r="AX22" s="219">
        <v>0</v>
      </c>
      <c r="AY22" s="219">
        <v>0</v>
      </c>
      <c r="AZ22" s="219">
        <v>0</v>
      </c>
      <c r="BA22" s="219">
        <v>0</v>
      </c>
      <c r="BB22" s="219">
        <v>8</v>
      </c>
      <c r="BC22" s="219">
        <v>0</v>
      </c>
      <c r="BD22" s="219">
        <v>0</v>
      </c>
      <c r="BE22" s="219">
        <v>6</v>
      </c>
      <c r="BF22" s="219">
        <v>12</v>
      </c>
      <c r="BG22" s="219">
        <v>0</v>
      </c>
      <c r="BH22" s="219">
        <v>0</v>
      </c>
      <c r="BI22" s="219">
        <v>20</v>
      </c>
      <c r="BJ22" s="219">
        <v>0</v>
      </c>
      <c r="BK22" s="219">
        <v>0</v>
      </c>
      <c r="BL22" s="219">
        <v>0</v>
      </c>
      <c r="BM22" s="219">
        <v>0</v>
      </c>
      <c r="BN22" s="219">
        <v>0</v>
      </c>
      <c r="BO22" s="219">
        <v>0</v>
      </c>
      <c r="BP22" s="219">
        <v>0</v>
      </c>
      <c r="BQ22" s="219">
        <v>0</v>
      </c>
      <c r="BR22" s="219">
        <v>0</v>
      </c>
      <c r="BS22" s="219">
        <v>0</v>
      </c>
      <c r="BT22" s="219">
        <v>0</v>
      </c>
      <c r="BU22" s="219">
        <v>0</v>
      </c>
      <c r="BV22" s="219">
        <v>0</v>
      </c>
      <c r="BW22" s="219">
        <v>0</v>
      </c>
      <c r="BX22" s="219">
        <v>0</v>
      </c>
      <c r="BY22" s="219">
        <v>0</v>
      </c>
      <c r="BZ22" s="219">
        <v>0</v>
      </c>
      <c r="CA22" s="219">
        <v>0</v>
      </c>
      <c r="CB22" s="219">
        <v>0</v>
      </c>
      <c r="CC22" s="219">
        <v>0</v>
      </c>
      <c r="CD22" s="219">
        <v>0</v>
      </c>
      <c r="CE22" s="219">
        <v>0</v>
      </c>
      <c r="CF22" s="219">
        <v>0</v>
      </c>
      <c r="CG22" s="219">
        <v>0</v>
      </c>
      <c r="CH22" s="219">
        <v>0</v>
      </c>
      <c r="CI22" s="219">
        <v>0</v>
      </c>
      <c r="CJ22" s="219">
        <v>0</v>
      </c>
      <c r="CK22" s="219">
        <v>0</v>
      </c>
      <c r="CL22" s="219">
        <v>0</v>
      </c>
      <c r="CM22" s="219">
        <v>0</v>
      </c>
      <c r="CN22" s="219">
        <v>0</v>
      </c>
      <c r="CO22" s="219">
        <v>0</v>
      </c>
      <c r="CP22" s="219">
        <v>0</v>
      </c>
      <c r="CQ22" s="219">
        <v>0</v>
      </c>
      <c r="CR22" s="219">
        <v>0</v>
      </c>
      <c r="CS22" s="219">
        <v>0</v>
      </c>
      <c r="CT22" s="219">
        <v>0</v>
      </c>
      <c r="CU22" s="219">
        <v>0</v>
      </c>
      <c r="CV22" s="220">
        <v>0</v>
      </c>
      <c r="CW22" s="219">
        <v>0</v>
      </c>
      <c r="CX22" s="219">
        <v>0</v>
      </c>
      <c r="CY22" s="219">
        <v>0</v>
      </c>
      <c r="CZ22" s="219">
        <v>0</v>
      </c>
      <c r="DA22" s="219">
        <v>0</v>
      </c>
      <c r="DB22" s="219">
        <v>0</v>
      </c>
      <c r="DC22" s="219">
        <v>0</v>
      </c>
      <c r="DD22" s="219">
        <v>0</v>
      </c>
      <c r="DE22" s="219">
        <v>0</v>
      </c>
      <c r="DF22" s="219">
        <v>0</v>
      </c>
      <c r="DG22" s="219">
        <v>0</v>
      </c>
      <c r="DH22" s="219">
        <v>0</v>
      </c>
      <c r="DI22" s="221">
        <v>0</v>
      </c>
      <c r="DJ22" s="221">
        <v>0</v>
      </c>
      <c r="DK22" s="221">
        <v>0</v>
      </c>
      <c r="DL22" s="221">
        <v>0</v>
      </c>
      <c r="DM22" s="221">
        <v>0</v>
      </c>
      <c r="DN22" s="221">
        <v>0</v>
      </c>
      <c r="DO22" s="221">
        <v>0</v>
      </c>
      <c r="DP22" s="221">
        <v>0</v>
      </c>
      <c r="DQ22" s="221">
        <v>0</v>
      </c>
      <c r="DR22" s="221">
        <v>0</v>
      </c>
      <c r="DS22" s="221">
        <v>0</v>
      </c>
      <c r="DT22" s="221">
        <v>0</v>
      </c>
      <c r="DU22" s="221">
        <v>0</v>
      </c>
      <c r="DV22" s="221">
        <v>0</v>
      </c>
      <c r="DW22" s="221">
        <v>0</v>
      </c>
      <c r="DX22" s="221">
        <v>0</v>
      </c>
      <c r="DY22" s="221">
        <v>0</v>
      </c>
      <c r="DZ22" s="221">
        <v>0</v>
      </c>
      <c r="EA22" s="221">
        <v>0</v>
      </c>
      <c r="EB22" s="221">
        <v>0</v>
      </c>
      <c r="EC22" s="221">
        <v>0</v>
      </c>
      <c r="ED22" s="221">
        <v>0</v>
      </c>
      <c r="EE22" s="221">
        <v>0</v>
      </c>
      <c r="EF22" s="221">
        <v>0</v>
      </c>
      <c r="EG22" s="221">
        <v>0</v>
      </c>
      <c r="EH22" s="221">
        <v>0</v>
      </c>
      <c r="EI22" s="221">
        <v>0</v>
      </c>
      <c r="EJ22" s="221">
        <v>0</v>
      </c>
      <c r="EK22" s="221">
        <v>0</v>
      </c>
      <c r="EL22" s="221">
        <v>0</v>
      </c>
      <c r="EM22" s="221">
        <v>0</v>
      </c>
      <c r="EN22" s="221">
        <v>0</v>
      </c>
      <c r="EO22" s="221">
        <v>0</v>
      </c>
      <c r="EP22" s="221">
        <v>0</v>
      </c>
    </row>
    <row r="23" spans="1:147" s="2" customFormat="1" ht="15.75" thickBot="1" x14ac:dyDescent="0.25">
      <c r="A23" s="844" t="s">
        <v>110</v>
      </c>
      <c r="B23" s="845"/>
      <c r="C23" s="845"/>
      <c r="D23" s="845"/>
      <c r="E23" s="222">
        <f>SUM(E21:E22)</f>
        <v>448</v>
      </c>
      <c r="F23" s="223">
        <f>SUM(F21:F22)</f>
        <v>20</v>
      </c>
      <c r="G23" s="224">
        <f t="shared" ref="G23:BT23" si="6">SUM(G21:G22)</f>
        <v>0</v>
      </c>
      <c r="H23" s="224">
        <f t="shared" si="6"/>
        <v>0</v>
      </c>
      <c r="I23" s="224">
        <f t="shared" si="6"/>
        <v>0</v>
      </c>
      <c r="J23" s="224">
        <f t="shared" si="6"/>
        <v>0</v>
      </c>
      <c r="K23" s="224">
        <f t="shared" si="6"/>
        <v>0</v>
      </c>
      <c r="L23" s="224">
        <f t="shared" si="6"/>
        <v>39</v>
      </c>
      <c r="M23" s="224">
        <f t="shared" si="6"/>
        <v>0</v>
      </c>
      <c r="N23" s="224">
        <f t="shared" si="6"/>
        <v>0</v>
      </c>
      <c r="O23" s="224">
        <f t="shared" si="6"/>
        <v>0</v>
      </c>
      <c r="P23" s="224">
        <f t="shared" si="6"/>
        <v>0</v>
      </c>
      <c r="Q23" s="224">
        <f t="shared" si="6"/>
        <v>0</v>
      </c>
      <c r="R23" s="224">
        <f t="shared" si="6"/>
        <v>0</v>
      </c>
      <c r="S23" s="224">
        <f t="shared" si="6"/>
        <v>0</v>
      </c>
      <c r="T23" s="224">
        <f t="shared" si="6"/>
        <v>0</v>
      </c>
      <c r="U23" s="224">
        <f t="shared" si="6"/>
        <v>0</v>
      </c>
      <c r="V23" s="224">
        <f t="shared" si="6"/>
        <v>0</v>
      </c>
      <c r="W23" s="224">
        <f t="shared" si="6"/>
        <v>15</v>
      </c>
      <c r="X23" s="224">
        <f t="shared" si="6"/>
        <v>0</v>
      </c>
      <c r="Y23" s="224">
        <f t="shared" si="6"/>
        <v>16</v>
      </c>
      <c r="Z23" s="224">
        <f t="shared" si="6"/>
        <v>0</v>
      </c>
      <c r="AA23" s="224">
        <f t="shared" si="6"/>
        <v>39</v>
      </c>
      <c r="AB23" s="224">
        <f t="shared" si="6"/>
        <v>0</v>
      </c>
      <c r="AC23" s="224">
        <f t="shared" si="6"/>
        <v>0</v>
      </c>
      <c r="AD23" s="224">
        <f t="shared" si="6"/>
        <v>0</v>
      </c>
      <c r="AE23" s="224">
        <f t="shared" si="6"/>
        <v>4</v>
      </c>
      <c r="AF23" s="224">
        <f t="shared" si="6"/>
        <v>0</v>
      </c>
      <c r="AG23" s="224">
        <f t="shared" si="6"/>
        <v>0</v>
      </c>
      <c r="AH23" s="224">
        <f t="shared" si="6"/>
        <v>0</v>
      </c>
      <c r="AI23" s="224">
        <f t="shared" si="6"/>
        <v>0</v>
      </c>
      <c r="AJ23" s="224">
        <f t="shared" si="6"/>
        <v>0</v>
      </c>
      <c r="AK23" s="224">
        <f t="shared" si="6"/>
        <v>0</v>
      </c>
      <c r="AL23" s="224">
        <f t="shared" si="6"/>
        <v>0</v>
      </c>
      <c r="AM23" s="224">
        <f t="shared" si="6"/>
        <v>4</v>
      </c>
      <c r="AN23" s="224">
        <f t="shared" si="6"/>
        <v>0</v>
      </c>
      <c r="AO23" s="224">
        <f t="shared" si="6"/>
        <v>0</v>
      </c>
      <c r="AP23" s="224">
        <f t="shared" si="6"/>
        <v>0</v>
      </c>
      <c r="AQ23" s="224">
        <f t="shared" si="6"/>
        <v>71</v>
      </c>
      <c r="AR23" s="224">
        <f t="shared" si="6"/>
        <v>0</v>
      </c>
      <c r="AS23" s="224">
        <f t="shared" si="6"/>
        <v>0</v>
      </c>
      <c r="AT23" s="224">
        <f t="shared" si="6"/>
        <v>97</v>
      </c>
      <c r="AU23" s="224">
        <f t="shared" si="6"/>
        <v>0</v>
      </c>
      <c r="AV23" s="224">
        <f t="shared" si="6"/>
        <v>0</v>
      </c>
      <c r="AW23" s="224">
        <f t="shared" si="6"/>
        <v>0</v>
      </c>
      <c r="AX23" s="224">
        <f t="shared" si="6"/>
        <v>0</v>
      </c>
      <c r="AY23" s="224">
        <f t="shared" si="6"/>
        <v>0</v>
      </c>
      <c r="AZ23" s="224">
        <f t="shared" si="6"/>
        <v>0</v>
      </c>
      <c r="BA23" s="224">
        <f t="shared" si="6"/>
        <v>0</v>
      </c>
      <c r="BB23" s="224">
        <f t="shared" si="6"/>
        <v>48</v>
      </c>
      <c r="BC23" s="224">
        <f t="shared" si="6"/>
        <v>0</v>
      </c>
      <c r="BD23" s="224">
        <f t="shared" si="6"/>
        <v>0</v>
      </c>
      <c r="BE23" s="224">
        <f t="shared" si="6"/>
        <v>12</v>
      </c>
      <c r="BF23" s="224">
        <f t="shared" si="6"/>
        <v>70</v>
      </c>
      <c r="BG23" s="224">
        <f t="shared" si="6"/>
        <v>0</v>
      </c>
      <c r="BH23" s="224">
        <f t="shared" si="6"/>
        <v>0</v>
      </c>
      <c r="BI23" s="224">
        <f t="shared" si="6"/>
        <v>33</v>
      </c>
      <c r="BJ23" s="224">
        <f t="shared" si="6"/>
        <v>0</v>
      </c>
      <c r="BK23" s="224">
        <f t="shared" si="6"/>
        <v>0</v>
      </c>
      <c r="BL23" s="224">
        <f t="shared" si="6"/>
        <v>0</v>
      </c>
      <c r="BM23" s="224">
        <f t="shared" si="6"/>
        <v>0</v>
      </c>
      <c r="BN23" s="224">
        <f t="shared" si="6"/>
        <v>0</v>
      </c>
      <c r="BO23" s="224">
        <f t="shared" si="6"/>
        <v>0</v>
      </c>
      <c r="BP23" s="224">
        <f t="shared" si="6"/>
        <v>0</v>
      </c>
      <c r="BQ23" s="224">
        <f t="shared" si="6"/>
        <v>0</v>
      </c>
      <c r="BR23" s="224">
        <f t="shared" si="6"/>
        <v>0</v>
      </c>
      <c r="BS23" s="224">
        <f t="shared" si="6"/>
        <v>0</v>
      </c>
      <c r="BT23" s="224">
        <f t="shared" si="6"/>
        <v>0</v>
      </c>
      <c r="BU23" s="224">
        <f t="shared" ref="BU23:DI23" si="7">SUM(BU21:BU22)</f>
        <v>0</v>
      </c>
      <c r="BV23" s="224">
        <f t="shared" si="7"/>
        <v>0</v>
      </c>
      <c r="BW23" s="224">
        <f t="shared" si="7"/>
        <v>0</v>
      </c>
      <c r="BX23" s="224">
        <f t="shared" si="7"/>
        <v>0</v>
      </c>
      <c r="BY23" s="224">
        <f t="shared" si="7"/>
        <v>0</v>
      </c>
      <c r="BZ23" s="224">
        <f t="shared" si="7"/>
        <v>0</v>
      </c>
      <c r="CA23" s="224">
        <f t="shared" si="7"/>
        <v>0</v>
      </c>
      <c r="CB23" s="224">
        <f t="shared" si="7"/>
        <v>0</v>
      </c>
      <c r="CC23" s="224">
        <f t="shared" si="7"/>
        <v>0</v>
      </c>
      <c r="CD23" s="224">
        <f t="shared" si="7"/>
        <v>0</v>
      </c>
      <c r="CE23" s="224">
        <f t="shared" si="7"/>
        <v>0</v>
      </c>
      <c r="CF23" s="224">
        <f t="shared" si="7"/>
        <v>0</v>
      </c>
      <c r="CG23" s="224">
        <f t="shared" si="7"/>
        <v>0</v>
      </c>
      <c r="CH23" s="224">
        <f t="shared" si="7"/>
        <v>0</v>
      </c>
      <c r="CI23" s="224">
        <f t="shared" si="7"/>
        <v>0</v>
      </c>
      <c r="CJ23" s="224">
        <f t="shared" si="7"/>
        <v>0</v>
      </c>
      <c r="CK23" s="224">
        <f t="shared" si="7"/>
        <v>0</v>
      </c>
      <c r="CL23" s="224">
        <f t="shared" si="7"/>
        <v>0</v>
      </c>
      <c r="CM23" s="224">
        <f t="shared" si="7"/>
        <v>0</v>
      </c>
      <c r="CN23" s="224">
        <f t="shared" si="7"/>
        <v>0</v>
      </c>
      <c r="CO23" s="224">
        <f t="shared" si="7"/>
        <v>0</v>
      </c>
      <c r="CP23" s="224">
        <f t="shared" si="7"/>
        <v>0</v>
      </c>
      <c r="CQ23" s="224">
        <f t="shared" si="7"/>
        <v>0</v>
      </c>
      <c r="CR23" s="224">
        <f t="shared" si="7"/>
        <v>0</v>
      </c>
      <c r="CS23" s="224">
        <f t="shared" si="7"/>
        <v>0</v>
      </c>
      <c r="CT23" s="224">
        <f t="shared" si="7"/>
        <v>0</v>
      </c>
      <c r="CU23" s="224">
        <f t="shared" si="7"/>
        <v>0</v>
      </c>
      <c r="CV23" s="224">
        <f t="shared" si="7"/>
        <v>0</v>
      </c>
      <c r="CW23" s="224">
        <f t="shared" si="7"/>
        <v>0</v>
      </c>
      <c r="CX23" s="224">
        <f t="shared" si="7"/>
        <v>0</v>
      </c>
      <c r="CY23" s="224">
        <f t="shared" si="7"/>
        <v>0</v>
      </c>
      <c r="CZ23" s="224">
        <f t="shared" si="7"/>
        <v>0</v>
      </c>
      <c r="DA23" s="224">
        <f t="shared" si="7"/>
        <v>0</v>
      </c>
      <c r="DB23" s="224">
        <f t="shared" si="7"/>
        <v>0</v>
      </c>
      <c r="DC23" s="224">
        <f t="shared" si="7"/>
        <v>0</v>
      </c>
      <c r="DD23" s="224">
        <f t="shared" si="7"/>
        <v>0</v>
      </c>
      <c r="DE23" s="224">
        <f t="shared" si="7"/>
        <v>0</v>
      </c>
      <c r="DF23" s="224">
        <f t="shared" si="7"/>
        <v>0</v>
      </c>
      <c r="DG23" s="224">
        <f t="shared" si="7"/>
        <v>0</v>
      </c>
      <c r="DH23" s="224">
        <f t="shared" si="7"/>
        <v>0</v>
      </c>
      <c r="DI23" s="224">
        <f t="shared" si="7"/>
        <v>0</v>
      </c>
      <c r="DJ23" s="224"/>
      <c r="DK23" s="224"/>
      <c r="DL23" s="224"/>
      <c r="DM23" s="224"/>
      <c r="DN23" s="224"/>
      <c r="DO23" s="224"/>
      <c r="DP23" s="224"/>
      <c r="DQ23" s="224"/>
      <c r="DR23" s="224"/>
      <c r="DS23" s="224"/>
      <c r="DT23" s="224"/>
      <c r="DU23" s="224"/>
      <c r="DV23" s="224"/>
      <c r="DW23" s="224"/>
      <c r="DX23" s="224"/>
      <c r="DY23" s="224"/>
      <c r="DZ23" s="224"/>
      <c r="EA23" s="224"/>
      <c r="EB23" s="224"/>
      <c r="EC23" s="224"/>
      <c r="ED23" s="224"/>
      <c r="EE23" s="224"/>
      <c r="EF23" s="224"/>
      <c r="EG23" s="224"/>
      <c r="EH23" s="224"/>
      <c r="EI23" s="224"/>
      <c r="EJ23" s="224"/>
      <c r="EK23" s="224"/>
      <c r="EL23" s="224"/>
      <c r="EM23" s="224"/>
      <c r="EN23" s="224"/>
      <c r="EO23" s="224"/>
      <c r="EP23" s="224"/>
    </row>
    <row r="24" spans="1:147" s="2" customFormat="1" ht="14.45" customHeight="1" thickBot="1" x14ac:dyDescent="0.25">
      <c r="A24" s="230" t="s">
        <v>613</v>
      </c>
      <c r="B24" s="232"/>
      <c r="C24" s="231" t="s">
        <v>614</v>
      </c>
      <c r="D24" s="233"/>
      <c r="E24" s="213" t="s">
        <v>102</v>
      </c>
      <c r="F24" s="214" t="s">
        <v>103</v>
      </c>
      <c r="G24" s="219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19"/>
      <c r="AE24" s="219"/>
      <c r="AF24" s="219"/>
      <c r="AG24" s="219"/>
      <c r="AH24" s="219"/>
      <c r="AI24" s="219"/>
      <c r="AJ24" s="219"/>
      <c r="AK24" s="219"/>
      <c r="AL24" s="219"/>
      <c r="AM24" s="219"/>
      <c r="AN24" s="219"/>
      <c r="AO24" s="219"/>
      <c r="AP24" s="219"/>
      <c r="AQ24" s="219"/>
      <c r="AR24" s="219"/>
      <c r="AS24" s="219"/>
      <c r="AT24" s="219"/>
      <c r="AU24" s="219"/>
      <c r="AV24" s="219"/>
      <c r="AW24" s="219"/>
      <c r="AX24" s="219"/>
      <c r="AY24" s="219"/>
      <c r="AZ24" s="219"/>
      <c r="BA24" s="219"/>
      <c r="BB24" s="219"/>
      <c r="BC24" s="219"/>
      <c r="BD24" s="219"/>
      <c r="BE24" s="219"/>
      <c r="BF24" s="219"/>
      <c r="BG24" s="219"/>
      <c r="BH24" s="219"/>
      <c r="BI24" s="219"/>
      <c r="BJ24" s="219"/>
      <c r="BK24" s="219"/>
      <c r="BL24" s="219"/>
      <c r="BM24" s="219"/>
      <c r="BN24" s="219"/>
      <c r="BO24" s="219"/>
      <c r="BP24" s="219"/>
      <c r="BQ24" s="219"/>
      <c r="BR24" s="219"/>
      <c r="BS24" s="219"/>
      <c r="BT24" s="219"/>
      <c r="BU24" s="219"/>
      <c r="BV24" s="219"/>
      <c r="BW24" s="219"/>
      <c r="BX24" s="219"/>
      <c r="BY24" s="219"/>
      <c r="BZ24" s="219"/>
      <c r="CA24" s="219"/>
      <c r="CB24" s="219"/>
      <c r="CC24" s="219"/>
      <c r="CD24" s="219"/>
      <c r="CE24" s="219"/>
      <c r="CF24" s="219"/>
      <c r="CG24" s="219"/>
      <c r="CH24" s="219"/>
      <c r="CI24" s="219"/>
      <c r="CJ24" s="219"/>
      <c r="CK24" s="219"/>
      <c r="CL24" s="219"/>
      <c r="CM24" s="219"/>
      <c r="CN24" s="219"/>
      <c r="CO24" s="219"/>
      <c r="CP24" s="219"/>
      <c r="CQ24" s="219"/>
      <c r="CR24" s="219"/>
      <c r="CS24" s="219"/>
      <c r="CT24" s="219"/>
      <c r="CU24" s="219"/>
      <c r="CV24" s="220"/>
      <c r="CW24" s="219"/>
      <c r="CX24" s="219"/>
      <c r="CY24" s="219"/>
      <c r="CZ24" s="219"/>
      <c r="DA24" s="219"/>
      <c r="DB24" s="219"/>
      <c r="DC24" s="219"/>
      <c r="DD24" s="219"/>
      <c r="DE24" s="219"/>
      <c r="DF24" s="219"/>
      <c r="DG24" s="219"/>
      <c r="DH24" s="219"/>
      <c r="DI24" s="221"/>
      <c r="DJ24" s="221"/>
      <c r="DK24" s="221"/>
      <c r="DL24" s="221"/>
      <c r="DM24" s="221"/>
      <c r="DN24" s="221"/>
      <c r="DO24" s="221"/>
      <c r="DP24" s="221"/>
      <c r="DQ24" s="221"/>
      <c r="DR24" s="221"/>
      <c r="DS24" s="221"/>
      <c r="DT24" s="221"/>
      <c r="DU24" s="221"/>
      <c r="DV24" s="221"/>
      <c r="DW24" s="221"/>
      <c r="DX24" s="221"/>
      <c r="DY24" s="221"/>
      <c r="DZ24" s="221"/>
      <c r="EA24" s="221"/>
      <c r="EB24" s="221"/>
      <c r="EC24" s="221"/>
      <c r="ED24" s="221"/>
      <c r="EE24" s="221"/>
      <c r="EF24" s="221"/>
      <c r="EG24" s="221"/>
      <c r="EH24" s="221"/>
      <c r="EI24" s="221"/>
      <c r="EJ24" s="221"/>
      <c r="EK24" s="221"/>
      <c r="EL24" s="221"/>
      <c r="EM24" s="221"/>
      <c r="EN24" s="221"/>
      <c r="EO24" s="221"/>
      <c r="EP24" s="221"/>
    </row>
    <row r="25" spans="1:147" s="2" customFormat="1" x14ac:dyDescent="0.2">
      <c r="A25" s="854" t="s">
        <v>74</v>
      </c>
      <c r="B25" s="855"/>
      <c r="C25" s="855"/>
      <c r="D25" s="856"/>
      <c r="E25" s="215"/>
      <c r="F25" s="216"/>
      <c r="G25" s="219"/>
      <c r="H25" s="219"/>
      <c r="I25" s="219"/>
      <c r="J25" s="219"/>
      <c r="K25" s="219"/>
      <c r="L25" s="219"/>
      <c r="M25" s="219"/>
      <c r="N25" s="219"/>
      <c r="O25" s="219"/>
      <c r="P25" s="219"/>
      <c r="Q25" s="219"/>
      <c r="R25" s="219"/>
      <c r="S25" s="219"/>
      <c r="T25" s="219"/>
      <c r="U25" s="219"/>
      <c r="V25" s="219"/>
      <c r="W25" s="219"/>
      <c r="X25" s="219"/>
      <c r="Y25" s="219"/>
      <c r="Z25" s="219"/>
      <c r="AA25" s="219"/>
      <c r="AB25" s="219"/>
      <c r="AC25" s="219"/>
      <c r="AD25" s="219"/>
      <c r="AE25" s="219"/>
      <c r="AF25" s="219"/>
      <c r="AG25" s="219"/>
      <c r="AH25" s="219"/>
      <c r="AI25" s="219"/>
      <c r="AJ25" s="219"/>
      <c r="AK25" s="219"/>
      <c r="AL25" s="219"/>
      <c r="AM25" s="219"/>
      <c r="AN25" s="219"/>
      <c r="AO25" s="219"/>
      <c r="AP25" s="219"/>
      <c r="AQ25" s="219"/>
      <c r="AR25" s="219"/>
      <c r="AS25" s="219"/>
      <c r="AT25" s="219"/>
      <c r="AU25" s="219"/>
      <c r="AV25" s="219"/>
      <c r="AW25" s="219"/>
      <c r="AX25" s="219"/>
      <c r="AY25" s="219"/>
      <c r="AZ25" s="219"/>
      <c r="BA25" s="219"/>
      <c r="BB25" s="219"/>
      <c r="BC25" s="219"/>
      <c r="BD25" s="219"/>
      <c r="BE25" s="219"/>
      <c r="BF25" s="219"/>
      <c r="BG25" s="219"/>
      <c r="BH25" s="219"/>
      <c r="BI25" s="219"/>
      <c r="BJ25" s="219"/>
      <c r="BK25" s="219"/>
      <c r="BL25" s="219"/>
      <c r="BM25" s="219"/>
      <c r="BN25" s="219"/>
      <c r="BO25" s="219"/>
      <c r="BP25" s="219"/>
      <c r="BQ25" s="219"/>
      <c r="BR25" s="219"/>
      <c r="BS25" s="219"/>
      <c r="BT25" s="219"/>
      <c r="BU25" s="219"/>
      <c r="BV25" s="219"/>
      <c r="BW25" s="219"/>
      <c r="BX25" s="219"/>
      <c r="BY25" s="219"/>
      <c r="BZ25" s="219"/>
      <c r="CA25" s="219"/>
      <c r="CB25" s="219"/>
      <c r="CC25" s="219"/>
      <c r="CD25" s="219"/>
      <c r="CE25" s="219"/>
      <c r="CF25" s="219"/>
      <c r="CG25" s="219"/>
      <c r="CH25" s="219"/>
      <c r="CI25" s="219"/>
      <c r="CJ25" s="219"/>
      <c r="CK25" s="219"/>
      <c r="CL25" s="219"/>
      <c r="CM25" s="219"/>
      <c r="CN25" s="219"/>
      <c r="CO25" s="219"/>
      <c r="CP25" s="219"/>
      <c r="CQ25" s="219"/>
      <c r="CR25" s="219"/>
      <c r="CS25" s="219"/>
      <c r="CT25" s="219"/>
      <c r="CU25" s="219"/>
      <c r="CV25" s="220"/>
      <c r="CW25" s="219"/>
      <c r="CX25" s="219"/>
      <c r="CY25" s="219"/>
      <c r="CZ25" s="219"/>
      <c r="DA25" s="219"/>
      <c r="DB25" s="219"/>
      <c r="DC25" s="219"/>
      <c r="DD25" s="219"/>
      <c r="DE25" s="219"/>
      <c r="DF25" s="219"/>
      <c r="DG25" s="219"/>
      <c r="DH25" s="219"/>
      <c r="DI25" s="221"/>
      <c r="DJ25" s="221"/>
      <c r="DK25" s="221"/>
      <c r="DL25" s="221"/>
      <c r="DM25" s="221"/>
      <c r="DN25" s="221"/>
      <c r="DO25" s="221"/>
      <c r="DP25" s="221"/>
      <c r="DQ25" s="221"/>
      <c r="DR25" s="221"/>
      <c r="DS25" s="221"/>
      <c r="DT25" s="221"/>
      <c r="DU25" s="221"/>
      <c r="DV25" s="221"/>
      <c r="DW25" s="221"/>
      <c r="DX25" s="221"/>
      <c r="DY25" s="221"/>
      <c r="DZ25" s="221"/>
      <c r="EA25" s="221"/>
      <c r="EB25" s="221"/>
      <c r="EC25" s="221"/>
      <c r="ED25" s="221"/>
      <c r="EE25" s="221"/>
      <c r="EF25" s="221"/>
      <c r="EG25" s="221"/>
      <c r="EH25" s="221"/>
      <c r="EI25" s="221"/>
      <c r="EJ25" s="221"/>
      <c r="EK25" s="221"/>
      <c r="EL25" s="221"/>
      <c r="EM25" s="221"/>
      <c r="EN25" s="221"/>
      <c r="EO25" s="221"/>
      <c r="EP25" s="221"/>
    </row>
    <row r="26" spans="1:147" s="2" customFormat="1" ht="15.75" thickBot="1" x14ac:dyDescent="0.25">
      <c r="A26" s="857" t="s">
        <v>109</v>
      </c>
      <c r="B26" s="858"/>
      <c r="C26" s="858"/>
      <c r="D26" s="859"/>
      <c r="E26" s="217"/>
      <c r="F26" s="218"/>
      <c r="G26" s="219"/>
      <c r="H26" s="219"/>
      <c r="I26" s="219"/>
      <c r="J26" s="219"/>
      <c r="K26" s="219"/>
      <c r="L26" s="219"/>
      <c r="M26" s="219"/>
      <c r="N26" s="219"/>
      <c r="O26" s="219"/>
      <c r="P26" s="219"/>
      <c r="Q26" s="219"/>
      <c r="R26" s="219"/>
      <c r="S26" s="219"/>
      <c r="T26" s="219"/>
      <c r="U26" s="219"/>
      <c r="V26" s="219"/>
      <c r="W26" s="219"/>
      <c r="X26" s="219"/>
      <c r="Y26" s="219"/>
      <c r="Z26" s="219"/>
      <c r="AA26" s="219"/>
      <c r="AB26" s="219"/>
      <c r="AC26" s="219"/>
      <c r="AD26" s="219"/>
      <c r="AE26" s="219"/>
      <c r="AF26" s="219"/>
      <c r="AG26" s="219"/>
      <c r="AH26" s="219"/>
      <c r="AI26" s="219"/>
      <c r="AJ26" s="219"/>
      <c r="AK26" s="219"/>
      <c r="AL26" s="219"/>
      <c r="AM26" s="219"/>
      <c r="AN26" s="219"/>
      <c r="AO26" s="219"/>
      <c r="AP26" s="219"/>
      <c r="AQ26" s="219"/>
      <c r="AR26" s="219"/>
      <c r="AS26" s="219"/>
      <c r="AT26" s="219"/>
      <c r="AU26" s="219"/>
      <c r="AV26" s="219"/>
      <c r="AW26" s="219"/>
      <c r="AX26" s="219"/>
      <c r="AY26" s="219"/>
      <c r="AZ26" s="219"/>
      <c r="BA26" s="219"/>
      <c r="BB26" s="219"/>
      <c r="BC26" s="219"/>
      <c r="BD26" s="219"/>
      <c r="BE26" s="219"/>
      <c r="BF26" s="219"/>
      <c r="BG26" s="219"/>
      <c r="BH26" s="219"/>
      <c r="BI26" s="219"/>
      <c r="BJ26" s="219"/>
      <c r="BK26" s="219"/>
      <c r="BL26" s="219"/>
      <c r="BM26" s="219"/>
      <c r="BN26" s="219"/>
      <c r="BO26" s="219"/>
      <c r="BP26" s="219"/>
      <c r="BQ26" s="219"/>
      <c r="BR26" s="219"/>
      <c r="BS26" s="219"/>
      <c r="BT26" s="219"/>
      <c r="BU26" s="219"/>
      <c r="BV26" s="219"/>
      <c r="BW26" s="219"/>
      <c r="BX26" s="219"/>
      <c r="BY26" s="219"/>
      <c r="BZ26" s="219"/>
      <c r="CA26" s="219"/>
      <c r="CB26" s="219"/>
      <c r="CC26" s="219"/>
      <c r="CD26" s="219"/>
      <c r="CE26" s="219"/>
      <c r="CF26" s="219"/>
      <c r="CG26" s="219"/>
      <c r="CH26" s="219"/>
      <c r="CI26" s="219"/>
      <c r="CJ26" s="219"/>
      <c r="CK26" s="219"/>
      <c r="CL26" s="219"/>
      <c r="CM26" s="219"/>
      <c r="CN26" s="219"/>
      <c r="CO26" s="219"/>
      <c r="CP26" s="219"/>
      <c r="CQ26" s="219"/>
      <c r="CR26" s="219"/>
      <c r="CS26" s="219"/>
      <c r="CT26" s="219"/>
      <c r="CU26" s="219"/>
      <c r="CV26" s="220"/>
      <c r="CW26" s="219"/>
      <c r="CX26" s="219"/>
      <c r="CY26" s="219"/>
      <c r="CZ26" s="219"/>
      <c r="DA26" s="219"/>
      <c r="DB26" s="219"/>
      <c r="DC26" s="219"/>
      <c r="DD26" s="219"/>
      <c r="DE26" s="219"/>
      <c r="DF26" s="219"/>
      <c r="DG26" s="219"/>
      <c r="DH26" s="219"/>
      <c r="DI26" s="221"/>
      <c r="DJ26" s="221"/>
      <c r="DK26" s="221"/>
      <c r="DL26" s="221"/>
      <c r="DM26" s="221"/>
      <c r="DN26" s="221"/>
      <c r="DO26" s="221"/>
      <c r="DP26" s="221"/>
      <c r="DQ26" s="221"/>
      <c r="DR26" s="221"/>
      <c r="DS26" s="221"/>
      <c r="DT26" s="221"/>
      <c r="DU26" s="221"/>
      <c r="DV26" s="221"/>
      <c r="DW26" s="221"/>
      <c r="DX26" s="221"/>
      <c r="DY26" s="221"/>
      <c r="DZ26" s="221"/>
      <c r="EA26" s="221"/>
      <c r="EB26" s="221"/>
      <c r="EC26" s="221"/>
      <c r="ED26" s="221"/>
      <c r="EE26" s="221"/>
      <c r="EF26" s="221"/>
      <c r="EG26" s="221"/>
      <c r="EH26" s="221"/>
      <c r="EI26" s="221"/>
      <c r="EJ26" s="221"/>
      <c r="EK26" s="221"/>
      <c r="EL26" s="221"/>
      <c r="EM26" s="221"/>
      <c r="EN26" s="221"/>
      <c r="EO26" s="221"/>
      <c r="EP26" s="221"/>
    </row>
    <row r="27" spans="1:147" s="2" customFormat="1" ht="15.75" thickBot="1" x14ac:dyDescent="0.25">
      <c r="A27" s="844" t="s">
        <v>110</v>
      </c>
      <c r="B27" s="845"/>
      <c r="C27" s="845"/>
      <c r="D27" s="845"/>
      <c r="E27" s="225">
        <f>SUM(E25:E26)</f>
        <v>0</v>
      </c>
      <c r="F27" s="226">
        <f>SUM(F25:F26)</f>
        <v>0</v>
      </c>
      <c r="G27" s="224">
        <f>SUM(G25:G26)</f>
        <v>0</v>
      </c>
      <c r="H27" s="224">
        <f t="shared" ref="H27:BU27" si="8">SUM(H25:H26)</f>
        <v>0</v>
      </c>
      <c r="I27" s="224">
        <f t="shared" si="8"/>
        <v>0</v>
      </c>
      <c r="J27" s="224">
        <f t="shared" si="8"/>
        <v>0</v>
      </c>
      <c r="K27" s="224">
        <f t="shared" si="8"/>
        <v>0</v>
      </c>
      <c r="L27" s="224">
        <f t="shared" si="8"/>
        <v>0</v>
      </c>
      <c r="M27" s="224">
        <f t="shared" si="8"/>
        <v>0</v>
      </c>
      <c r="N27" s="224">
        <f t="shared" si="8"/>
        <v>0</v>
      </c>
      <c r="O27" s="224">
        <f t="shared" si="8"/>
        <v>0</v>
      </c>
      <c r="P27" s="224">
        <f t="shared" si="8"/>
        <v>0</v>
      </c>
      <c r="Q27" s="224">
        <f t="shared" si="8"/>
        <v>0</v>
      </c>
      <c r="R27" s="224">
        <f t="shared" si="8"/>
        <v>0</v>
      </c>
      <c r="S27" s="224">
        <f t="shared" si="8"/>
        <v>0</v>
      </c>
      <c r="T27" s="224">
        <f t="shared" si="8"/>
        <v>0</v>
      </c>
      <c r="U27" s="224">
        <f t="shared" si="8"/>
        <v>0</v>
      </c>
      <c r="V27" s="224">
        <f t="shared" si="8"/>
        <v>0</v>
      </c>
      <c r="W27" s="224">
        <f t="shared" si="8"/>
        <v>0</v>
      </c>
      <c r="X27" s="224">
        <f t="shared" si="8"/>
        <v>0</v>
      </c>
      <c r="Y27" s="224">
        <f t="shared" si="8"/>
        <v>0</v>
      </c>
      <c r="Z27" s="224">
        <f t="shared" si="8"/>
        <v>0</v>
      </c>
      <c r="AA27" s="224">
        <f t="shared" si="8"/>
        <v>0</v>
      </c>
      <c r="AB27" s="224">
        <f t="shared" si="8"/>
        <v>0</v>
      </c>
      <c r="AC27" s="224">
        <f t="shared" si="8"/>
        <v>0</v>
      </c>
      <c r="AD27" s="224">
        <f t="shared" si="8"/>
        <v>0</v>
      </c>
      <c r="AE27" s="224">
        <f t="shared" si="8"/>
        <v>0</v>
      </c>
      <c r="AF27" s="224">
        <f t="shared" si="8"/>
        <v>0</v>
      </c>
      <c r="AG27" s="224">
        <f t="shared" si="8"/>
        <v>0</v>
      </c>
      <c r="AH27" s="224">
        <f t="shared" si="8"/>
        <v>0</v>
      </c>
      <c r="AI27" s="224">
        <f t="shared" si="8"/>
        <v>0</v>
      </c>
      <c r="AJ27" s="224">
        <f t="shared" si="8"/>
        <v>0</v>
      </c>
      <c r="AK27" s="224">
        <f t="shared" si="8"/>
        <v>0</v>
      </c>
      <c r="AL27" s="224">
        <f t="shared" si="8"/>
        <v>0</v>
      </c>
      <c r="AM27" s="224">
        <f t="shared" si="8"/>
        <v>0</v>
      </c>
      <c r="AN27" s="224">
        <f t="shared" si="8"/>
        <v>0</v>
      </c>
      <c r="AO27" s="224">
        <f t="shared" si="8"/>
        <v>0</v>
      </c>
      <c r="AP27" s="224">
        <f t="shared" si="8"/>
        <v>0</v>
      </c>
      <c r="AQ27" s="224">
        <f t="shared" si="8"/>
        <v>0</v>
      </c>
      <c r="AR27" s="224">
        <f t="shared" si="8"/>
        <v>0</v>
      </c>
      <c r="AS27" s="224">
        <f t="shared" si="8"/>
        <v>0</v>
      </c>
      <c r="AT27" s="224">
        <f t="shared" si="8"/>
        <v>0</v>
      </c>
      <c r="AU27" s="224">
        <f t="shared" si="8"/>
        <v>0</v>
      </c>
      <c r="AV27" s="224">
        <f t="shared" si="8"/>
        <v>0</v>
      </c>
      <c r="AW27" s="224">
        <f t="shared" si="8"/>
        <v>0</v>
      </c>
      <c r="AX27" s="224">
        <f t="shared" si="8"/>
        <v>0</v>
      </c>
      <c r="AY27" s="224">
        <f t="shared" si="8"/>
        <v>0</v>
      </c>
      <c r="AZ27" s="224">
        <f t="shared" si="8"/>
        <v>0</v>
      </c>
      <c r="BA27" s="224">
        <f t="shared" si="8"/>
        <v>0</v>
      </c>
      <c r="BB27" s="224">
        <f t="shared" si="8"/>
        <v>0</v>
      </c>
      <c r="BC27" s="224">
        <f t="shared" si="8"/>
        <v>0</v>
      </c>
      <c r="BD27" s="224">
        <f t="shared" si="8"/>
        <v>0</v>
      </c>
      <c r="BE27" s="224">
        <f t="shared" si="8"/>
        <v>0</v>
      </c>
      <c r="BF27" s="224">
        <f t="shared" si="8"/>
        <v>0</v>
      </c>
      <c r="BG27" s="224">
        <f t="shared" si="8"/>
        <v>0</v>
      </c>
      <c r="BH27" s="224">
        <f t="shared" si="8"/>
        <v>0</v>
      </c>
      <c r="BI27" s="224">
        <f t="shared" si="8"/>
        <v>0</v>
      </c>
      <c r="BJ27" s="224">
        <f t="shared" si="8"/>
        <v>0</v>
      </c>
      <c r="BK27" s="224">
        <f t="shared" si="8"/>
        <v>0</v>
      </c>
      <c r="BL27" s="224">
        <f t="shared" si="8"/>
        <v>0</v>
      </c>
      <c r="BM27" s="224">
        <f t="shared" si="8"/>
        <v>0</v>
      </c>
      <c r="BN27" s="224">
        <f t="shared" si="8"/>
        <v>0</v>
      </c>
      <c r="BO27" s="224">
        <f t="shared" si="8"/>
        <v>0</v>
      </c>
      <c r="BP27" s="224">
        <f t="shared" si="8"/>
        <v>0</v>
      </c>
      <c r="BQ27" s="224">
        <f t="shared" si="8"/>
        <v>0</v>
      </c>
      <c r="BR27" s="224">
        <f t="shared" si="8"/>
        <v>0</v>
      </c>
      <c r="BS27" s="224">
        <f t="shared" si="8"/>
        <v>0</v>
      </c>
      <c r="BT27" s="224">
        <f t="shared" si="8"/>
        <v>0</v>
      </c>
      <c r="BU27" s="224">
        <f t="shared" si="8"/>
        <v>0</v>
      </c>
      <c r="BV27" s="224">
        <f t="shared" ref="BV27:DI27" si="9">SUM(BV25:BV26)</f>
        <v>0</v>
      </c>
      <c r="BW27" s="224">
        <f t="shared" si="9"/>
        <v>0</v>
      </c>
      <c r="BX27" s="224">
        <f t="shared" si="9"/>
        <v>0</v>
      </c>
      <c r="BY27" s="224">
        <f t="shared" si="9"/>
        <v>0</v>
      </c>
      <c r="BZ27" s="224">
        <f t="shared" si="9"/>
        <v>0</v>
      </c>
      <c r="CA27" s="224">
        <f t="shared" si="9"/>
        <v>0</v>
      </c>
      <c r="CB27" s="224">
        <f t="shared" si="9"/>
        <v>0</v>
      </c>
      <c r="CC27" s="224">
        <f t="shared" si="9"/>
        <v>0</v>
      </c>
      <c r="CD27" s="224">
        <f t="shared" si="9"/>
        <v>0</v>
      </c>
      <c r="CE27" s="224">
        <f t="shared" si="9"/>
        <v>0</v>
      </c>
      <c r="CF27" s="224">
        <f t="shared" si="9"/>
        <v>0</v>
      </c>
      <c r="CG27" s="224">
        <f t="shared" si="9"/>
        <v>0</v>
      </c>
      <c r="CH27" s="224">
        <f t="shared" si="9"/>
        <v>0</v>
      </c>
      <c r="CI27" s="224">
        <f t="shared" si="9"/>
        <v>0</v>
      </c>
      <c r="CJ27" s="224">
        <f t="shared" si="9"/>
        <v>0</v>
      </c>
      <c r="CK27" s="224">
        <f t="shared" si="9"/>
        <v>0</v>
      </c>
      <c r="CL27" s="224">
        <f t="shared" si="9"/>
        <v>0</v>
      </c>
      <c r="CM27" s="224">
        <f t="shared" si="9"/>
        <v>0</v>
      </c>
      <c r="CN27" s="224">
        <f t="shared" si="9"/>
        <v>0</v>
      </c>
      <c r="CO27" s="224">
        <f t="shared" si="9"/>
        <v>0</v>
      </c>
      <c r="CP27" s="224">
        <f t="shared" si="9"/>
        <v>0</v>
      </c>
      <c r="CQ27" s="224">
        <f t="shared" si="9"/>
        <v>0</v>
      </c>
      <c r="CR27" s="224">
        <f t="shared" si="9"/>
        <v>0</v>
      </c>
      <c r="CS27" s="224">
        <f t="shared" si="9"/>
        <v>0</v>
      </c>
      <c r="CT27" s="224">
        <f t="shared" si="9"/>
        <v>0</v>
      </c>
      <c r="CU27" s="224">
        <f t="shared" si="9"/>
        <v>0</v>
      </c>
      <c r="CV27" s="224">
        <f t="shared" si="9"/>
        <v>0</v>
      </c>
      <c r="CW27" s="224">
        <f t="shared" si="9"/>
        <v>0</v>
      </c>
      <c r="CX27" s="224">
        <f t="shared" si="9"/>
        <v>0</v>
      </c>
      <c r="CY27" s="224">
        <f t="shared" si="9"/>
        <v>0</v>
      </c>
      <c r="CZ27" s="224">
        <f t="shared" si="9"/>
        <v>0</v>
      </c>
      <c r="DA27" s="224">
        <f t="shared" si="9"/>
        <v>0</v>
      </c>
      <c r="DB27" s="224">
        <f t="shared" si="9"/>
        <v>0</v>
      </c>
      <c r="DC27" s="224">
        <f t="shared" si="9"/>
        <v>0</v>
      </c>
      <c r="DD27" s="224">
        <f t="shared" si="9"/>
        <v>0</v>
      </c>
      <c r="DE27" s="224">
        <f t="shared" si="9"/>
        <v>0</v>
      </c>
      <c r="DF27" s="224">
        <f t="shared" si="9"/>
        <v>0</v>
      </c>
      <c r="DG27" s="224">
        <f t="shared" si="9"/>
        <v>0</v>
      </c>
      <c r="DH27" s="224">
        <f t="shared" si="9"/>
        <v>0</v>
      </c>
      <c r="DI27" s="224">
        <f t="shared" si="9"/>
        <v>0</v>
      </c>
      <c r="DJ27" s="224"/>
      <c r="DK27" s="224"/>
      <c r="DL27" s="224"/>
      <c r="DM27" s="224"/>
      <c r="DN27" s="224"/>
      <c r="DO27" s="224"/>
      <c r="DP27" s="224"/>
      <c r="DQ27" s="224"/>
      <c r="DR27" s="224"/>
      <c r="DS27" s="224"/>
      <c r="DT27" s="224"/>
      <c r="DU27" s="224"/>
      <c r="DV27" s="224"/>
      <c r="DW27" s="224"/>
      <c r="DX27" s="224"/>
      <c r="DY27" s="224"/>
      <c r="DZ27" s="224"/>
      <c r="EA27" s="224"/>
      <c r="EB27" s="224"/>
      <c r="EC27" s="224"/>
      <c r="ED27" s="224"/>
      <c r="EE27" s="224"/>
      <c r="EF27" s="224"/>
      <c r="EG27" s="224"/>
      <c r="EH27" s="224"/>
      <c r="EI27" s="224"/>
      <c r="EJ27" s="224"/>
      <c r="EK27" s="224"/>
      <c r="EL27" s="224"/>
      <c r="EM27" s="224"/>
      <c r="EN27" s="224"/>
      <c r="EO27" s="224"/>
      <c r="EP27" s="224"/>
    </row>
    <row r="28" spans="1:147" s="2" customFormat="1" ht="15.75" thickBot="1" x14ac:dyDescent="0.25">
      <c r="A28" s="846" t="s">
        <v>582</v>
      </c>
      <c r="B28" s="847"/>
      <c r="C28" s="847"/>
      <c r="D28" s="848"/>
      <c r="E28" s="227">
        <f>+E9+E13+E17+E21+E25</f>
        <v>901</v>
      </c>
      <c r="F28" s="227">
        <f t="shared" ref="F28:F29" si="10">+F9+F13+F17+F21+F25</f>
        <v>35</v>
      </c>
      <c r="G28" s="227">
        <f>+G9+G13+G17+G21+G25</f>
        <v>0</v>
      </c>
      <c r="H28" s="227">
        <f t="shared" ref="H28:BU29" si="11">+H9+H13+H17+H21+H25</f>
        <v>0</v>
      </c>
      <c r="I28" s="227">
        <f t="shared" si="11"/>
        <v>0</v>
      </c>
      <c r="J28" s="227">
        <f t="shared" si="11"/>
        <v>0</v>
      </c>
      <c r="K28" s="227">
        <f t="shared" si="11"/>
        <v>0</v>
      </c>
      <c r="L28" s="227">
        <f t="shared" si="11"/>
        <v>156</v>
      </c>
      <c r="M28" s="227">
        <f t="shared" si="11"/>
        <v>0</v>
      </c>
      <c r="N28" s="227">
        <f t="shared" si="11"/>
        <v>0</v>
      </c>
      <c r="O28" s="227">
        <f t="shared" si="11"/>
        <v>0</v>
      </c>
      <c r="P28" s="227">
        <f t="shared" si="11"/>
        <v>0</v>
      </c>
      <c r="Q28" s="227">
        <f t="shared" si="11"/>
        <v>0</v>
      </c>
      <c r="R28" s="227">
        <f t="shared" si="11"/>
        <v>0</v>
      </c>
      <c r="S28" s="227">
        <f t="shared" si="11"/>
        <v>0</v>
      </c>
      <c r="T28" s="227">
        <f t="shared" si="11"/>
        <v>0</v>
      </c>
      <c r="U28" s="227">
        <f t="shared" si="11"/>
        <v>0</v>
      </c>
      <c r="V28" s="227">
        <f t="shared" si="11"/>
        <v>0</v>
      </c>
      <c r="W28" s="227">
        <f t="shared" si="11"/>
        <v>15</v>
      </c>
      <c r="X28" s="227">
        <f t="shared" si="11"/>
        <v>0</v>
      </c>
      <c r="Y28" s="227">
        <f t="shared" si="11"/>
        <v>43</v>
      </c>
      <c r="Z28" s="227">
        <f t="shared" si="11"/>
        <v>8</v>
      </c>
      <c r="AA28" s="227">
        <f t="shared" si="11"/>
        <v>0</v>
      </c>
      <c r="AB28" s="227">
        <f t="shared" si="11"/>
        <v>0</v>
      </c>
      <c r="AC28" s="227">
        <f t="shared" si="11"/>
        <v>0</v>
      </c>
      <c r="AD28" s="227">
        <f t="shared" si="11"/>
        <v>0</v>
      </c>
      <c r="AE28" s="227">
        <f t="shared" si="11"/>
        <v>20</v>
      </c>
      <c r="AF28" s="227">
        <f t="shared" si="11"/>
        <v>0</v>
      </c>
      <c r="AG28" s="227">
        <f t="shared" si="11"/>
        <v>0</v>
      </c>
      <c r="AH28" s="227">
        <f t="shared" si="11"/>
        <v>48</v>
      </c>
      <c r="AI28" s="227">
        <f t="shared" si="11"/>
        <v>0</v>
      </c>
      <c r="AJ28" s="227">
        <f t="shared" si="11"/>
        <v>0</v>
      </c>
      <c r="AK28" s="227">
        <f t="shared" si="11"/>
        <v>0</v>
      </c>
      <c r="AL28" s="227">
        <f t="shared" si="11"/>
        <v>0</v>
      </c>
      <c r="AM28" s="227">
        <f t="shared" si="11"/>
        <v>4</v>
      </c>
      <c r="AN28" s="227">
        <f t="shared" si="11"/>
        <v>0</v>
      </c>
      <c r="AO28" s="227">
        <f t="shared" si="11"/>
        <v>0</v>
      </c>
      <c r="AP28" s="227">
        <f t="shared" si="11"/>
        <v>0</v>
      </c>
      <c r="AQ28" s="227">
        <f t="shared" si="11"/>
        <v>8</v>
      </c>
      <c r="AR28" s="227">
        <f t="shared" si="11"/>
        <v>0</v>
      </c>
      <c r="AS28" s="227">
        <f t="shared" si="11"/>
        <v>0</v>
      </c>
      <c r="AT28" s="227">
        <f t="shared" si="11"/>
        <v>126</v>
      </c>
      <c r="AU28" s="227">
        <f t="shared" si="11"/>
        <v>0</v>
      </c>
      <c r="AV28" s="227">
        <f t="shared" si="11"/>
        <v>0</v>
      </c>
      <c r="AW28" s="227">
        <f t="shared" si="11"/>
        <v>16</v>
      </c>
      <c r="AX28" s="227">
        <f t="shared" si="11"/>
        <v>16</v>
      </c>
      <c r="AY28" s="227">
        <f t="shared" si="11"/>
        <v>0</v>
      </c>
      <c r="AZ28" s="227">
        <f t="shared" si="11"/>
        <v>0</v>
      </c>
      <c r="BA28" s="227">
        <f t="shared" si="11"/>
        <v>7</v>
      </c>
      <c r="BB28" s="227">
        <f t="shared" si="11"/>
        <v>357</v>
      </c>
      <c r="BC28" s="227">
        <f t="shared" si="11"/>
        <v>0</v>
      </c>
      <c r="BD28" s="227">
        <f t="shared" si="11"/>
        <v>0</v>
      </c>
      <c r="BE28" s="227">
        <f t="shared" si="11"/>
        <v>6</v>
      </c>
      <c r="BF28" s="227">
        <f t="shared" si="11"/>
        <v>58</v>
      </c>
      <c r="BG28" s="227">
        <f t="shared" si="11"/>
        <v>0</v>
      </c>
      <c r="BH28" s="227">
        <f t="shared" si="11"/>
        <v>0</v>
      </c>
      <c r="BI28" s="227">
        <f t="shared" si="11"/>
        <v>13</v>
      </c>
      <c r="BJ28" s="227">
        <f t="shared" si="11"/>
        <v>0</v>
      </c>
      <c r="BK28" s="227">
        <f t="shared" si="11"/>
        <v>0</v>
      </c>
      <c r="BL28" s="227">
        <f t="shared" si="11"/>
        <v>0</v>
      </c>
      <c r="BM28" s="227">
        <f t="shared" si="11"/>
        <v>0</v>
      </c>
      <c r="BN28" s="227">
        <f t="shared" si="11"/>
        <v>0</v>
      </c>
      <c r="BO28" s="227">
        <f t="shared" si="11"/>
        <v>0</v>
      </c>
      <c r="BP28" s="227">
        <f t="shared" si="11"/>
        <v>0</v>
      </c>
      <c r="BQ28" s="227">
        <f t="shared" si="11"/>
        <v>0</v>
      </c>
      <c r="BR28" s="227">
        <f t="shared" si="11"/>
        <v>0</v>
      </c>
      <c r="BS28" s="227">
        <f t="shared" si="11"/>
        <v>0</v>
      </c>
      <c r="BT28" s="227">
        <f t="shared" si="11"/>
        <v>0</v>
      </c>
      <c r="BU28" s="227">
        <f t="shared" si="11"/>
        <v>0</v>
      </c>
      <c r="BV28" s="227">
        <f t="shared" ref="BV28:EG29" si="12">+BV9+BV13+BV17+BV21+BV25</f>
        <v>0</v>
      </c>
      <c r="BW28" s="227">
        <f t="shared" si="12"/>
        <v>0</v>
      </c>
      <c r="BX28" s="227">
        <f t="shared" si="12"/>
        <v>0</v>
      </c>
      <c r="BY28" s="227">
        <f t="shared" si="12"/>
        <v>0</v>
      </c>
      <c r="BZ28" s="227">
        <f t="shared" si="12"/>
        <v>0</v>
      </c>
      <c r="CA28" s="227">
        <f t="shared" si="12"/>
        <v>0</v>
      </c>
      <c r="CB28" s="227">
        <f t="shared" si="12"/>
        <v>0</v>
      </c>
      <c r="CC28" s="227">
        <f t="shared" si="12"/>
        <v>0</v>
      </c>
      <c r="CD28" s="227">
        <f t="shared" si="12"/>
        <v>0</v>
      </c>
      <c r="CE28" s="227">
        <f t="shared" si="12"/>
        <v>0</v>
      </c>
      <c r="CF28" s="227">
        <f t="shared" si="12"/>
        <v>0</v>
      </c>
      <c r="CG28" s="227">
        <f t="shared" si="12"/>
        <v>0</v>
      </c>
      <c r="CH28" s="227">
        <f t="shared" si="12"/>
        <v>0</v>
      </c>
      <c r="CI28" s="227">
        <f t="shared" si="12"/>
        <v>0</v>
      </c>
      <c r="CJ28" s="227">
        <f t="shared" si="12"/>
        <v>0</v>
      </c>
      <c r="CK28" s="227">
        <f t="shared" si="12"/>
        <v>0</v>
      </c>
      <c r="CL28" s="227">
        <f t="shared" si="12"/>
        <v>0</v>
      </c>
      <c r="CM28" s="227">
        <f t="shared" si="12"/>
        <v>0</v>
      </c>
      <c r="CN28" s="227">
        <f t="shared" si="12"/>
        <v>0</v>
      </c>
      <c r="CO28" s="227">
        <f t="shared" si="12"/>
        <v>0</v>
      </c>
      <c r="CP28" s="227">
        <f t="shared" si="12"/>
        <v>0</v>
      </c>
      <c r="CQ28" s="227">
        <f t="shared" si="12"/>
        <v>0</v>
      </c>
      <c r="CR28" s="227">
        <f t="shared" si="12"/>
        <v>0</v>
      </c>
      <c r="CS28" s="227">
        <f t="shared" si="12"/>
        <v>0</v>
      </c>
      <c r="CT28" s="227">
        <f t="shared" si="12"/>
        <v>0</v>
      </c>
      <c r="CU28" s="227">
        <f t="shared" si="12"/>
        <v>0</v>
      </c>
      <c r="CV28" s="227">
        <f t="shared" si="12"/>
        <v>0</v>
      </c>
      <c r="CW28" s="227">
        <f t="shared" si="12"/>
        <v>0</v>
      </c>
      <c r="CX28" s="227">
        <f t="shared" si="12"/>
        <v>0</v>
      </c>
      <c r="CY28" s="227">
        <f t="shared" si="12"/>
        <v>0</v>
      </c>
      <c r="CZ28" s="227">
        <f t="shared" si="12"/>
        <v>0</v>
      </c>
      <c r="DA28" s="227">
        <f t="shared" si="12"/>
        <v>0</v>
      </c>
      <c r="DB28" s="227">
        <f t="shared" si="12"/>
        <v>0</v>
      </c>
      <c r="DC28" s="227">
        <f t="shared" si="12"/>
        <v>0</v>
      </c>
      <c r="DD28" s="227">
        <f t="shared" si="12"/>
        <v>0</v>
      </c>
      <c r="DE28" s="227">
        <f t="shared" si="12"/>
        <v>0</v>
      </c>
      <c r="DF28" s="227">
        <f t="shared" si="12"/>
        <v>0</v>
      </c>
      <c r="DG28" s="227">
        <f t="shared" si="12"/>
        <v>0</v>
      </c>
      <c r="DH28" s="227">
        <f t="shared" si="12"/>
        <v>0</v>
      </c>
      <c r="DI28" s="227">
        <f t="shared" si="12"/>
        <v>0</v>
      </c>
      <c r="DJ28" s="227">
        <f t="shared" si="12"/>
        <v>0</v>
      </c>
      <c r="DK28" s="227">
        <f t="shared" si="12"/>
        <v>0</v>
      </c>
      <c r="DL28" s="227">
        <f t="shared" si="12"/>
        <v>0</v>
      </c>
      <c r="DM28" s="227">
        <f t="shared" si="12"/>
        <v>0</v>
      </c>
      <c r="DN28" s="227">
        <f t="shared" si="12"/>
        <v>0</v>
      </c>
      <c r="DO28" s="227">
        <f t="shared" si="12"/>
        <v>0</v>
      </c>
      <c r="DP28" s="227">
        <f t="shared" si="12"/>
        <v>0</v>
      </c>
      <c r="DQ28" s="227">
        <f t="shared" si="12"/>
        <v>0</v>
      </c>
      <c r="DR28" s="227">
        <f t="shared" si="12"/>
        <v>0</v>
      </c>
      <c r="DS28" s="227">
        <f t="shared" si="12"/>
        <v>0</v>
      </c>
      <c r="DT28" s="227">
        <f t="shared" si="12"/>
        <v>0</v>
      </c>
      <c r="DU28" s="227">
        <f t="shared" si="12"/>
        <v>0</v>
      </c>
      <c r="DV28" s="227">
        <f t="shared" si="12"/>
        <v>0</v>
      </c>
      <c r="DW28" s="227">
        <f t="shared" si="12"/>
        <v>0</v>
      </c>
      <c r="DX28" s="227">
        <f t="shared" si="12"/>
        <v>0</v>
      </c>
      <c r="DY28" s="227">
        <f t="shared" si="12"/>
        <v>0</v>
      </c>
      <c r="DZ28" s="227">
        <f t="shared" si="12"/>
        <v>0</v>
      </c>
      <c r="EA28" s="227">
        <f t="shared" si="12"/>
        <v>0</v>
      </c>
      <c r="EB28" s="227">
        <f t="shared" si="12"/>
        <v>0</v>
      </c>
      <c r="EC28" s="227">
        <f t="shared" si="12"/>
        <v>0</v>
      </c>
      <c r="ED28" s="227">
        <f t="shared" si="12"/>
        <v>0</v>
      </c>
      <c r="EE28" s="227">
        <f t="shared" si="12"/>
        <v>12</v>
      </c>
      <c r="EF28" s="227">
        <f t="shared" si="12"/>
        <v>0</v>
      </c>
      <c r="EG28" s="227">
        <f t="shared" si="12"/>
        <v>0</v>
      </c>
      <c r="EH28" s="227">
        <f t="shared" ref="EH28:EP29" si="13">+EH9+EH13+EH17+EH21+EH25</f>
        <v>16</v>
      </c>
      <c r="EI28" s="227">
        <f t="shared" si="13"/>
        <v>0</v>
      </c>
      <c r="EJ28" s="227">
        <f t="shared" si="13"/>
        <v>0</v>
      </c>
      <c r="EK28" s="227">
        <f t="shared" si="13"/>
        <v>0</v>
      </c>
      <c r="EL28" s="227">
        <f t="shared" si="13"/>
        <v>0</v>
      </c>
      <c r="EM28" s="227">
        <f t="shared" si="13"/>
        <v>7</v>
      </c>
      <c r="EN28" s="227">
        <f t="shared" si="13"/>
        <v>0</v>
      </c>
      <c r="EO28" s="227">
        <f t="shared" si="13"/>
        <v>0</v>
      </c>
      <c r="EP28" s="227">
        <f t="shared" si="13"/>
        <v>0</v>
      </c>
    </row>
    <row r="29" spans="1:147" s="2" customFormat="1" ht="15.75" thickBot="1" x14ac:dyDescent="0.25">
      <c r="A29" s="846" t="s">
        <v>583</v>
      </c>
      <c r="B29" s="847"/>
      <c r="C29" s="847"/>
      <c r="D29" s="848"/>
      <c r="E29" s="227">
        <f>+E10+E14+E18+E22+E26</f>
        <v>688.5</v>
      </c>
      <c r="F29" s="227">
        <f t="shared" si="10"/>
        <v>91.5</v>
      </c>
      <c r="G29" s="227">
        <f>+G10+G14+G18+G22+G26</f>
        <v>0</v>
      </c>
      <c r="H29" s="227">
        <f t="shared" si="11"/>
        <v>0</v>
      </c>
      <c r="I29" s="227">
        <f t="shared" si="11"/>
        <v>0</v>
      </c>
      <c r="J29" s="227">
        <f t="shared" si="11"/>
        <v>0</v>
      </c>
      <c r="K29" s="227">
        <f t="shared" si="11"/>
        <v>0</v>
      </c>
      <c r="L29" s="227">
        <f t="shared" si="11"/>
        <v>0</v>
      </c>
      <c r="M29" s="227">
        <f t="shared" si="11"/>
        <v>0</v>
      </c>
      <c r="N29" s="227">
        <f t="shared" si="11"/>
        <v>0</v>
      </c>
      <c r="O29" s="227">
        <f t="shared" si="11"/>
        <v>0</v>
      </c>
      <c r="P29" s="227">
        <f t="shared" si="11"/>
        <v>0</v>
      </c>
      <c r="Q29" s="227">
        <f t="shared" si="11"/>
        <v>0</v>
      </c>
      <c r="R29" s="227">
        <f t="shared" si="11"/>
        <v>0</v>
      </c>
      <c r="S29" s="227">
        <f t="shared" si="11"/>
        <v>0</v>
      </c>
      <c r="T29" s="227">
        <f t="shared" si="11"/>
        <v>0</v>
      </c>
      <c r="U29" s="227">
        <f t="shared" si="11"/>
        <v>0</v>
      </c>
      <c r="V29" s="227">
        <f t="shared" si="11"/>
        <v>0</v>
      </c>
      <c r="W29" s="227">
        <f t="shared" si="11"/>
        <v>0</v>
      </c>
      <c r="X29" s="227">
        <f t="shared" si="11"/>
        <v>0</v>
      </c>
      <c r="Y29" s="227">
        <f t="shared" si="11"/>
        <v>0</v>
      </c>
      <c r="Z29" s="227">
        <f t="shared" si="11"/>
        <v>0</v>
      </c>
      <c r="AA29" s="227">
        <f t="shared" si="11"/>
        <v>136.5</v>
      </c>
      <c r="AB29" s="227">
        <f t="shared" si="11"/>
        <v>0</v>
      </c>
      <c r="AC29" s="227">
        <f t="shared" si="11"/>
        <v>8</v>
      </c>
      <c r="AD29" s="227">
        <f t="shared" si="11"/>
        <v>0</v>
      </c>
      <c r="AE29" s="227">
        <f t="shared" si="11"/>
        <v>58</v>
      </c>
      <c r="AF29" s="227">
        <f t="shared" si="11"/>
        <v>0</v>
      </c>
      <c r="AG29" s="227">
        <f t="shared" si="11"/>
        <v>0</v>
      </c>
      <c r="AH29" s="227">
        <f t="shared" si="11"/>
        <v>16</v>
      </c>
      <c r="AI29" s="227">
        <f t="shared" si="11"/>
        <v>0</v>
      </c>
      <c r="AJ29" s="227">
        <f t="shared" si="11"/>
        <v>0</v>
      </c>
      <c r="AK29" s="227">
        <f t="shared" si="11"/>
        <v>0</v>
      </c>
      <c r="AL29" s="227">
        <f t="shared" si="11"/>
        <v>0</v>
      </c>
      <c r="AM29" s="227">
        <f t="shared" si="11"/>
        <v>0</v>
      </c>
      <c r="AN29" s="227">
        <f t="shared" si="11"/>
        <v>0</v>
      </c>
      <c r="AO29" s="227">
        <f t="shared" si="11"/>
        <v>0</v>
      </c>
      <c r="AP29" s="227">
        <f t="shared" si="11"/>
        <v>0</v>
      </c>
      <c r="AQ29" s="227">
        <f t="shared" si="11"/>
        <v>113</v>
      </c>
      <c r="AR29" s="227">
        <f t="shared" si="11"/>
        <v>0</v>
      </c>
      <c r="AS29" s="227">
        <f t="shared" si="11"/>
        <v>0</v>
      </c>
      <c r="AT29" s="227">
        <f t="shared" si="11"/>
        <v>212</v>
      </c>
      <c r="AU29" s="227">
        <f t="shared" si="11"/>
        <v>0</v>
      </c>
      <c r="AV29" s="227">
        <f t="shared" si="11"/>
        <v>0</v>
      </c>
      <c r="AW29" s="227">
        <f t="shared" si="11"/>
        <v>0</v>
      </c>
      <c r="AX29" s="227">
        <f t="shared" si="11"/>
        <v>0</v>
      </c>
      <c r="AY29" s="227">
        <f t="shared" si="11"/>
        <v>0</v>
      </c>
      <c r="AZ29" s="227">
        <f t="shared" si="11"/>
        <v>0</v>
      </c>
      <c r="BA29" s="227">
        <f t="shared" si="11"/>
        <v>0</v>
      </c>
      <c r="BB29" s="227">
        <f t="shared" si="11"/>
        <v>107</v>
      </c>
      <c r="BC29" s="227">
        <f t="shared" si="11"/>
        <v>0</v>
      </c>
      <c r="BD29" s="227">
        <f t="shared" si="11"/>
        <v>0</v>
      </c>
      <c r="BE29" s="227">
        <f t="shared" si="11"/>
        <v>6</v>
      </c>
      <c r="BF29" s="227">
        <f t="shared" si="11"/>
        <v>12</v>
      </c>
      <c r="BG29" s="227">
        <f t="shared" si="11"/>
        <v>0</v>
      </c>
      <c r="BH29" s="227">
        <f t="shared" si="11"/>
        <v>0</v>
      </c>
      <c r="BI29" s="227">
        <f t="shared" si="11"/>
        <v>20</v>
      </c>
      <c r="BJ29" s="227">
        <f t="shared" si="11"/>
        <v>0</v>
      </c>
      <c r="BK29" s="227">
        <f t="shared" si="11"/>
        <v>0</v>
      </c>
      <c r="BL29" s="227">
        <f t="shared" si="11"/>
        <v>0</v>
      </c>
      <c r="BM29" s="227">
        <f t="shared" si="11"/>
        <v>0</v>
      </c>
      <c r="BN29" s="227">
        <f t="shared" si="11"/>
        <v>0</v>
      </c>
      <c r="BO29" s="227">
        <f t="shared" si="11"/>
        <v>0</v>
      </c>
      <c r="BP29" s="227">
        <f t="shared" si="11"/>
        <v>0</v>
      </c>
      <c r="BQ29" s="227">
        <f t="shared" si="11"/>
        <v>0</v>
      </c>
      <c r="BR29" s="227">
        <f t="shared" si="11"/>
        <v>0</v>
      </c>
      <c r="BS29" s="227">
        <f t="shared" si="11"/>
        <v>0</v>
      </c>
      <c r="BT29" s="227">
        <f t="shared" si="11"/>
        <v>0</v>
      </c>
      <c r="BU29" s="227">
        <f t="shared" si="11"/>
        <v>0</v>
      </c>
      <c r="BV29" s="227">
        <f t="shared" si="12"/>
        <v>0</v>
      </c>
      <c r="BW29" s="227">
        <f t="shared" si="12"/>
        <v>0</v>
      </c>
      <c r="BX29" s="227">
        <f t="shared" si="12"/>
        <v>0</v>
      </c>
      <c r="BY29" s="227">
        <f t="shared" si="12"/>
        <v>0</v>
      </c>
      <c r="BZ29" s="227">
        <f t="shared" si="12"/>
        <v>0</v>
      </c>
      <c r="CA29" s="227">
        <f t="shared" si="12"/>
        <v>0</v>
      </c>
      <c r="CB29" s="227">
        <f t="shared" si="12"/>
        <v>0</v>
      </c>
      <c r="CC29" s="227">
        <f t="shared" si="12"/>
        <v>0</v>
      </c>
      <c r="CD29" s="227">
        <f t="shared" si="12"/>
        <v>0</v>
      </c>
      <c r="CE29" s="227">
        <f t="shared" si="12"/>
        <v>0</v>
      </c>
      <c r="CF29" s="227">
        <f t="shared" si="12"/>
        <v>0</v>
      </c>
      <c r="CG29" s="227">
        <f t="shared" si="12"/>
        <v>0</v>
      </c>
      <c r="CH29" s="227">
        <f t="shared" si="12"/>
        <v>0</v>
      </c>
      <c r="CI29" s="227">
        <f t="shared" si="12"/>
        <v>0</v>
      </c>
      <c r="CJ29" s="227">
        <f t="shared" si="12"/>
        <v>0</v>
      </c>
      <c r="CK29" s="227">
        <f t="shared" si="12"/>
        <v>0</v>
      </c>
      <c r="CL29" s="227">
        <f t="shared" si="12"/>
        <v>0</v>
      </c>
      <c r="CM29" s="227">
        <f t="shared" si="12"/>
        <v>0</v>
      </c>
      <c r="CN29" s="227">
        <f t="shared" si="12"/>
        <v>0</v>
      </c>
      <c r="CO29" s="227">
        <f t="shared" si="12"/>
        <v>0</v>
      </c>
      <c r="CP29" s="227">
        <f t="shared" si="12"/>
        <v>0</v>
      </c>
      <c r="CQ29" s="227">
        <f t="shared" si="12"/>
        <v>0</v>
      </c>
      <c r="CR29" s="227">
        <f t="shared" si="12"/>
        <v>0</v>
      </c>
      <c r="CS29" s="227">
        <f t="shared" si="12"/>
        <v>0</v>
      </c>
      <c r="CT29" s="227">
        <f t="shared" si="12"/>
        <v>0</v>
      </c>
      <c r="CU29" s="227">
        <f t="shared" si="12"/>
        <v>0</v>
      </c>
      <c r="CV29" s="227">
        <f t="shared" si="12"/>
        <v>0</v>
      </c>
      <c r="CW29" s="227">
        <f t="shared" si="12"/>
        <v>0</v>
      </c>
      <c r="CX29" s="227">
        <f t="shared" si="12"/>
        <v>0</v>
      </c>
      <c r="CY29" s="227">
        <f t="shared" si="12"/>
        <v>0</v>
      </c>
      <c r="CZ29" s="227">
        <f t="shared" si="12"/>
        <v>0</v>
      </c>
      <c r="DA29" s="227">
        <f t="shared" si="12"/>
        <v>0</v>
      </c>
      <c r="DB29" s="227">
        <f t="shared" si="12"/>
        <v>0</v>
      </c>
      <c r="DC29" s="227">
        <f t="shared" si="12"/>
        <v>0</v>
      </c>
      <c r="DD29" s="227">
        <f t="shared" si="12"/>
        <v>0</v>
      </c>
      <c r="DE29" s="227">
        <f t="shared" si="12"/>
        <v>0</v>
      </c>
      <c r="DF29" s="227">
        <f t="shared" si="12"/>
        <v>0</v>
      </c>
      <c r="DG29" s="227">
        <f t="shared" si="12"/>
        <v>0</v>
      </c>
      <c r="DH29" s="227">
        <f t="shared" si="12"/>
        <v>0</v>
      </c>
      <c r="DI29" s="227">
        <f t="shared" si="12"/>
        <v>0</v>
      </c>
      <c r="DJ29" s="227">
        <f t="shared" si="12"/>
        <v>0</v>
      </c>
      <c r="DK29" s="227">
        <f t="shared" si="12"/>
        <v>0</v>
      </c>
      <c r="DL29" s="227">
        <f t="shared" si="12"/>
        <v>0</v>
      </c>
      <c r="DM29" s="227">
        <f t="shared" si="12"/>
        <v>0</v>
      </c>
      <c r="DN29" s="227">
        <f t="shared" si="12"/>
        <v>0</v>
      </c>
      <c r="DO29" s="227">
        <f t="shared" si="12"/>
        <v>0</v>
      </c>
      <c r="DP29" s="227">
        <f t="shared" si="12"/>
        <v>0</v>
      </c>
      <c r="DQ29" s="227">
        <f t="shared" si="12"/>
        <v>0</v>
      </c>
      <c r="DR29" s="227">
        <f t="shared" si="12"/>
        <v>0</v>
      </c>
      <c r="DS29" s="227">
        <f t="shared" si="12"/>
        <v>0</v>
      </c>
      <c r="DT29" s="227">
        <f t="shared" si="12"/>
        <v>0</v>
      </c>
      <c r="DU29" s="227">
        <f t="shared" si="12"/>
        <v>0</v>
      </c>
      <c r="DV29" s="227">
        <f t="shared" si="12"/>
        <v>0</v>
      </c>
      <c r="DW29" s="227">
        <f t="shared" si="12"/>
        <v>0</v>
      </c>
      <c r="DX29" s="227">
        <f t="shared" si="12"/>
        <v>0</v>
      </c>
      <c r="DY29" s="227">
        <f t="shared" si="12"/>
        <v>0</v>
      </c>
      <c r="DZ29" s="227">
        <f t="shared" si="12"/>
        <v>0</v>
      </c>
      <c r="EA29" s="227">
        <f t="shared" si="12"/>
        <v>0</v>
      </c>
      <c r="EB29" s="227">
        <f t="shared" si="12"/>
        <v>0</v>
      </c>
      <c r="EC29" s="227">
        <f t="shared" si="12"/>
        <v>0</v>
      </c>
      <c r="ED29" s="227">
        <f t="shared" si="12"/>
        <v>4</v>
      </c>
      <c r="EE29" s="227">
        <f t="shared" si="12"/>
        <v>54</v>
      </c>
      <c r="EF29" s="227">
        <f t="shared" si="12"/>
        <v>0</v>
      </c>
      <c r="EG29" s="227">
        <f t="shared" si="12"/>
        <v>0</v>
      </c>
      <c r="EH29" s="227">
        <f t="shared" si="13"/>
        <v>33.5</v>
      </c>
      <c r="EI29" s="227">
        <f t="shared" si="13"/>
        <v>0</v>
      </c>
      <c r="EJ29" s="227">
        <f t="shared" si="13"/>
        <v>0</v>
      </c>
      <c r="EK29" s="227">
        <f t="shared" si="13"/>
        <v>0</v>
      </c>
      <c r="EL29" s="227">
        <f t="shared" si="13"/>
        <v>0</v>
      </c>
      <c r="EM29" s="227">
        <f t="shared" si="13"/>
        <v>0</v>
      </c>
      <c r="EN29" s="227">
        <f t="shared" si="13"/>
        <v>0</v>
      </c>
      <c r="EO29" s="227">
        <f t="shared" si="13"/>
        <v>0</v>
      </c>
      <c r="EP29" s="227">
        <f t="shared" si="13"/>
        <v>0</v>
      </c>
    </row>
    <row r="30" spans="1:147" s="2" customFormat="1" ht="15.75" thickBot="1" x14ac:dyDescent="0.25">
      <c r="A30" s="849" t="s">
        <v>584</v>
      </c>
      <c r="B30" s="850"/>
      <c r="C30" s="850"/>
      <c r="D30" s="851"/>
      <c r="E30" s="228">
        <f>+SUM(E9:E27)/2</f>
        <v>1589.5</v>
      </c>
      <c r="F30" s="228">
        <f>+SUM(F9:F26)/2</f>
        <v>126.5</v>
      </c>
      <c r="G30" s="228">
        <f>+SUM(G9:G26)/2</f>
        <v>0</v>
      </c>
      <c r="H30" s="228">
        <f t="shared" ref="H30:BU30" si="14">+SUM(H9:H26)/2</f>
        <v>0</v>
      </c>
      <c r="I30" s="228">
        <f t="shared" si="14"/>
        <v>0</v>
      </c>
      <c r="J30" s="228">
        <f t="shared" si="14"/>
        <v>0</v>
      </c>
      <c r="K30" s="228">
        <f t="shared" si="14"/>
        <v>0</v>
      </c>
      <c r="L30" s="228">
        <f t="shared" si="14"/>
        <v>156</v>
      </c>
      <c r="M30" s="228">
        <f t="shared" si="14"/>
        <v>0</v>
      </c>
      <c r="N30" s="228">
        <f t="shared" si="14"/>
        <v>0</v>
      </c>
      <c r="O30" s="228">
        <f t="shared" si="14"/>
        <v>0</v>
      </c>
      <c r="P30" s="228">
        <f t="shared" si="14"/>
        <v>0</v>
      </c>
      <c r="Q30" s="228">
        <f t="shared" si="14"/>
        <v>0</v>
      </c>
      <c r="R30" s="228">
        <f t="shared" si="14"/>
        <v>0</v>
      </c>
      <c r="S30" s="228">
        <f t="shared" si="14"/>
        <v>0</v>
      </c>
      <c r="T30" s="228">
        <f t="shared" si="14"/>
        <v>0</v>
      </c>
      <c r="U30" s="228">
        <f t="shared" si="14"/>
        <v>0</v>
      </c>
      <c r="V30" s="228">
        <f t="shared" si="14"/>
        <v>0</v>
      </c>
      <c r="W30" s="228">
        <f t="shared" si="14"/>
        <v>15</v>
      </c>
      <c r="X30" s="228">
        <f t="shared" si="14"/>
        <v>0</v>
      </c>
      <c r="Y30" s="228">
        <f t="shared" si="14"/>
        <v>43</v>
      </c>
      <c r="Z30" s="228">
        <f t="shared" si="14"/>
        <v>8</v>
      </c>
      <c r="AA30" s="228">
        <f t="shared" si="14"/>
        <v>136.5</v>
      </c>
      <c r="AB30" s="228">
        <f t="shared" si="14"/>
        <v>0</v>
      </c>
      <c r="AC30" s="228">
        <f t="shared" si="14"/>
        <v>8</v>
      </c>
      <c r="AD30" s="228">
        <f t="shared" si="14"/>
        <v>0</v>
      </c>
      <c r="AE30" s="228">
        <f t="shared" si="14"/>
        <v>78</v>
      </c>
      <c r="AF30" s="228">
        <f t="shared" si="14"/>
        <v>0</v>
      </c>
      <c r="AG30" s="228">
        <f t="shared" si="14"/>
        <v>0</v>
      </c>
      <c r="AH30" s="228">
        <f t="shared" si="14"/>
        <v>64</v>
      </c>
      <c r="AI30" s="228">
        <f t="shared" si="14"/>
        <v>0</v>
      </c>
      <c r="AJ30" s="228">
        <f t="shared" si="14"/>
        <v>0</v>
      </c>
      <c r="AK30" s="228">
        <f t="shared" si="14"/>
        <v>0</v>
      </c>
      <c r="AL30" s="228">
        <f t="shared" si="14"/>
        <v>0</v>
      </c>
      <c r="AM30" s="228">
        <f t="shared" si="14"/>
        <v>4</v>
      </c>
      <c r="AN30" s="228">
        <f t="shared" si="14"/>
        <v>0</v>
      </c>
      <c r="AO30" s="228">
        <f t="shared" si="14"/>
        <v>0</v>
      </c>
      <c r="AP30" s="228">
        <f t="shared" si="14"/>
        <v>0</v>
      </c>
      <c r="AQ30" s="228">
        <f t="shared" si="14"/>
        <v>121</v>
      </c>
      <c r="AR30" s="228">
        <f t="shared" si="14"/>
        <v>0</v>
      </c>
      <c r="AS30" s="228">
        <f t="shared" si="14"/>
        <v>0</v>
      </c>
      <c r="AT30" s="228">
        <f t="shared" si="14"/>
        <v>338</v>
      </c>
      <c r="AU30" s="228">
        <f t="shared" si="14"/>
        <v>0</v>
      </c>
      <c r="AV30" s="228">
        <f t="shared" si="14"/>
        <v>0</v>
      </c>
      <c r="AW30" s="228">
        <f t="shared" si="14"/>
        <v>16</v>
      </c>
      <c r="AX30" s="228">
        <f t="shared" si="14"/>
        <v>16</v>
      </c>
      <c r="AY30" s="228">
        <f t="shared" si="14"/>
        <v>0</v>
      </c>
      <c r="AZ30" s="228">
        <f t="shared" si="14"/>
        <v>0</v>
      </c>
      <c r="BA30" s="228">
        <f t="shared" si="14"/>
        <v>7</v>
      </c>
      <c r="BB30" s="228">
        <f t="shared" si="14"/>
        <v>464</v>
      </c>
      <c r="BC30" s="228">
        <f t="shared" si="14"/>
        <v>0</v>
      </c>
      <c r="BD30" s="228">
        <f t="shared" si="14"/>
        <v>0</v>
      </c>
      <c r="BE30" s="228">
        <f t="shared" si="14"/>
        <v>12</v>
      </c>
      <c r="BF30" s="228">
        <f t="shared" si="14"/>
        <v>70</v>
      </c>
      <c r="BG30" s="228">
        <f t="shared" si="14"/>
        <v>0</v>
      </c>
      <c r="BH30" s="228">
        <f t="shared" si="14"/>
        <v>0</v>
      </c>
      <c r="BI30" s="228">
        <f t="shared" si="14"/>
        <v>33</v>
      </c>
      <c r="BJ30" s="228">
        <f t="shared" si="14"/>
        <v>0</v>
      </c>
      <c r="BK30" s="228">
        <f t="shared" si="14"/>
        <v>0</v>
      </c>
      <c r="BL30" s="228">
        <f t="shared" si="14"/>
        <v>0</v>
      </c>
      <c r="BM30" s="228">
        <f t="shared" si="14"/>
        <v>0</v>
      </c>
      <c r="BN30" s="228">
        <f t="shared" si="14"/>
        <v>0</v>
      </c>
      <c r="BO30" s="228">
        <f t="shared" si="14"/>
        <v>0</v>
      </c>
      <c r="BP30" s="228">
        <f t="shared" si="14"/>
        <v>0</v>
      </c>
      <c r="BQ30" s="228">
        <f t="shared" si="14"/>
        <v>0</v>
      </c>
      <c r="BR30" s="228">
        <f t="shared" si="14"/>
        <v>0</v>
      </c>
      <c r="BS30" s="228">
        <f t="shared" si="14"/>
        <v>0</v>
      </c>
      <c r="BT30" s="228">
        <f t="shared" si="14"/>
        <v>0</v>
      </c>
      <c r="BU30" s="228">
        <f t="shared" si="14"/>
        <v>0</v>
      </c>
      <c r="BV30" s="228">
        <f t="shared" ref="BV30:EG30" si="15">+SUM(BV9:BV26)/2</f>
        <v>0</v>
      </c>
      <c r="BW30" s="228">
        <f t="shared" si="15"/>
        <v>0</v>
      </c>
      <c r="BX30" s="228">
        <f t="shared" si="15"/>
        <v>0</v>
      </c>
      <c r="BY30" s="228">
        <f t="shared" si="15"/>
        <v>0</v>
      </c>
      <c r="BZ30" s="228">
        <f t="shared" si="15"/>
        <v>0</v>
      </c>
      <c r="CA30" s="228">
        <f t="shared" si="15"/>
        <v>0</v>
      </c>
      <c r="CB30" s="228">
        <f t="shared" si="15"/>
        <v>0</v>
      </c>
      <c r="CC30" s="228">
        <f t="shared" si="15"/>
        <v>0</v>
      </c>
      <c r="CD30" s="228">
        <f t="shared" si="15"/>
        <v>0</v>
      </c>
      <c r="CE30" s="228">
        <f t="shared" si="15"/>
        <v>0</v>
      </c>
      <c r="CF30" s="228">
        <f t="shared" si="15"/>
        <v>0</v>
      </c>
      <c r="CG30" s="228">
        <f t="shared" si="15"/>
        <v>0</v>
      </c>
      <c r="CH30" s="228">
        <f t="shared" si="15"/>
        <v>0</v>
      </c>
      <c r="CI30" s="228">
        <f t="shared" si="15"/>
        <v>0</v>
      </c>
      <c r="CJ30" s="228">
        <f t="shared" si="15"/>
        <v>0</v>
      </c>
      <c r="CK30" s="228">
        <f t="shared" si="15"/>
        <v>0</v>
      </c>
      <c r="CL30" s="228">
        <f t="shared" si="15"/>
        <v>0</v>
      </c>
      <c r="CM30" s="228">
        <f t="shared" si="15"/>
        <v>0</v>
      </c>
      <c r="CN30" s="228">
        <f t="shared" si="15"/>
        <v>0</v>
      </c>
      <c r="CO30" s="228">
        <f t="shared" si="15"/>
        <v>0</v>
      </c>
      <c r="CP30" s="228">
        <f t="shared" si="15"/>
        <v>0</v>
      </c>
      <c r="CQ30" s="228">
        <f t="shared" si="15"/>
        <v>0</v>
      </c>
      <c r="CR30" s="228">
        <f t="shared" si="15"/>
        <v>0</v>
      </c>
      <c r="CS30" s="228">
        <f t="shared" si="15"/>
        <v>0</v>
      </c>
      <c r="CT30" s="228">
        <f t="shared" si="15"/>
        <v>0</v>
      </c>
      <c r="CU30" s="228">
        <f t="shared" si="15"/>
        <v>0</v>
      </c>
      <c r="CV30" s="228">
        <f t="shared" si="15"/>
        <v>0</v>
      </c>
      <c r="CW30" s="228">
        <f t="shared" si="15"/>
        <v>0</v>
      </c>
      <c r="CX30" s="228">
        <f t="shared" si="15"/>
        <v>0</v>
      </c>
      <c r="CY30" s="228">
        <f t="shared" si="15"/>
        <v>0</v>
      </c>
      <c r="CZ30" s="228">
        <f t="shared" si="15"/>
        <v>0</v>
      </c>
      <c r="DA30" s="228">
        <f t="shared" si="15"/>
        <v>0</v>
      </c>
      <c r="DB30" s="228">
        <f t="shared" si="15"/>
        <v>0</v>
      </c>
      <c r="DC30" s="228">
        <f t="shared" si="15"/>
        <v>0</v>
      </c>
      <c r="DD30" s="228">
        <f t="shared" si="15"/>
        <v>0</v>
      </c>
      <c r="DE30" s="228">
        <f t="shared" si="15"/>
        <v>0</v>
      </c>
      <c r="DF30" s="228">
        <f t="shared" si="15"/>
        <v>0</v>
      </c>
      <c r="DG30" s="228">
        <f t="shared" si="15"/>
        <v>0</v>
      </c>
      <c r="DH30" s="228">
        <f t="shared" si="15"/>
        <v>0</v>
      </c>
      <c r="DI30" s="228">
        <f t="shared" si="15"/>
        <v>0</v>
      </c>
      <c r="DJ30" s="228">
        <f t="shared" si="15"/>
        <v>0</v>
      </c>
      <c r="DK30" s="228">
        <f t="shared" si="15"/>
        <v>0</v>
      </c>
      <c r="DL30" s="228">
        <f t="shared" si="15"/>
        <v>0</v>
      </c>
      <c r="DM30" s="228">
        <f t="shared" si="15"/>
        <v>0</v>
      </c>
      <c r="DN30" s="228">
        <f t="shared" si="15"/>
        <v>0</v>
      </c>
      <c r="DO30" s="228">
        <f t="shared" si="15"/>
        <v>0</v>
      </c>
      <c r="DP30" s="228">
        <f t="shared" si="15"/>
        <v>0</v>
      </c>
      <c r="DQ30" s="228">
        <f t="shared" si="15"/>
        <v>0</v>
      </c>
      <c r="DR30" s="228">
        <f t="shared" si="15"/>
        <v>0</v>
      </c>
      <c r="DS30" s="228">
        <f t="shared" si="15"/>
        <v>0</v>
      </c>
      <c r="DT30" s="228">
        <f t="shared" si="15"/>
        <v>0</v>
      </c>
      <c r="DU30" s="228">
        <f t="shared" si="15"/>
        <v>0</v>
      </c>
      <c r="DV30" s="228">
        <f t="shared" si="15"/>
        <v>0</v>
      </c>
      <c r="DW30" s="228">
        <f t="shared" si="15"/>
        <v>0</v>
      </c>
      <c r="DX30" s="228">
        <f t="shared" si="15"/>
        <v>0</v>
      </c>
      <c r="DY30" s="228">
        <f t="shared" si="15"/>
        <v>0</v>
      </c>
      <c r="DZ30" s="228">
        <f t="shared" si="15"/>
        <v>0</v>
      </c>
      <c r="EA30" s="228">
        <f t="shared" si="15"/>
        <v>0</v>
      </c>
      <c r="EB30" s="228">
        <f t="shared" si="15"/>
        <v>0</v>
      </c>
      <c r="EC30" s="228">
        <f t="shared" si="15"/>
        <v>0</v>
      </c>
      <c r="ED30" s="228">
        <f t="shared" si="15"/>
        <v>2</v>
      </c>
      <c r="EE30" s="228">
        <f t="shared" si="15"/>
        <v>33</v>
      </c>
      <c r="EF30" s="228">
        <f t="shared" si="15"/>
        <v>0</v>
      </c>
      <c r="EG30" s="228">
        <f t="shared" si="15"/>
        <v>0</v>
      </c>
      <c r="EH30" s="228">
        <f t="shared" ref="EH30:EP30" si="16">+SUM(EH9:EH26)/2</f>
        <v>24.75</v>
      </c>
      <c r="EI30" s="228">
        <f t="shared" si="16"/>
        <v>0</v>
      </c>
      <c r="EJ30" s="228">
        <f t="shared" si="16"/>
        <v>0</v>
      </c>
      <c r="EK30" s="228">
        <f t="shared" si="16"/>
        <v>0</v>
      </c>
      <c r="EL30" s="228">
        <f t="shared" si="16"/>
        <v>0</v>
      </c>
      <c r="EM30" s="228">
        <f t="shared" si="16"/>
        <v>3.5</v>
      </c>
      <c r="EN30" s="228">
        <f t="shared" si="16"/>
        <v>0</v>
      </c>
      <c r="EO30" s="228">
        <f t="shared" si="16"/>
        <v>0</v>
      </c>
      <c r="EP30" s="228">
        <f t="shared" si="16"/>
        <v>0</v>
      </c>
      <c r="EQ30" s="229">
        <f>+SUM(F30:EP30)</f>
        <v>1779.25</v>
      </c>
    </row>
    <row r="31" spans="1:147" s="2" customFormat="1" ht="15.75" thickBot="1" x14ac:dyDescent="0.25">
      <c r="A31" s="7"/>
      <c r="B31" s="7"/>
      <c r="C31" s="7"/>
      <c r="D31" s="7"/>
      <c r="E31" s="852">
        <f>+SUM(E30:F30)</f>
        <v>1716</v>
      </c>
      <c r="F31" s="853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</row>
    <row r="32" spans="1:147" s="2" customFormat="1" x14ac:dyDescent="0.2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</row>
    <row r="33" spans="1:113" s="2" customFormat="1" x14ac:dyDescent="0.2">
      <c r="A33" s="7"/>
      <c r="B33" s="7"/>
      <c r="C33" s="7"/>
      <c r="D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</row>
    <row r="34" spans="1:113" s="2" customFormat="1" x14ac:dyDescent="0.2">
      <c r="E34" s="7"/>
      <c r="F34" s="7"/>
    </row>
    <row r="35" spans="1:113" s="2" customFormat="1" x14ac:dyDescent="0.2"/>
    <row r="36" spans="1:113" s="2" customFormat="1" x14ac:dyDescent="0.2"/>
    <row r="37" spans="1:113" s="2" customFormat="1" x14ac:dyDescent="0.2"/>
    <row r="38" spans="1:113" s="2" customFormat="1" x14ac:dyDescent="0.2"/>
    <row r="39" spans="1:113" s="2" customFormat="1" x14ac:dyDescent="0.2"/>
    <row r="40" spans="1:113" s="2" customFormat="1" x14ac:dyDescent="0.2"/>
    <row r="41" spans="1:113" s="2" customFormat="1" x14ac:dyDescent="0.2"/>
    <row r="42" spans="1:113" s="2" customFormat="1" x14ac:dyDescent="0.2"/>
    <row r="43" spans="1:113" s="2" customFormat="1" x14ac:dyDescent="0.2"/>
    <row r="44" spans="1:113" s="2" customFormat="1" x14ac:dyDescent="0.2"/>
    <row r="45" spans="1:113" s="2" customFormat="1" x14ac:dyDescent="0.2"/>
    <row r="46" spans="1:113" s="2" customFormat="1" x14ac:dyDescent="0.2"/>
    <row r="47" spans="1:113" s="2" customFormat="1" x14ac:dyDescent="0.2"/>
    <row r="48" spans="1:113" s="2" customFormat="1" x14ac:dyDescent="0.2"/>
    <row r="49" s="2" customFormat="1" x14ac:dyDescent="0.2"/>
    <row r="50" s="2" customFormat="1" x14ac:dyDescent="0.2"/>
    <row r="51" s="2" customFormat="1" x14ac:dyDescent="0.2"/>
    <row r="52" s="2" customFormat="1" x14ac:dyDescent="0.2"/>
    <row r="53" s="2" customFormat="1" x14ac:dyDescent="0.2"/>
    <row r="54" s="2" customFormat="1" x14ac:dyDescent="0.2"/>
    <row r="55" s="2" customFormat="1" x14ac:dyDescent="0.2"/>
    <row r="56" s="2" customFormat="1" x14ac:dyDescent="0.2"/>
    <row r="57" s="2" customFormat="1" x14ac:dyDescent="0.2"/>
    <row r="58" s="2" customFormat="1" x14ac:dyDescent="0.2"/>
    <row r="59" s="2" customFormat="1" x14ac:dyDescent="0.2"/>
    <row r="60" s="2" customFormat="1" x14ac:dyDescent="0.2"/>
    <row r="61" s="2" customFormat="1" x14ac:dyDescent="0.2"/>
    <row r="62" s="2" customFormat="1" x14ac:dyDescent="0.2"/>
    <row r="63" s="2" customFormat="1" x14ac:dyDescent="0.2"/>
    <row r="64" s="2" customFormat="1" x14ac:dyDescent="0.2"/>
    <row r="65" s="2" customFormat="1" x14ac:dyDescent="0.2"/>
    <row r="66" s="2" customFormat="1" x14ac:dyDescent="0.2"/>
    <row r="67" s="2" customFormat="1" x14ac:dyDescent="0.2"/>
    <row r="68" s="2" customFormat="1" x14ac:dyDescent="0.2"/>
    <row r="69" s="2" customFormat="1" x14ac:dyDescent="0.2"/>
    <row r="70" s="2" customFormat="1" x14ac:dyDescent="0.2"/>
    <row r="71" s="2" customFormat="1" x14ac:dyDescent="0.2"/>
    <row r="72" s="2" customFormat="1" x14ac:dyDescent="0.2"/>
    <row r="73" s="2" customFormat="1" x14ac:dyDescent="0.2"/>
    <row r="74" s="2" customFormat="1" x14ac:dyDescent="0.2"/>
    <row r="75" s="2" customFormat="1" x14ac:dyDescent="0.2"/>
    <row r="76" s="2" customFormat="1" x14ac:dyDescent="0.2"/>
    <row r="77" s="2" customFormat="1" x14ac:dyDescent="0.2"/>
    <row r="78" s="2" customFormat="1" x14ac:dyDescent="0.2"/>
    <row r="79" s="2" customFormat="1" x14ac:dyDescent="0.2"/>
    <row r="80" s="2" customFormat="1" x14ac:dyDescent="0.2"/>
    <row r="81" s="2" customFormat="1" x14ac:dyDescent="0.2"/>
    <row r="82" s="2" customFormat="1" x14ac:dyDescent="0.2"/>
    <row r="83" s="2" customFormat="1" x14ac:dyDescent="0.2"/>
    <row r="84" s="2" customFormat="1" x14ac:dyDescent="0.2"/>
    <row r="85" s="2" customFormat="1" x14ac:dyDescent="0.2"/>
    <row r="86" s="2" customFormat="1" x14ac:dyDescent="0.2"/>
    <row r="87" s="2" customFormat="1" x14ac:dyDescent="0.2"/>
    <row r="88" s="2" customFormat="1" x14ac:dyDescent="0.2"/>
    <row r="89" s="2" customFormat="1" x14ac:dyDescent="0.2"/>
    <row r="90" s="2" customFormat="1" x14ac:dyDescent="0.2"/>
    <row r="91" s="2" customFormat="1" x14ac:dyDescent="0.2"/>
    <row r="92" s="2" customFormat="1" x14ac:dyDescent="0.2"/>
    <row r="93" s="2" customFormat="1" x14ac:dyDescent="0.2"/>
    <row r="94" s="2" customFormat="1" x14ac:dyDescent="0.2"/>
  </sheetData>
  <sheetProtection formatCells="0" formatColumns="0" formatRows="0" insertColumns="0" insertRows="0" insertHyperlinks="0" deleteColumns="0" deleteRows="0" sort="0" autoFilter="0" pivotTables="0"/>
  <mergeCells count="123">
    <mergeCell ref="J1:AL1"/>
    <mergeCell ref="G4:X4"/>
    <mergeCell ref="AA4:AU4"/>
    <mergeCell ref="AV4:BI4"/>
    <mergeCell ref="BJ4:BU4"/>
    <mergeCell ref="BV4:CE4"/>
    <mergeCell ref="CF4:CM4"/>
    <mergeCell ref="CN4:CU4"/>
    <mergeCell ref="G5:G7"/>
    <mergeCell ref="H5:H7"/>
    <mergeCell ref="I5:I7"/>
    <mergeCell ref="J5:J7"/>
    <mergeCell ref="K5:K7"/>
    <mergeCell ref="L5:L7"/>
    <mergeCell ref="M5:M7"/>
    <mergeCell ref="N5:N7"/>
    <mergeCell ref="U5:U7"/>
    <mergeCell ref="V5:V7"/>
    <mergeCell ref="W5:W7"/>
    <mergeCell ref="X5:X7"/>
    <mergeCell ref="Y5:Y7"/>
    <mergeCell ref="Z5:Z7"/>
    <mergeCell ref="O5:O7"/>
    <mergeCell ref="P5:P7"/>
    <mergeCell ref="Q5:Q7"/>
    <mergeCell ref="R5:R7"/>
    <mergeCell ref="S5:S7"/>
    <mergeCell ref="T5:T7"/>
    <mergeCell ref="AG5:AG7"/>
    <mergeCell ref="AH5:AH7"/>
    <mergeCell ref="AI5:AI7"/>
    <mergeCell ref="AJ5:AJ7"/>
    <mergeCell ref="AK5:AK7"/>
    <mergeCell ref="AL5:AL7"/>
    <mergeCell ref="AA5:AA7"/>
    <mergeCell ref="AB5:AB7"/>
    <mergeCell ref="AC5:AC7"/>
    <mergeCell ref="AD5:AD7"/>
    <mergeCell ref="AE5:AE7"/>
    <mergeCell ref="AF5:AF7"/>
    <mergeCell ref="AS5:AS7"/>
    <mergeCell ref="AT5:AT7"/>
    <mergeCell ref="AU5:AU7"/>
    <mergeCell ref="AV5:AV7"/>
    <mergeCell ref="AW5:AW7"/>
    <mergeCell ref="AX5:AX7"/>
    <mergeCell ref="AM5:AM7"/>
    <mergeCell ref="AN5:AN7"/>
    <mergeCell ref="AO5:AO7"/>
    <mergeCell ref="AP5:AP7"/>
    <mergeCell ref="AQ5:AQ7"/>
    <mergeCell ref="AR5:AR7"/>
    <mergeCell ref="BE5:BE7"/>
    <mergeCell ref="BF5:BF7"/>
    <mergeCell ref="BG5:BG7"/>
    <mergeCell ref="BH5:BH7"/>
    <mergeCell ref="BI5:BI7"/>
    <mergeCell ref="BJ5:BJ7"/>
    <mergeCell ref="AY5:AY7"/>
    <mergeCell ref="AZ5:AZ7"/>
    <mergeCell ref="BA5:BA7"/>
    <mergeCell ref="BB5:BB7"/>
    <mergeCell ref="BC5:BC7"/>
    <mergeCell ref="BD5:BD7"/>
    <mergeCell ref="BQ5:BQ7"/>
    <mergeCell ref="BR5:BR7"/>
    <mergeCell ref="BS5:BS7"/>
    <mergeCell ref="BT5:BT7"/>
    <mergeCell ref="BU5:BU7"/>
    <mergeCell ref="BV5:BV7"/>
    <mergeCell ref="BK5:BK7"/>
    <mergeCell ref="BL5:BL7"/>
    <mergeCell ref="BM5:BM7"/>
    <mergeCell ref="BN5:BN7"/>
    <mergeCell ref="BO5:BO7"/>
    <mergeCell ref="BP5:BP7"/>
    <mergeCell ref="CC5:CC7"/>
    <mergeCell ref="CD5:CD7"/>
    <mergeCell ref="CE5:CE7"/>
    <mergeCell ref="CF5:CF7"/>
    <mergeCell ref="CG5:CG7"/>
    <mergeCell ref="CH5:CH7"/>
    <mergeCell ref="BW5:BW7"/>
    <mergeCell ref="BX5:BX7"/>
    <mergeCell ref="BY5:BY7"/>
    <mergeCell ref="BZ5:BZ7"/>
    <mergeCell ref="CA5:CA7"/>
    <mergeCell ref="CB5:CB7"/>
    <mergeCell ref="A11:D11"/>
    <mergeCell ref="A13:D13"/>
    <mergeCell ref="A14:D14"/>
    <mergeCell ref="A15:D15"/>
    <mergeCell ref="A17:D17"/>
    <mergeCell ref="A18:D18"/>
    <mergeCell ref="CU5:CU7"/>
    <mergeCell ref="CW6:DI6"/>
    <mergeCell ref="E7:F7"/>
    <mergeCell ref="G8:DI8"/>
    <mergeCell ref="A9:D9"/>
    <mergeCell ref="A10:D10"/>
    <mergeCell ref="CO5:CO7"/>
    <mergeCell ref="CP5:CP7"/>
    <mergeCell ref="CQ5:CQ7"/>
    <mergeCell ref="CR5:CR7"/>
    <mergeCell ref="CS5:CS7"/>
    <mergeCell ref="CT5:CT7"/>
    <mergeCell ref="CI5:CI7"/>
    <mergeCell ref="CJ5:CJ7"/>
    <mergeCell ref="CK5:CK7"/>
    <mergeCell ref="CL5:CL7"/>
    <mergeCell ref="CM5:CM7"/>
    <mergeCell ref="CN5:CN7"/>
    <mergeCell ref="A27:D27"/>
    <mergeCell ref="A28:D28"/>
    <mergeCell ref="A29:D29"/>
    <mergeCell ref="A30:D30"/>
    <mergeCell ref="E31:F31"/>
    <mergeCell ref="A19:D19"/>
    <mergeCell ref="A21:D21"/>
    <mergeCell ref="A22:D22"/>
    <mergeCell ref="A23:D23"/>
    <mergeCell ref="A25:D25"/>
    <mergeCell ref="A26:D26"/>
  </mergeCells>
  <conditionalFormatting sqref="E31:F31">
    <cfRule type="cellIs" dxfId="11" priority="1" operator="notEqual">
      <formula>$DR$30</formula>
    </cfRule>
    <cfRule type="cellIs" dxfId="10" priority="2" operator="equal">
      <formula>$DR$30</formula>
    </cfRule>
  </conditionalFormatting>
  <printOptions horizontalCentered="1" verticalCentered="1"/>
  <pageMargins left="0" right="0" top="0.39370078740157483" bottom="0.39370078740157483" header="0" footer="0"/>
  <pageSetup paperSize="8" scale="65" orientation="landscape" r:id="rId1"/>
  <headerFooter alignWithMargins="0">
    <oddHeader>&amp;R&amp;T;&amp;D</oddHeader>
    <oddFooter>&amp;L&amp;Z&amp;F&amp;R&amp;P/&amp;N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>
    <tabColor theme="8"/>
    <pageSetUpPr fitToPage="1"/>
  </sheetPr>
  <dimension ref="A1:AA43"/>
  <sheetViews>
    <sheetView zoomScale="85" zoomScaleNormal="85" zoomScaleSheetLayoutView="40" workbookViewId="0">
      <pane xSplit="2" ySplit="3" topLeftCell="C4" activePane="bottomRight" state="frozen"/>
      <selection activeCell="AA13" activeCellId="1" sqref="AA4:AA8 AA13:AB18"/>
      <selection pane="topRight" activeCell="AA13" activeCellId="1" sqref="AA4:AA8 AA13:AB18"/>
      <selection pane="bottomLeft" activeCell="AA13" activeCellId="1" sqref="AA4:AA8 AA13:AB18"/>
      <selection pane="bottomRight" activeCell="L9" sqref="L9"/>
    </sheetView>
  </sheetViews>
  <sheetFormatPr baseColWidth="10" defaultColWidth="11.42578125" defaultRowHeight="15" x14ac:dyDescent="0.2"/>
  <cols>
    <col min="1" max="1" width="27.42578125" style="8" customWidth="1"/>
    <col min="2" max="2" width="30.7109375" style="8" bestFit="1" customWidth="1"/>
    <col min="3" max="3" width="9.42578125" style="8" bestFit="1" customWidth="1"/>
    <col min="4" max="4" width="9.28515625" style="8" bestFit="1" customWidth="1"/>
    <col min="5" max="5" width="9.42578125" style="8" bestFit="1" customWidth="1"/>
    <col min="6" max="6" width="10.42578125" style="8" customWidth="1"/>
    <col min="7" max="7" width="9.85546875" style="8" customWidth="1"/>
    <col min="8" max="8" width="9.140625" style="8" bestFit="1" customWidth="1"/>
    <col min="9" max="9" width="9.28515625" style="8" bestFit="1" customWidth="1"/>
    <col min="10" max="10" width="9" style="8" bestFit="1" customWidth="1"/>
    <col min="11" max="11" width="9.42578125" style="8" bestFit="1" customWidth="1"/>
    <col min="12" max="12" width="8.5703125" style="8" bestFit="1" customWidth="1"/>
    <col min="13" max="14" width="9" style="8" bestFit="1" customWidth="1"/>
    <col min="15" max="15" width="9.42578125" style="8" bestFit="1" customWidth="1"/>
    <col min="16" max="16" width="9.28515625" style="8" bestFit="1" customWidth="1"/>
    <col min="17" max="17" width="9.42578125" style="8" bestFit="1" customWidth="1"/>
    <col min="18" max="18" width="8.5703125" style="8" bestFit="1" customWidth="1"/>
    <col min="19" max="19" width="8.5703125" style="9" bestFit="1" customWidth="1"/>
    <col min="20" max="21" width="8.5703125" style="8" bestFit="1" customWidth="1"/>
    <col min="22" max="22" width="9" style="8" bestFit="1" customWidth="1"/>
    <col min="23" max="23" width="9.42578125" style="8" bestFit="1" customWidth="1"/>
    <col min="24" max="24" width="8.5703125" style="8" bestFit="1" customWidth="1"/>
    <col min="25" max="26" width="9" style="8" bestFit="1" customWidth="1"/>
    <col min="27" max="16384" width="11.42578125" style="8"/>
  </cols>
  <sheetData>
    <row r="1" spans="1:27" ht="22.5" customHeight="1" thickBot="1" x14ac:dyDescent="0.25">
      <c r="A1" s="907" t="s">
        <v>75</v>
      </c>
      <c r="B1" s="908"/>
      <c r="C1" s="908"/>
      <c r="D1" s="908"/>
      <c r="E1" s="908"/>
      <c r="F1" s="908"/>
      <c r="G1" s="908"/>
      <c r="H1" s="908"/>
      <c r="I1" s="908"/>
      <c r="J1" s="908"/>
      <c r="K1" s="908"/>
      <c r="L1" s="908"/>
      <c r="M1" s="908"/>
      <c r="N1" s="908"/>
      <c r="O1" s="908"/>
      <c r="P1" s="908"/>
      <c r="Q1" s="908"/>
      <c r="R1" s="908"/>
      <c r="S1" s="908"/>
      <c r="T1" s="908"/>
      <c r="U1" s="908"/>
      <c r="V1" s="908"/>
      <c r="W1" s="908"/>
      <c r="X1" s="908"/>
      <c r="Y1" s="908"/>
      <c r="Z1" s="908"/>
      <c r="AA1" s="909"/>
    </row>
    <row r="2" spans="1:27" ht="21" customHeight="1" x14ac:dyDescent="0.2"/>
    <row r="3" spans="1:27" s="45" customFormat="1" ht="21" customHeight="1" x14ac:dyDescent="0.2">
      <c r="A3" s="407" t="s">
        <v>5</v>
      </c>
      <c r="B3" s="407" t="s">
        <v>36</v>
      </c>
      <c r="C3" s="436">
        <f>+FC!E3</f>
        <v>45383</v>
      </c>
      <c r="D3" s="436">
        <f>+FC!F3</f>
        <v>45413</v>
      </c>
      <c r="E3" s="436">
        <f>+FC!G3</f>
        <v>45444</v>
      </c>
      <c r="F3" s="436">
        <f>+FC!H3</f>
        <v>45474</v>
      </c>
      <c r="G3" s="436">
        <f>+FC!I3</f>
        <v>45505</v>
      </c>
      <c r="H3" s="436">
        <f>+FC!J3</f>
        <v>45536</v>
      </c>
      <c r="I3" s="436">
        <f>+FC!K3</f>
        <v>45566</v>
      </c>
      <c r="J3" s="436">
        <f>+FC!L3</f>
        <v>45597</v>
      </c>
      <c r="K3" s="436">
        <f>+FC!M3</f>
        <v>45627</v>
      </c>
      <c r="L3" s="436">
        <f>+FC!N3</f>
        <v>45658</v>
      </c>
      <c r="M3" s="436">
        <f>+FC!O3</f>
        <v>45689</v>
      </c>
      <c r="N3" s="436">
        <f>+FC!P3</f>
        <v>45717</v>
      </c>
      <c r="O3" s="436">
        <f>+FC!Q3</f>
        <v>45748</v>
      </c>
      <c r="P3" s="436">
        <f>+FC!R3</f>
        <v>45778</v>
      </c>
      <c r="Q3" s="436">
        <f>+FC!S3</f>
        <v>45809</v>
      </c>
      <c r="R3" s="436">
        <f>+FC!T3</f>
        <v>45839</v>
      </c>
      <c r="S3" s="436">
        <f>+FC!U3</f>
        <v>45870</v>
      </c>
      <c r="T3" s="436">
        <f>+FC!V3</f>
        <v>45901</v>
      </c>
      <c r="U3" s="436">
        <f>+FC!W3</f>
        <v>45931</v>
      </c>
      <c r="V3" s="436">
        <f>+FC!X3</f>
        <v>45962</v>
      </c>
      <c r="W3" s="436">
        <f>+FC!Y3</f>
        <v>45992</v>
      </c>
      <c r="X3" s="436" t="e">
        <f>+FC!#REF!</f>
        <v>#REF!</v>
      </c>
      <c r="Y3" s="436" t="e">
        <f>+FC!#REF!</f>
        <v>#REF!</v>
      </c>
      <c r="Z3" s="436" t="e">
        <f>+FC!#REF!</f>
        <v>#REF!</v>
      </c>
      <c r="AA3" s="407" t="s">
        <v>37</v>
      </c>
    </row>
    <row r="4" spans="1:27" x14ac:dyDescent="0.2">
      <c r="C4" s="46"/>
      <c r="D4" s="46"/>
      <c r="E4" s="46"/>
      <c r="F4" s="46"/>
      <c r="G4" s="46" t="s">
        <v>835</v>
      </c>
      <c r="H4" s="46" t="s">
        <v>986</v>
      </c>
      <c r="I4" s="46" t="s">
        <v>1021</v>
      </c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161"/>
    </row>
    <row r="5" spans="1:27" x14ac:dyDescent="0.2">
      <c r="A5" s="183" t="s">
        <v>38</v>
      </c>
      <c r="B5" s="183" t="s">
        <v>39</v>
      </c>
      <c r="C5" s="184"/>
      <c r="D5" s="184">
        <f>39+39</f>
        <v>78</v>
      </c>
      <c r="E5" s="184"/>
      <c r="F5" s="184">
        <f>39+39+39+39+2+39+39</f>
        <v>236</v>
      </c>
      <c r="G5" s="184">
        <f>39+39+39+39</f>
        <v>156</v>
      </c>
      <c r="H5" s="184">
        <v>591</v>
      </c>
      <c r="I5" s="184">
        <v>1076</v>
      </c>
      <c r="J5" s="184">
        <v>738</v>
      </c>
      <c r="K5" s="184">
        <v>553</v>
      </c>
      <c r="L5" s="184">
        <v>763</v>
      </c>
      <c r="M5" s="184"/>
      <c r="N5" s="184"/>
      <c r="O5" s="184"/>
      <c r="P5" s="184"/>
      <c r="Q5" s="184"/>
      <c r="R5" s="184"/>
      <c r="S5" s="184"/>
      <c r="T5" s="184"/>
      <c r="U5" s="184"/>
      <c r="V5" s="184"/>
      <c r="W5" s="184"/>
      <c r="X5" s="184"/>
      <c r="Y5" s="184"/>
      <c r="Z5" s="184"/>
      <c r="AA5" s="165">
        <f>SUM(C5:Z5)</f>
        <v>4191</v>
      </c>
    </row>
    <row r="6" spans="1:27" x14ac:dyDescent="0.2">
      <c r="A6" s="234"/>
      <c r="B6" s="234" t="s">
        <v>40</v>
      </c>
      <c r="C6" s="601"/>
      <c r="D6" s="601"/>
      <c r="E6" s="775">
        <v>16</v>
      </c>
      <c r="F6" s="775">
        <v>86.5</v>
      </c>
      <c r="G6" s="775">
        <v>31</v>
      </c>
      <c r="H6" s="775"/>
      <c r="I6" s="775">
        <v>427</v>
      </c>
      <c r="J6" s="775">
        <v>317.5</v>
      </c>
      <c r="K6" s="775">
        <v>222.5</v>
      </c>
      <c r="L6" s="775">
        <v>422</v>
      </c>
      <c r="M6" s="601"/>
      <c r="N6" s="601"/>
      <c r="O6" s="601"/>
      <c r="P6" s="601"/>
      <c r="Q6" s="601"/>
      <c r="R6" s="601"/>
      <c r="S6" s="601"/>
      <c r="T6" s="601"/>
      <c r="U6" s="601"/>
      <c r="V6" s="601"/>
      <c r="W6" s="601"/>
      <c r="X6" s="601"/>
      <c r="Y6" s="601"/>
      <c r="Z6" s="601"/>
      <c r="AA6" s="602">
        <f>SUM(C6:Z6)</f>
        <v>1522.5</v>
      </c>
    </row>
    <row r="7" spans="1:27" s="45" customFormat="1" x14ac:dyDescent="0.2">
      <c r="A7" s="603"/>
      <c r="B7" s="603" t="s">
        <v>41</v>
      </c>
      <c r="C7" s="604">
        <f t="shared" ref="C7:P7" si="0">SUM(C5:C6)</f>
        <v>0</v>
      </c>
      <c r="D7" s="604">
        <f t="shared" si="0"/>
        <v>78</v>
      </c>
      <c r="E7" s="604">
        <f t="shared" si="0"/>
        <v>16</v>
      </c>
      <c r="F7" s="604">
        <f t="shared" si="0"/>
        <v>322.5</v>
      </c>
      <c r="G7" s="604">
        <f>SUM(G5:G6)</f>
        <v>187</v>
      </c>
      <c r="H7" s="604">
        <f>SUM(H5:H6)</f>
        <v>591</v>
      </c>
      <c r="I7" s="604">
        <f>SUM(I5:I6)</f>
        <v>1503</v>
      </c>
      <c r="J7" s="604">
        <f>SUM(J5:J6)</f>
        <v>1055.5</v>
      </c>
      <c r="K7" s="604">
        <f>SUM(K5:K6)</f>
        <v>775.5</v>
      </c>
      <c r="L7" s="604">
        <f t="shared" si="0"/>
        <v>1185</v>
      </c>
      <c r="M7" s="604">
        <f t="shared" si="0"/>
        <v>0</v>
      </c>
      <c r="N7" s="604">
        <f t="shared" si="0"/>
        <v>0</v>
      </c>
      <c r="O7" s="604">
        <f t="shared" si="0"/>
        <v>0</v>
      </c>
      <c r="P7" s="604">
        <f t="shared" si="0"/>
        <v>0</v>
      </c>
      <c r="Q7" s="604">
        <f t="shared" ref="Q7:X7" si="1">SUM(Q5:Q6)</f>
        <v>0</v>
      </c>
      <c r="R7" s="604">
        <f t="shared" si="1"/>
        <v>0</v>
      </c>
      <c r="S7" s="604">
        <f t="shared" si="1"/>
        <v>0</v>
      </c>
      <c r="T7" s="604">
        <f t="shared" si="1"/>
        <v>0</v>
      </c>
      <c r="U7" s="604">
        <f t="shared" si="1"/>
        <v>0</v>
      </c>
      <c r="V7" s="604">
        <f t="shared" si="1"/>
        <v>0</v>
      </c>
      <c r="W7" s="604">
        <f t="shared" si="1"/>
        <v>0</v>
      </c>
      <c r="X7" s="604">
        <f t="shared" si="1"/>
        <v>0</v>
      </c>
      <c r="Y7" s="604">
        <f>SUM(Y5:Y6)</f>
        <v>0</v>
      </c>
      <c r="Z7" s="604">
        <f>SUM(Z5:Z6)</f>
        <v>0</v>
      </c>
      <c r="AA7" s="605">
        <f>SUM(C7:Z7)</f>
        <v>5713.5</v>
      </c>
    </row>
    <row r="8" spans="1:27" x14ac:dyDescent="0.2">
      <c r="E8" s="776" t="s">
        <v>1006</v>
      </c>
      <c r="F8" s="776"/>
      <c r="G8" s="777"/>
      <c r="H8" s="47"/>
      <c r="I8" s="47"/>
      <c r="J8" s="47"/>
      <c r="K8" s="47"/>
      <c r="L8" s="48"/>
      <c r="M8" s="48"/>
      <c r="N8" s="48"/>
      <c r="O8" s="48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161"/>
    </row>
    <row r="9" spans="1:27" x14ac:dyDescent="0.2">
      <c r="A9" s="183" t="s">
        <v>42</v>
      </c>
      <c r="B9" s="183" t="s">
        <v>43</v>
      </c>
      <c r="C9" s="186"/>
      <c r="D9" s="772">
        <f>908.48-SUM($C9:C9)</f>
        <v>908.48</v>
      </c>
      <c r="E9" s="772">
        <f>908.48+59.64-SUM($C9:D9)</f>
        <v>59.639999999999986</v>
      </c>
      <c r="F9" s="772">
        <f>4449.18-SUM($C9:E9)</f>
        <v>3481.0600000000004</v>
      </c>
      <c r="G9" s="772">
        <f>7669.5-SUM($C9:F9)</f>
        <v>3220.3199999999997</v>
      </c>
      <c r="H9" s="772">
        <f>17967.52-SUM($C9:G9)</f>
        <v>10298.02</v>
      </c>
      <c r="I9" s="772">
        <f>34690.6-SUM($C9:H9)</f>
        <v>16723.079999999998</v>
      </c>
      <c r="J9" s="772">
        <f>49554.77-SUM($C9:I9)</f>
        <v>14864.169999999998</v>
      </c>
      <c r="K9" s="772">
        <f>59540-SUM($C9:J9)</f>
        <v>9985.2300000000032</v>
      </c>
      <c r="L9" s="186">
        <f>0-SUM($C9:K9)</f>
        <v>-59540</v>
      </c>
      <c r="M9" s="186">
        <f>0-SUM($C9:L9)</f>
        <v>0</v>
      </c>
      <c r="N9" s="186">
        <f>0-SUM($C9:M9)</f>
        <v>0</v>
      </c>
      <c r="O9" s="186">
        <f>0-SUM($C9:N9)</f>
        <v>0</v>
      </c>
      <c r="P9" s="186">
        <f>0-SUM($C9:O9)</f>
        <v>0</v>
      </c>
      <c r="Q9" s="186">
        <f>0-SUM($C9:P9)</f>
        <v>0</v>
      </c>
      <c r="R9" s="186">
        <f>0-SUM($C9:Q9)</f>
        <v>0</v>
      </c>
      <c r="S9" s="186">
        <f>0-SUM($C9:R9)</f>
        <v>0</v>
      </c>
      <c r="T9" s="186">
        <f>0-SUM($C9:S9)</f>
        <v>0</v>
      </c>
      <c r="U9" s="186">
        <f>0-SUM($C9:T9)</f>
        <v>0</v>
      </c>
      <c r="V9" s="186">
        <f>0-SUM($C9:U9)</f>
        <v>0</v>
      </c>
      <c r="W9" s="186">
        <f>0-SUM($C9:V9)</f>
        <v>0</v>
      </c>
      <c r="X9" s="186">
        <f>0-SUM($C9:W9)</f>
        <v>0</v>
      </c>
      <c r="Y9" s="186">
        <f>0-SUM($C9:X9)</f>
        <v>0</v>
      </c>
      <c r="Z9" s="186">
        <f>0-SUM($C9:Y9)</f>
        <v>0</v>
      </c>
      <c r="AA9" s="187">
        <f>SUM(C9:Z9)</f>
        <v>0</v>
      </c>
    </row>
    <row r="10" spans="1:27" x14ac:dyDescent="0.2">
      <c r="A10" s="185"/>
      <c r="B10" s="185" t="s">
        <v>44</v>
      </c>
      <c r="C10" s="773">
        <v>9795.7800000000007</v>
      </c>
      <c r="D10" s="773">
        <f>9795.78+5880.94-SUM($C10:C10)</f>
        <v>5880.9400000000005</v>
      </c>
      <c r="E10" s="773">
        <f>15676.72+10301.7-SUM($C10:D10)</f>
        <v>10301.699999999997</v>
      </c>
      <c r="F10" s="773">
        <f>39190.96-SUM($C10:E10)</f>
        <v>13212.54</v>
      </c>
      <c r="G10" s="773">
        <f>43704.82-SUM($C10:F10)</f>
        <v>4513.8600000000006</v>
      </c>
      <c r="H10" s="773">
        <f>52501.28-SUM($C10:G10)</f>
        <v>8796.4599999999991</v>
      </c>
      <c r="I10" s="773">
        <f>61237.95-SUM($C10:H10)</f>
        <v>8736.6699999999983</v>
      </c>
      <c r="J10" s="773">
        <f>70056.68-SUM($C10:I10)</f>
        <v>8818.7299999999959</v>
      </c>
      <c r="K10" s="773">
        <f>77465.86-SUM($C10:J10)</f>
        <v>7409.1800000000076</v>
      </c>
      <c r="L10" s="188">
        <f>0-SUM($C10:K10)</f>
        <v>-77465.86</v>
      </c>
      <c r="M10" s="188">
        <f>0-SUM($C10:L10)</f>
        <v>0</v>
      </c>
      <c r="N10" s="188">
        <f>0-SUM($C10:M10)</f>
        <v>0</v>
      </c>
      <c r="O10" s="188">
        <f>0-SUM($C10:N10)</f>
        <v>0</v>
      </c>
      <c r="P10" s="188">
        <f>0-SUM($C10:O10)</f>
        <v>0</v>
      </c>
      <c r="Q10" s="188">
        <f>0-SUM($C10:P10)</f>
        <v>0</v>
      </c>
      <c r="R10" s="188">
        <f>0-SUM($C10:Q10)</f>
        <v>0</v>
      </c>
      <c r="S10" s="188">
        <f>0-SUM($C10:R10)</f>
        <v>0</v>
      </c>
      <c r="T10" s="188">
        <f>0-SUM($C10:S10)</f>
        <v>0</v>
      </c>
      <c r="U10" s="188">
        <f>0-SUM($C10:T10)</f>
        <v>0</v>
      </c>
      <c r="V10" s="188">
        <f>0-SUM($C10:U10)</f>
        <v>0</v>
      </c>
      <c r="W10" s="188">
        <f>0-SUM($C10:V10)</f>
        <v>0</v>
      </c>
      <c r="X10" s="188">
        <f>0-SUM($C10:W10)</f>
        <v>0</v>
      </c>
      <c r="Y10" s="188">
        <f>0-SUM($C10:X10)</f>
        <v>0</v>
      </c>
      <c r="Z10" s="188">
        <f>0-SUM($C10:Y10)</f>
        <v>0</v>
      </c>
      <c r="AA10" s="189">
        <f t="shared" ref="AA10:AA15" si="2">SUM(C10:Z10)</f>
        <v>0</v>
      </c>
    </row>
    <row r="11" spans="1:27" x14ac:dyDescent="0.2">
      <c r="A11" s="185"/>
      <c r="B11" s="185" t="s">
        <v>45</v>
      </c>
      <c r="C11" s="773">
        <v>487.1</v>
      </c>
      <c r="D11" s="773">
        <f>487.1+168.7+710.88-SUM($C11:C11)</f>
        <v>879.57999999999981</v>
      </c>
      <c r="E11" s="773">
        <f>440.17+659.99-SUM($C11:D11)+SUM($C11:D11)</f>
        <v>1100.1600000000001</v>
      </c>
      <c r="F11" s="773">
        <f>4671.78-SUM($C11:E11)</f>
        <v>2204.9399999999996</v>
      </c>
      <c r="G11" s="773">
        <f>5468.92-SUM($C11:F11)</f>
        <v>797.14000000000033</v>
      </c>
      <c r="H11" s="773">
        <f>7990.56-SUM($C11:G11)</f>
        <v>2521.6400000000003</v>
      </c>
      <c r="I11" s="773">
        <f>11008.62-SUM($C11:H11)</f>
        <v>3018.0600000000004</v>
      </c>
      <c r="J11" s="773">
        <f>13169.59-SUM($C11:I11)</f>
        <v>2160.9699999999993</v>
      </c>
      <c r="K11" s="773">
        <f>14767.24-SUM($C11:J11)</f>
        <v>1597.6499999999996</v>
      </c>
      <c r="L11" s="188">
        <f>0-SUM($C11:K11)</f>
        <v>-14767.24</v>
      </c>
      <c r="M11" s="188">
        <f>0-SUM($C11:L11)</f>
        <v>0</v>
      </c>
      <c r="N11" s="188">
        <f>0-SUM($C11:M11)</f>
        <v>0</v>
      </c>
      <c r="O11" s="188">
        <f>0-SUM($C11:N11)</f>
        <v>0</v>
      </c>
      <c r="P11" s="188">
        <f>0-SUM($C11:O11)</f>
        <v>0</v>
      </c>
      <c r="Q11" s="188">
        <f>0-SUM($C11:P11)</f>
        <v>0</v>
      </c>
      <c r="R11" s="188">
        <f>0-SUM($C11:Q11)</f>
        <v>0</v>
      </c>
      <c r="S11" s="188">
        <f>0-SUM($C11:R11)</f>
        <v>0</v>
      </c>
      <c r="T11" s="188">
        <f>0-SUM($C11:S11)</f>
        <v>0</v>
      </c>
      <c r="U11" s="188">
        <f>0-SUM($C11:T11)</f>
        <v>0</v>
      </c>
      <c r="V11" s="188">
        <f>0-SUM($C11:U11)</f>
        <v>0</v>
      </c>
      <c r="W11" s="188">
        <f>0-SUM($C11:V11)</f>
        <v>0</v>
      </c>
      <c r="X11" s="188">
        <f>0-SUM($C11:W11)</f>
        <v>0</v>
      </c>
      <c r="Y11" s="188">
        <f>0-SUM($C11:X11)</f>
        <v>0</v>
      </c>
      <c r="Z11" s="188">
        <f>0-SUM($C11:Y11)</f>
        <v>0</v>
      </c>
      <c r="AA11" s="190">
        <f t="shared" si="2"/>
        <v>0</v>
      </c>
    </row>
    <row r="12" spans="1:27" x14ac:dyDescent="0.2">
      <c r="A12" s="185"/>
      <c r="B12" s="185" t="s">
        <v>46</v>
      </c>
      <c r="C12" s="773">
        <v>6944.85</v>
      </c>
      <c r="D12" s="773">
        <v>5000</v>
      </c>
      <c r="E12" s="773">
        <v>2000</v>
      </c>
      <c r="F12" s="773">
        <f>219.6+276.12+8113.13+10071.39+1190.77+1027.44+50.68+1763.14+714.47+278.57+165.3+205.11-SUM($C12:E12)</f>
        <v>10130.869999999997</v>
      </c>
      <c r="G12" s="773">
        <f>30424.88-SUM($C12:F12)</f>
        <v>6349.1600000000035</v>
      </c>
      <c r="H12" s="773">
        <f>41220.35-SUM($C12:G12)</f>
        <v>10795.469999999998</v>
      </c>
      <c r="I12" s="773">
        <f>54337.81-SUM($C12:H12)</f>
        <v>13117.46</v>
      </c>
      <c r="J12" s="773">
        <f>67623.82-SUM($C12:I12)</f>
        <v>13286.010000000009</v>
      </c>
      <c r="K12" s="773">
        <f>77688.64-SUM($C12:J12)</f>
        <v>10064.819999999992</v>
      </c>
      <c r="L12" s="188">
        <f>0-SUM($C12:K12)</f>
        <v>-77688.639999999999</v>
      </c>
      <c r="M12" s="188">
        <f>0-SUM($C12:L12)</f>
        <v>0</v>
      </c>
      <c r="N12" s="188">
        <f>0-SUM($C12:M12)</f>
        <v>0</v>
      </c>
      <c r="O12" s="188">
        <f>0-SUM($C12:N12)</f>
        <v>0</v>
      </c>
      <c r="P12" s="188">
        <f>0-SUM($C12:O12)</f>
        <v>0</v>
      </c>
      <c r="Q12" s="188">
        <f>0-SUM($C12:P12)</f>
        <v>0</v>
      </c>
      <c r="R12" s="188">
        <f>0-SUM($C12:Q12)</f>
        <v>0</v>
      </c>
      <c r="S12" s="188">
        <f>0-SUM($C12:R12)</f>
        <v>0</v>
      </c>
      <c r="T12" s="188">
        <f>0-SUM($C12:S12)</f>
        <v>0</v>
      </c>
      <c r="U12" s="188">
        <f>0-SUM($C12:T12)</f>
        <v>0</v>
      </c>
      <c r="V12" s="188">
        <f>0-SUM($C12:U12)</f>
        <v>0</v>
      </c>
      <c r="W12" s="188">
        <f>0-SUM($C12:V12)</f>
        <v>0</v>
      </c>
      <c r="X12" s="188">
        <f>0-SUM($C12:W12)</f>
        <v>0</v>
      </c>
      <c r="Y12" s="188">
        <f>0-SUM($C12:X12)</f>
        <v>0</v>
      </c>
      <c r="Z12" s="188">
        <f>0-SUM($C12:Y12)</f>
        <v>0</v>
      </c>
      <c r="AA12" s="190">
        <f t="shared" si="2"/>
        <v>0</v>
      </c>
    </row>
    <row r="13" spans="1:27" x14ac:dyDescent="0.2">
      <c r="A13" s="185"/>
      <c r="B13" s="185" t="s">
        <v>47</v>
      </c>
      <c r="C13" s="773">
        <f>4.87+2.75+2.33+4.18+19.54+10.02+7.39+11.32+9.75+5.51+4.66+8.35+39.06+20.03+14.77+22.61+3.72+2.1+1.78+3.19+14.9+7.64+5.64+8.63</f>
        <v>234.74</v>
      </c>
      <c r="D13" s="773">
        <f>42.13+84.19+32.13</f>
        <v>158.44999999999999</v>
      </c>
      <c r="E13" s="773">
        <f>64.28+128.53+49.03</f>
        <v>241.84</v>
      </c>
      <c r="F13" s="773">
        <f>271.84+543.79+207.34-SUM($C13:E13)</f>
        <v>387.93999999999994</v>
      </c>
      <c r="G13" s="773">
        <f>1251.25-SUM($C13:F13)</f>
        <v>228.28000000000009</v>
      </c>
      <c r="H13" s="773">
        <f>1703.11-SUM($C13:G13)</f>
        <v>451.8599999999999</v>
      </c>
      <c r="I13" s="773">
        <f>2303.37-SUM($C13:H13)</f>
        <v>600.26</v>
      </c>
      <c r="J13" s="773">
        <f>2864.51-SUM($C13:I13)</f>
        <v>561.14000000000033</v>
      </c>
      <c r="K13" s="773">
        <f>3276.68-SUM($C13:J13)</f>
        <v>412.16999999999962</v>
      </c>
      <c r="L13" s="188">
        <f>0-SUM($C13:K13)</f>
        <v>-3276.68</v>
      </c>
      <c r="M13" s="188">
        <f>0-SUM($C13:L13)</f>
        <v>0</v>
      </c>
      <c r="N13" s="188">
        <f>0-SUM($C13:M13)</f>
        <v>0</v>
      </c>
      <c r="O13" s="188">
        <f>0-SUM($C13:N13)</f>
        <v>0</v>
      </c>
      <c r="P13" s="188">
        <f>0-SUM($C13:O13)</f>
        <v>0</v>
      </c>
      <c r="Q13" s="188">
        <f>0-SUM($C13:P13)</f>
        <v>0</v>
      </c>
      <c r="R13" s="188">
        <f>0-SUM($C13:Q13)</f>
        <v>0</v>
      </c>
      <c r="S13" s="188">
        <f>0-SUM($C13:R13)</f>
        <v>0</v>
      </c>
      <c r="T13" s="188">
        <f>0-SUM($C13:S13)</f>
        <v>0</v>
      </c>
      <c r="U13" s="188">
        <f>0-SUM($C13:T13)</f>
        <v>0</v>
      </c>
      <c r="V13" s="188">
        <f>0-SUM($C13:U13)</f>
        <v>0</v>
      </c>
      <c r="W13" s="188">
        <f>0-SUM($C13:V13)</f>
        <v>0</v>
      </c>
      <c r="X13" s="188">
        <f>0-SUM($C13:W13)</f>
        <v>0</v>
      </c>
      <c r="Y13" s="188">
        <f>0-SUM($C13:X13)</f>
        <v>0</v>
      </c>
      <c r="Z13" s="188">
        <f>0-SUM($C13:Y13)</f>
        <v>0</v>
      </c>
      <c r="AA13" s="190">
        <f t="shared" si="2"/>
        <v>0</v>
      </c>
    </row>
    <row r="14" spans="1:27" x14ac:dyDescent="0.2">
      <c r="A14" s="185"/>
      <c r="B14" s="185" t="s">
        <v>48</v>
      </c>
      <c r="C14" s="188"/>
      <c r="D14" s="188">
        <f>0-SUM($C14:C14)</f>
        <v>0</v>
      </c>
      <c r="E14" s="773">
        <v>401.66</v>
      </c>
      <c r="F14" s="773">
        <f>1303.26+1063.64</f>
        <v>2366.9</v>
      </c>
      <c r="G14" s="773">
        <f>3549.98-SUM($C14:F14)</f>
        <v>781.42000000000007</v>
      </c>
      <c r="H14" s="773">
        <f>3549.98-SUM($C14:G14)</f>
        <v>0</v>
      </c>
      <c r="I14" s="773">
        <f>16157.63-SUM($C14:H14)</f>
        <v>12607.65</v>
      </c>
      <c r="J14" s="773">
        <f>26499.51-SUM($C14:I14)</f>
        <v>10341.879999999999</v>
      </c>
      <c r="K14" s="773">
        <f>33218.39-SUM($C14:J14)</f>
        <v>6718.880000000001</v>
      </c>
      <c r="L14" s="188">
        <f>0-SUM($C14:K14)</f>
        <v>-33218.39</v>
      </c>
      <c r="M14" s="188">
        <f>0-SUM($C14:L14)</f>
        <v>0</v>
      </c>
      <c r="N14" s="188">
        <f>0-SUM($C14:M14)</f>
        <v>0</v>
      </c>
      <c r="O14" s="188">
        <f>0-SUM($C14:N14)</f>
        <v>0</v>
      </c>
      <c r="P14" s="188">
        <f>0-SUM($C14:O14)</f>
        <v>0</v>
      </c>
      <c r="Q14" s="188">
        <f>0-SUM($C14:P14)</f>
        <v>0</v>
      </c>
      <c r="R14" s="188">
        <f>0-SUM($C14:Q14)</f>
        <v>0</v>
      </c>
      <c r="S14" s="188">
        <f>0-SUM($C14:R14)</f>
        <v>0</v>
      </c>
      <c r="T14" s="188">
        <f>0-SUM($C14:S14)</f>
        <v>0</v>
      </c>
      <c r="U14" s="188">
        <f>0-SUM($C14:T14)</f>
        <v>0</v>
      </c>
      <c r="V14" s="188">
        <f>0-SUM($C14:U14)</f>
        <v>0</v>
      </c>
      <c r="W14" s="188">
        <f>0-SUM($C14:V14)</f>
        <v>0</v>
      </c>
      <c r="X14" s="188">
        <f>0-SUM($C14:W14)</f>
        <v>0</v>
      </c>
      <c r="Y14" s="188">
        <f>0-SUM($C14:X14)</f>
        <v>0</v>
      </c>
      <c r="Z14" s="188">
        <f>0-SUM($C14:Y14)</f>
        <v>0</v>
      </c>
      <c r="AA14" s="189">
        <f>SUM(C14:Z14)</f>
        <v>0</v>
      </c>
    </row>
    <row r="15" spans="1:27" x14ac:dyDescent="0.2">
      <c r="A15" s="191"/>
      <c r="B15" s="191" t="s">
        <v>49</v>
      </c>
      <c r="C15" s="192"/>
      <c r="D15" s="774">
        <f>129.15-SUM($C15:C15)</f>
        <v>129.15</v>
      </c>
      <c r="E15" s="774">
        <f>129.15+546.4-SUM($C15:D15)</f>
        <v>546.4</v>
      </c>
      <c r="F15" s="774">
        <f>1443.8-SUM($C15:E15)</f>
        <v>768.25</v>
      </c>
      <c r="G15" s="774">
        <f>1716.45-SUM($C15:F15)</f>
        <v>272.65000000000009</v>
      </c>
      <c r="H15" s="774">
        <f>2591.8-SUM($C15:G15)</f>
        <v>875.35000000000014</v>
      </c>
      <c r="I15" s="774">
        <f>3000.5-SUM($C15:H15)</f>
        <v>408.69999999999982</v>
      </c>
      <c r="J15" s="774">
        <f>3409.2-SUM($C15:I15)</f>
        <v>408.69999999999982</v>
      </c>
      <c r="K15" s="774">
        <f>3704-SUM($C15:J15)</f>
        <v>294.80000000000018</v>
      </c>
      <c r="L15" s="192">
        <f>0-SUM($C15:K15)</f>
        <v>-3704</v>
      </c>
      <c r="M15" s="192">
        <f>0-SUM($C15:L15)</f>
        <v>0</v>
      </c>
      <c r="N15" s="192">
        <f>0-SUM($C15:M15)</f>
        <v>0</v>
      </c>
      <c r="O15" s="192">
        <f>0-SUM($C15:N15)</f>
        <v>0</v>
      </c>
      <c r="P15" s="192">
        <f>0-SUM($C15:O15)</f>
        <v>0</v>
      </c>
      <c r="Q15" s="192">
        <f>0-SUM($C15:P15)</f>
        <v>0</v>
      </c>
      <c r="R15" s="192">
        <f>0-SUM($C15:Q15)</f>
        <v>0</v>
      </c>
      <c r="S15" s="192">
        <f>0-SUM($C15:R15)</f>
        <v>0</v>
      </c>
      <c r="T15" s="192">
        <f>0-SUM($C15:S15)</f>
        <v>0</v>
      </c>
      <c r="U15" s="192">
        <f>0-SUM($C15:T15)</f>
        <v>0</v>
      </c>
      <c r="V15" s="192">
        <f>0-SUM($C15:U15)</f>
        <v>0</v>
      </c>
      <c r="W15" s="192">
        <f>0-SUM($C15:V15)</f>
        <v>0</v>
      </c>
      <c r="X15" s="192">
        <f>0-SUM($C15:W15)</f>
        <v>0</v>
      </c>
      <c r="Y15" s="192">
        <f>0-SUM($C15:X15)</f>
        <v>0</v>
      </c>
      <c r="Z15" s="192">
        <f>0-SUM($C15:Y15)</f>
        <v>0</v>
      </c>
      <c r="AA15" s="193">
        <f t="shared" si="2"/>
        <v>0</v>
      </c>
    </row>
    <row r="16" spans="1:27" x14ac:dyDescent="0.2">
      <c r="M16" s="11"/>
      <c r="N16" s="11"/>
      <c r="O16" s="11"/>
      <c r="S16" s="8"/>
      <c r="AA16" s="162"/>
    </row>
    <row r="17" spans="1:27" x14ac:dyDescent="0.2">
      <c r="A17" s="183" t="s">
        <v>50</v>
      </c>
      <c r="B17" s="183" t="s">
        <v>51</v>
      </c>
      <c r="C17" s="194">
        <f>(C9)/(C9+C10)</f>
        <v>0</v>
      </c>
      <c r="D17" s="194">
        <f t="shared" ref="D17:P17" si="3">(D9)/(D9+D10)</f>
        <v>0.13380818980119069</v>
      </c>
      <c r="E17" s="194">
        <f t="shared" si="3"/>
        <v>5.7560122532413771E-3</v>
      </c>
      <c r="F17" s="194">
        <f t="shared" si="3"/>
        <v>0.20852662098049551</v>
      </c>
      <c r="G17" s="194">
        <f t="shared" si="3"/>
        <v>0.41637510376019171</v>
      </c>
      <c r="H17" s="194">
        <f t="shared" si="3"/>
        <v>0.53931921686267448</v>
      </c>
      <c r="I17" s="194">
        <f t="shared" si="3"/>
        <v>0.6568438417502136</v>
      </c>
      <c r="J17" s="194">
        <f t="shared" si="3"/>
        <v>0.62763301791588033</v>
      </c>
      <c r="K17" s="194">
        <f t="shared" si="3"/>
        <v>0.57404821434012399</v>
      </c>
      <c r="L17" s="194">
        <f t="shared" si="3"/>
        <v>0.43457995154367857</v>
      </c>
      <c r="M17" s="194" t="e">
        <f t="shared" si="3"/>
        <v>#DIV/0!</v>
      </c>
      <c r="N17" s="194" t="e">
        <f t="shared" si="3"/>
        <v>#DIV/0!</v>
      </c>
      <c r="O17" s="194" t="e">
        <f t="shared" si="3"/>
        <v>#DIV/0!</v>
      </c>
      <c r="P17" s="194" t="e">
        <f t="shared" si="3"/>
        <v>#DIV/0!</v>
      </c>
      <c r="Q17" s="194" t="e">
        <f t="shared" ref="Q17:X17" si="4">(Q9)/(Q9+Q10)</f>
        <v>#DIV/0!</v>
      </c>
      <c r="R17" s="194" t="e">
        <f t="shared" si="4"/>
        <v>#DIV/0!</v>
      </c>
      <c r="S17" s="194" t="e">
        <f t="shared" si="4"/>
        <v>#DIV/0!</v>
      </c>
      <c r="T17" s="194" t="e">
        <f t="shared" si="4"/>
        <v>#DIV/0!</v>
      </c>
      <c r="U17" s="194" t="e">
        <f t="shared" si="4"/>
        <v>#DIV/0!</v>
      </c>
      <c r="V17" s="194" t="e">
        <f t="shared" si="4"/>
        <v>#DIV/0!</v>
      </c>
      <c r="W17" s="194" t="e">
        <f t="shared" si="4"/>
        <v>#DIV/0!</v>
      </c>
      <c r="X17" s="194" t="e">
        <f t="shared" si="4"/>
        <v>#DIV/0!</v>
      </c>
      <c r="Y17" s="194" t="e">
        <f>(Y9)/(Y9+Y10)</f>
        <v>#DIV/0!</v>
      </c>
      <c r="Z17" s="194" t="e">
        <f>(Z9)/(Z9+Z10)</f>
        <v>#DIV/0!</v>
      </c>
      <c r="AA17" s="195" t="e">
        <f>(AA9)/(AA9+AA10)</f>
        <v>#DIV/0!</v>
      </c>
    </row>
    <row r="18" spans="1:27" x14ac:dyDescent="0.2">
      <c r="A18" s="191"/>
      <c r="B18" s="191" t="s">
        <v>52</v>
      </c>
      <c r="C18" s="196">
        <f>C10/(C9+C10)</f>
        <v>1</v>
      </c>
      <c r="D18" s="196">
        <f t="shared" ref="D18:P18" si="5">D10/(D9+D10)</f>
        <v>0.86619181019880942</v>
      </c>
      <c r="E18" s="196">
        <f t="shared" si="5"/>
        <v>0.99424398774675871</v>
      </c>
      <c r="F18" s="196">
        <f t="shared" si="5"/>
        <v>0.79147337901950443</v>
      </c>
      <c r="G18" s="196">
        <f t="shared" si="5"/>
        <v>0.58362489623980829</v>
      </c>
      <c r="H18" s="196">
        <f t="shared" si="5"/>
        <v>0.46068078313732552</v>
      </c>
      <c r="I18" s="196">
        <f t="shared" si="5"/>
        <v>0.3431561582497864</v>
      </c>
      <c r="J18" s="196">
        <f t="shared" si="5"/>
        <v>0.37236698208411967</v>
      </c>
      <c r="K18" s="196">
        <f t="shared" si="5"/>
        <v>0.42595178565987596</v>
      </c>
      <c r="L18" s="196">
        <f t="shared" si="5"/>
        <v>0.56542004845632154</v>
      </c>
      <c r="M18" s="196" t="e">
        <f t="shared" si="5"/>
        <v>#DIV/0!</v>
      </c>
      <c r="N18" s="196" t="e">
        <f t="shared" si="5"/>
        <v>#DIV/0!</v>
      </c>
      <c r="O18" s="196" t="e">
        <f t="shared" si="5"/>
        <v>#DIV/0!</v>
      </c>
      <c r="P18" s="196" t="e">
        <f t="shared" si="5"/>
        <v>#DIV/0!</v>
      </c>
      <c r="Q18" s="196" t="e">
        <f t="shared" ref="Q18:X18" si="6">Q10/(Q9+Q10)</f>
        <v>#DIV/0!</v>
      </c>
      <c r="R18" s="196" t="e">
        <f t="shared" si="6"/>
        <v>#DIV/0!</v>
      </c>
      <c r="S18" s="196" t="e">
        <f t="shared" si="6"/>
        <v>#DIV/0!</v>
      </c>
      <c r="T18" s="196" t="e">
        <f t="shared" si="6"/>
        <v>#DIV/0!</v>
      </c>
      <c r="U18" s="196" t="e">
        <f t="shared" si="6"/>
        <v>#DIV/0!</v>
      </c>
      <c r="V18" s="196" t="e">
        <f t="shared" si="6"/>
        <v>#DIV/0!</v>
      </c>
      <c r="W18" s="196" t="e">
        <f t="shared" si="6"/>
        <v>#DIV/0!</v>
      </c>
      <c r="X18" s="196" t="e">
        <f t="shared" si="6"/>
        <v>#DIV/0!</v>
      </c>
      <c r="Y18" s="196" t="e">
        <f>Y10/(Y9+Y10)</f>
        <v>#DIV/0!</v>
      </c>
      <c r="Z18" s="196" t="e">
        <f>Z10/(Z9+Z10)</f>
        <v>#DIV/0!</v>
      </c>
      <c r="AA18" s="197" t="e">
        <f>AA10/(AA9+AA10)</f>
        <v>#DIV/0!</v>
      </c>
    </row>
    <row r="19" spans="1:27" x14ac:dyDescent="0.2">
      <c r="S19" s="8"/>
      <c r="AA19" s="162"/>
    </row>
    <row r="20" spans="1:27" x14ac:dyDescent="0.2">
      <c r="A20" s="183" t="s">
        <v>53</v>
      </c>
      <c r="B20" s="183" t="s">
        <v>51</v>
      </c>
      <c r="C20" s="186">
        <f>(C12+C13+C11)*C17</f>
        <v>0</v>
      </c>
      <c r="D20" s="186">
        <f t="shared" ref="D20:P20" si="7">(D12+D13+D11)*D17</f>
        <v>807.93786426528345</v>
      </c>
      <c r="E20" s="186">
        <f t="shared" si="7"/>
        <v>19.236592950332682</v>
      </c>
      <c r="F20" s="186">
        <f t="shared" si="7"/>
        <v>2653.2405937005792</v>
      </c>
      <c r="G20" s="186">
        <f t="shared" si="7"/>
        <v>3070.5915126878363</v>
      </c>
      <c r="H20" s="186">
        <f t="shared" si="7"/>
        <v>7425.8701174056578</v>
      </c>
      <c r="I20" s="186">
        <f t="shared" si="7"/>
        <v>10992.794029886389</v>
      </c>
      <c r="J20" s="186">
        <f t="shared" si="7"/>
        <v>10047.224666759568</v>
      </c>
      <c r="K20" s="186">
        <f t="shared" si="7"/>
        <v>6931.4255307998301</v>
      </c>
      <c r="L20" s="186">
        <f t="shared" si="7"/>
        <v>-41603.451285952302</v>
      </c>
      <c r="M20" s="186" t="e">
        <f t="shared" si="7"/>
        <v>#DIV/0!</v>
      </c>
      <c r="N20" s="186" t="e">
        <f t="shared" si="7"/>
        <v>#DIV/0!</v>
      </c>
      <c r="O20" s="186" t="e">
        <f t="shared" si="7"/>
        <v>#DIV/0!</v>
      </c>
      <c r="P20" s="186" t="e">
        <f t="shared" si="7"/>
        <v>#DIV/0!</v>
      </c>
      <c r="Q20" s="186" t="e">
        <f t="shared" ref="Q20:X20" si="8">(Q12+Q13+Q11)*Q17</f>
        <v>#DIV/0!</v>
      </c>
      <c r="R20" s="186" t="e">
        <f t="shared" si="8"/>
        <v>#DIV/0!</v>
      </c>
      <c r="S20" s="186" t="e">
        <f t="shared" si="8"/>
        <v>#DIV/0!</v>
      </c>
      <c r="T20" s="186" t="e">
        <f t="shared" si="8"/>
        <v>#DIV/0!</v>
      </c>
      <c r="U20" s="186" t="e">
        <f t="shared" si="8"/>
        <v>#DIV/0!</v>
      </c>
      <c r="V20" s="186" t="e">
        <f t="shared" si="8"/>
        <v>#DIV/0!</v>
      </c>
      <c r="W20" s="186" t="e">
        <f t="shared" si="8"/>
        <v>#DIV/0!</v>
      </c>
      <c r="X20" s="186" t="e">
        <f t="shared" si="8"/>
        <v>#DIV/0!</v>
      </c>
      <c r="Y20" s="186" t="e">
        <f>(Y12+Y13+Y11)*Y17</f>
        <v>#DIV/0!</v>
      </c>
      <c r="Z20" s="186" t="e">
        <f>(Z12+Z13+Z11)*Z17</f>
        <v>#DIV/0!</v>
      </c>
      <c r="AA20" s="198" t="e">
        <f>(AA12+AA13+AA11)*AA17</f>
        <v>#DIV/0!</v>
      </c>
    </row>
    <row r="21" spans="1:27" x14ac:dyDescent="0.2">
      <c r="A21" s="191"/>
      <c r="B21" s="191" t="s">
        <v>52</v>
      </c>
      <c r="C21" s="192">
        <f>(C12+C13+C11)*C18</f>
        <v>7666.6900000000005</v>
      </c>
      <c r="D21" s="192">
        <f t="shared" ref="D21:P21" si="9">(D12+D13+D11)*D18</f>
        <v>5230.092135734717</v>
      </c>
      <c r="E21" s="192">
        <f t="shared" si="9"/>
        <v>3322.7634070496674</v>
      </c>
      <c r="F21" s="192">
        <f t="shared" si="9"/>
        <v>10070.509406299416</v>
      </c>
      <c r="G21" s="192">
        <f t="shared" si="9"/>
        <v>4303.9884873121673</v>
      </c>
      <c r="H21" s="192">
        <f t="shared" si="9"/>
        <v>6343.0998825943398</v>
      </c>
      <c r="I21" s="192">
        <f t="shared" si="9"/>
        <v>5742.9859701136102</v>
      </c>
      <c r="J21" s="192">
        <f t="shared" si="9"/>
        <v>5960.8953332404408</v>
      </c>
      <c r="K21" s="192">
        <f t="shared" si="9"/>
        <v>5143.2144692001611</v>
      </c>
      <c r="L21" s="192">
        <f t="shared" si="9"/>
        <v>-54129.10871404771</v>
      </c>
      <c r="M21" s="192" t="e">
        <f t="shared" si="9"/>
        <v>#DIV/0!</v>
      </c>
      <c r="N21" s="192" t="e">
        <f t="shared" si="9"/>
        <v>#DIV/0!</v>
      </c>
      <c r="O21" s="192" t="e">
        <f t="shared" si="9"/>
        <v>#DIV/0!</v>
      </c>
      <c r="P21" s="192" t="e">
        <f t="shared" si="9"/>
        <v>#DIV/0!</v>
      </c>
      <c r="Q21" s="192" t="e">
        <f t="shared" ref="Q21:X21" si="10">(Q12+Q13+Q11)*Q18</f>
        <v>#DIV/0!</v>
      </c>
      <c r="R21" s="192" t="e">
        <f t="shared" si="10"/>
        <v>#DIV/0!</v>
      </c>
      <c r="S21" s="192" t="e">
        <f t="shared" si="10"/>
        <v>#DIV/0!</v>
      </c>
      <c r="T21" s="192" t="e">
        <f t="shared" si="10"/>
        <v>#DIV/0!</v>
      </c>
      <c r="U21" s="192" t="e">
        <f t="shared" si="10"/>
        <v>#DIV/0!</v>
      </c>
      <c r="V21" s="192" t="e">
        <f t="shared" si="10"/>
        <v>#DIV/0!</v>
      </c>
      <c r="W21" s="192" t="e">
        <f t="shared" si="10"/>
        <v>#DIV/0!</v>
      </c>
      <c r="X21" s="192" t="e">
        <f t="shared" si="10"/>
        <v>#DIV/0!</v>
      </c>
      <c r="Y21" s="192" t="e">
        <f>(Y12+Y13+Y11)*Y18</f>
        <v>#DIV/0!</v>
      </c>
      <c r="Z21" s="192" t="e">
        <f>(Z12+Z13+Z11)*Z18</f>
        <v>#DIV/0!</v>
      </c>
      <c r="AA21" s="199" t="e">
        <f>(AA12+AA13+AA11)*AA18</f>
        <v>#DIV/0!</v>
      </c>
    </row>
    <row r="22" spans="1:27" x14ac:dyDescent="0.2"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162"/>
    </row>
    <row r="23" spans="1:27" x14ac:dyDescent="0.2">
      <c r="A23" s="183" t="s">
        <v>54</v>
      </c>
      <c r="B23" s="183" t="s">
        <v>51</v>
      </c>
      <c r="C23" s="186">
        <f>C9+C15+C20</f>
        <v>0</v>
      </c>
      <c r="D23" s="186">
        <f t="shared" ref="D23:AA23" si="11">D9+D15+D20</f>
        <v>1845.5678642652836</v>
      </c>
      <c r="E23" s="186">
        <f t="shared" si="11"/>
        <v>625.27659295033266</v>
      </c>
      <c r="F23" s="186">
        <f t="shared" si="11"/>
        <v>6902.5505937005801</v>
      </c>
      <c r="G23" s="186">
        <f t="shared" si="11"/>
        <v>6563.5615126878365</v>
      </c>
      <c r="H23" s="186">
        <f t="shared" si="11"/>
        <v>18599.240117405658</v>
      </c>
      <c r="I23" s="186">
        <f t="shared" si="11"/>
        <v>28124.574029886389</v>
      </c>
      <c r="J23" s="186">
        <f t="shared" si="11"/>
        <v>25320.094666759567</v>
      </c>
      <c r="K23" s="186">
        <f t="shared" si="11"/>
        <v>17211.455530799831</v>
      </c>
      <c r="L23" s="186">
        <f t="shared" si="11"/>
        <v>-104847.45128595229</v>
      </c>
      <c r="M23" s="186" t="e">
        <f t="shared" si="11"/>
        <v>#DIV/0!</v>
      </c>
      <c r="N23" s="186" t="e">
        <f t="shared" si="11"/>
        <v>#DIV/0!</v>
      </c>
      <c r="O23" s="186" t="e">
        <f t="shared" si="11"/>
        <v>#DIV/0!</v>
      </c>
      <c r="P23" s="186" t="e">
        <f t="shared" si="11"/>
        <v>#DIV/0!</v>
      </c>
      <c r="Q23" s="186" t="e">
        <f t="shared" si="11"/>
        <v>#DIV/0!</v>
      </c>
      <c r="R23" s="186" t="e">
        <f t="shared" si="11"/>
        <v>#DIV/0!</v>
      </c>
      <c r="S23" s="186" t="e">
        <f t="shared" si="11"/>
        <v>#DIV/0!</v>
      </c>
      <c r="T23" s="186" t="e">
        <f t="shared" si="11"/>
        <v>#DIV/0!</v>
      </c>
      <c r="U23" s="186" t="e">
        <f t="shared" si="11"/>
        <v>#DIV/0!</v>
      </c>
      <c r="V23" s="186" t="e">
        <f t="shared" si="11"/>
        <v>#DIV/0!</v>
      </c>
      <c r="W23" s="186" t="e">
        <f t="shared" si="11"/>
        <v>#DIV/0!</v>
      </c>
      <c r="X23" s="186" t="e">
        <f t="shared" si="11"/>
        <v>#DIV/0!</v>
      </c>
      <c r="Y23" s="186" t="e">
        <f t="shared" si="11"/>
        <v>#DIV/0!</v>
      </c>
      <c r="Z23" s="186" t="e">
        <f t="shared" si="11"/>
        <v>#DIV/0!</v>
      </c>
      <c r="AA23" s="187" t="e">
        <f t="shared" si="11"/>
        <v>#DIV/0!</v>
      </c>
    </row>
    <row r="24" spans="1:27" x14ac:dyDescent="0.2">
      <c r="A24" s="185"/>
      <c r="B24" s="185" t="s">
        <v>52</v>
      </c>
      <c r="C24" s="188">
        <f>C10+C21</f>
        <v>17462.47</v>
      </c>
      <c r="D24" s="188">
        <f t="shared" ref="D24:AA24" si="12">D10+D21</f>
        <v>11111.032135734717</v>
      </c>
      <c r="E24" s="188">
        <f t="shared" si="12"/>
        <v>13624.463407049665</v>
      </c>
      <c r="F24" s="188">
        <f t="shared" si="12"/>
        <v>23283.049406299418</v>
      </c>
      <c r="G24" s="188">
        <f t="shared" si="12"/>
        <v>8817.848487312167</v>
      </c>
      <c r="H24" s="188">
        <f t="shared" si="12"/>
        <v>15139.559882594338</v>
      </c>
      <c r="I24" s="188">
        <f t="shared" si="12"/>
        <v>14479.655970113608</v>
      </c>
      <c r="J24" s="188">
        <f t="shared" si="12"/>
        <v>14779.625333240438</v>
      </c>
      <c r="K24" s="188">
        <f t="shared" si="12"/>
        <v>12552.394469200168</v>
      </c>
      <c r="L24" s="188">
        <f t="shared" si="12"/>
        <v>-131594.96871404772</v>
      </c>
      <c r="M24" s="188" t="e">
        <f t="shared" si="12"/>
        <v>#DIV/0!</v>
      </c>
      <c r="N24" s="188" t="e">
        <f t="shared" si="12"/>
        <v>#DIV/0!</v>
      </c>
      <c r="O24" s="188" t="e">
        <f t="shared" si="12"/>
        <v>#DIV/0!</v>
      </c>
      <c r="P24" s="188" t="e">
        <f t="shared" si="12"/>
        <v>#DIV/0!</v>
      </c>
      <c r="Q24" s="188" t="e">
        <f t="shared" si="12"/>
        <v>#DIV/0!</v>
      </c>
      <c r="R24" s="188" t="e">
        <f t="shared" si="12"/>
        <v>#DIV/0!</v>
      </c>
      <c r="S24" s="188" t="e">
        <f t="shared" si="12"/>
        <v>#DIV/0!</v>
      </c>
      <c r="T24" s="188" t="e">
        <f t="shared" si="12"/>
        <v>#DIV/0!</v>
      </c>
      <c r="U24" s="188" t="e">
        <f t="shared" si="12"/>
        <v>#DIV/0!</v>
      </c>
      <c r="V24" s="188" t="e">
        <f t="shared" si="12"/>
        <v>#DIV/0!</v>
      </c>
      <c r="W24" s="188" t="e">
        <f t="shared" si="12"/>
        <v>#DIV/0!</v>
      </c>
      <c r="X24" s="188" t="e">
        <f t="shared" si="12"/>
        <v>#DIV/0!</v>
      </c>
      <c r="Y24" s="188" t="e">
        <f t="shared" si="12"/>
        <v>#DIV/0!</v>
      </c>
      <c r="Z24" s="188" t="e">
        <f t="shared" si="12"/>
        <v>#DIV/0!</v>
      </c>
      <c r="AA24" s="189" t="e">
        <f t="shared" si="12"/>
        <v>#DIV/0!</v>
      </c>
    </row>
    <row r="25" spans="1:27" x14ac:dyDescent="0.2">
      <c r="A25" s="191"/>
      <c r="B25" s="191" t="s">
        <v>48</v>
      </c>
      <c r="C25" s="192">
        <f>C14</f>
        <v>0</v>
      </c>
      <c r="D25" s="192">
        <f t="shared" ref="D25:AA25" si="13">D14</f>
        <v>0</v>
      </c>
      <c r="E25" s="192">
        <f t="shared" si="13"/>
        <v>401.66</v>
      </c>
      <c r="F25" s="192">
        <f t="shared" si="13"/>
        <v>2366.9</v>
      </c>
      <c r="G25" s="192">
        <f t="shared" si="13"/>
        <v>781.42000000000007</v>
      </c>
      <c r="H25" s="192">
        <f t="shared" si="13"/>
        <v>0</v>
      </c>
      <c r="I25" s="192">
        <f t="shared" si="13"/>
        <v>12607.65</v>
      </c>
      <c r="J25" s="192">
        <f t="shared" si="13"/>
        <v>10341.879999999999</v>
      </c>
      <c r="K25" s="192">
        <f t="shared" si="13"/>
        <v>6718.880000000001</v>
      </c>
      <c r="L25" s="192">
        <f t="shared" si="13"/>
        <v>-33218.39</v>
      </c>
      <c r="M25" s="192">
        <f t="shared" si="13"/>
        <v>0</v>
      </c>
      <c r="N25" s="192">
        <f t="shared" si="13"/>
        <v>0</v>
      </c>
      <c r="O25" s="192">
        <f t="shared" si="13"/>
        <v>0</v>
      </c>
      <c r="P25" s="192">
        <f t="shared" si="13"/>
        <v>0</v>
      </c>
      <c r="Q25" s="192">
        <f t="shared" si="13"/>
        <v>0</v>
      </c>
      <c r="R25" s="192">
        <f t="shared" si="13"/>
        <v>0</v>
      </c>
      <c r="S25" s="192">
        <f t="shared" si="13"/>
        <v>0</v>
      </c>
      <c r="T25" s="192">
        <f t="shared" si="13"/>
        <v>0</v>
      </c>
      <c r="U25" s="192">
        <f t="shared" si="13"/>
        <v>0</v>
      </c>
      <c r="V25" s="192">
        <f t="shared" si="13"/>
        <v>0</v>
      </c>
      <c r="W25" s="192">
        <f t="shared" si="13"/>
        <v>0</v>
      </c>
      <c r="X25" s="192">
        <f t="shared" si="13"/>
        <v>0</v>
      </c>
      <c r="Y25" s="192">
        <f t="shared" si="13"/>
        <v>0</v>
      </c>
      <c r="Z25" s="192">
        <f t="shared" si="13"/>
        <v>0</v>
      </c>
      <c r="AA25" s="193">
        <f t="shared" si="13"/>
        <v>0</v>
      </c>
    </row>
    <row r="26" spans="1:27" x14ac:dyDescent="0.2"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162"/>
    </row>
    <row r="27" spans="1:27" x14ac:dyDescent="0.2">
      <c r="A27" s="183" t="s">
        <v>55</v>
      </c>
      <c r="B27" s="183" t="s">
        <v>51</v>
      </c>
      <c r="C27" s="186" t="e">
        <f>C23/C5</f>
        <v>#DIV/0!</v>
      </c>
      <c r="D27" s="186">
        <f t="shared" ref="D27:P27" si="14">D23/D5</f>
        <v>23.661126464939532</v>
      </c>
      <c r="E27" s="186" t="e">
        <f t="shared" si="14"/>
        <v>#DIV/0!</v>
      </c>
      <c r="F27" s="186">
        <f t="shared" si="14"/>
        <v>29.248095736019408</v>
      </c>
      <c r="G27" s="186">
        <f>G23/G5</f>
        <v>42.074112260819462</v>
      </c>
      <c r="H27" s="186">
        <f t="shared" si="14"/>
        <v>31.470795460923277</v>
      </c>
      <c r="I27" s="186">
        <f t="shared" si="14"/>
        <v>26.138079953426011</v>
      </c>
      <c r="J27" s="186">
        <f t="shared" si="14"/>
        <v>34.309071364172858</v>
      </c>
      <c r="K27" s="186">
        <f t="shared" si="14"/>
        <v>31.123789386618139</v>
      </c>
      <c r="L27" s="186">
        <f t="shared" si="14"/>
        <v>-137.4147461152717</v>
      </c>
      <c r="M27" s="186" t="e">
        <f t="shared" si="14"/>
        <v>#DIV/0!</v>
      </c>
      <c r="N27" s="186" t="e">
        <f t="shared" si="14"/>
        <v>#DIV/0!</v>
      </c>
      <c r="O27" s="186" t="e">
        <f t="shared" si="14"/>
        <v>#DIV/0!</v>
      </c>
      <c r="P27" s="186" t="e">
        <f t="shared" si="14"/>
        <v>#DIV/0!</v>
      </c>
      <c r="Q27" s="186" t="e">
        <f t="shared" ref="Q27:X27" si="15">Q23/Q5</f>
        <v>#DIV/0!</v>
      </c>
      <c r="R27" s="186" t="e">
        <f t="shared" si="15"/>
        <v>#DIV/0!</v>
      </c>
      <c r="S27" s="186" t="e">
        <f t="shared" si="15"/>
        <v>#DIV/0!</v>
      </c>
      <c r="T27" s="186" t="e">
        <f t="shared" si="15"/>
        <v>#DIV/0!</v>
      </c>
      <c r="U27" s="186" t="e">
        <f t="shared" si="15"/>
        <v>#DIV/0!</v>
      </c>
      <c r="V27" s="186" t="e">
        <f t="shared" si="15"/>
        <v>#DIV/0!</v>
      </c>
      <c r="W27" s="186" t="e">
        <f t="shared" si="15"/>
        <v>#DIV/0!</v>
      </c>
      <c r="X27" s="186" t="e">
        <f t="shared" si="15"/>
        <v>#DIV/0!</v>
      </c>
      <c r="Y27" s="186" t="e">
        <f>Y23/Y5</f>
        <v>#DIV/0!</v>
      </c>
      <c r="Z27" s="186" t="e">
        <f>Z23/Z5</f>
        <v>#DIV/0!</v>
      </c>
      <c r="AA27" s="187" t="e">
        <f>AA23/AA5</f>
        <v>#DIV/0!</v>
      </c>
    </row>
    <row r="28" spans="1:27" x14ac:dyDescent="0.2">
      <c r="A28" s="191"/>
      <c r="B28" s="191" t="s">
        <v>48</v>
      </c>
      <c r="C28" s="192" t="e">
        <f>C25/C6</f>
        <v>#DIV/0!</v>
      </c>
      <c r="D28" s="192" t="e">
        <f t="shared" ref="D28:P28" si="16">D25/D6</f>
        <v>#DIV/0!</v>
      </c>
      <c r="E28" s="192">
        <f t="shared" si="16"/>
        <v>25.103750000000002</v>
      </c>
      <c r="F28" s="192">
        <f t="shared" si="16"/>
        <v>27.363005780346821</v>
      </c>
      <c r="G28" s="192">
        <f>G25/G6</f>
        <v>25.207096774193552</v>
      </c>
      <c r="H28" s="192" t="e">
        <f t="shared" si="16"/>
        <v>#DIV/0!</v>
      </c>
      <c r="I28" s="192">
        <f t="shared" si="16"/>
        <v>29.526112412177984</v>
      </c>
      <c r="J28" s="192">
        <f t="shared" si="16"/>
        <v>32.572850393700783</v>
      </c>
      <c r="K28" s="192">
        <f t="shared" si="16"/>
        <v>30.197213483146072</v>
      </c>
      <c r="L28" s="192">
        <f t="shared" si="16"/>
        <v>-78.716563981042654</v>
      </c>
      <c r="M28" s="192" t="e">
        <f t="shared" si="16"/>
        <v>#DIV/0!</v>
      </c>
      <c r="N28" s="192" t="e">
        <f t="shared" si="16"/>
        <v>#DIV/0!</v>
      </c>
      <c r="O28" s="192" t="e">
        <f t="shared" si="16"/>
        <v>#DIV/0!</v>
      </c>
      <c r="P28" s="192" t="e">
        <f t="shared" si="16"/>
        <v>#DIV/0!</v>
      </c>
      <c r="Q28" s="192" t="e">
        <f t="shared" ref="Q28:X28" si="17">Q25/Q6</f>
        <v>#DIV/0!</v>
      </c>
      <c r="R28" s="192" t="e">
        <f t="shared" si="17"/>
        <v>#DIV/0!</v>
      </c>
      <c r="S28" s="192" t="e">
        <f t="shared" si="17"/>
        <v>#DIV/0!</v>
      </c>
      <c r="T28" s="192" t="e">
        <f t="shared" si="17"/>
        <v>#DIV/0!</v>
      </c>
      <c r="U28" s="192" t="e">
        <f t="shared" si="17"/>
        <v>#DIV/0!</v>
      </c>
      <c r="V28" s="192" t="e">
        <f t="shared" si="17"/>
        <v>#DIV/0!</v>
      </c>
      <c r="W28" s="192" t="e">
        <f t="shared" si="17"/>
        <v>#DIV/0!</v>
      </c>
      <c r="X28" s="192" t="e">
        <f t="shared" si="17"/>
        <v>#DIV/0!</v>
      </c>
      <c r="Y28" s="192" t="e">
        <f>Y25/Y6</f>
        <v>#DIV/0!</v>
      </c>
      <c r="Z28" s="192" t="e">
        <f>Z25/Z6</f>
        <v>#DIV/0!</v>
      </c>
      <c r="AA28" s="193">
        <f>AA25/AA6</f>
        <v>0</v>
      </c>
    </row>
    <row r="29" spans="1:27" x14ac:dyDescent="0.2"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162"/>
    </row>
    <row r="30" spans="1:27" s="45" customFormat="1" ht="24" customHeight="1" x14ac:dyDescent="0.2">
      <c r="A30" s="180" t="s">
        <v>56</v>
      </c>
      <c r="B30" s="180" t="s">
        <v>57</v>
      </c>
      <c r="C30" s="181" t="e">
        <f>(C23+C25)/C7</f>
        <v>#DIV/0!</v>
      </c>
      <c r="D30" s="181">
        <f>(D23+D25)/D7</f>
        <v>23.661126464939532</v>
      </c>
      <c r="E30" s="181">
        <f t="shared" ref="E30:P30" si="18">(E23+E25)/E7</f>
        <v>64.183537059395789</v>
      </c>
      <c r="F30" s="181">
        <f t="shared" si="18"/>
        <v>28.742482461087068</v>
      </c>
      <c r="G30" s="181">
        <f>(G23+G25)/G7</f>
        <v>39.277976003678269</v>
      </c>
      <c r="H30" s="181">
        <f t="shared" si="18"/>
        <v>31.470795460923277</v>
      </c>
      <c r="I30" s="181">
        <f t="shared" si="18"/>
        <v>27.100614790343574</v>
      </c>
      <c r="J30" s="181">
        <f t="shared" si="18"/>
        <v>33.786806884660891</v>
      </c>
      <c r="K30" s="181">
        <f t="shared" si="18"/>
        <v>30.857943946872769</v>
      </c>
      <c r="L30" s="181">
        <f t="shared" si="18"/>
        <v>-116.51125846915807</v>
      </c>
      <c r="M30" s="181" t="e">
        <f t="shared" si="18"/>
        <v>#DIV/0!</v>
      </c>
      <c r="N30" s="181" t="e">
        <f>(N23+N25)/N7</f>
        <v>#DIV/0!</v>
      </c>
      <c r="O30" s="181" t="e">
        <f t="shared" si="18"/>
        <v>#DIV/0!</v>
      </c>
      <c r="P30" s="181" t="e">
        <f t="shared" si="18"/>
        <v>#DIV/0!</v>
      </c>
      <c r="Q30" s="181" t="e">
        <f t="shared" ref="Q30:X30" si="19">(Q23+Q25)/Q7</f>
        <v>#DIV/0!</v>
      </c>
      <c r="R30" s="181" t="e">
        <f t="shared" si="19"/>
        <v>#DIV/0!</v>
      </c>
      <c r="S30" s="181" t="e">
        <f t="shared" si="19"/>
        <v>#DIV/0!</v>
      </c>
      <c r="T30" s="181" t="e">
        <f t="shared" si="19"/>
        <v>#DIV/0!</v>
      </c>
      <c r="U30" s="181" t="e">
        <f t="shared" si="19"/>
        <v>#DIV/0!</v>
      </c>
      <c r="V30" s="181" t="e">
        <f t="shared" si="19"/>
        <v>#DIV/0!</v>
      </c>
      <c r="W30" s="181" t="e">
        <f t="shared" si="19"/>
        <v>#DIV/0!</v>
      </c>
      <c r="X30" s="181" t="e">
        <f t="shared" si="19"/>
        <v>#DIV/0!</v>
      </c>
      <c r="Y30" s="181" t="e">
        <f>(Y23+Y25)/Y7</f>
        <v>#DIV/0!</v>
      </c>
      <c r="Z30" s="181" t="e">
        <f>(Z23+Z25)/Z7</f>
        <v>#DIV/0!</v>
      </c>
      <c r="AA30" s="164" t="e">
        <f>(AA23+AA25)/AA7</f>
        <v>#DIV/0!</v>
      </c>
    </row>
    <row r="31" spans="1:27" s="2" customFormat="1" x14ac:dyDescent="0.2">
      <c r="C31" s="51"/>
      <c r="D31" s="52"/>
      <c r="E31" s="51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163"/>
    </row>
    <row r="32" spans="1:27" s="53" customFormat="1" ht="24" customHeight="1" x14ac:dyDescent="0.2">
      <c r="A32" s="182" t="s">
        <v>58</v>
      </c>
      <c r="B32" s="182" t="s">
        <v>57</v>
      </c>
      <c r="C32" s="181" t="e">
        <f>(SUM($C23:C23)+SUM($C25:C25))/SUM($C7:C7)</f>
        <v>#DIV/0!</v>
      </c>
      <c r="D32" s="181">
        <f>(SUM($C23:D23)+SUM($C25:D25))/SUM($C7:D7)</f>
        <v>23.661126464939532</v>
      </c>
      <c r="E32" s="181">
        <f>(SUM($C23:E23)+SUM($C25:E25))/SUM($C7:E7)</f>
        <v>30.558558055485278</v>
      </c>
      <c r="F32" s="181">
        <f>(SUM($C23:F23)+SUM($C25:F25))/SUM($C7:F7)</f>
        <v>29.15235306342424</v>
      </c>
      <c r="G32" s="181">
        <f>(SUM($C23:G23)+SUM($C25:G25))/SUM($C7:G7)</f>
        <v>32.289870030826904</v>
      </c>
      <c r="H32" s="181">
        <f>(SUM($C23:H23)+SUM($C25:H25))/SUM($C7:H7)</f>
        <v>31.884618401849892</v>
      </c>
      <c r="I32" s="181">
        <f>(SUM($C23:I23)+SUM($C25:I25))/SUM($C7:I7)</f>
        <v>29.219054943798362</v>
      </c>
      <c r="J32" s="181">
        <f>(SUM($C23:J23)+SUM($C25:J25))/SUM($C7:J7)</f>
        <v>30.503697142993776</v>
      </c>
      <c r="K32" s="181">
        <f>(SUM($C23:K23)+SUM($C25:K25))/SUM($C7:K7)</f>
        <v>30.564361468136354</v>
      </c>
      <c r="L32" s="181">
        <f>(SUM($C23:L23)+SUM($C25:L25))/SUM($C7:L7)</f>
        <v>6.0360483504537404E-2</v>
      </c>
      <c r="M32" s="181" t="e">
        <f>(SUM($C23:M23)+SUM($C25:M25))/SUM($C7:M7)</f>
        <v>#DIV/0!</v>
      </c>
      <c r="N32" s="181" t="e">
        <f>(SUM($C23:N23)+SUM($C25:N25))/SUM($C7:N7)</f>
        <v>#DIV/0!</v>
      </c>
      <c r="O32" s="181" t="e">
        <f>(SUM($C23:O23)+SUM($C25:O25))/SUM($C7:O7)</f>
        <v>#DIV/0!</v>
      </c>
      <c r="P32" s="181" t="e">
        <f>(SUM($C23:P23)+SUM($C25:P25))/SUM($C7:P7)</f>
        <v>#DIV/0!</v>
      </c>
      <c r="Q32" s="181" t="e">
        <f>(SUM($C23:Q23)+SUM($C25:Q25))/SUM($C7:Q7)</f>
        <v>#DIV/0!</v>
      </c>
      <c r="R32" s="181" t="e">
        <f>(SUM($C23:R23)+SUM($C25:R25))/SUM($C7:R7)</f>
        <v>#DIV/0!</v>
      </c>
      <c r="S32" s="181" t="e">
        <f>(SUM($C23:S23)+SUM($C25:S25))/SUM($C7:S7)</f>
        <v>#DIV/0!</v>
      </c>
      <c r="T32" s="181" t="e">
        <f>(SUM($C23:T23)+SUM($C25:T25))/SUM($C7:T7)</f>
        <v>#DIV/0!</v>
      </c>
      <c r="U32" s="181" t="e">
        <f>(SUM($C23:U23)+SUM($C25:U25))/SUM($C7:U7)</f>
        <v>#DIV/0!</v>
      </c>
      <c r="V32" s="181" t="e">
        <f>(SUM($C23:V23)+SUM($C25:V25))/SUM($C7:V7)</f>
        <v>#DIV/0!</v>
      </c>
      <c r="W32" s="181" t="e">
        <f>(SUM($C23:W23)+SUM($C25:W25))/SUM($C7:W7)</f>
        <v>#DIV/0!</v>
      </c>
      <c r="X32" s="181" t="e">
        <f>(SUM($C23:X23)+SUM($C25:X25))/SUM($C7:X7)</f>
        <v>#DIV/0!</v>
      </c>
      <c r="Y32" s="181" t="e">
        <f>(SUM($C23:Y23)+SUM($C25:Y25))/SUM($C7:Y7)</f>
        <v>#DIV/0!</v>
      </c>
      <c r="Z32" s="181" t="e">
        <f>(SUM($C23:Z23)+SUM($C25:Z25))/SUM($C7:Z7)</f>
        <v>#DIV/0!</v>
      </c>
      <c r="AA32" s="164" t="e">
        <f>+(AA23+AA25)/AA7</f>
        <v>#DIV/0!</v>
      </c>
    </row>
    <row r="33" spans="1:15" x14ac:dyDescent="0.2">
      <c r="D33" s="54"/>
      <c r="F33" s="54"/>
      <c r="O33" s="55"/>
    </row>
    <row r="34" spans="1:15" x14ac:dyDescent="0.2">
      <c r="A34" s="437" t="s">
        <v>119</v>
      </c>
      <c r="B34" s="435">
        <v>31</v>
      </c>
    </row>
    <row r="35" spans="1:15" x14ac:dyDescent="0.2">
      <c r="D35" s="52"/>
      <c r="F35" s="54"/>
    </row>
    <row r="36" spans="1:15" x14ac:dyDescent="0.2">
      <c r="D36" s="54"/>
      <c r="F36" s="54"/>
    </row>
    <row r="37" spans="1:15" x14ac:dyDescent="0.2">
      <c r="D37" s="54"/>
      <c r="F37" s="54"/>
    </row>
    <row r="38" spans="1:15" x14ac:dyDescent="0.2">
      <c r="D38" s="54"/>
      <c r="F38" s="54"/>
    </row>
    <row r="39" spans="1:15" x14ac:dyDescent="0.2">
      <c r="D39" s="54"/>
      <c r="F39" s="54"/>
    </row>
    <row r="40" spans="1:15" x14ac:dyDescent="0.2">
      <c r="D40" s="54"/>
      <c r="F40" s="54"/>
    </row>
    <row r="41" spans="1:15" x14ac:dyDescent="0.2">
      <c r="D41" s="54"/>
      <c r="F41" s="54"/>
    </row>
    <row r="42" spans="1:15" x14ac:dyDescent="0.2">
      <c r="D42" s="54"/>
      <c r="F42" s="54"/>
    </row>
    <row r="43" spans="1:15" x14ac:dyDescent="0.2">
      <c r="D43" s="54"/>
      <c r="F43" s="54"/>
    </row>
  </sheetData>
  <sheetProtection formatCells="0" formatColumns="0" formatRows="0" insertColumns="0" insertRows="0" insertHyperlinks="0" deleteColumns="0" deleteRows="0" sort="0" autoFilter="0" pivotTables="0"/>
  <mergeCells count="1">
    <mergeCell ref="A1:AA1"/>
  </mergeCells>
  <printOptions horizontalCentered="1" verticalCentered="1"/>
  <pageMargins left="0" right="0" top="0.39370078740157483" bottom="0.39370078740157483" header="0" footer="0"/>
  <pageSetup paperSize="8" scale="74" orientation="landscape" r:id="rId1"/>
  <headerFooter alignWithMargins="0">
    <oddHeader>&amp;R&amp;T;&amp;D</oddHeader>
    <oddFooter>&amp;L&amp;Z&amp;F&amp;R&amp;P/&amp;N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0698-5253-4365-A5AB-0F69760AC74D}">
  <sheetPr codeName="Feuil11">
    <tabColor theme="8"/>
    <pageSetUpPr fitToPage="1"/>
  </sheetPr>
  <dimension ref="B1:AD134"/>
  <sheetViews>
    <sheetView topLeftCell="A116" zoomScale="70" zoomScaleNormal="70" zoomScaleSheetLayoutView="70" workbookViewId="0">
      <selection activeCell="C4" sqref="C4"/>
    </sheetView>
  </sheetViews>
  <sheetFormatPr baseColWidth="10" defaultColWidth="11.42578125" defaultRowHeight="15" x14ac:dyDescent="0.2"/>
  <cols>
    <col min="1" max="1" width="11.42578125" style="32"/>
    <col min="2" max="2" width="11.85546875" style="32" bestFit="1" customWidth="1"/>
    <col min="3" max="3" width="56.5703125" style="32" customWidth="1"/>
    <col min="4" max="4" width="12.42578125" style="65" bestFit="1" customWidth="1"/>
    <col min="5" max="5" width="13.85546875" style="32" bestFit="1" customWidth="1"/>
    <col min="6" max="6" width="9.85546875" style="32" customWidth="1"/>
    <col min="7" max="7" width="11.28515625" style="32" bestFit="1" customWidth="1"/>
    <col min="8" max="8" width="9.85546875" style="32" customWidth="1"/>
    <col min="9" max="9" width="13.85546875" style="43" hidden="1" customWidth="1"/>
    <col min="10" max="10" width="9.85546875" style="32" hidden="1" customWidth="1"/>
    <col min="11" max="11" width="11.28515625" style="32" hidden="1" customWidth="1"/>
    <col min="12" max="12" width="9.85546875" style="32" hidden="1" customWidth="1"/>
    <col min="13" max="13" width="13.85546875" style="43" hidden="1" customWidth="1"/>
    <col min="14" max="14" width="9.85546875" style="32" hidden="1" customWidth="1"/>
    <col min="15" max="15" width="11.28515625" style="32" hidden="1" customWidth="1"/>
    <col min="16" max="16" width="9.85546875" style="32" hidden="1" customWidth="1"/>
    <col min="17" max="19" width="11.7109375" style="32" customWidth="1"/>
    <col min="20" max="20" width="8.7109375" style="41" bestFit="1" customWidth="1"/>
    <col min="21" max="21" width="7" style="13" customWidth="1"/>
    <col min="22" max="22" width="9.7109375" style="41" bestFit="1" customWidth="1"/>
    <col min="23" max="23" width="9.5703125" style="41" bestFit="1" customWidth="1"/>
    <col min="24" max="24" width="20.7109375" style="32" customWidth="1"/>
    <col min="25" max="25" width="14.85546875" style="32" customWidth="1"/>
    <col min="26" max="26" width="33.140625" style="32" customWidth="1"/>
    <col min="27" max="27" width="19.7109375" style="32" customWidth="1"/>
    <col min="28" max="28" width="11.42578125" style="32"/>
    <col min="29" max="29" width="15.85546875" style="32" customWidth="1"/>
    <col min="30" max="16384" width="11.42578125" style="32"/>
  </cols>
  <sheetData>
    <row r="1" spans="2:30" s="419" customFormat="1" ht="25.15" customHeight="1" thickBot="1" x14ac:dyDescent="0.25">
      <c r="B1" s="931" t="s">
        <v>1019</v>
      </c>
      <c r="C1" s="932"/>
      <c r="D1" s="932"/>
      <c r="E1" s="932"/>
      <c r="F1" s="932"/>
      <c r="G1" s="932"/>
      <c r="H1" s="932"/>
      <c r="I1" s="932"/>
      <c r="J1" s="932"/>
      <c r="K1" s="932"/>
      <c r="L1" s="932"/>
      <c r="M1" s="932"/>
      <c r="N1" s="932"/>
      <c r="O1" s="933"/>
      <c r="P1" s="418" t="s">
        <v>3</v>
      </c>
      <c r="Q1" s="934">
        <v>45716</v>
      </c>
      <c r="R1" s="935"/>
      <c r="S1" s="936"/>
    </row>
    <row r="2" spans="2:30" s="419" customFormat="1" ht="25.15" customHeight="1" x14ac:dyDescent="0.2">
      <c r="B2" s="700"/>
      <c r="C2" s="914" t="s">
        <v>1080</v>
      </c>
      <c r="D2" s="700"/>
      <c r="E2" s="756"/>
      <c r="F2" s="700"/>
      <c r="G2" s="700"/>
      <c r="H2" s="700"/>
      <c r="I2" s="700"/>
      <c r="J2" s="700"/>
      <c r="K2" s="700"/>
      <c r="L2" s="700"/>
      <c r="M2" s="700"/>
      <c r="N2" s="700"/>
      <c r="O2" s="700"/>
      <c r="P2" s="701"/>
      <c r="Q2" s="702"/>
      <c r="R2" s="702"/>
      <c r="S2" s="702"/>
    </row>
    <row r="3" spans="2:30" s="419" customFormat="1" ht="52.15" customHeight="1" x14ac:dyDescent="0.2">
      <c r="B3" s="700"/>
      <c r="C3" s="915"/>
      <c r="D3" s="700"/>
      <c r="E3" s="756"/>
      <c r="F3" s="700"/>
      <c r="G3" s="700"/>
      <c r="H3" s="700"/>
      <c r="I3" s="700"/>
      <c r="J3" s="700"/>
      <c r="K3" s="700"/>
      <c r="L3" s="700"/>
      <c r="M3" s="700"/>
      <c r="N3" s="700"/>
      <c r="O3" s="700"/>
      <c r="P3" s="701"/>
      <c r="Q3" s="702"/>
      <c r="R3" s="702"/>
      <c r="S3" s="702"/>
    </row>
    <row r="4" spans="2:30" s="419" customFormat="1" ht="25.15" customHeight="1" x14ac:dyDescent="0.2">
      <c r="B4" s="700"/>
      <c r="C4" s="700"/>
      <c r="D4" s="700"/>
      <c r="E4" s="756"/>
      <c r="F4" s="700"/>
      <c r="G4" s="700"/>
      <c r="H4" s="700"/>
      <c r="I4" s="700"/>
      <c r="J4" s="700"/>
      <c r="K4" s="700"/>
      <c r="L4" s="700"/>
      <c r="M4" s="700"/>
      <c r="N4" s="700"/>
      <c r="O4" s="700"/>
      <c r="P4" s="701"/>
      <c r="Q4" s="702"/>
      <c r="R4" s="702"/>
      <c r="S4" s="702"/>
    </row>
    <row r="5" spans="2:30" s="419" customFormat="1" ht="54.6" customHeight="1" x14ac:dyDescent="0.2">
      <c r="B5" s="700"/>
      <c r="C5" s="703"/>
      <c r="D5" s="910" t="s">
        <v>1009</v>
      </c>
      <c r="E5" s="911"/>
      <c r="F5" s="911"/>
      <c r="G5" s="911"/>
      <c r="H5" s="700"/>
      <c r="I5" s="700"/>
      <c r="J5" s="700"/>
      <c r="K5" s="700"/>
      <c r="L5" s="700"/>
      <c r="M5" s="700"/>
      <c r="N5" s="700"/>
      <c r="O5" s="700"/>
      <c r="P5" s="701"/>
      <c r="Q5" s="439">
        <f>613-604</f>
        <v>9</v>
      </c>
      <c r="R5" s="702"/>
      <c r="S5" s="702"/>
    </row>
    <row r="6" spans="2:30" s="13" customFormat="1" ht="29.45" customHeight="1" x14ac:dyDescent="0.2">
      <c r="D6" s="61"/>
      <c r="I6" s="14"/>
      <c r="M6" s="14"/>
      <c r="T6" s="15"/>
      <c r="V6" s="15"/>
      <c r="W6" s="15"/>
      <c r="X6" s="682">
        <v>23</v>
      </c>
      <c r="Y6" s="419" t="s">
        <v>758</v>
      </c>
      <c r="Z6" s="13" t="s">
        <v>907</v>
      </c>
      <c r="AA6" s="912" t="s">
        <v>1011</v>
      </c>
      <c r="AB6" s="913"/>
      <c r="AC6" s="912" t="s">
        <v>1012</v>
      </c>
      <c r="AD6" s="913"/>
    </row>
    <row r="7" spans="2:30" s="420" customFormat="1" ht="15.75" customHeight="1" x14ac:dyDescent="0.2">
      <c r="B7" s="937" t="s">
        <v>4</v>
      </c>
      <c r="C7" s="938" t="s">
        <v>5</v>
      </c>
      <c r="D7" s="941" t="s">
        <v>76</v>
      </c>
      <c r="E7" s="944" t="s">
        <v>6</v>
      </c>
      <c r="F7" s="919"/>
      <c r="G7" s="919"/>
      <c r="H7" s="920"/>
      <c r="I7" s="944" t="s">
        <v>6</v>
      </c>
      <c r="J7" s="919"/>
      <c r="K7" s="919"/>
      <c r="L7" s="920"/>
      <c r="M7" s="944" t="s">
        <v>6</v>
      </c>
      <c r="N7" s="919"/>
      <c r="O7" s="919"/>
      <c r="P7" s="920"/>
      <c r="Q7" s="944" t="s">
        <v>7</v>
      </c>
      <c r="R7" s="919"/>
      <c r="S7" s="920"/>
      <c r="T7" s="918" t="s">
        <v>8</v>
      </c>
      <c r="U7" s="919"/>
      <c r="V7" s="919"/>
      <c r="W7" s="920"/>
      <c r="X7" s="683">
        <v>10</v>
      </c>
      <c r="Y7" s="684" t="s">
        <v>759</v>
      </c>
    </row>
    <row r="8" spans="2:30" s="420" customFormat="1" ht="15.75" customHeight="1" x14ac:dyDescent="0.2">
      <c r="B8" s="937"/>
      <c r="C8" s="939"/>
      <c r="D8" s="942"/>
      <c r="E8" s="921" t="s">
        <v>9</v>
      </c>
      <c r="F8" s="922"/>
      <c r="G8" s="922"/>
      <c r="H8" s="923"/>
      <c r="I8" s="921" t="s">
        <v>77</v>
      </c>
      <c r="J8" s="922"/>
      <c r="K8" s="922"/>
      <c r="L8" s="923"/>
      <c r="M8" s="921" t="s">
        <v>10</v>
      </c>
      <c r="N8" s="922"/>
      <c r="O8" s="922"/>
      <c r="P8" s="923"/>
      <c r="Q8" s="921" t="s">
        <v>13</v>
      </c>
      <c r="R8" s="922" t="s">
        <v>11</v>
      </c>
      <c r="S8" s="923" t="s">
        <v>12</v>
      </c>
      <c r="T8" s="927" t="s">
        <v>14</v>
      </c>
      <c r="U8" s="922" t="s">
        <v>15</v>
      </c>
      <c r="V8" s="421" t="s">
        <v>16</v>
      </c>
      <c r="W8" s="422" t="s">
        <v>76</v>
      </c>
      <c r="X8" s="683">
        <v>10</v>
      </c>
      <c r="Y8" s="684" t="s">
        <v>760</v>
      </c>
    </row>
    <row r="9" spans="2:30" s="420" customFormat="1" ht="30" x14ac:dyDescent="0.2">
      <c r="B9" s="937"/>
      <c r="C9" s="940"/>
      <c r="D9" s="943"/>
      <c r="E9" s="423" t="s">
        <v>17</v>
      </c>
      <c r="F9" s="424" t="s">
        <v>18</v>
      </c>
      <c r="G9" s="424" t="s">
        <v>19</v>
      </c>
      <c r="H9" s="425" t="s">
        <v>12</v>
      </c>
      <c r="I9" s="426" t="s">
        <v>17</v>
      </c>
      <c r="J9" s="424" t="s">
        <v>18</v>
      </c>
      <c r="K9" s="424" t="s">
        <v>19</v>
      </c>
      <c r="L9" s="425" t="s">
        <v>12</v>
      </c>
      <c r="M9" s="426" t="s">
        <v>17</v>
      </c>
      <c r="N9" s="424" t="s">
        <v>18</v>
      </c>
      <c r="O9" s="424" t="s">
        <v>19</v>
      </c>
      <c r="P9" s="425" t="s">
        <v>12</v>
      </c>
      <c r="Q9" s="924"/>
      <c r="R9" s="925"/>
      <c r="S9" s="926"/>
      <c r="T9" s="928"/>
      <c r="U9" s="925"/>
      <c r="V9" s="427" t="s">
        <v>20</v>
      </c>
      <c r="W9" s="428" t="s">
        <v>20</v>
      </c>
      <c r="X9" s="682">
        <v>8</v>
      </c>
      <c r="Y9" s="419" t="s">
        <v>775</v>
      </c>
    </row>
    <row r="10" spans="2:30" s="27" customFormat="1" ht="20.100000000000001" customHeight="1" x14ac:dyDescent="0.2">
      <c r="B10" s="945" t="s">
        <v>651</v>
      </c>
      <c r="C10" s="16" t="s">
        <v>656</v>
      </c>
      <c r="D10" s="62">
        <f>3*39*6</f>
        <v>702</v>
      </c>
      <c r="E10" s="17">
        <v>1</v>
      </c>
      <c r="F10" s="18">
        <f t="shared" ref="F10:F26" si="0">E10*D10</f>
        <v>702</v>
      </c>
      <c r="G10" s="19">
        <f>463+72+22+56</f>
        <v>613</v>
      </c>
      <c r="H10" s="20">
        <f t="shared" ref="H10:H65" si="1">F10-G10</f>
        <v>89</v>
      </c>
      <c r="I10" s="21">
        <v>0</v>
      </c>
      <c r="J10" s="18">
        <v>0</v>
      </c>
      <c r="K10" s="19">
        <v>0</v>
      </c>
      <c r="L10" s="20">
        <v>0</v>
      </c>
      <c r="M10" s="21">
        <v>0</v>
      </c>
      <c r="N10" s="18">
        <f t="shared" ref="N10:N26" si="2">M10*D10</f>
        <v>0</v>
      </c>
      <c r="O10" s="19">
        <v>0</v>
      </c>
      <c r="P10" s="20">
        <f t="shared" ref="P10:P68" si="3">N10-O10</f>
        <v>0</v>
      </c>
      <c r="Q10" s="22"/>
      <c r="R10" s="18">
        <f t="shared" ref="R10:R26" si="4">G10+Q10</f>
        <v>613</v>
      </c>
      <c r="S10" s="20">
        <f t="shared" ref="S10:S26" si="5">D10-R10</f>
        <v>89</v>
      </c>
      <c r="T10" s="23">
        <v>1</v>
      </c>
      <c r="U10" s="24" t="s">
        <v>21</v>
      </c>
      <c r="V10" s="25">
        <f t="shared" ref="V10:V26" si="6">G10/(E10*T10)</f>
        <v>613</v>
      </c>
      <c r="W10" s="26">
        <f t="shared" ref="W10:W26" si="7">D10/(T10)</f>
        <v>702</v>
      </c>
      <c r="Y10" s="420"/>
    </row>
    <row r="11" spans="2:30" s="27" customFormat="1" ht="20.100000000000001" customHeight="1" x14ac:dyDescent="0.2">
      <c r="B11" s="946"/>
      <c r="C11" s="16" t="s">
        <v>768</v>
      </c>
      <c r="D11" s="62">
        <f>4*39*3</f>
        <v>468</v>
      </c>
      <c r="E11" s="17">
        <f t="shared" ref="E11:E25" si="8">M11+I11</f>
        <v>0</v>
      </c>
      <c r="F11" s="18">
        <f t="shared" si="0"/>
        <v>0</v>
      </c>
      <c r="G11" s="19">
        <v>0</v>
      </c>
      <c r="H11" s="20">
        <f t="shared" si="1"/>
        <v>0</v>
      </c>
      <c r="I11" s="21">
        <v>0</v>
      </c>
      <c r="J11" s="18">
        <v>0</v>
      </c>
      <c r="K11" s="19">
        <v>0</v>
      </c>
      <c r="L11" s="20">
        <v>0</v>
      </c>
      <c r="M11" s="21">
        <v>0</v>
      </c>
      <c r="N11" s="18">
        <f t="shared" si="2"/>
        <v>0</v>
      </c>
      <c r="O11" s="19">
        <v>0</v>
      </c>
      <c r="P11" s="20">
        <f t="shared" si="3"/>
        <v>0</v>
      </c>
      <c r="Q11" s="22"/>
      <c r="R11" s="18">
        <f t="shared" si="4"/>
        <v>0</v>
      </c>
      <c r="S11" s="20">
        <f t="shared" si="5"/>
        <v>468</v>
      </c>
      <c r="T11" s="23">
        <v>1</v>
      </c>
      <c r="U11" s="24" t="s">
        <v>21</v>
      </c>
      <c r="V11" s="25" t="e">
        <f t="shared" si="6"/>
        <v>#DIV/0!</v>
      </c>
      <c r="W11" s="26">
        <f t="shared" si="7"/>
        <v>468</v>
      </c>
      <c r="Y11" s="420"/>
    </row>
    <row r="12" spans="2:30" s="27" customFormat="1" ht="20.100000000000001" customHeight="1" x14ac:dyDescent="0.2">
      <c r="B12" s="946"/>
      <c r="C12" s="16" t="s">
        <v>769</v>
      </c>
      <c r="D12" s="62">
        <f>39*2*4</f>
        <v>312</v>
      </c>
      <c r="E12" s="17">
        <f t="shared" si="8"/>
        <v>0</v>
      </c>
      <c r="F12" s="18">
        <f t="shared" si="0"/>
        <v>0</v>
      </c>
      <c r="G12" s="19">
        <v>0</v>
      </c>
      <c r="H12" s="20">
        <f t="shared" si="1"/>
        <v>0</v>
      </c>
      <c r="I12" s="21">
        <v>0</v>
      </c>
      <c r="J12" s="18">
        <v>0</v>
      </c>
      <c r="K12" s="19">
        <v>0</v>
      </c>
      <c r="L12" s="20">
        <v>0</v>
      </c>
      <c r="M12" s="21">
        <v>0</v>
      </c>
      <c r="N12" s="18">
        <f t="shared" si="2"/>
        <v>0</v>
      </c>
      <c r="O12" s="19">
        <v>0</v>
      </c>
      <c r="P12" s="20">
        <f t="shared" si="3"/>
        <v>0</v>
      </c>
      <c r="Q12" s="22"/>
      <c r="R12" s="18">
        <f t="shared" si="4"/>
        <v>0</v>
      </c>
      <c r="S12" s="20">
        <f t="shared" si="5"/>
        <v>312</v>
      </c>
      <c r="T12" s="23">
        <v>1</v>
      </c>
      <c r="U12" s="24" t="s">
        <v>21</v>
      </c>
      <c r="V12" s="25" t="e">
        <f t="shared" si="6"/>
        <v>#DIV/0!</v>
      </c>
      <c r="W12" s="26">
        <f t="shared" si="7"/>
        <v>312</v>
      </c>
      <c r="Y12" s="420"/>
    </row>
    <row r="13" spans="2:30" s="27" customFormat="1" ht="20.100000000000001" customHeight="1" x14ac:dyDescent="0.2">
      <c r="B13" s="946"/>
      <c r="C13" s="16" t="s">
        <v>756</v>
      </c>
      <c r="D13" s="62">
        <f>5*97</f>
        <v>485</v>
      </c>
      <c r="E13" s="17">
        <f>+(1+1+1+1+1+1+1+1+1+1+1+1+1)/97</f>
        <v>0.13402061855670103</v>
      </c>
      <c r="F13" s="18">
        <f t="shared" si="0"/>
        <v>65</v>
      </c>
      <c r="G13" s="19">
        <f>8+5</f>
        <v>13</v>
      </c>
      <c r="H13" s="20">
        <f t="shared" si="1"/>
        <v>52</v>
      </c>
      <c r="I13" s="21">
        <v>0</v>
      </c>
      <c r="J13" s="18">
        <v>0</v>
      </c>
      <c r="K13" s="19">
        <v>0</v>
      </c>
      <c r="L13" s="20">
        <v>0</v>
      </c>
      <c r="M13" s="21">
        <v>0</v>
      </c>
      <c r="N13" s="18">
        <f t="shared" si="2"/>
        <v>0</v>
      </c>
      <c r="O13" s="19">
        <v>0</v>
      </c>
      <c r="P13" s="20">
        <f t="shared" si="3"/>
        <v>0</v>
      </c>
      <c r="Q13" s="22"/>
      <c r="R13" s="18">
        <f t="shared" si="4"/>
        <v>13</v>
      </c>
      <c r="S13" s="20">
        <f t="shared" si="5"/>
        <v>472</v>
      </c>
      <c r="T13" s="23">
        <v>23</v>
      </c>
      <c r="U13" s="24" t="s">
        <v>665</v>
      </c>
      <c r="V13" s="25">
        <f t="shared" si="6"/>
        <v>4.2173913043478262</v>
      </c>
      <c r="W13" s="28">
        <f t="shared" si="7"/>
        <v>21.086956521739129</v>
      </c>
      <c r="Y13" s="420"/>
    </row>
    <row r="14" spans="2:30" s="27" customFormat="1" ht="20.100000000000001" customHeight="1" x14ac:dyDescent="0.2">
      <c r="B14" s="946"/>
      <c r="C14" s="16" t="s">
        <v>757</v>
      </c>
      <c r="D14" s="62">
        <f>8*11</f>
        <v>88</v>
      </c>
      <c r="E14" s="17">
        <f>+(1+1+1+1+1+1+1+1+1+4)/97</f>
        <v>0.13402061855670103</v>
      </c>
      <c r="F14" s="18">
        <f t="shared" si="0"/>
        <v>11.79381443298969</v>
      </c>
      <c r="G14" s="19">
        <f>12+13+20</f>
        <v>45</v>
      </c>
      <c r="H14" s="20">
        <f t="shared" si="1"/>
        <v>-33.206185567010309</v>
      </c>
      <c r="I14" s="21">
        <v>0</v>
      </c>
      <c r="J14" s="18">
        <v>0</v>
      </c>
      <c r="K14" s="19">
        <v>0</v>
      </c>
      <c r="L14" s="20">
        <v>0</v>
      </c>
      <c r="M14" s="21">
        <v>0</v>
      </c>
      <c r="N14" s="18">
        <f t="shared" si="2"/>
        <v>0</v>
      </c>
      <c r="O14" s="19">
        <v>0</v>
      </c>
      <c r="P14" s="20">
        <f t="shared" si="3"/>
        <v>0</v>
      </c>
      <c r="Q14" s="22"/>
      <c r="R14" s="18">
        <f t="shared" si="4"/>
        <v>45</v>
      </c>
      <c r="S14" s="20">
        <f t="shared" si="5"/>
        <v>43</v>
      </c>
      <c r="T14" s="23">
        <v>11</v>
      </c>
      <c r="U14" s="24" t="s">
        <v>665</v>
      </c>
      <c r="V14" s="25">
        <f t="shared" si="6"/>
        <v>30.524475524475527</v>
      </c>
      <c r="W14" s="28">
        <f t="shared" si="7"/>
        <v>8</v>
      </c>
      <c r="Y14" s="420"/>
    </row>
    <row r="15" spans="2:30" s="27" customFormat="1" ht="20.100000000000001" customHeight="1" x14ac:dyDescent="0.2">
      <c r="B15" s="946"/>
      <c r="C15" s="16" t="s">
        <v>1029</v>
      </c>
      <c r="D15" s="62">
        <f>10*45*4.2</f>
        <v>1890</v>
      </c>
      <c r="E15" s="17">
        <f>+(1+1+1+1+1+1+1+1+1+1+1+1+1+1+1+4)/42</f>
        <v>0.45238095238095238</v>
      </c>
      <c r="F15" s="18">
        <f t="shared" si="0"/>
        <v>855</v>
      </c>
      <c r="G15" s="19">
        <f>7+117+39+32+119+117+146+156</f>
        <v>733</v>
      </c>
      <c r="H15" s="20">
        <f t="shared" si="1"/>
        <v>122</v>
      </c>
      <c r="I15" s="21">
        <v>0</v>
      </c>
      <c r="J15" s="18">
        <v>0</v>
      </c>
      <c r="K15" s="19">
        <v>0</v>
      </c>
      <c r="L15" s="20">
        <v>0</v>
      </c>
      <c r="M15" s="21">
        <v>0</v>
      </c>
      <c r="N15" s="18">
        <f t="shared" si="2"/>
        <v>0</v>
      </c>
      <c r="O15" s="19">
        <v>0</v>
      </c>
      <c r="P15" s="20">
        <f t="shared" si="3"/>
        <v>0</v>
      </c>
      <c r="Q15" s="22"/>
      <c r="R15" s="18">
        <f t="shared" si="4"/>
        <v>733</v>
      </c>
      <c r="S15" s="20">
        <f t="shared" si="5"/>
        <v>1157</v>
      </c>
      <c r="T15" s="29">
        <v>10</v>
      </c>
      <c r="U15" s="30" t="s">
        <v>665</v>
      </c>
      <c r="V15" s="25">
        <f t="shared" si="6"/>
        <v>162.03157894736842</v>
      </c>
      <c r="W15" s="28">
        <f t="shared" si="7"/>
        <v>189</v>
      </c>
      <c r="Y15" s="420"/>
    </row>
    <row r="16" spans="2:30" s="27" customFormat="1" ht="20.100000000000001" customHeight="1" x14ac:dyDescent="0.2">
      <c r="B16" s="946"/>
      <c r="C16" s="16" t="s">
        <v>770</v>
      </c>
      <c r="D16" s="62">
        <f>+((T16)/8/15*8)</f>
        <v>469.53333333333336</v>
      </c>
      <c r="E16" s="17">
        <f t="shared" si="8"/>
        <v>0</v>
      </c>
      <c r="F16" s="18">
        <f t="shared" si="0"/>
        <v>0</v>
      </c>
      <c r="G16" s="19">
        <v>0</v>
      </c>
      <c r="H16" s="20">
        <f t="shared" si="1"/>
        <v>0</v>
      </c>
      <c r="I16" s="21">
        <v>0</v>
      </c>
      <c r="J16" s="18">
        <v>0</v>
      </c>
      <c r="K16" s="19">
        <v>0</v>
      </c>
      <c r="L16" s="20">
        <v>0</v>
      </c>
      <c r="M16" s="21">
        <v>0</v>
      </c>
      <c r="N16" s="18">
        <f t="shared" si="2"/>
        <v>0</v>
      </c>
      <c r="O16" s="19">
        <v>0</v>
      </c>
      <c r="P16" s="20">
        <f t="shared" si="3"/>
        <v>0</v>
      </c>
      <c r="Q16" s="22"/>
      <c r="R16" s="18">
        <f t="shared" si="4"/>
        <v>0</v>
      </c>
      <c r="S16" s="20">
        <f t="shared" si="5"/>
        <v>469.53333333333336</v>
      </c>
      <c r="T16" s="23">
        <f>6157+886</f>
        <v>7043</v>
      </c>
      <c r="U16" s="24" t="s">
        <v>22</v>
      </c>
      <c r="V16" s="34" t="e">
        <f t="shared" si="6"/>
        <v>#DIV/0!</v>
      </c>
      <c r="W16" s="28">
        <f t="shared" si="7"/>
        <v>6.6666666666666666E-2</v>
      </c>
      <c r="Y16" s="685" t="s">
        <v>771</v>
      </c>
      <c r="Z16" s="27" t="s">
        <v>773</v>
      </c>
    </row>
    <row r="17" spans="2:26" s="27" customFormat="1" ht="34.9" customHeight="1" x14ac:dyDescent="0.2">
      <c r="B17" s="946"/>
      <c r="C17" s="16" t="s">
        <v>809</v>
      </c>
      <c r="D17" s="691">
        <v>135</v>
      </c>
      <c r="E17" s="17">
        <v>1</v>
      </c>
      <c r="F17" s="18">
        <f t="shared" si="0"/>
        <v>135</v>
      </c>
      <c r="G17" s="19">
        <f>80+20</f>
        <v>100</v>
      </c>
      <c r="H17" s="711">
        <f t="shared" si="1"/>
        <v>35</v>
      </c>
      <c r="I17" s="21">
        <v>0</v>
      </c>
      <c r="J17" s="18">
        <v>0</v>
      </c>
      <c r="K17" s="19">
        <v>0</v>
      </c>
      <c r="L17" s="20">
        <v>0</v>
      </c>
      <c r="M17" s="21">
        <v>0</v>
      </c>
      <c r="N17" s="18">
        <f t="shared" si="2"/>
        <v>0</v>
      </c>
      <c r="O17" s="19">
        <v>0</v>
      </c>
      <c r="P17" s="20">
        <f t="shared" si="3"/>
        <v>0</v>
      </c>
      <c r="Q17" s="22"/>
      <c r="R17" s="18">
        <f t="shared" si="4"/>
        <v>100</v>
      </c>
      <c r="S17" s="20">
        <f t="shared" si="5"/>
        <v>35</v>
      </c>
      <c r="T17" s="23">
        <v>1</v>
      </c>
      <c r="U17" s="24" t="s">
        <v>668</v>
      </c>
      <c r="V17" s="34">
        <f t="shared" si="6"/>
        <v>100</v>
      </c>
      <c r="W17" s="28">
        <f t="shared" si="7"/>
        <v>135</v>
      </c>
      <c r="Y17" s="685"/>
    </row>
    <row r="18" spans="2:26" s="27" customFormat="1" ht="34.9" customHeight="1" x14ac:dyDescent="0.2">
      <c r="B18" s="946"/>
      <c r="C18" s="16" t="s">
        <v>811</v>
      </c>
      <c r="D18" s="62">
        <f>39*4</f>
        <v>156</v>
      </c>
      <c r="E18" s="17">
        <f>1/8</f>
        <v>0.125</v>
      </c>
      <c r="F18" s="18">
        <f t="shared" si="0"/>
        <v>19.5</v>
      </c>
      <c r="G18" s="19">
        <f>4+46.5</f>
        <v>50.5</v>
      </c>
      <c r="H18" s="20">
        <f t="shared" si="1"/>
        <v>-31</v>
      </c>
      <c r="I18" s="21">
        <v>0</v>
      </c>
      <c r="J18" s="18">
        <v>0</v>
      </c>
      <c r="K18" s="19">
        <v>0</v>
      </c>
      <c r="L18" s="20">
        <v>0</v>
      </c>
      <c r="M18" s="21">
        <v>0</v>
      </c>
      <c r="N18" s="18">
        <f t="shared" si="2"/>
        <v>0</v>
      </c>
      <c r="O18" s="19">
        <v>0</v>
      </c>
      <c r="P18" s="20">
        <f t="shared" si="3"/>
        <v>0</v>
      </c>
      <c r="Q18" s="22"/>
      <c r="R18" s="18">
        <f t="shared" si="4"/>
        <v>50.5</v>
      </c>
      <c r="S18" s="20">
        <f t="shared" si="5"/>
        <v>105.5</v>
      </c>
      <c r="T18" s="23">
        <v>1</v>
      </c>
      <c r="U18" s="24" t="s">
        <v>668</v>
      </c>
      <c r="V18" s="34">
        <f t="shared" si="6"/>
        <v>404</v>
      </c>
      <c r="W18" s="28">
        <f t="shared" si="7"/>
        <v>156</v>
      </c>
      <c r="Y18" s="685"/>
    </row>
    <row r="19" spans="2:26" s="27" customFormat="1" ht="34.9" customHeight="1" x14ac:dyDescent="0.2">
      <c r="B19" s="946"/>
      <c r="C19" s="16" t="s">
        <v>810</v>
      </c>
      <c r="D19" s="686">
        <f>100*3</f>
        <v>300</v>
      </c>
      <c r="E19" s="17">
        <v>0.4</v>
      </c>
      <c r="F19" s="18">
        <f t="shared" si="0"/>
        <v>120</v>
      </c>
      <c r="G19" s="19">
        <v>0</v>
      </c>
      <c r="H19" s="20">
        <f t="shared" si="1"/>
        <v>120</v>
      </c>
      <c r="I19" s="21">
        <v>0</v>
      </c>
      <c r="J19" s="18">
        <v>0</v>
      </c>
      <c r="K19" s="19">
        <v>0</v>
      </c>
      <c r="L19" s="20">
        <v>0</v>
      </c>
      <c r="M19" s="21">
        <v>0</v>
      </c>
      <c r="N19" s="18">
        <f t="shared" si="2"/>
        <v>0</v>
      </c>
      <c r="O19" s="19">
        <v>0</v>
      </c>
      <c r="P19" s="20">
        <f t="shared" si="3"/>
        <v>0</v>
      </c>
      <c r="Q19" s="22"/>
      <c r="R19" s="18">
        <f t="shared" si="4"/>
        <v>0</v>
      </c>
      <c r="S19" s="20">
        <f t="shared" si="5"/>
        <v>300</v>
      </c>
      <c r="T19" s="23">
        <v>3</v>
      </c>
      <c r="U19" s="24" t="s">
        <v>741</v>
      </c>
      <c r="V19" s="34">
        <f t="shared" si="6"/>
        <v>0</v>
      </c>
      <c r="W19" s="28">
        <f t="shared" si="7"/>
        <v>100</v>
      </c>
      <c r="Y19" s="685"/>
    </row>
    <row r="20" spans="2:26" s="27" customFormat="1" ht="46.15" customHeight="1" x14ac:dyDescent="0.2">
      <c r="B20" s="946"/>
      <c r="C20" s="16" t="s">
        <v>762</v>
      </c>
      <c r="D20" s="62">
        <f>0.4*T20</f>
        <v>406.56000000000006</v>
      </c>
      <c r="E20" s="17">
        <v>0.02</v>
      </c>
      <c r="F20" s="18">
        <f t="shared" si="0"/>
        <v>8.1312000000000015</v>
      </c>
      <c r="G20" s="19">
        <f>8</f>
        <v>8</v>
      </c>
      <c r="H20" s="20">
        <f t="shared" si="1"/>
        <v>0.13120000000000154</v>
      </c>
      <c r="I20" s="21">
        <v>0</v>
      </c>
      <c r="J20" s="18">
        <v>0</v>
      </c>
      <c r="K20" s="19">
        <v>0</v>
      </c>
      <c r="L20" s="20">
        <v>0</v>
      </c>
      <c r="M20" s="21">
        <v>0</v>
      </c>
      <c r="N20" s="18">
        <f t="shared" si="2"/>
        <v>0</v>
      </c>
      <c r="O20" s="19">
        <v>0</v>
      </c>
      <c r="P20" s="20">
        <f t="shared" si="3"/>
        <v>0</v>
      </c>
      <c r="Q20" s="22"/>
      <c r="R20" s="18">
        <f t="shared" si="4"/>
        <v>8</v>
      </c>
      <c r="S20" s="20">
        <f t="shared" si="5"/>
        <v>398.56000000000006</v>
      </c>
      <c r="T20" s="23">
        <f>0.33*3080</f>
        <v>1016.4000000000001</v>
      </c>
      <c r="U20" s="24" t="s">
        <v>587</v>
      </c>
      <c r="V20" s="34">
        <f t="shared" si="6"/>
        <v>0.39354584809130255</v>
      </c>
      <c r="W20" s="28">
        <f t="shared" si="7"/>
        <v>0.4</v>
      </c>
      <c r="Y20" s="685" t="s">
        <v>771</v>
      </c>
      <c r="Z20" s="27" t="s">
        <v>783</v>
      </c>
    </row>
    <row r="21" spans="2:26" s="27" customFormat="1" ht="29.45" customHeight="1" x14ac:dyDescent="0.2">
      <c r="B21" s="946"/>
      <c r="C21" s="16" t="s">
        <v>763</v>
      </c>
      <c r="D21" s="62">
        <f>0.5*T21</f>
        <v>244.5</v>
      </c>
      <c r="E21" s="17">
        <v>0.02</v>
      </c>
      <c r="F21" s="18">
        <f t="shared" si="0"/>
        <v>4.8899999999999997</v>
      </c>
      <c r="G21" s="19">
        <f>8</f>
        <v>8</v>
      </c>
      <c r="H21" s="20">
        <f t="shared" si="1"/>
        <v>-3.1100000000000003</v>
      </c>
      <c r="I21" s="21">
        <v>0</v>
      </c>
      <c r="J21" s="18">
        <v>0</v>
      </c>
      <c r="K21" s="19">
        <v>0</v>
      </c>
      <c r="L21" s="20">
        <v>0</v>
      </c>
      <c r="M21" s="21">
        <v>0</v>
      </c>
      <c r="N21" s="18">
        <f t="shared" si="2"/>
        <v>0</v>
      </c>
      <c r="O21" s="19">
        <v>0</v>
      </c>
      <c r="P21" s="20">
        <f t="shared" si="3"/>
        <v>0</v>
      </c>
      <c r="Q21" s="22"/>
      <c r="R21" s="18">
        <f t="shared" si="4"/>
        <v>8</v>
      </c>
      <c r="S21" s="20">
        <f t="shared" si="5"/>
        <v>236.5</v>
      </c>
      <c r="T21" s="23">
        <f>163*3</f>
        <v>489</v>
      </c>
      <c r="U21" s="24" t="s">
        <v>587</v>
      </c>
      <c r="V21" s="34">
        <f t="shared" si="6"/>
        <v>0.81799591002044991</v>
      </c>
      <c r="W21" s="28">
        <f t="shared" si="7"/>
        <v>0.5</v>
      </c>
      <c r="Y21" s="685" t="s">
        <v>771</v>
      </c>
      <c r="Z21" s="27" t="s">
        <v>772</v>
      </c>
    </row>
    <row r="22" spans="2:26" s="27" customFormat="1" ht="20.100000000000001" customHeight="1" x14ac:dyDescent="0.2">
      <c r="B22" s="946"/>
      <c r="C22" s="16" t="s">
        <v>764</v>
      </c>
      <c r="D22" s="62">
        <f>0.2*T22</f>
        <v>627.6</v>
      </c>
      <c r="E22" s="17">
        <v>0</v>
      </c>
      <c r="F22" s="18">
        <f t="shared" si="0"/>
        <v>0</v>
      </c>
      <c r="G22" s="19">
        <f>20</f>
        <v>20</v>
      </c>
      <c r="H22" s="20">
        <f t="shared" si="1"/>
        <v>-20</v>
      </c>
      <c r="I22" s="21">
        <v>0</v>
      </c>
      <c r="J22" s="18">
        <v>0</v>
      </c>
      <c r="K22" s="19">
        <v>0</v>
      </c>
      <c r="L22" s="20">
        <v>0</v>
      </c>
      <c r="M22" s="21">
        <v>0</v>
      </c>
      <c r="N22" s="18">
        <f t="shared" si="2"/>
        <v>0</v>
      </c>
      <c r="O22" s="19">
        <v>0</v>
      </c>
      <c r="P22" s="20">
        <f t="shared" si="3"/>
        <v>0</v>
      </c>
      <c r="Q22" s="22"/>
      <c r="R22" s="18">
        <f t="shared" si="4"/>
        <v>20</v>
      </c>
      <c r="S22" s="20">
        <f t="shared" si="5"/>
        <v>607.6</v>
      </c>
      <c r="T22" s="23">
        <v>3138</v>
      </c>
      <c r="U22" s="24" t="s">
        <v>22</v>
      </c>
      <c r="V22" s="34" t="e">
        <f t="shared" si="6"/>
        <v>#DIV/0!</v>
      </c>
      <c r="W22" s="28">
        <f t="shared" si="7"/>
        <v>0.2</v>
      </c>
      <c r="Y22" s="420"/>
    </row>
    <row r="23" spans="2:26" s="27" customFormat="1" ht="20.100000000000001" customHeight="1" x14ac:dyDescent="0.2">
      <c r="B23" s="946"/>
      <c r="C23" s="16" t="s">
        <v>837</v>
      </c>
      <c r="D23" s="686">
        <v>100</v>
      </c>
      <c r="E23" s="17">
        <f t="shared" si="8"/>
        <v>0</v>
      </c>
      <c r="F23" s="18">
        <f t="shared" si="0"/>
        <v>0</v>
      </c>
      <c r="G23" s="19">
        <v>0</v>
      </c>
      <c r="H23" s="20">
        <f t="shared" si="1"/>
        <v>0</v>
      </c>
      <c r="I23" s="21">
        <v>0</v>
      </c>
      <c r="J23" s="18">
        <v>0</v>
      </c>
      <c r="K23" s="19">
        <v>0</v>
      </c>
      <c r="L23" s="20">
        <v>0</v>
      </c>
      <c r="M23" s="21">
        <v>0</v>
      </c>
      <c r="N23" s="18">
        <f t="shared" si="2"/>
        <v>0</v>
      </c>
      <c r="O23" s="19">
        <v>0</v>
      </c>
      <c r="P23" s="20">
        <f t="shared" si="3"/>
        <v>0</v>
      </c>
      <c r="Q23" s="22"/>
      <c r="R23" s="18">
        <f t="shared" si="4"/>
        <v>0</v>
      </c>
      <c r="S23" s="20">
        <f t="shared" si="5"/>
        <v>100</v>
      </c>
      <c r="T23" s="687"/>
      <c r="U23" s="24" t="s">
        <v>22</v>
      </c>
      <c r="V23" s="34" t="e">
        <f t="shared" si="6"/>
        <v>#DIV/0!</v>
      </c>
      <c r="W23" s="28" t="e">
        <f t="shared" si="7"/>
        <v>#DIV/0!</v>
      </c>
      <c r="Y23" s="420"/>
    </row>
    <row r="24" spans="2:26" s="27" customFormat="1" ht="20.100000000000001" customHeight="1" x14ac:dyDescent="0.2">
      <c r="B24" s="946"/>
      <c r="C24" s="16" t="s">
        <v>774</v>
      </c>
      <c r="D24" s="62">
        <f>+T24/100*8</f>
        <v>563.44000000000005</v>
      </c>
      <c r="E24" s="17">
        <f t="shared" si="8"/>
        <v>0</v>
      </c>
      <c r="F24" s="18">
        <f t="shared" si="0"/>
        <v>0</v>
      </c>
      <c r="G24" s="19">
        <v>0</v>
      </c>
      <c r="H24" s="20">
        <f t="shared" si="1"/>
        <v>0</v>
      </c>
      <c r="I24" s="21">
        <v>0</v>
      </c>
      <c r="J24" s="18">
        <v>0</v>
      </c>
      <c r="K24" s="19">
        <v>0</v>
      </c>
      <c r="L24" s="20">
        <v>0</v>
      </c>
      <c r="M24" s="21">
        <v>0</v>
      </c>
      <c r="N24" s="18">
        <f t="shared" si="2"/>
        <v>0</v>
      </c>
      <c r="O24" s="19">
        <v>0</v>
      </c>
      <c r="P24" s="20">
        <f t="shared" si="3"/>
        <v>0</v>
      </c>
      <c r="Q24" s="22"/>
      <c r="R24" s="18">
        <f t="shared" si="4"/>
        <v>0</v>
      </c>
      <c r="S24" s="20">
        <f t="shared" si="5"/>
        <v>563.44000000000005</v>
      </c>
      <c r="T24" s="23">
        <v>7043</v>
      </c>
      <c r="U24" s="24" t="s">
        <v>22</v>
      </c>
      <c r="V24" s="34" t="e">
        <f t="shared" si="6"/>
        <v>#DIV/0!</v>
      </c>
      <c r="W24" s="28">
        <f t="shared" si="7"/>
        <v>0.08</v>
      </c>
      <c r="Y24" s="420"/>
    </row>
    <row r="25" spans="2:26" s="27" customFormat="1" ht="20.100000000000001" customHeight="1" x14ac:dyDescent="0.2">
      <c r="B25" s="946"/>
      <c r="C25" s="16" t="s">
        <v>782</v>
      </c>
      <c r="D25" s="691">
        <f>3*8*2+4*8</f>
        <v>80</v>
      </c>
      <c r="E25" s="17">
        <f t="shared" si="8"/>
        <v>0</v>
      </c>
      <c r="F25" s="18">
        <f t="shared" si="0"/>
        <v>0</v>
      </c>
      <c r="G25" s="19">
        <v>0</v>
      </c>
      <c r="H25" s="20">
        <f t="shared" si="1"/>
        <v>0</v>
      </c>
      <c r="I25" s="21">
        <v>0</v>
      </c>
      <c r="J25" s="18">
        <v>0</v>
      </c>
      <c r="K25" s="19">
        <v>0</v>
      </c>
      <c r="L25" s="20">
        <v>0</v>
      </c>
      <c r="M25" s="21">
        <v>0</v>
      </c>
      <c r="N25" s="18">
        <f t="shared" si="2"/>
        <v>0</v>
      </c>
      <c r="O25" s="19">
        <v>0</v>
      </c>
      <c r="P25" s="20">
        <f t="shared" si="3"/>
        <v>0</v>
      </c>
      <c r="Q25" s="22"/>
      <c r="R25" s="18">
        <f t="shared" si="4"/>
        <v>0</v>
      </c>
      <c r="S25" s="20">
        <f t="shared" si="5"/>
        <v>80</v>
      </c>
      <c r="T25" s="23">
        <v>3</v>
      </c>
      <c r="U25" s="24" t="s">
        <v>741</v>
      </c>
      <c r="V25" s="34" t="e">
        <f t="shared" si="6"/>
        <v>#DIV/0!</v>
      </c>
      <c r="W25" s="28">
        <f t="shared" si="7"/>
        <v>26.666666666666668</v>
      </c>
      <c r="Y25" s="420"/>
    </row>
    <row r="26" spans="2:26" s="27" customFormat="1" ht="29.45" customHeight="1" x14ac:dyDescent="0.2">
      <c r="B26" s="946"/>
      <c r="C26" s="16" t="s">
        <v>778</v>
      </c>
      <c r="D26" s="62">
        <f>39*4</f>
        <v>156</v>
      </c>
      <c r="E26" s="17">
        <v>0.9</v>
      </c>
      <c r="F26" s="18">
        <f t="shared" si="0"/>
        <v>140.4</v>
      </c>
      <c r="G26" s="19">
        <f>31+39+28+15</f>
        <v>113</v>
      </c>
      <c r="H26" s="20">
        <f t="shared" si="1"/>
        <v>27.400000000000006</v>
      </c>
      <c r="I26" s="21">
        <v>0</v>
      </c>
      <c r="J26" s="18">
        <v>0</v>
      </c>
      <c r="K26" s="19">
        <v>0</v>
      </c>
      <c r="L26" s="20">
        <v>0</v>
      </c>
      <c r="M26" s="21">
        <v>0</v>
      </c>
      <c r="N26" s="18">
        <f t="shared" si="2"/>
        <v>0</v>
      </c>
      <c r="O26" s="19">
        <v>0</v>
      </c>
      <c r="P26" s="20">
        <f t="shared" si="3"/>
        <v>0</v>
      </c>
      <c r="Q26" s="22"/>
      <c r="R26" s="18">
        <f t="shared" si="4"/>
        <v>113</v>
      </c>
      <c r="S26" s="20">
        <f t="shared" si="5"/>
        <v>43</v>
      </c>
      <c r="T26" s="23">
        <v>4</v>
      </c>
      <c r="U26" s="24" t="s">
        <v>777</v>
      </c>
      <c r="V26" s="34">
        <f t="shared" si="6"/>
        <v>31.388888888888889</v>
      </c>
      <c r="W26" s="28">
        <f t="shared" si="7"/>
        <v>39</v>
      </c>
      <c r="Y26" s="420"/>
    </row>
    <row r="27" spans="2:26" s="27" customFormat="1" ht="34.15" customHeight="1" x14ac:dyDescent="0.2">
      <c r="B27" s="946"/>
      <c r="C27" s="16" t="s">
        <v>882</v>
      </c>
      <c r="D27" s="62"/>
      <c r="E27" s="17">
        <f t="shared" ref="E27" si="9">M27+I27</f>
        <v>0</v>
      </c>
      <c r="F27" s="18">
        <f t="shared" ref="F27:F28" si="10">E27*D27</f>
        <v>0</v>
      </c>
      <c r="G27" s="19">
        <v>0</v>
      </c>
      <c r="H27" s="20">
        <f t="shared" ref="H27:H28" si="11">F27-G27</f>
        <v>0</v>
      </c>
      <c r="I27" s="21">
        <v>0</v>
      </c>
      <c r="J27" s="18">
        <v>0</v>
      </c>
      <c r="K27" s="19">
        <v>0</v>
      </c>
      <c r="L27" s="20">
        <v>0</v>
      </c>
      <c r="M27" s="21">
        <v>0</v>
      </c>
      <c r="N27" s="18">
        <f t="shared" ref="N27" si="12">M27*D27</f>
        <v>0</v>
      </c>
      <c r="O27" s="19">
        <v>0</v>
      </c>
      <c r="P27" s="20">
        <f t="shared" ref="P27" si="13">N27-O27</f>
        <v>0</v>
      </c>
      <c r="Q27" s="22"/>
      <c r="R27" s="18">
        <f t="shared" ref="R27" si="14">G27+Q27</f>
        <v>0</v>
      </c>
      <c r="S27" s="20">
        <f t="shared" ref="S27" si="15">D27-R27</f>
        <v>0</v>
      </c>
      <c r="T27" s="23">
        <f>1871+449</f>
        <v>2320</v>
      </c>
      <c r="U27" s="24" t="s">
        <v>741</v>
      </c>
      <c r="V27" s="34" t="e">
        <f t="shared" ref="V27" si="16">G27/(E27*T27)</f>
        <v>#DIV/0!</v>
      </c>
      <c r="W27" s="28">
        <f t="shared" ref="W27" si="17">D27/(T27)</f>
        <v>0</v>
      </c>
      <c r="X27" s="27" t="s">
        <v>883</v>
      </c>
      <c r="Y27" s="420"/>
    </row>
    <row r="28" spans="2:26" s="27" customFormat="1" ht="22.15" customHeight="1" x14ac:dyDescent="0.2">
      <c r="B28" s="946"/>
      <c r="C28" s="16" t="s">
        <v>1028</v>
      </c>
      <c r="D28" s="686"/>
      <c r="E28" s="17"/>
      <c r="F28" s="18">
        <f t="shared" si="10"/>
        <v>0</v>
      </c>
      <c r="G28" s="19">
        <f>104+87+45.5+43</f>
        <v>279.5</v>
      </c>
      <c r="H28" s="20">
        <f t="shared" si="11"/>
        <v>-279.5</v>
      </c>
      <c r="I28" s="21"/>
      <c r="J28" s="18"/>
      <c r="K28" s="19"/>
      <c r="L28" s="20"/>
      <c r="M28" s="21"/>
      <c r="N28" s="18"/>
      <c r="O28" s="19"/>
      <c r="P28" s="20"/>
      <c r="Q28" s="22"/>
      <c r="R28" s="18"/>
      <c r="S28" s="20"/>
      <c r="T28" s="23"/>
      <c r="U28" s="24"/>
      <c r="V28" s="34"/>
      <c r="W28" s="28"/>
      <c r="Y28" s="420"/>
    </row>
    <row r="29" spans="2:26" s="27" customFormat="1" ht="22.15" customHeight="1" x14ac:dyDescent="0.2">
      <c r="B29" s="946"/>
      <c r="C29" s="16"/>
      <c r="D29" s="62"/>
      <c r="E29" s="17"/>
      <c r="F29" s="18"/>
      <c r="G29" s="19"/>
      <c r="H29" s="20"/>
      <c r="I29" s="21"/>
      <c r="J29" s="18"/>
      <c r="K29" s="19"/>
      <c r="L29" s="20"/>
      <c r="M29" s="21"/>
      <c r="N29" s="18"/>
      <c r="O29" s="19"/>
      <c r="P29" s="20"/>
      <c r="Q29" s="22"/>
      <c r="R29" s="18"/>
      <c r="S29" s="20"/>
      <c r="T29" s="23"/>
      <c r="U29" s="24"/>
      <c r="V29" s="34"/>
      <c r="W29" s="28"/>
      <c r="Y29" s="420"/>
    </row>
    <row r="30" spans="2:26" s="27" customFormat="1" ht="22.15" customHeight="1" x14ac:dyDescent="0.2">
      <c r="B30" s="946"/>
      <c r="C30" s="16"/>
      <c r="D30" s="62"/>
      <c r="E30" s="17"/>
      <c r="F30" s="18"/>
      <c r="G30" s="19"/>
      <c r="H30" s="20"/>
      <c r="I30" s="21"/>
      <c r="J30" s="18"/>
      <c r="K30" s="19"/>
      <c r="L30" s="20"/>
      <c r="M30" s="21"/>
      <c r="N30" s="18"/>
      <c r="O30" s="19"/>
      <c r="P30" s="20"/>
      <c r="Q30" s="22"/>
      <c r="R30" s="18"/>
      <c r="S30" s="20"/>
      <c r="T30" s="23"/>
      <c r="U30" s="24"/>
      <c r="V30" s="34"/>
      <c r="W30" s="28"/>
      <c r="Y30" s="420"/>
    </row>
    <row r="31" spans="2:26" s="27" customFormat="1" ht="22.15" customHeight="1" x14ac:dyDescent="0.2">
      <c r="B31" s="946"/>
      <c r="C31" s="16" t="s">
        <v>1026</v>
      </c>
      <c r="D31" s="686"/>
      <c r="E31" s="17"/>
      <c r="F31" s="18"/>
      <c r="G31" s="19">
        <f>8+8</f>
        <v>16</v>
      </c>
      <c r="H31" s="20"/>
      <c r="I31" s="21"/>
      <c r="J31" s="18"/>
      <c r="K31" s="19"/>
      <c r="L31" s="20"/>
      <c r="M31" s="21"/>
      <c r="N31" s="18"/>
      <c r="O31" s="19"/>
      <c r="P31" s="20"/>
      <c r="Q31" s="22"/>
      <c r="R31" s="18"/>
      <c r="S31" s="20"/>
      <c r="T31" s="23"/>
      <c r="U31" s="24"/>
      <c r="V31" s="34"/>
      <c r="W31" s="28"/>
      <c r="Y31" s="420"/>
    </row>
    <row r="32" spans="2:26" s="31" customFormat="1" ht="20.100000000000001" customHeight="1" x14ac:dyDescent="0.2">
      <c r="B32" s="394"/>
      <c r="C32" s="395" t="s">
        <v>80</v>
      </c>
      <c r="D32" s="396">
        <f>SUM(D10:D27)</f>
        <v>7183.633333333335</v>
      </c>
      <c r="E32" s="397">
        <f>F32/D32</f>
        <v>0.28700170495426958</v>
      </c>
      <c r="F32" s="396">
        <f>SUM(F10:F28)</f>
        <v>2061.7150144329898</v>
      </c>
      <c r="G32" s="396">
        <f>SUM(G10:G28)</f>
        <v>1983</v>
      </c>
      <c r="H32" s="399">
        <f t="shared" si="1"/>
        <v>78.715014432989847</v>
      </c>
      <c r="I32" s="397">
        <f>J32/D32</f>
        <v>0</v>
      </c>
      <c r="J32" s="398">
        <f>SUM(J10:J24)</f>
        <v>0</v>
      </c>
      <c r="K32" s="398">
        <f>SUM(K10:K24)</f>
        <v>0</v>
      </c>
      <c r="L32" s="399">
        <f>J32-K32</f>
        <v>0</v>
      </c>
      <c r="M32" s="397">
        <f>N32/D32</f>
        <v>0</v>
      </c>
      <c r="N32" s="398">
        <f>SUM(N10:N24)</f>
        <v>0</v>
      </c>
      <c r="O32" s="398">
        <f>SUM(O10:O24)</f>
        <v>0</v>
      </c>
      <c r="P32" s="399">
        <f t="shared" si="3"/>
        <v>0</v>
      </c>
      <c r="Q32" s="398">
        <f>SUM(Q10:Q24)</f>
        <v>0</v>
      </c>
      <c r="R32" s="398">
        <f>SUM(R10:R24)</f>
        <v>1590.5</v>
      </c>
      <c r="S32" s="398">
        <f>SUM(S10:S24)</f>
        <v>5357.1333333333332</v>
      </c>
      <c r="T32" s="400"/>
      <c r="U32" s="401" t="s">
        <v>22</v>
      </c>
      <c r="V32" s="402" t="e">
        <f>G32/(E32*T32)</f>
        <v>#DIV/0!</v>
      </c>
      <c r="W32" s="403" t="e">
        <f>D32/(T32)</f>
        <v>#DIV/0!</v>
      </c>
      <c r="Y32" s="420"/>
    </row>
    <row r="33" spans="2:30" ht="146.44999999999999" customHeight="1" x14ac:dyDescent="0.2">
      <c r="B33" s="916" t="s">
        <v>652</v>
      </c>
      <c r="C33" s="749" t="s">
        <v>657</v>
      </c>
      <c r="D33" s="63">
        <f>8*39/2+4*2*39+600</f>
        <v>1068</v>
      </c>
      <c r="E33" s="17">
        <v>0.8</v>
      </c>
      <c r="F33" s="18">
        <f t="shared" ref="F33:F49" si="18">E33*D33</f>
        <v>854.40000000000009</v>
      </c>
      <c r="G33" s="19">
        <f>30+130+63+81+62+24+99+102+109+137</f>
        <v>837</v>
      </c>
      <c r="H33" s="20">
        <f t="shared" si="1"/>
        <v>17.400000000000091</v>
      </c>
      <c r="I33" s="21">
        <v>0</v>
      </c>
      <c r="J33" s="18">
        <v>0</v>
      </c>
      <c r="K33" s="19">
        <v>0</v>
      </c>
      <c r="L33" s="20">
        <v>0</v>
      </c>
      <c r="M33" s="21">
        <v>0</v>
      </c>
      <c r="N33" s="18">
        <f t="shared" ref="N33:N49" si="19">M33*D33</f>
        <v>0</v>
      </c>
      <c r="O33" s="19">
        <v>0</v>
      </c>
      <c r="P33" s="20">
        <f t="shared" si="3"/>
        <v>0</v>
      </c>
      <c r="Q33" s="22"/>
      <c r="R33" s="18">
        <f t="shared" ref="R33:R49" si="20">G33+Q33</f>
        <v>837</v>
      </c>
      <c r="S33" s="20">
        <f t="shared" ref="S33:S49" si="21">D33-R33</f>
        <v>231</v>
      </c>
      <c r="T33" s="23">
        <v>10</v>
      </c>
      <c r="U33" s="24" t="s">
        <v>777</v>
      </c>
      <c r="V33" s="34">
        <f t="shared" ref="V33:V65" si="22">G33/(E33*T33)</f>
        <v>104.625</v>
      </c>
      <c r="W33" s="28">
        <f t="shared" ref="W33:W65" si="23">D33/(T33)</f>
        <v>106.8</v>
      </c>
      <c r="Y33" s="420"/>
      <c r="Z33" s="32" t="s">
        <v>1007</v>
      </c>
      <c r="AA33" s="31"/>
      <c r="AC33" s="755" t="s">
        <v>1008</v>
      </c>
      <c r="AD33" s="32">
        <v>600</v>
      </c>
    </row>
    <row r="34" spans="2:30" ht="20.100000000000001" customHeight="1" x14ac:dyDescent="0.2">
      <c r="B34" s="917"/>
      <c r="C34" s="33" t="s">
        <v>658</v>
      </c>
      <c r="D34" s="63">
        <f>0.6*T34</f>
        <v>367.8</v>
      </c>
      <c r="E34" s="17">
        <v>0.98</v>
      </c>
      <c r="F34" s="18">
        <f t="shared" si="18"/>
        <v>360.44400000000002</v>
      </c>
      <c r="G34" s="19">
        <f>65+7+150+16+8+4+8</f>
        <v>258</v>
      </c>
      <c r="H34" s="20">
        <f t="shared" si="1"/>
        <v>102.44400000000002</v>
      </c>
      <c r="I34" s="21">
        <v>0</v>
      </c>
      <c r="J34" s="18">
        <v>0</v>
      </c>
      <c r="K34" s="19">
        <v>0</v>
      </c>
      <c r="L34" s="20">
        <v>0</v>
      </c>
      <c r="M34" s="21">
        <v>0</v>
      </c>
      <c r="N34" s="18">
        <f t="shared" si="19"/>
        <v>0</v>
      </c>
      <c r="O34" s="19">
        <v>0</v>
      </c>
      <c r="P34" s="20">
        <f t="shared" si="3"/>
        <v>0</v>
      </c>
      <c r="Q34" s="22"/>
      <c r="R34" s="18">
        <f t="shared" si="20"/>
        <v>258</v>
      </c>
      <c r="S34" s="20">
        <f t="shared" si="21"/>
        <v>109.80000000000001</v>
      </c>
      <c r="T34" s="23">
        <v>613</v>
      </c>
      <c r="U34" s="24" t="s">
        <v>666</v>
      </c>
      <c r="V34" s="34">
        <f t="shared" si="22"/>
        <v>0.42947031993874218</v>
      </c>
      <c r="W34" s="28">
        <f t="shared" si="23"/>
        <v>0.6</v>
      </c>
      <c r="Y34" s="420"/>
    </row>
    <row r="35" spans="2:30" x14ac:dyDescent="0.2">
      <c r="B35" s="917"/>
      <c r="C35" s="33" t="s">
        <v>659</v>
      </c>
      <c r="D35" s="63">
        <f>2*T35</f>
        <v>178</v>
      </c>
      <c r="E35" s="17">
        <v>1</v>
      </c>
      <c r="F35" s="18">
        <f t="shared" si="18"/>
        <v>178</v>
      </c>
      <c r="G35" s="19">
        <f>110+56+112+16+69+16+8</f>
        <v>387</v>
      </c>
      <c r="H35" s="20">
        <f t="shared" si="1"/>
        <v>-209</v>
      </c>
      <c r="I35" s="21">
        <v>0</v>
      </c>
      <c r="J35" s="18">
        <v>0</v>
      </c>
      <c r="K35" s="19">
        <v>0</v>
      </c>
      <c r="L35" s="20">
        <v>0</v>
      </c>
      <c r="M35" s="21">
        <v>0</v>
      </c>
      <c r="N35" s="18">
        <f t="shared" si="19"/>
        <v>0</v>
      </c>
      <c r="O35" s="19">
        <v>0</v>
      </c>
      <c r="P35" s="20">
        <f t="shared" si="3"/>
        <v>0</v>
      </c>
      <c r="Q35" s="22"/>
      <c r="R35" s="18">
        <f t="shared" si="20"/>
        <v>387</v>
      </c>
      <c r="S35" s="20">
        <f t="shared" si="21"/>
        <v>-209</v>
      </c>
      <c r="T35" s="23">
        <v>89</v>
      </c>
      <c r="U35" s="24" t="s">
        <v>15</v>
      </c>
      <c r="V35" s="34">
        <f t="shared" si="22"/>
        <v>4.3483146067415728</v>
      </c>
      <c r="W35" s="28">
        <f t="shared" si="23"/>
        <v>2</v>
      </c>
      <c r="Y35" s="420"/>
    </row>
    <row r="36" spans="2:30" ht="20.100000000000001" customHeight="1" x14ac:dyDescent="0.2">
      <c r="B36" s="917"/>
      <c r="C36" s="33" t="s">
        <v>660</v>
      </c>
      <c r="D36" s="63">
        <f>1*T36</f>
        <v>99</v>
      </c>
      <c r="E36" s="17">
        <v>0.95</v>
      </c>
      <c r="F36" s="18">
        <f t="shared" si="18"/>
        <v>94.05</v>
      </c>
      <c r="G36" s="19">
        <f>42+61+34+14</f>
        <v>151</v>
      </c>
      <c r="H36" s="20">
        <f t="shared" si="1"/>
        <v>-56.95</v>
      </c>
      <c r="I36" s="21">
        <v>0</v>
      </c>
      <c r="J36" s="18">
        <v>0</v>
      </c>
      <c r="K36" s="19">
        <v>0</v>
      </c>
      <c r="L36" s="20">
        <v>0</v>
      </c>
      <c r="M36" s="21">
        <v>0</v>
      </c>
      <c r="N36" s="18">
        <f t="shared" si="19"/>
        <v>0</v>
      </c>
      <c r="O36" s="19">
        <v>0</v>
      </c>
      <c r="P36" s="20">
        <f t="shared" si="3"/>
        <v>0</v>
      </c>
      <c r="Q36" s="22"/>
      <c r="R36" s="18">
        <f t="shared" si="20"/>
        <v>151</v>
      </c>
      <c r="S36" s="20">
        <f t="shared" si="21"/>
        <v>-52</v>
      </c>
      <c r="T36" s="23">
        <v>99</v>
      </c>
      <c r="U36" s="24" t="s">
        <v>587</v>
      </c>
      <c r="V36" s="34">
        <f t="shared" si="22"/>
        <v>1.6055289739500267</v>
      </c>
      <c r="W36" s="28">
        <f t="shared" si="23"/>
        <v>1</v>
      </c>
      <c r="Y36" s="420"/>
      <c r="Z36" s="800"/>
    </row>
    <row r="37" spans="2:30" ht="34.15" customHeight="1" x14ac:dyDescent="0.2">
      <c r="B37" s="917"/>
      <c r="C37" s="33" t="s">
        <v>871</v>
      </c>
      <c r="D37" s="63">
        <v>406</v>
      </c>
      <c r="E37" s="17">
        <v>0.57999999999999996</v>
      </c>
      <c r="F37" s="18">
        <f t="shared" si="18"/>
        <v>235.48</v>
      </c>
      <c r="G37" s="19">
        <f>23+71+49.5+78</f>
        <v>221.5</v>
      </c>
      <c r="H37" s="20">
        <f t="shared" si="1"/>
        <v>13.97999999999999</v>
      </c>
      <c r="I37" s="21">
        <v>0</v>
      </c>
      <c r="J37" s="18">
        <v>0</v>
      </c>
      <c r="K37" s="19">
        <v>0</v>
      </c>
      <c r="L37" s="20">
        <v>0</v>
      </c>
      <c r="M37" s="21">
        <v>0</v>
      </c>
      <c r="N37" s="18">
        <f t="shared" si="19"/>
        <v>0</v>
      </c>
      <c r="O37" s="19">
        <v>0</v>
      </c>
      <c r="P37" s="20">
        <f t="shared" si="3"/>
        <v>0</v>
      </c>
      <c r="Q37" s="22"/>
      <c r="R37" s="18">
        <f t="shared" si="20"/>
        <v>221.5</v>
      </c>
      <c r="S37" s="20">
        <f t="shared" si="21"/>
        <v>184.5</v>
      </c>
      <c r="T37" s="23">
        <v>41</v>
      </c>
      <c r="U37" s="24" t="s">
        <v>741</v>
      </c>
      <c r="V37" s="34">
        <f t="shared" si="22"/>
        <v>9.3145500420521454</v>
      </c>
      <c r="W37" s="28">
        <f t="shared" si="23"/>
        <v>9.9024390243902438</v>
      </c>
      <c r="X37" s="32" t="s">
        <v>838</v>
      </c>
      <c r="Y37" s="698">
        <f>+D37/198</f>
        <v>2.0505050505050506</v>
      </c>
      <c r="Z37" s="32" t="s">
        <v>829</v>
      </c>
    </row>
    <row r="38" spans="2:30" ht="26.45" customHeight="1" x14ac:dyDescent="0.2">
      <c r="B38" s="917"/>
      <c r="C38" s="33" t="s">
        <v>830</v>
      </c>
      <c r="D38" s="63">
        <f>1*T38</f>
        <v>126</v>
      </c>
      <c r="E38" s="17">
        <v>0.66</v>
      </c>
      <c r="F38" s="18">
        <f t="shared" si="18"/>
        <v>83.160000000000011</v>
      </c>
      <c r="G38" s="19">
        <f>8</f>
        <v>8</v>
      </c>
      <c r="H38" s="20">
        <f t="shared" si="1"/>
        <v>75.160000000000011</v>
      </c>
      <c r="I38" s="21">
        <v>0</v>
      </c>
      <c r="J38" s="18">
        <v>0</v>
      </c>
      <c r="K38" s="19">
        <v>0</v>
      </c>
      <c r="L38" s="20">
        <v>0</v>
      </c>
      <c r="M38" s="21">
        <v>0</v>
      </c>
      <c r="N38" s="18">
        <f t="shared" si="19"/>
        <v>0</v>
      </c>
      <c r="O38" s="19">
        <v>0</v>
      </c>
      <c r="P38" s="20">
        <f t="shared" si="3"/>
        <v>0</v>
      </c>
      <c r="Q38" s="22"/>
      <c r="R38" s="18">
        <f t="shared" si="20"/>
        <v>8</v>
      </c>
      <c r="S38" s="20">
        <f t="shared" si="21"/>
        <v>118</v>
      </c>
      <c r="T38" s="23">
        <v>126</v>
      </c>
      <c r="U38" s="24" t="s">
        <v>741</v>
      </c>
      <c r="V38" s="34">
        <f t="shared" si="22"/>
        <v>9.6200096200096188E-2</v>
      </c>
      <c r="W38" s="28">
        <f t="shared" si="23"/>
        <v>1</v>
      </c>
      <c r="Y38" s="420"/>
      <c r="Z38" s="32" t="s">
        <v>780</v>
      </c>
    </row>
    <row r="39" spans="2:30" ht="35.450000000000003" customHeight="1" x14ac:dyDescent="0.2">
      <c r="B39" s="917"/>
      <c r="C39" s="33" t="s">
        <v>789</v>
      </c>
      <c r="D39" s="63">
        <f>2*39*3</f>
        <v>234</v>
      </c>
      <c r="E39" s="17">
        <v>1</v>
      </c>
      <c r="F39" s="18">
        <f t="shared" si="18"/>
        <v>234</v>
      </c>
      <c r="G39" s="19">
        <f>9</f>
        <v>9</v>
      </c>
      <c r="H39" s="20">
        <f t="shared" si="1"/>
        <v>225</v>
      </c>
      <c r="I39" s="21">
        <v>0</v>
      </c>
      <c r="J39" s="18">
        <v>0</v>
      </c>
      <c r="K39" s="19">
        <v>0</v>
      </c>
      <c r="L39" s="20">
        <v>0</v>
      </c>
      <c r="M39" s="21">
        <v>0</v>
      </c>
      <c r="N39" s="18">
        <f t="shared" si="19"/>
        <v>0</v>
      </c>
      <c r="O39" s="19">
        <v>0</v>
      </c>
      <c r="P39" s="20">
        <f t="shared" si="3"/>
        <v>0</v>
      </c>
      <c r="Q39" s="22"/>
      <c r="R39" s="18">
        <f t="shared" si="20"/>
        <v>9</v>
      </c>
      <c r="S39" s="20">
        <f t="shared" si="21"/>
        <v>225</v>
      </c>
      <c r="T39" s="687">
        <v>1</v>
      </c>
      <c r="U39" s="24" t="s">
        <v>668</v>
      </c>
      <c r="V39" s="34">
        <f t="shared" si="22"/>
        <v>9</v>
      </c>
      <c r="W39" s="28">
        <f t="shared" si="23"/>
        <v>234</v>
      </c>
      <c r="Y39" s="420"/>
    </row>
    <row r="40" spans="2:30" ht="28.9" customHeight="1" x14ac:dyDescent="0.2">
      <c r="B40" s="917"/>
      <c r="C40" s="33" t="s">
        <v>841</v>
      </c>
      <c r="D40" s="63">
        <f>269+115+16</f>
        <v>400</v>
      </c>
      <c r="E40" s="17">
        <v>0.98</v>
      </c>
      <c r="F40" s="18">
        <f t="shared" si="18"/>
        <v>392</v>
      </c>
      <c r="G40" s="19">
        <f>14+145+35+4+64</f>
        <v>262</v>
      </c>
      <c r="H40" s="20">
        <f t="shared" si="1"/>
        <v>130</v>
      </c>
      <c r="I40" s="21">
        <v>0</v>
      </c>
      <c r="J40" s="18">
        <v>0</v>
      </c>
      <c r="K40" s="19">
        <v>0</v>
      </c>
      <c r="L40" s="20">
        <v>0</v>
      </c>
      <c r="M40" s="21">
        <v>0</v>
      </c>
      <c r="N40" s="18">
        <f t="shared" si="19"/>
        <v>0</v>
      </c>
      <c r="O40" s="19">
        <v>0</v>
      </c>
      <c r="P40" s="20">
        <f t="shared" si="3"/>
        <v>0</v>
      </c>
      <c r="Q40" s="22"/>
      <c r="R40" s="18">
        <f t="shared" si="20"/>
        <v>262</v>
      </c>
      <c r="S40" s="20">
        <f t="shared" si="21"/>
        <v>138</v>
      </c>
      <c r="T40" s="23">
        <f>224+75</f>
        <v>299</v>
      </c>
      <c r="U40" s="24" t="s">
        <v>587</v>
      </c>
      <c r="V40" s="34">
        <f t="shared" si="22"/>
        <v>0.89413691898163949</v>
      </c>
      <c r="W40" s="28">
        <f t="shared" si="23"/>
        <v>1.3377926421404682</v>
      </c>
      <c r="X40" s="32" t="s">
        <v>840</v>
      </c>
      <c r="Y40" s="420"/>
      <c r="Z40" s="32" t="s">
        <v>839</v>
      </c>
    </row>
    <row r="41" spans="2:30" ht="20.100000000000001" customHeight="1" x14ac:dyDescent="0.2">
      <c r="B41" s="917"/>
      <c r="C41" s="33" t="s">
        <v>801</v>
      </c>
      <c r="D41" s="63">
        <f>2*T41</f>
        <v>109.2</v>
      </c>
      <c r="E41" s="17">
        <f t="shared" ref="E41:E43" si="24">M41+I41</f>
        <v>0</v>
      </c>
      <c r="F41" s="18">
        <f t="shared" si="18"/>
        <v>0</v>
      </c>
      <c r="G41" s="19">
        <f t="shared" ref="G41:G43" si="25">O41+K41</f>
        <v>0</v>
      </c>
      <c r="H41" s="20">
        <f t="shared" si="1"/>
        <v>0</v>
      </c>
      <c r="I41" s="21">
        <v>0</v>
      </c>
      <c r="J41" s="18">
        <v>0</v>
      </c>
      <c r="K41" s="19">
        <v>0</v>
      </c>
      <c r="L41" s="20">
        <v>0</v>
      </c>
      <c r="M41" s="21">
        <v>0</v>
      </c>
      <c r="N41" s="18">
        <f t="shared" si="19"/>
        <v>0</v>
      </c>
      <c r="O41" s="19">
        <v>0</v>
      </c>
      <c r="P41" s="20">
        <f t="shared" si="3"/>
        <v>0</v>
      </c>
      <c r="Q41" s="22"/>
      <c r="R41" s="18">
        <f t="shared" si="20"/>
        <v>0</v>
      </c>
      <c r="S41" s="20">
        <f t="shared" si="21"/>
        <v>109.2</v>
      </c>
      <c r="T41" s="687">
        <f>0.6*91</f>
        <v>54.6</v>
      </c>
      <c r="U41" s="24" t="s">
        <v>22</v>
      </c>
      <c r="V41" s="34" t="e">
        <f t="shared" si="22"/>
        <v>#DIV/0!</v>
      </c>
      <c r="W41" s="28">
        <f t="shared" si="23"/>
        <v>2</v>
      </c>
      <c r="Y41" s="420"/>
      <c r="Z41" s="688" t="s">
        <v>802</v>
      </c>
    </row>
    <row r="42" spans="2:30" ht="20.100000000000001" customHeight="1" x14ac:dyDescent="0.2">
      <c r="B42" s="917"/>
      <c r="C42" s="33" t="s">
        <v>765</v>
      </c>
      <c r="D42" s="63">
        <v>150</v>
      </c>
      <c r="E42" s="17">
        <f t="shared" si="24"/>
        <v>0</v>
      </c>
      <c r="F42" s="18">
        <f t="shared" si="18"/>
        <v>0</v>
      </c>
      <c r="G42" s="19">
        <f t="shared" si="25"/>
        <v>0</v>
      </c>
      <c r="H42" s="20">
        <f t="shared" si="1"/>
        <v>0</v>
      </c>
      <c r="I42" s="21">
        <v>0</v>
      </c>
      <c r="J42" s="18">
        <v>0</v>
      </c>
      <c r="K42" s="19">
        <v>0</v>
      </c>
      <c r="L42" s="20">
        <v>0</v>
      </c>
      <c r="M42" s="21">
        <v>0</v>
      </c>
      <c r="N42" s="18">
        <f t="shared" si="19"/>
        <v>0</v>
      </c>
      <c r="O42" s="19">
        <v>0</v>
      </c>
      <c r="P42" s="20">
        <f t="shared" si="3"/>
        <v>0</v>
      </c>
      <c r="Q42" s="22"/>
      <c r="R42" s="18">
        <f t="shared" si="20"/>
        <v>0</v>
      </c>
      <c r="S42" s="20">
        <f t="shared" si="21"/>
        <v>150</v>
      </c>
      <c r="T42" s="23">
        <v>1313</v>
      </c>
      <c r="U42" s="24" t="s">
        <v>22</v>
      </c>
      <c r="V42" s="34" t="e">
        <f t="shared" si="22"/>
        <v>#DIV/0!</v>
      </c>
      <c r="W42" s="28">
        <f t="shared" si="23"/>
        <v>0.11424219345011424</v>
      </c>
      <c r="Y42" s="420"/>
      <c r="Z42" s="32" t="s">
        <v>781</v>
      </c>
    </row>
    <row r="43" spans="2:30" ht="29.45" customHeight="1" x14ac:dyDescent="0.2">
      <c r="B43" s="917"/>
      <c r="C43" s="33" t="s">
        <v>766</v>
      </c>
      <c r="D43" s="63">
        <f>16*5+16*3</f>
        <v>128</v>
      </c>
      <c r="E43" s="17">
        <f t="shared" si="24"/>
        <v>0</v>
      </c>
      <c r="F43" s="18">
        <f t="shared" si="18"/>
        <v>0</v>
      </c>
      <c r="G43" s="19">
        <f t="shared" si="25"/>
        <v>0</v>
      </c>
      <c r="H43" s="20">
        <f t="shared" si="1"/>
        <v>0</v>
      </c>
      <c r="I43" s="21">
        <v>0</v>
      </c>
      <c r="J43" s="18">
        <v>0</v>
      </c>
      <c r="K43" s="19">
        <v>0</v>
      </c>
      <c r="L43" s="20">
        <v>0</v>
      </c>
      <c r="M43" s="21">
        <v>0</v>
      </c>
      <c r="N43" s="18">
        <f t="shared" si="19"/>
        <v>0</v>
      </c>
      <c r="O43" s="19">
        <v>0</v>
      </c>
      <c r="P43" s="20">
        <f t="shared" si="3"/>
        <v>0</v>
      </c>
      <c r="Q43" s="22"/>
      <c r="R43" s="18">
        <f t="shared" si="20"/>
        <v>0</v>
      </c>
      <c r="S43" s="20">
        <f t="shared" si="21"/>
        <v>128</v>
      </c>
      <c r="T43" s="23">
        <v>3</v>
      </c>
      <c r="U43" s="24" t="s">
        <v>741</v>
      </c>
      <c r="V43" s="34" t="e">
        <f t="shared" si="22"/>
        <v>#DIV/0!</v>
      </c>
      <c r="W43" s="28">
        <f t="shared" si="23"/>
        <v>42.666666666666664</v>
      </c>
      <c r="X43" s="32" t="s">
        <v>846</v>
      </c>
      <c r="Y43" s="420"/>
    </row>
    <row r="44" spans="2:30" ht="20.100000000000001" customHeight="1" x14ac:dyDescent="0.2">
      <c r="B44" s="917"/>
      <c r="C44" s="33" t="s">
        <v>767</v>
      </c>
      <c r="D44" s="63">
        <f>0.15*T44</f>
        <v>68.25</v>
      </c>
      <c r="E44" s="17">
        <v>0.66</v>
      </c>
      <c r="F44" s="18">
        <f t="shared" si="18"/>
        <v>45.045000000000002</v>
      </c>
      <c r="G44" s="19">
        <f>20+7+4</f>
        <v>31</v>
      </c>
      <c r="H44" s="20">
        <f t="shared" si="1"/>
        <v>14.045000000000002</v>
      </c>
      <c r="I44" s="21">
        <v>0</v>
      </c>
      <c r="J44" s="18">
        <v>0</v>
      </c>
      <c r="K44" s="19">
        <v>0</v>
      </c>
      <c r="L44" s="20">
        <v>0</v>
      </c>
      <c r="M44" s="21">
        <v>0</v>
      </c>
      <c r="N44" s="18">
        <f t="shared" si="19"/>
        <v>0</v>
      </c>
      <c r="O44" s="19">
        <v>0</v>
      </c>
      <c r="P44" s="20">
        <f t="shared" si="3"/>
        <v>0</v>
      </c>
      <c r="Q44" s="22"/>
      <c r="R44" s="18">
        <f t="shared" si="20"/>
        <v>31</v>
      </c>
      <c r="S44" s="20">
        <f t="shared" si="21"/>
        <v>37.25</v>
      </c>
      <c r="T44" s="687">
        <f>130*3.5</f>
        <v>455</v>
      </c>
      <c r="U44" s="24" t="s">
        <v>22</v>
      </c>
      <c r="V44" s="34">
        <f t="shared" si="22"/>
        <v>0.10323010323010323</v>
      </c>
      <c r="W44" s="28">
        <f t="shared" si="23"/>
        <v>0.15</v>
      </c>
      <c r="Y44" s="420"/>
    </row>
    <row r="45" spans="2:30" x14ac:dyDescent="0.2">
      <c r="B45" s="917"/>
      <c r="C45" s="33" t="s">
        <v>784</v>
      </c>
      <c r="D45" s="63">
        <f>193+24</f>
        <v>217</v>
      </c>
      <c r="E45" s="17">
        <v>0.9</v>
      </c>
      <c r="F45" s="18">
        <f t="shared" si="18"/>
        <v>195.3</v>
      </c>
      <c r="G45" s="19">
        <f>2</f>
        <v>2</v>
      </c>
      <c r="H45" s="20">
        <f t="shared" si="1"/>
        <v>193.3</v>
      </c>
      <c r="I45" s="21">
        <v>0</v>
      </c>
      <c r="J45" s="18">
        <v>0</v>
      </c>
      <c r="K45" s="19">
        <v>0</v>
      </c>
      <c r="L45" s="20">
        <v>0</v>
      </c>
      <c r="M45" s="21">
        <v>0</v>
      </c>
      <c r="N45" s="18">
        <f t="shared" si="19"/>
        <v>0</v>
      </c>
      <c r="O45" s="19">
        <v>0</v>
      </c>
      <c r="P45" s="20">
        <f t="shared" si="3"/>
        <v>0</v>
      </c>
      <c r="Q45" s="22"/>
      <c r="R45" s="18">
        <f t="shared" si="20"/>
        <v>2</v>
      </c>
      <c r="S45" s="20">
        <f t="shared" si="21"/>
        <v>215</v>
      </c>
      <c r="T45" s="23">
        <v>241</v>
      </c>
      <c r="U45" s="24" t="s">
        <v>587</v>
      </c>
      <c r="V45" s="34">
        <f t="shared" si="22"/>
        <v>9.2208390963577688E-3</v>
      </c>
      <c r="W45" s="28">
        <f t="shared" si="23"/>
        <v>0.90041493775933612</v>
      </c>
      <c r="Y45" s="420"/>
    </row>
    <row r="46" spans="2:30" ht="71.45" customHeight="1" x14ac:dyDescent="0.2">
      <c r="B46" s="917"/>
      <c r="C46" s="749" t="s">
        <v>776</v>
      </c>
      <c r="D46" s="699">
        <f>7*8*2</f>
        <v>112</v>
      </c>
      <c r="E46" s="17">
        <v>0.2</v>
      </c>
      <c r="F46" s="18">
        <f t="shared" si="18"/>
        <v>22.400000000000002</v>
      </c>
      <c r="G46" s="19">
        <f>16</f>
        <v>16</v>
      </c>
      <c r="H46" s="20">
        <f t="shared" si="1"/>
        <v>6.4000000000000021</v>
      </c>
      <c r="I46" s="21">
        <v>0</v>
      </c>
      <c r="J46" s="18">
        <v>0</v>
      </c>
      <c r="K46" s="19">
        <v>0</v>
      </c>
      <c r="L46" s="20">
        <v>0</v>
      </c>
      <c r="M46" s="21">
        <v>0</v>
      </c>
      <c r="N46" s="18">
        <f t="shared" si="19"/>
        <v>0</v>
      </c>
      <c r="O46" s="19">
        <v>0</v>
      </c>
      <c r="P46" s="20">
        <f t="shared" si="3"/>
        <v>0</v>
      </c>
      <c r="Q46" s="22"/>
      <c r="R46" s="18">
        <f t="shared" si="20"/>
        <v>16</v>
      </c>
      <c r="S46" s="20">
        <f t="shared" si="21"/>
        <v>96</v>
      </c>
      <c r="T46" s="687">
        <f>116*3.5/2</f>
        <v>203</v>
      </c>
      <c r="U46" s="24" t="s">
        <v>666</v>
      </c>
      <c r="V46" s="34">
        <f t="shared" si="22"/>
        <v>0.39408866995073888</v>
      </c>
      <c r="W46" s="28">
        <f t="shared" si="23"/>
        <v>0.55172413793103448</v>
      </c>
      <c r="Y46" s="420"/>
      <c r="Z46" s="32" t="s">
        <v>785</v>
      </c>
      <c r="AC46" s="32" t="s">
        <v>1027</v>
      </c>
    </row>
    <row r="47" spans="2:30" ht="20.100000000000001" customHeight="1" x14ac:dyDescent="0.2">
      <c r="B47" s="917"/>
      <c r="C47" s="33" t="s">
        <v>842</v>
      </c>
      <c r="D47" s="63">
        <v>12</v>
      </c>
      <c r="E47" s="17">
        <f t="shared" ref="E47" si="26">M47+I47</f>
        <v>0</v>
      </c>
      <c r="F47" s="18">
        <f t="shared" ref="F47" si="27">E47*D47</f>
        <v>0</v>
      </c>
      <c r="G47" s="19">
        <f t="shared" ref="G47" si="28">O47+K47</f>
        <v>0</v>
      </c>
      <c r="H47" s="20">
        <f t="shared" ref="H47" si="29">F47-G47</f>
        <v>0</v>
      </c>
      <c r="I47" s="21">
        <v>0</v>
      </c>
      <c r="J47" s="18">
        <v>0</v>
      </c>
      <c r="K47" s="19">
        <v>0</v>
      </c>
      <c r="L47" s="20">
        <v>0</v>
      </c>
      <c r="M47" s="21">
        <v>0</v>
      </c>
      <c r="N47" s="18">
        <f t="shared" ref="N47" si="30">M47*D47</f>
        <v>0</v>
      </c>
      <c r="O47" s="19">
        <v>0</v>
      </c>
      <c r="P47" s="20">
        <f t="shared" ref="P47" si="31">N47-O47</f>
        <v>0</v>
      </c>
      <c r="Q47" s="22"/>
      <c r="R47" s="18">
        <f t="shared" ref="R47" si="32">G47+Q47</f>
        <v>0</v>
      </c>
      <c r="S47" s="20">
        <f t="shared" ref="S47" si="33">D47-R47</f>
        <v>12</v>
      </c>
      <c r="T47" s="23">
        <v>6</v>
      </c>
      <c r="U47" s="24" t="s">
        <v>741</v>
      </c>
      <c r="V47" s="34" t="e">
        <f t="shared" ref="V47" si="34">G47/(E47*T47)</f>
        <v>#DIV/0!</v>
      </c>
      <c r="W47" s="28">
        <f t="shared" ref="W47" si="35">D47/(T47)</f>
        <v>2</v>
      </c>
      <c r="Y47" s="420"/>
    </row>
    <row r="48" spans="2:30" ht="20.100000000000001" customHeight="1" x14ac:dyDescent="0.2">
      <c r="B48" s="917"/>
      <c r="C48" s="33" t="s">
        <v>779</v>
      </c>
      <c r="D48" s="63">
        <v>80</v>
      </c>
      <c r="E48" s="17">
        <v>1</v>
      </c>
      <c r="F48" s="18">
        <f t="shared" si="18"/>
        <v>80</v>
      </c>
      <c r="G48" s="19">
        <f>86+9+20</f>
        <v>115</v>
      </c>
      <c r="H48" s="20">
        <f t="shared" si="1"/>
        <v>-35</v>
      </c>
      <c r="I48" s="21">
        <v>0</v>
      </c>
      <c r="J48" s="18">
        <v>0</v>
      </c>
      <c r="K48" s="19">
        <v>0</v>
      </c>
      <c r="L48" s="20">
        <v>0</v>
      </c>
      <c r="M48" s="21">
        <v>0</v>
      </c>
      <c r="N48" s="18">
        <f t="shared" si="19"/>
        <v>0</v>
      </c>
      <c r="O48" s="19">
        <v>0</v>
      </c>
      <c r="P48" s="20">
        <f t="shared" si="3"/>
        <v>0</v>
      </c>
      <c r="Q48" s="22"/>
      <c r="R48" s="18">
        <f t="shared" si="20"/>
        <v>115</v>
      </c>
      <c r="S48" s="20">
        <f t="shared" si="21"/>
        <v>-35</v>
      </c>
      <c r="T48" s="23">
        <v>130</v>
      </c>
      <c r="U48" s="24" t="s">
        <v>22</v>
      </c>
      <c r="V48" s="34">
        <f t="shared" si="22"/>
        <v>0.88461538461538458</v>
      </c>
      <c r="W48" s="28">
        <f t="shared" si="23"/>
        <v>0.61538461538461542</v>
      </c>
      <c r="Y48" s="420"/>
    </row>
    <row r="49" spans="2:28" ht="46.9" customHeight="1" x14ac:dyDescent="0.2">
      <c r="B49" s="917"/>
      <c r="C49" s="33" t="s">
        <v>844</v>
      </c>
      <c r="D49" s="63">
        <f>1.3*T49</f>
        <v>648.70000000000005</v>
      </c>
      <c r="E49" s="17">
        <v>1</v>
      </c>
      <c r="F49" s="18">
        <f t="shared" si="18"/>
        <v>648.70000000000005</v>
      </c>
      <c r="G49" s="19">
        <f>16+117+70+126+121</f>
        <v>450</v>
      </c>
      <c r="H49" s="20">
        <f t="shared" si="1"/>
        <v>198.70000000000005</v>
      </c>
      <c r="I49" s="21">
        <v>0</v>
      </c>
      <c r="J49" s="18">
        <v>0</v>
      </c>
      <c r="K49" s="19">
        <v>0</v>
      </c>
      <c r="L49" s="20">
        <v>0</v>
      </c>
      <c r="M49" s="21">
        <v>0</v>
      </c>
      <c r="N49" s="18">
        <f t="shared" si="19"/>
        <v>0</v>
      </c>
      <c r="O49" s="19">
        <v>0</v>
      </c>
      <c r="P49" s="20">
        <f t="shared" si="3"/>
        <v>0</v>
      </c>
      <c r="Q49" s="22"/>
      <c r="R49" s="18">
        <f t="shared" si="20"/>
        <v>450</v>
      </c>
      <c r="S49" s="20">
        <f t="shared" si="21"/>
        <v>198.70000000000005</v>
      </c>
      <c r="T49" s="23">
        <v>499</v>
      </c>
      <c r="U49" s="24" t="s">
        <v>22</v>
      </c>
      <c r="V49" s="34">
        <f t="shared" si="22"/>
        <v>0.90180360721442887</v>
      </c>
      <c r="W49" s="28">
        <f t="shared" si="23"/>
        <v>1.3</v>
      </c>
      <c r="X49" s="32" t="s">
        <v>843</v>
      </c>
      <c r="Y49" s="420"/>
      <c r="Z49" s="32" t="s">
        <v>845</v>
      </c>
    </row>
    <row r="50" spans="2:28" ht="22.9" customHeight="1" x14ac:dyDescent="0.2">
      <c r="B50" s="917"/>
      <c r="C50" s="33"/>
      <c r="D50" s="63"/>
      <c r="E50" s="17">
        <f t="shared" ref="E50:E51" si="36">M50+I50</f>
        <v>0</v>
      </c>
      <c r="F50" s="18">
        <f t="shared" ref="F50:F53" si="37">E50*D50</f>
        <v>0</v>
      </c>
      <c r="G50" s="19">
        <f t="shared" ref="G50:G51" si="38">O50+K50</f>
        <v>0</v>
      </c>
      <c r="H50" s="20">
        <f t="shared" ref="H50:H53" si="39">F50-G50</f>
        <v>0</v>
      </c>
      <c r="I50" s="747"/>
      <c r="J50" s="744"/>
      <c r="K50" s="745"/>
      <c r="L50" s="746"/>
      <c r="M50" s="747"/>
      <c r="N50" s="744"/>
      <c r="O50" s="745"/>
      <c r="P50" s="746"/>
      <c r="Q50" s="22"/>
      <c r="R50" s="18">
        <f t="shared" ref="R50:R53" si="40">G50+Q50</f>
        <v>0</v>
      </c>
      <c r="S50" s="20">
        <f t="shared" ref="S50:S53" si="41">D50-R50</f>
        <v>0</v>
      </c>
      <c r="T50" s="23"/>
      <c r="U50" s="24"/>
      <c r="V50" s="34" t="e">
        <f t="shared" ref="V50:V53" si="42">G50/(E50*T50)</f>
        <v>#DIV/0!</v>
      </c>
      <c r="W50" s="28" t="e">
        <f t="shared" ref="W50:W53" si="43">D50/(T50)</f>
        <v>#DIV/0!</v>
      </c>
      <c r="Y50" s="420"/>
    </row>
    <row r="51" spans="2:28" ht="22.9" customHeight="1" x14ac:dyDescent="0.2">
      <c r="B51" s="917"/>
      <c r="C51" s="33"/>
      <c r="D51" s="63"/>
      <c r="E51" s="17">
        <f t="shared" si="36"/>
        <v>0</v>
      </c>
      <c r="F51" s="18">
        <f t="shared" si="37"/>
        <v>0</v>
      </c>
      <c r="G51" s="19">
        <f t="shared" si="38"/>
        <v>0</v>
      </c>
      <c r="H51" s="20">
        <f t="shared" si="39"/>
        <v>0</v>
      </c>
      <c r="I51" s="747"/>
      <c r="J51" s="744"/>
      <c r="K51" s="745"/>
      <c r="L51" s="746"/>
      <c r="M51" s="747"/>
      <c r="N51" s="744"/>
      <c r="O51" s="745"/>
      <c r="P51" s="746"/>
      <c r="Q51" s="22"/>
      <c r="R51" s="18">
        <f t="shared" si="40"/>
        <v>0</v>
      </c>
      <c r="S51" s="20">
        <f t="shared" si="41"/>
        <v>0</v>
      </c>
      <c r="T51" s="23"/>
      <c r="U51" s="24"/>
      <c r="V51" s="34" t="e">
        <f t="shared" si="42"/>
        <v>#DIV/0!</v>
      </c>
      <c r="W51" s="28" t="e">
        <f t="shared" si="43"/>
        <v>#DIV/0!</v>
      </c>
      <c r="Y51" s="420"/>
    </row>
    <row r="52" spans="2:28" ht="22.9" customHeight="1" x14ac:dyDescent="0.2">
      <c r="B52" s="917"/>
      <c r="C52" s="33" t="s">
        <v>1043</v>
      </c>
      <c r="D52" s="63"/>
      <c r="E52" s="17">
        <v>0.66</v>
      </c>
      <c r="F52" s="18">
        <f t="shared" si="37"/>
        <v>0</v>
      </c>
      <c r="G52" s="19">
        <f>80+166+338</f>
        <v>584</v>
      </c>
      <c r="H52" s="20">
        <f t="shared" si="39"/>
        <v>-584</v>
      </c>
      <c r="I52" s="747"/>
      <c r="J52" s="744"/>
      <c r="K52" s="745"/>
      <c r="L52" s="746"/>
      <c r="M52" s="747"/>
      <c r="N52" s="744"/>
      <c r="O52" s="745"/>
      <c r="P52" s="746"/>
      <c r="Q52" s="22"/>
      <c r="R52" s="18">
        <f t="shared" si="40"/>
        <v>584</v>
      </c>
      <c r="S52" s="20">
        <f t="shared" si="41"/>
        <v>-584</v>
      </c>
      <c r="T52" s="23"/>
      <c r="U52" s="24"/>
      <c r="V52" s="34" t="e">
        <f t="shared" si="42"/>
        <v>#DIV/0!</v>
      </c>
      <c r="W52" s="28" t="e">
        <f t="shared" si="43"/>
        <v>#DIV/0!</v>
      </c>
      <c r="Y52" s="420"/>
    </row>
    <row r="53" spans="2:28" ht="22.9" customHeight="1" x14ac:dyDescent="0.2">
      <c r="B53" s="917"/>
      <c r="C53" s="749" t="s">
        <v>1030</v>
      </c>
      <c r="D53" s="699">
        <f>69+96</f>
        <v>165</v>
      </c>
      <c r="E53" s="17">
        <v>1</v>
      </c>
      <c r="F53" s="18">
        <f t="shared" si="37"/>
        <v>165</v>
      </c>
      <c r="G53" s="19">
        <f>39+157+24+16+16</f>
        <v>252</v>
      </c>
      <c r="H53" s="20">
        <f t="shared" si="39"/>
        <v>-87</v>
      </c>
      <c r="I53" s="747"/>
      <c r="J53" s="744"/>
      <c r="K53" s="745"/>
      <c r="L53" s="746"/>
      <c r="M53" s="747"/>
      <c r="N53" s="744"/>
      <c r="O53" s="745"/>
      <c r="P53" s="746"/>
      <c r="Q53" s="22"/>
      <c r="R53" s="18">
        <f t="shared" si="40"/>
        <v>252</v>
      </c>
      <c r="S53" s="20">
        <f t="shared" si="41"/>
        <v>-87</v>
      </c>
      <c r="T53" s="23"/>
      <c r="U53" s="24"/>
      <c r="V53" s="34" t="e">
        <f t="shared" si="42"/>
        <v>#DIV/0!</v>
      </c>
      <c r="W53" s="28" t="e">
        <f t="shared" si="43"/>
        <v>#DIV/0!</v>
      </c>
      <c r="Y53" s="420"/>
    </row>
    <row r="54" spans="2:28" s="31" customFormat="1" ht="34.15" customHeight="1" x14ac:dyDescent="0.2">
      <c r="B54" s="394"/>
      <c r="C54" s="395" t="s">
        <v>113</v>
      </c>
      <c r="D54" s="396">
        <f>SUM(D33:D49)</f>
        <v>4403.95</v>
      </c>
      <c r="E54" s="397">
        <f>F54/D54</f>
        <v>0.77725201239796105</v>
      </c>
      <c r="F54" s="398">
        <f>SUM(F33:F49)</f>
        <v>3422.9790000000003</v>
      </c>
      <c r="G54" s="398">
        <f>SUM(G33:G53)</f>
        <v>3583.5</v>
      </c>
      <c r="H54" s="399">
        <f t="shared" si="1"/>
        <v>-160.52099999999973</v>
      </c>
      <c r="I54" s="397">
        <f>J54/D54</f>
        <v>0</v>
      </c>
      <c r="J54" s="398">
        <f>SUM(J33:J49)</f>
        <v>0</v>
      </c>
      <c r="K54" s="398">
        <f>SUM(K33:K49)</f>
        <v>0</v>
      </c>
      <c r="L54" s="399">
        <f>J54-K54</f>
        <v>0</v>
      </c>
      <c r="M54" s="397">
        <f>N54/D54</f>
        <v>0</v>
      </c>
      <c r="N54" s="398">
        <f>SUM(N33:N49)</f>
        <v>0</v>
      </c>
      <c r="O54" s="398">
        <f>SUM(O33:O49)</f>
        <v>0</v>
      </c>
      <c r="P54" s="399">
        <f t="shared" si="3"/>
        <v>0</v>
      </c>
      <c r="Q54" s="398">
        <f>SUM(Q33:Q49)</f>
        <v>0</v>
      </c>
      <c r="R54" s="398">
        <f>SUM(R33:R49)</f>
        <v>2747.5</v>
      </c>
      <c r="S54" s="398">
        <f>SUM(S33:S49)</f>
        <v>1656.45</v>
      </c>
      <c r="T54" s="400">
        <f>+T42+T49+T48</f>
        <v>1942</v>
      </c>
      <c r="U54" s="401" t="s">
        <v>22</v>
      </c>
      <c r="V54" s="402">
        <f t="shared" si="22"/>
        <v>2.3740853499587269</v>
      </c>
      <c r="W54" s="403">
        <f t="shared" si="23"/>
        <v>2.2677394438722964</v>
      </c>
      <c r="Y54" s="694">
        <v>45490</v>
      </c>
      <c r="Z54" s="693" t="s">
        <v>831</v>
      </c>
    </row>
    <row r="55" spans="2:28" ht="30.6" customHeight="1" x14ac:dyDescent="0.2">
      <c r="B55" s="704"/>
      <c r="C55" s="35" t="s">
        <v>847</v>
      </c>
      <c r="D55" s="63">
        <v>359</v>
      </c>
      <c r="E55" s="17">
        <v>1</v>
      </c>
      <c r="F55" s="18">
        <f t="shared" ref="F55" si="44">E55*D55</f>
        <v>359</v>
      </c>
      <c r="G55" s="19">
        <f>108+16+52+125+2</f>
        <v>303</v>
      </c>
      <c r="H55" s="20">
        <f t="shared" ref="H55" si="45">F55-G55</f>
        <v>56</v>
      </c>
      <c r="I55" s="21">
        <v>0</v>
      </c>
      <c r="J55" s="18">
        <v>0</v>
      </c>
      <c r="K55" s="19">
        <v>0</v>
      </c>
      <c r="L55" s="20">
        <v>0</v>
      </c>
      <c r="M55" s="21">
        <v>0</v>
      </c>
      <c r="N55" s="18">
        <f t="shared" ref="N55" si="46">M55*D55</f>
        <v>0</v>
      </c>
      <c r="O55" s="19">
        <v>0</v>
      </c>
      <c r="P55" s="20">
        <f t="shared" ref="P55" si="47">N55-O55</f>
        <v>0</v>
      </c>
      <c r="Q55" s="22"/>
      <c r="R55" s="18">
        <f t="shared" ref="R55" si="48">G55+Q55</f>
        <v>303</v>
      </c>
      <c r="S55" s="20">
        <f t="shared" ref="S55" si="49">D55-R55</f>
        <v>56</v>
      </c>
      <c r="T55" s="23">
        <v>377</v>
      </c>
      <c r="U55" s="24" t="s">
        <v>22</v>
      </c>
      <c r="V55" s="34">
        <f t="shared" ref="V55" si="50">G55/(E55*T55)</f>
        <v>0.80371352785145889</v>
      </c>
      <c r="W55" s="28">
        <f t="shared" ref="W55" si="51">D55/(T55)</f>
        <v>0.95225464190981435</v>
      </c>
      <c r="Z55" s="32" t="s">
        <v>793</v>
      </c>
    </row>
    <row r="56" spans="2:28" ht="60.6" customHeight="1" x14ac:dyDescent="0.2">
      <c r="B56" s="947" t="s">
        <v>790</v>
      </c>
      <c r="C56" s="35" t="s">
        <v>848</v>
      </c>
      <c r="D56" s="63">
        <v>963</v>
      </c>
      <c r="E56" s="17">
        <v>0.4</v>
      </c>
      <c r="F56" s="18">
        <f t="shared" ref="F56:F65" si="52">E56*D56</f>
        <v>385.20000000000005</v>
      </c>
      <c r="G56" s="19">
        <f>35+43+70+16</f>
        <v>164</v>
      </c>
      <c r="H56" s="20">
        <f t="shared" si="1"/>
        <v>221.20000000000005</v>
      </c>
      <c r="I56" s="21">
        <v>0</v>
      </c>
      <c r="J56" s="18">
        <v>0</v>
      </c>
      <c r="K56" s="19">
        <v>0</v>
      </c>
      <c r="L56" s="20">
        <v>0</v>
      </c>
      <c r="M56" s="21">
        <v>0</v>
      </c>
      <c r="N56" s="18">
        <f t="shared" ref="N56:N68" si="53">M56*D56</f>
        <v>0</v>
      </c>
      <c r="O56" s="19">
        <v>0</v>
      </c>
      <c r="P56" s="20">
        <f t="shared" si="3"/>
        <v>0</v>
      </c>
      <c r="Q56" s="22"/>
      <c r="R56" s="18">
        <f t="shared" ref="R56:R65" si="54">G56+Q56</f>
        <v>164</v>
      </c>
      <c r="S56" s="20">
        <f t="shared" ref="S56:S65" si="55">D56-R56</f>
        <v>799</v>
      </c>
      <c r="T56" s="23">
        <v>1065</v>
      </c>
      <c r="U56" s="24" t="s">
        <v>22</v>
      </c>
      <c r="V56" s="34">
        <f t="shared" si="22"/>
        <v>0.38497652582159625</v>
      </c>
      <c r="W56" s="28">
        <f t="shared" si="23"/>
        <v>0.90422535211267607</v>
      </c>
      <c r="X56" s="32" t="s">
        <v>857</v>
      </c>
      <c r="Z56" s="32" t="s">
        <v>793</v>
      </c>
      <c r="AB56" s="32">
        <f>377+(1065*0.35)</f>
        <v>749.75</v>
      </c>
    </row>
    <row r="57" spans="2:28" ht="30.6" customHeight="1" x14ac:dyDescent="0.2">
      <c r="B57" s="917"/>
      <c r="C57" s="35" t="s">
        <v>858</v>
      </c>
      <c r="D57" s="63">
        <f>8*2*10+8*4</f>
        <v>192</v>
      </c>
      <c r="E57" s="17">
        <v>0.8</v>
      </c>
      <c r="F57" s="18">
        <f t="shared" si="52"/>
        <v>153.60000000000002</v>
      </c>
      <c r="G57" s="19">
        <f>35.5+16</f>
        <v>51.5</v>
      </c>
      <c r="H57" s="20">
        <f t="shared" si="1"/>
        <v>102.10000000000002</v>
      </c>
      <c r="I57" s="21">
        <v>0</v>
      </c>
      <c r="J57" s="18">
        <v>0</v>
      </c>
      <c r="K57" s="19">
        <v>0</v>
      </c>
      <c r="L57" s="20">
        <v>0</v>
      </c>
      <c r="M57" s="21">
        <v>0</v>
      </c>
      <c r="N57" s="18">
        <f t="shared" si="53"/>
        <v>0</v>
      </c>
      <c r="O57" s="19">
        <v>0</v>
      </c>
      <c r="P57" s="20">
        <f t="shared" si="3"/>
        <v>0</v>
      </c>
      <c r="Q57" s="22"/>
      <c r="R57" s="18">
        <f t="shared" si="54"/>
        <v>51.5</v>
      </c>
      <c r="S57" s="20">
        <f t="shared" si="55"/>
        <v>140.5</v>
      </c>
      <c r="T57" s="687">
        <v>1</v>
      </c>
      <c r="U57" s="24" t="s">
        <v>668</v>
      </c>
      <c r="V57" s="34">
        <f t="shared" si="22"/>
        <v>64.375</v>
      </c>
      <c r="W57" s="28">
        <f t="shared" si="23"/>
        <v>192</v>
      </c>
    </row>
    <row r="58" spans="2:28" ht="20.100000000000001" customHeight="1" x14ac:dyDescent="0.2">
      <c r="B58" s="917"/>
      <c r="C58" s="35" t="s">
        <v>791</v>
      </c>
      <c r="D58" s="63">
        <v>416</v>
      </c>
      <c r="E58" s="17">
        <f t="shared" ref="E58:E63" si="56">M58+I58</f>
        <v>0</v>
      </c>
      <c r="F58" s="18">
        <f t="shared" si="52"/>
        <v>0</v>
      </c>
      <c r="G58" s="19">
        <f t="shared" ref="G58:G63" si="57">O58+K58</f>
        <v>0</v>
      </c>
      <c r="H58" s="20">
        <f t="shared" si="1"/>
        <v>0</v>
      </c>
      <c r="I58" s="21">
        <v>0</v>
      </c>
      <c r="J58" s="18">
        <v>0</v>
      </c>
      <c r="K58" s="19">
        <v>0</v>
      </c>
      <c r="L58" s="20">
        <v>0</v>
      </c>
      <c r="M58" s="21">
        <v>0</v>
      </c>
      <c r="N58" s="18">
        <f t="shared" si="53"/>
        <v>0</v>
      </c>
      <c r="O58" s="19">
        <v>0</v>
      </c>
      <c r="P58" s="20">
        <f t="shared" si="3"/>
        <v>0</v>
      </c>
      <c r="Q58" s="22"/>
      <c r="R58" s="18">
        <f t="shared" si="54"/>
        <v>0</v>
      </c>
      <c r="S58" s="20">
        <f t="shared" si="55"/>
        <v>416</v>
      </c>
      <c r="T58" s="23">
        <v>307</v>
      </c>
      <c r="U58" s="24" t="s">
        <v>22</v>
      </c>
      <c r="V58" s="34" t="e">
        <f t="shared" si="22"/>
        <v>#DIV/0!</v>
      </c>
      <c r="W58" s="28">
        <f t="shared" si="23"/>
        <v>1.3550488599348534</v>
      </c>
    </row>
    <row r="59" spans="2:28" ht="20.100000000000001" customHeight="1" x14ac:dyDescent="0.2">
      <c r="B59" s="917"/>
      <c r="C59" s="35" t="s">
        <v>849</v>
      </c>
      <c r="D59" s="63">
        <v>20</v>
      </c>
      <c r="E59" s="17">
        <v>1</v>
      </c>
      <c r="F59" s="18">
        <f t="shared" ref="F59" si="58">E59*D59</f>
        <v>20</v>
      </c>
      <c r="G59" s="19">
        <f>41.5+19</f>
        <v>60.5</v>
      </c>
      <c r="H59" s="20">
        <f t="shared" ref="H59" si="59">F59-G59</f>
        <v>-40.5</v>
      </c>
      <c r="I59" s="21">
        <v>0</v>
      </c>
      <c r="J59" s="18">
        <v>0</v>
      </c>
      <c r="K59" s="19">
        <v>0</v>
      </c>
      <c r="L59" s="20">
        <v>0</v>
      </c>
      <c r="M59" s="21">
        <v>0</v>
      </c>
      <c r="N59" s="18">
        <f t="shared" ref="N59" si="60">M59*D59</f>
        <v>0</v>
      </c>
      <c r="O59" s="19">
        <v>0</v>
      </c>
      <c r="P59" s="20">
        <f t="shared" ref="P59" si="61">N59-O59</f>
        <v>0</v>
      </c>
      <c r="Q59" s="22"/>
      <c r="R59" s="18">
        <f t="shared" ref="R59" si="62">G59+Q59</f>
        <v>60.5</v>
      </c>
      <c r="S59" s="20">
        <f t="shared" ref="S59" si="63">D59-R59</f>
        <v>-40.5</v>
      </c>
      <c r="T59" s="23">
        <v>4</v>
      </c>
      <c r="U59" s="24" t="s">
        <v>15</v>
      </c>
      <c r="V59" s="34">
        <f t="shared" ref="V59" si="64">G59/(E59*T59)</f>
        <v>15.125</v>
      </c>
      <c r="W59" s="28">
        <f t="shared" ref="W59" si="65">D59/(T59)</f>
        <v>5</v>
      </c>
    </row>
    <row r="60" spans="2:28" ht="20.100000000000001" customHeight="1" x14ac:dyDescent="0.2">
      <c r="B60" s="917"/>
      <c r="C60" s="35" t="s">
        <v>850</v>
      </c>
      <c r="D60" s="63">
        <v>322</v>
      </c>
      <c r="E60" s="17">
        <v>0.68</v>
      </c>
      <c r="F60" s="18">
        <f t="shared" si="52"/>
        <v>218.96</v>
      </c>
      <c r="G60" s="19">
        <f>38+48+146</f>
        <v>232</v>
      </c>
      <c r="H60" s="20">
        <f t="shared" si="1"/>
        <v>-13.039999999999992</v>
      </c>
      <c r="I60" s="21">
        <v>0</v>
      </c>
      <c r="J60" s="18">
        <v>0</v>
      </c>
      <c r="K60" s="19">
        <v>0</v>
      </c>
      <c r="L60" s="20">
        <v>0</v>
      </c>
      <c r="M60" s="21">
        <v>0</v>
      </c>
      <c r="N60" s="18">
        <f t="shared" si="53"/>
        <v>0</v>
      </c>
      <c r="O60" s="19">
        <v>0</v>
      </c>
      <c r="P60" s="20">
        <f t="shared" si="3"/>
        <v>0</v>
      </c>
      <c r="Q60" s="22"/>
      <c r="R60" s="18">
        <f t="shared" si="54"/>
        <v>232</v>
      </c>
      <c r="S60" s="20">
        <f t="shared" si="55"/>
        <v>90</v>
      </c>
      <c r="T60" s="23">
        <v>58</v>
      </c>
      <c r="U60" s="24" t="s">
        <v>15</v>
      </c>
      <c r="V60" s="34">
        <f t="shared" si="22"/>
        <v>5.8823529411764701</v>
      </c>
      <c r="W60" s="28">
        <f t="shared" si="23"/>
        <v>5.5517241379310347</v>
      </c>
    </row>
    <row r="61" spans="2:28" ht="20.100000000000001" customHeight="1" x14ac:dyDescent="0.2">
      <c r="B61" s="917"/>
      <c r="C61" s="33" t="s">
        <v>856</v>
      </c>
      <c r="D61" s="63">
        <f>754+96</f>
        <v>850</v>
      </c>
      <c r="E61" s="17">
        <v>0.16</v>
      </c>
      <c r="F61" s="18">
        <f t="shared" si="52"/>
        <v>136</v>
      </c>
      <c r="G61" s="19">
        <f>69.5+96+48+464</f>
        <v>677.5</v>
      </c>
      <c r="H61" s="20">
        <f t="shared" si="1"/>
        <v>-541.5</v>
      </c>
      <c r="I61" s="21">
        <v>0</v>
      </c>
      <c r="J61" s="18">
        <v>0</v>
      </c>
      <c r="K61" s="19">
        <v>0</v>
      </c>
      <c r="L61" s="20">
        <v>0</v>
      </c>
      <c r="M61" s="21">
        <v>0</v>
      </c>
      <c r="N61" s="18">
        <f t="shared" si="53"/>
        <v>0</v>
      </c>
      <c r="O61" s="19">
        <v>0</v>
      </c>
      <c r="P61" s="20">
        <f t="shared" si="3"/>
        <v>0</v>
      </c>
      <c r="Q61" s="22"/>
      <c r="R61" s="18">
        <f t="shared" si="54"/>
        <v>677.5</v>
      </c>
      <c r="S61" s="20">
        <f t="shared" si="55"/>
        <v>172.5</v>
      </c>
      <c r="T61" s="23">
        <v>83</v>
      </c>
      <c r="U61" s="24" t="s">
        <v>15</v>
      </c>
      <c r="V61" s="34">
        <f t="shared" si="22"/>
        <v>51.016566265060234</v>
      </c>
      <c r="W61" s="28">
        <f t="shared" si="23"/>
        <v>10.240963855421686</v>
      </c>
    </row>
    <row r="62" spans="2:28" ht="20.100000000000001" customHeight="1" x14ac:dyDescent="0.2">
      <c r="B62" s="917"/>
      <c r="C62" s="33" t="s">
        <v>854</v>
      </c>
      <c r="D62" s="63">
        <v>53</v>
      </c>
      <c r="E62" s="17">
        <v>1</v>
      </c>
      <c r="F62" s="18">
        <f t="shared" ref="F62" si="66">E62*D62</f>
        <v>53</v>
      </c>
      <c r="G62" s="19">
        <f>38</f>
        <v>38</v>
      </c>
      <c r="H62" s="20">
        <f t="shared" ref="H62" si="67">F62-G62</f>
        <v>15</v>
      </c>
      <c r="I62" s="21">
        <v>0</v>
      </c>
      <c r="J62" s="18">
        <v>0</v>
      </c>
      <c r="K62" s="19">
        <v>0</v>
      </c>
      <c r="L62" s="20">
        <v>0</v>
      </c>
      <c r="M62" s="21">
        <v>0</v>
      </c>
      <c r="N62" s="18">
        <f t="shared" ref="N62" si="68">M62*D62</f>
        <v>0</v>
      </c>
      <c r="O62" s="19">
        <v>0</v>
      </c>
      <c r="P62" s="20">
        <f t="shared" ref="P62" si="69">N62-O62</f>
        <v>0</v>
      </c>
      <c r="Q62" s="22"/>
      <c r="R62" s="18">
        <f t="shared" ref="R62" si="70">G62+Q62</f>
        <v>38</v>
      </c>
      <c r="S62" s="20">
        <f t="shared" ref="S62" si="71">D62-R62</f>
        <v>15</v>
      </c>
      <c r="T62" s="23">
        <v>36</v>
      </c>
      <c r="U62" s="24" t="s">
        <v>22</v>
      </c>
      <c r="V62" s="34">
        <f t="shared" ref="V62" si="72">G62/(E62*T62)</f>
        <v>1.0555555555555556</v>
      </c>
      <c r="W62" s="28">
        <f t="shared" ref="W62" si="73">D62/(T62)</f>
        <v>1.4722222222222223</v>
      </c>
    </row>
    <row r="63" spans="2:28" ht="39.6" customHeight="1" x14ac:dyDescent="0.2">
      <c r="B63" s="917"/>
      <c r="C63" s="749" t="s">
        <v>1002</v>
      </c>
      <c r="D63" s="699">
        <f>36+201+235+28+139-AB63</f>
        <v>553.79999999999995</v>
      </c>
      <c r="E63" s="17">
        <f t="shared" si="56"/>
        <v>0</v>
      </c>
      <c r="F63" s="18">
        <f t="shared" si="52"/>
        <v>0</v>
      </c>
      <c r="G63" s="19">
        <f t="shared" si="57"/>
        <v>0</v>
      </c>
      <c r="H63" s="20">
        <f t="shared" si="1"/>
        <v>0</v>
      </c>
      <c r="I63" s="21">
        <v>0</v>
      </c>
      <c r="J63" s="18">
        <v>0</v>
      </c>
      <c r="K63" s="19">
        <v>0</v>
      </c>
      <c r="L63" s="20">
        <v>0</v>
      </c>
      <c r="M63" s="21">
        <v>0</v>
      </c>
      <c r="N63" s="18">
        <f t="shared" si="53"/>
        <v>0</v>
      </c>
      <c r="O63" s="19">
        <v>0</v>
      </c>
      <c r="P63" s="20">
        <f t="shared" si="3"/>
        <v>0</v>
      </c>
      <c r="Q63" s="22"/>
      <c r="R63" s="18">
        <f t="shared" si="54"/>
        <v>0</v>
      </c>
      <c r="S63" s="20">
        <f t="shared" si="55"/>
        <v>553.79999999999995</v>
      </c>
      <c r="T63" s="23">
        <v>379</v>
      </c>
      <c r="U63" s="24" t="s">
        <v>22</v>
      </c>
      <c r="V63" s="34" t="e">
        <f t="shared" si="22"/>
        <v>#DIV/0!</v>
      </c>
      <c r="W63" s="28">
        <f t="shared" si="23"/>
        <v>1.4612137203166227</v>
      </c>
      <c r="X63" s="32" t="s">
        <v>861</v>
      </c>
      <c r="AA63" s="751" t="s">
        <v>1001</v>
      </c>
      <c r="AB63" s="751">
        <f>0.4*213</f>
        <v>85.2</v>
      </c>
    </row>
    <row r="64" spans="2:28" ht="45.6" customHeight="1" x14ac:dyDescent="0.2">
      <c r="B64" s="917"/>
      <c r="C64" s="749" t="s">
        <v>997</v>
      </c>
      <c r="D64" s="699">
        <f>20+257+43+T64*3-AB64</f>
        <v>343.2</v>
      </c>
      <c r="E64" s="17">
        <v>0.23</v>
      </c>
      <c r="F64" s="18">
        <f t="shared" si="52"/>
        <v>78.936000000000007</v>
      </c>
      <c r="G64" s="19">
        <f>12</f>
        <v>12</v>
      </c>
      <c r="H64" s="20">
        <f t="shared" si="1"/>
        <v>66.936000000000007</v>
      </c>
      <c r="I64" s="21">
        <v>0</v>
      </c>
      <c r="J64" s="18">
        <v>0</v>
      </c>
      <c r="K64" s="19">
        <v>0</v>
      </c>
      <c r="L64" s="20">
        <v>0</v>
      </c>
      <c r="M64" s="21">
        <v>0</v>
      </c>
      <c r="N64" s="18">
        <f t="shared" si="53"/>
        <v>0</v>
      </c>
      <c r="O64" s="19">
        <v>0</v>
      </c>
      <c r="P64" s="20">
        <f t="shared" si="3"/>
        <v>0</v>
      </c>
      <c r="Q64" s="22"/>
      <c r="R64" s="18">
        <f t="shared" si="54"/>
        <v>12</v>
      </c>
      <c r="S64" s="20">
        <f t="shared" si="55"/>
        <v>331.2</v>
      </c>
      <c r="T64" s="23">
        <v>30</v>
      </c>
      <c r="U64" s="24" t="s">
        <v>741</v>
      </c>
      <c r="V64" s="34">
        <f t="shared" si="22"/>
        <v>1.7391304347826086</v>
      </c>
      <c r="W64" s="28">
        <f t="shared" si="23"/>
        <v>11.44</v>
      </c>
      <c r="X64" s="32" t="s">
        <v>860</v>
      </c>
      <c r="Z64" s="32" t="s">
        <v>827</v>
      </c>
      <c r="AA64" s="751" t="s">
        <v>998</v>
      </c>
      <c r="AB64" s="751">
        <f>0.4*167</f>
        <v>66.8</v>
      </c>
    </row>
    <row r="65" spans="2:28" ht="43.15" customHeight="1" x14ac:dyDescent="0.2">
      <c r="B65" s="917"/>
      <c r="C65" s="749" t="s">
        <v>996</v>
      </c>
      <c r="D65" s="699">
        <f>75+45+13-0.3*149.5</f>
        <v>88.15</v>
      </c>
      <c r="E65" s="17">
        <v>0.57999999999999996</v>
      </c>
      <c r="F65" s="18">
        <f t="shared" si="52"/>
        <v>51.127000000000002</v>
      </c>
      <c r="G65" s="19">
        <f>11+24.5+70</f>
        <v>105.5</v>
      </c>
      <c r="H65" s="20">
        <f t="shared" si="1"/>
        <v>-54.372999999999998</v>
      </c>
      <c r="I65" s="21">
        <v>0</v>
      </c>
      <c r="J65" s="18">
        <v>0</v>
      </c>
      <c r="K65" s="19">
        <v>0</v>
      </c>
      <c r="L65" s="20">
        <v>0</v>
      </c>
      <c r="M65" s="21">
        <v>0</v>
      </c>
      <c r="N65" s="18">
        <f t="shared" si="53"/>
        <v>0</v>
      </c>
      <c r="O65" s="19">
        <v>0</v>
      </c>
      <c r="P65" s="20">
        <f t="shared" si="3"/>
        <v>0</v>
      </c>
      <c r="Q65" s="22"/>
      <c r="R65" s="18">
        <f t="shared" si="54"/>
        <v>105.5</v>
      </c>
      <c r="S65" s="20">
        <f t="shared" si="55"/>
        <v>-17.349999999999994</v>
      </c>
      <c r="T65" s="23">
        <v>149.5</v>
      </c>
      <c r="U65" s="24" t="s">
        <v>22</v>
      </c>
      <c r="V65" s="34">
        <f t="shared" si="22"/>
        <v>1.2166993426363741</v>
      </c>
      <c r="W65" s="28">
        <f t="shared" si="23"/>
        <v>0.5896321070234114</v>
      </c>
      <c r="Z65" s="32" t="s">
        <v>828</v>
      </c>
      <c r="AA65" s="751" t="s">
        <v>995</v>
      </c>
      <c r="AB65" s="751">
        <f>0.3*149.5</f>
        <v>44.85</v>
      </c>
    </row>
    <row r="66" spans="2:28" ht="40.9" customHeight="1" x14ac:dyDescent="0.2">
      <c r="B66" s="917"/>
      <c r="C66" s="749" t="s">
        <v>999</v>
      </c>
      <c r="D66" s="699">
        <f>-AB661039</f>
        <v>0</v>
      </c>
      <c r="E66" s="17">
        <f t="shared" ref="E66" si="74">M66+I66</f>
        <v>0</v>
      </c>
      <c r="F66" s="18">
        <f t="shared" ref="F66" si="75">E66*D66</f>
        <v>0</v>
      </c>
      <c r="G66" s="19">
        <f>7+3.5</f>
        <v>10.5</v>
      </c>
      <c r="H66" s="20">
        <f t="shared" ref="H66" si="76">F66-G66</f>
        <v>-10.5</v>
      </c>
      <c r="I66" s="21">
        <v>0</v>
      </c>
      <c r="J66" s="18">
        <v>0</v>
      </c>
      <c r="K66" s="19">
        <v>0</v>
      </c>
      <c r="L66" s="20">
        <v>0</v>
      </c>
      <c r="M66" s="21">
        <v>0</v>
      </c>
      <c r="N66" s="18">
        <f t="shared" ref="N66" si="77">M66*D66</f>
        <v>0</v>
      </c>
      <c r="O66" s="19">
        <v>0</v>
      </c>
      <c r="P66" s="20">
        <f t="shared" ref="P66" si="78">N66-O66</f>
        <v>0</v>
      </c>
      <c r="Q66" s="22"/>
      <c r="R66" s="18">
        <f t="shared" ref="R66" si="79">G66+Q66</f>
        <v>10.5</v>
      </c>
      <c r="S66" s="20">
        <f t="shared" ref="S66" si="80">D66-R66</f>
        <v>-10.5</v>
      </c>
      <c r="T66" s="23">
        <v>1222</v>
      </c>
      <c r="U66" s="24" t="s">
        <v>22</v>
      </c>
      <c r="V66" s="34" t="e">
        <f t="shared" ref="V66" si="81">G66/(E66*T66)</f>
        <v>#DIV/0!</v>
      </c>
      <c r="W66" s="28">
        <f t="shared" ref="W66" si="82">D66/(T66)</f>
        <v>0</v>
      </c>
      <c r="X66" s="32" t="s">
        <v>862</v>
      </c>
      <c r="AA66" s="751" t="s">
        <v>1000</v>
      </c>
      <c r="AB66" s="751">
        <f>0.2*1222</f>
        <v>244.4</v>
      </c>
    </row>
    <row r="67" spans="2:28" ht="20.100000000000001" customHeight="1" x14ac:dyDescent="0.2">
      <c r="B67" s="917"/>
      <c r="C67" s="33" t="s">
        <v>796</v>
      </c>
      <c r="D67" s="63">
        <f>2*T67</f>
        <v>88</v>
      </c>
      <c r="E67" s="17">
        <v>0.2</v>
      </c>
      <c r="F67" s="18">
        <f>E67*D67</f>
        <v>17.600000000000001</v>
      </c>
      <c r="G67" s="19">
        <f>O67+K67</f>
        <v>0</v>
      </c>
      <c r="H67" s="20">
        <f>F67-G67</f>
        <v>17.600000000000001</v>
      </c>
      <c r="I67" s="21">
        <v>0</v>
      </c>
      <c r="J67" s="18">
        <v>0</v>
      </c>
      <c r="K67" s="19">
        <v>0</v>
      </c>
      <c r="L67" s="20">
        <v>0</v>
      </c>
      <c r="M67" s="21">
        <v>0</v>
      </c>
      <c r="N67" s="18">
        <f t="shared" ref="N67" si="83">M67*D67</f>
        <v>0</v>
      </c>
      <c r="O67" s="19">
        <v>0</v>
      </c>
      <c r="P67" s="20">
        <f t="shared" si="3"/>
        <v>0</v>
      </c>
      <c r="Q67" s="22"/>
      <c r="R67" s="18">
        <f>G67+Q67</f>
        <v>0</v>
      </c>
      <c r="S67" s="20">
        <f>D67-R67</f>
        <v>88</v>
      </c>
      <c r="T67" s="23">
        <v>44</v>
      </c>
      <c r="U67" s="24" t="s">
        <v>741</v>
      </c>
      <c r="V67" s="34">
        <f>G67/(E67*T67)</f>
        <v>0</v>
      </c>
      <c r="W67" s="28">
        <f>D67/(T67)</f>
        <v>2</v>
      </c>
    </row>
    <row r="68" spans="2:28" ht="45" customHeight="1" x14ac:dyDescent="0.2">
      <c r="B68" s="917"/>
      <c r="C68" s="33" t="s">
        <v>797</v>
      </c>
      <c r="D68" s="63">
        <f>36*T68</f>
        <v>288</v>
      </c>
      <c r="E68" s="17">
        <v>0.75</v>
      </c>
      <c r="F68" s="18">
        <f>E68*D68</f>
        <v>216</v>
      </c>
      <c r="G68" s="19">
        <f>30+8+33</f>
        <v>71</v>
      </c>
      <c r="H68" s="20">
        <f>F68-G68</f>
        <v>145</v>
      </c>
      <c r="I68" s="21">
        <v>0</v>
      </c>
      <c r="J68" s="18">
        <v>0</v>
      </c>
      <c r="K68" s="19">
        <v>0</v>
      </c>
      <c r="L68" s="20">
        <v>0</v>
      </c>
      <c r="M68" s="21">
        <v>0</v>
      </c>
      <c r="N68" s="18">
        <f t="shared" si="53"/>
        <v>0</v>
      </c>
      <c r="O68" s="19">
        <v>0</v>
      </c>
      <c r="P68" s="20">
        <f t="shared" si="3"/>
        <v>0</v>
      </c>
      <c r="Q68" s="22"/>
      <c r="R68" s="18">
        <f>G68+Q68</f>
        <v>71</v>
      </c>
      <c r="S68" s="20">
        <f>D68-R68</f>
        <v>217</v>
      </c>
      <c r="T68" s="23">
        <v>8</v>
      </c>
      <c r="U68" s="24" t="s">
        <v>667</v>
      </c>
      <c r="V68" s="34">
        <f>G68/(E68*T68)</f>
        <v>11.833333333333334</v>
      </c>
      <c r="W68" s="28">
        <f>D68/(T68)</f>
        <v>36</v>
      </c>
      <c r="X68" s="32" t="s">
        <v>855</v>
      </c>
    </row>
    <row r="69" spans="2:28" ht="24" customHeight="1" x14ac:dyDescent="0.2">
      <c r="B69" s="917"/>
      <c r="C69" s="33"/>
      <c r="D69" s="63"/>
      <c r="E69" s="17"/>
      <c r="F69" s="18"/>
      <c r="G69" s="19"/>
      <c r="H69" s="20"/>
      <c r="I69" s="21"/>
      <c r="J69" s="18"/>
      <c r="K69" s="19"/>
      <c r="L69" s="20"/>
      <c r="M69" s="21"/>
      <c r="N69" s="18"/>
      <c r="O69" s="19"/>
      <c r="P69" s="20"/>
      <c r="Q69" s="22"/>
      <c r="R69" s="18"/>
      <c r="S69" s="20"/>
      <c r="T69" s="23"/>
      <c r="U69" s="24"/>
      <c r="V69" s="34"/>
      <c r="W69" s="28"/>
    </row>
    <row r="70" spans="2:28" ht="24" customHeight="1" x14ac:dyDescent="0.2">
      <c r="B70" s="917"/>
      <c r="C70" s="33"/>
      <c r="D70" s="63"/>
      <c r="E70" s="17"/>
      <c r="F70" s="18"/>
      <c r="G70" s="19"/>
      <c r="H70" s="20"/>
      <c r="I70" s="21"/>
      <c r="J70" s="18"/>
      <c r="K70" s="19"/>
      <c r="L70" s="20"/>
      <c r="M70" s="21"/>
      <c r="N70" s="18"/>
      <c r="O70" s="19"/>
      <c r="P70" s="20"/>
      <c r="Q70" s="22"/>
      <c r="R70" s="18"/>
      <c r="S70" s="20"/>
      <c r="T70" s="23"/>
      <c r="U70" s="24"/>
      <c r="V70" s="34"/>
      <c r="W70" s="28"/>
    </row>
    <row r="71" spans="2:28" ht="24" customHeight="1" x14ac:dyDescent="0.2">
      <c r="B71" s="917"/>
      <c r="C71" s="33"/>
      <c r="D71" s="63"/>
      <c r="E71" s="17"/>
      <c r="F71" s="18"/>
      <c r="G71" s="19"/>
      <c r="H71" s="20"/>
      <c r="I71" s="21"/>
      <c r="J71" s="18"/>
      <c r="K71" s="19"/>
      <c r="L71" s="20"/>
      <c r="M71" s="21"/>
      <c r="N71" s="18"/>
      <c r="O71" s="19"/>
      <c r="P71" s="20"/>
      <c r="Q71" s="22"/>
      <c r="R71" s="18"/>
      <c r="S71" s="20"/>
      <c r="T71" s="23"/>
      <c r="U71" s="24"/>
      <c r="V71" s="34"/>
      <c r="W71" s="28"/>
    </row>
    <row r="72" spans="2:28" ht="24" customHeight="1" x14ac:dyDescent="0.2">
      <c r="B72" s="917"/>
      <c r="C72" s="33"/>
      <c r="D72" s="63"/>
      <c r="E72" s="17"/>
      <c r="F72" s="18"/>
      <c r="G72" s="19"/>
      <c r="H72" s="20"/>
      <c r="I72" s="21"/>
      <c r="J72" s="18"/>
      <c r="K72" s="19"/>
      <c r="L72" s="20"/>
      <c r="M72" s="21"/>
      <c r="N72" s="18"/>
      <c r="O72" s="19"/>
      <c r="P72" s="20"/>
      <c r="Q72" s="22"/>
      <c r="R72" s="18"/>
      <c r="S72" s="20"/>
      <c r="T72" s="23"/>
      <c r="U72" s="24"/>
      <c r="V72" s="34"/>
      <c r="W72" s="28"/>
    </row>
    <row r="73" spans="2:28" s="31" customFormat="1" ht="20.100000000000001" customHeight="1" x14ac:dyDescent="0.2">
      <c r="B73" s="394"/>
      <c r="C73" s="395" t="s">
        <v>661</v>
      </c>
      <c r="D73" s="396">
        <f>SUM(D55:D68)</f>
        <v>4536.1499999999996</v>
      </c>
      <c r="E73" s="397">
        <f>F73/D73</f>
        <v>0.37243543533613305</v>
      </c>
      <c r="F73" s="404">
        <f>SUM(F55:F68)</f>
        <v>1689.4229999999998</v>
      </c>
      <c r="G73" s="404">
        <f>SUM(G55:G68)</f>
        <v>1725.5</v>
      </c>
      <c r="H73" s="399">
        <f>F73-G73</f>
        <v>-36.077000000000226</v>
      </c>
      <c r="I73" s="397">
        <f>J73/D73</f>
        <v>0</v>
      </c>
      <c r="J73" s="404">
        <f>SUM(J56:J68)</f>
        <v>0</v>
      </c>
      <c r="K73" s="404">
        <f>SUM(K56:K68)</f>
        <v>0</v>
      </c>
      <c r="L73" s="399">
        <f>J73-K73</f>
        <v>0</v>
      </c>
      <c r="M73" s="397">
        <f>N73/D73</f>
        <v>0</v>
      </c>
      <c r="N73" s="404">
        <f>SUM(N56:N68)</f>
        <v>0</v>
      </c>
      <c r="O73" s="404">
        <f>SUM(O56:O68)</f>
        <v>0</v>
      </c>
      <c r="P73" s="399">
        <f>N73-O73</f>
        <v>0</v>
      </c>
      <c r="Q73" s="405">
        <f>SUM(Q56:Q68)</f>
        <v>0</v>
      </c>
      <c r="R73" s="404">
        <f>SUM(R56:R68)</f>
        <v>1422.5</v>
      </c>
      <c r="S73" s="406">
        <f>SUM(S56:S68)</f>
        <v>2754.65</v>
      </c>
      <c r="T73" s="400">
        <f>+T62+T63+T65+T66+T64*8</f>
        <v>2026.5</v>
      </c>
      <c r="U73" s="401" t="s">
        <v>22</v>
      </c>
      <c r="V73" s="402">
        <f>G73/(E73*T73)</f>
        <v>2.2862165292912238</v>
      </c>
      <c r="W73" s="403">
        <f>D73/(T73)</f>
        <v>2.2384159881569206</v>
      </c>
      <c r="Y73" s="694"/>
      <c r="Z73" s="32"/>
    </row>
    <row r="74" spans="2:28" ht="20.100000000000001" customHeight="1" x14ac:dyDescent="0.2">
      <c r="B74" s="916" t="s">
        <v>787</v>
      </c>
      <c r="C74" s="35" t="s">
        <v>987</v>
      </c>
      <c r="D74" s="63">
        <f>0.3*T74</f>
        <v>58.199999999999996</v>
      </c>
      <c r="E74" s="17">
        <f t="shared" ref="E74:E82" si="84">M74+I74</f>
        <v>0</v>
      </c>
      <c r="F74" s="18">
        <f t="shared" ref="F74:F82" si="85">E74*D74</f>
        <v>0</v>
      </c>
      <c r="G74" s="19">
        <f t="shared" ref="G74:G82" si="86">O74+K74</f>
        <v>0</v>
      </c>
      <c r="H74" s="20">
        <f t="shared" ref="H74:H83" si="87">F74-G74</f>
        <v>0</v>
      </c>
      <c r="I74" s="21">
        <v>0</v>
      </c>
      <c r="J74" s="18">
        <v>0</v>
      </c>
      <c r="K74" s="19">
        <v>0</v>
      </c>
      <c r="L74" s="20">
        <v>0</v>
      </c>
      <c r="M74" s="21">
        <v>0</v>
      </c>
      <c r="N74" s="18">
        <f t="shared" ref="N74:N85" si="88">M74*D74</f>
        <v>0</v>
      </c>
      <c r="O74" s="19">
        <v>0</v>
      </c>
      <c r="P74" s="20">
        <f t="shared" ref="P74:P85" si="89">N74-O74</f>
        <v>0</v>
      </c>
      <c r="Q74" s="22"/>
      <c r="R74" s="18">
        <f t="shared" ref="R74:R82" si="90">G74+Q74</f>
        <v>0</v>
      </c>
      <c r="S74" s="20">
        <f t="shared" ref="S74:S82" si="91">D74-R74</f>
        <v>58.199999999999996</v>
      </c>
      <c r="T74" s="23">
        <f>116*1.5+20</f>
        <v>194</v>
      </c>
      <c r="U74" s="24" t="s">
        <v>587</v>
      </c>
      <c r="V74" s="34" t="e">
        <f t="shared" ref="V74:V83" si="92">G74/(E74*T74)</f>
        <v>#DIV/0!</v>
      </c>
      <c r="W74" s="28">
        <f t="shared" ref="W74:W83" si="93">D74/(T74)</f>
        <v>0.3</v>
      </c>
    </row>
    <row r="75" spans="2:28" ht="37.9" customHeight="1" x14ac:dyDescent="0.2">
      <c r="B75" s="917"/>
      <c r="C75" s="35" t="s">
        <v>864</v>
      </c>
      <c r="D75" s="63">
        <f>55+1401</f>
        <v>1456</v>
      </c>
      <c r="E75" s="17">
        <f t="shared" si="84"/>
        <v>0</v>
      </c>
      <c r="F75" s="18">
        <f t="shared" si="85"/>
        <v>0</v>
      </c>
      <c r="G75" s="19">
        <f t="shared" si="86"/>
        <v>0</v>
      </c>
      <c r="H75" s="20">
        <f t="shared" si="87"/>
        <v>0</v>
      </c>
      <c r="I75" s="21">
        <v>0</v>
      </c>
      <c r="J75" s="18">
        <v>0</v>
      </c>
      <c r="K75" s="19">
        <v>0</v>
      </c>
      <c r="L75" s="20">
        <v>0</v>
      </c>
      <c r="M75" s="21">
        <v>0</v>
      </c>
      <c r="N75" s="18">
        <f t="shared" si="88"/>
        <v>0</v>
      </c>
      <c r="O75" s="19">
        <v>0</v>
      </c>
      <c r="P75" s="20">
        <f t="shared" si="89"/>
        <v>0</v>
      </c>
      <c r="Q75" s="22"/>
      <c r="R75" s="18">
        <f t="shared" si="90"/>
        <v>0</v>
      </c>
      <c r="S75" s="20">
        <f t="shared" si="91"/>
        <v>1456</v>
      </c>
      <c r="T75" s="23">
        <v>1046</v>
      </c>
      <c r="U75" s="24" t="s">
        <v>22</v>
      </c>
      <c r="V75" s="34" t="e">
        <f t="shared" si="92"/>
        <v>#DIV/0!</v>
      </c>
      <c r="W75" s="28">
        <f t="shared" si="93"/>
        <v>1.3919694072657744</v>
      </c>
      <c r="Z75" s="32" t="s">
        <v>794</v>
      </c>
    </row>
    <row r="76" spans="2:28" ht="35.450000000000003" customHeight="1" x14ac:dyDescent="0.2">
      <c r="B76" s="917"/>
      <c r="C76" s="35" t="s">
        <v>865</v>
      </c>
      <c r="D76" s="63">
        <f>89+147</f>
        <v>236</v>
      </c>
      <c r="E76" s="17">
        <f t="shared" si="84"/>
        <v>0</v>
      </c>
      <c r="F76" s="18">
        <f t="shared" si="85"/>
        <v>0</v>
      </c>
      <c r="G76" s="19">
        <f t="shared" si="86"/>
        <v>0</v>
      </c>
      <c r="H76" s="20">
        <f t="shared" si="87"/>
        <v>0</v>
      </c>
      <c r="I76" s="21">
        <v>0</v>
      </c>
      <c r="J76" s="18">
        <v>0</v>
      </c>
      <c r="K76" s="19">
        <v>0</v>
      </c>
      <c r="L76" s="20">
        <v>0</v>
      </c>
      <c r="M76" s="21">
        <v>0</v>
      </c>
      <c r="N76" s="18">
        <f t="shared" si="88"/>
        <v>0</v>
      </c>
      <c r="O76" s="19">
        <v>0</v>
      </c>
      <c r="P76" s="20">
        <f t="shared" si="89"/>
        <v>0</v>
      </c>
      <c r="Q76" s="22"/>
      <c r="R76" s="18">
        <f t="shared" si="90"/>
        <v>0</v>
      </c>
      <c r="S76" s="20">
        <f t="shared" si="91"/>
        <v>236</v>
      </c>
      <c r="T76" s="23">
        <v>147</v>
      </c>
      <c r="U76" s="24" t="s">
        <v>587</v>
      </c>
      <c r="V76" s="34" t="e">
        <f t="shared" si="92"/>
        <v>#DIV/0!</v>
      </c>
      <c r="W76" s="28">
        <f t="shared" si="93"/>
        <v>1.6054421768707483</v>
      </c>
      <c r="Z76" s="688" t="s">
        <v>795</v>
      </c>
    </row>
    <row r="77" spans="2:28" ht="20.100000000000001" customHeight="1" x14ac:dyDescent="0.2">
      <c r="B77" s="917"/>
      <c r="C77" s="35" t="s">
        <v>738</v>
      </c>
      <c r="D77" s="63">
        <v>184</v>
      </c>
      <c r="E77" s="17">
        <f t="shared" si="84"/>
        <v>0</v>
      </c>
      <c r="F77" s="18">
        <f t="shared" si="85"/>
        <v>0</v>
      </c>
      <c r="G77" s="19">
        <f t="shared" si="86"/>
        <v>0</v>
      </c>
      <c r="H77" s="20">
        <f t="shared" si="87"/>
        <v>0</v>
      </c>
      <c r="I77" s="21">
        <v>0</v>
      </c>
      <c r="J77" s="18">
        <v>0</v>
      </c>
      <c r="K77" s="19">
        <v>0</v>
      </c>
      <c r="L77" s="20">
        <v>0</v>
      </c>
      <c r="M77" s="21">
        <v>0</v>
      </c>
      <c r="N77" s="18">
        <f t="shared" si="88"/>
        <v>0</v>
      </c>
      <c r="O77" s="19">
        <v>0</v>
      </c>
      <c r="P77" s="20">
        <f t="shared" si="89"/>
        <v>0</v>
      </c>
      <c r="Q77" s="22"/>
      <c r="R77" s="18">
        <f t="shared" si="90"/>
        <v>0</v>
      </c>
      <c r="S77" s="20">
        <f t="shared" si="91"/>
        <v>184</v>
      </c>
      <c r="T77" s="23">
        <v>262</v>
      </c>
      <c r="U77" s="24" t="s">
        <v>22</v>
      </c>
      <c r="V77" s="34" t="e">
        <f t="shared" si="92"/>
        <v>#DIV/0!</v>
      </c>
      <c r="W77" s="28">
        <f t="shared" si="93"/>
        <v>0.70229007633587781</v>
      </c>
    </row>
    <row r="78" spans="2:28" ht="20.100000000000001" customHeight="1" x14ac:dyDescent="0.2">
      <c r="B78" s="917"/>
      <c r="C78" s="35" t="s">
        <v>664</v>
      </c>
      <c r="D78" s="63">
        <f>6*T78</f>
        <v>192</v>
      </c>
      <c r="E78" s="17">
        <f t="shared" si="84"/>
        <v>0</v>
      </c>
      <c r="F78" s="18">
        <f t="shared" si="85"/>
        <v>0</v>
      </c>
      <c r="G78" s="19">
        <f t="shared" si="86"/>
        <v>0</v>
      </c>
      <c r="H78" s="20">
        <f t="shared" si="87"/>
        <v>0</v>
      </c>
      <c r="I78" s="21">
        <v>0</v>
      </c>
      <c r="J78" s="18">
        <v>0</v>
      </c>
      <c r="K78" s="19">
        <v>0</v>
      </c>
      <c r="L78" s="20">
        <v>0</v>
      </c>
      <c r="M78" s="21">
        <v>0</v>
      </c>
      <c r="N78" s="18">
        <f t="shared" si="88"/>
        <v>0</v>
      </c>
      <c r="O78" s="19">
        <v>0</v>
      </c>
      <c r="P78" s="20">
        <f t="shared" si="89"/>
        <v>0</v>
      </c>
      <c r="Q78" s="22"/>
      <c r="R78" s="18">
        <f t="shared" si="90"/>
        <v>0</v>
      </c>
      <c r="S78" s="20">
        <f t="shared" si="91"/>
        <v>192</v>
      </c>
      <c r="T78" s="23">
        <v>32</v>
      </c>
      <c r="U78" s="24" t="s">
        <v>15</v>
      </c>
      <c r="V78" s="34" t="e">
        <f t="shared" si="92"/>
        <v>#DIV/0!</v>
      </c>
      <c r="W78" s="28">
        <f t="shared" si="93"/>
        <v>6</v>
      </c>
    </row>
    <row r="79" spans="2:28" ht="20.100000000000001" customHeight="1" x14ac:dyDescent="0.2">
      <c r="B79" s="917"/>
      <c r="C79" s="33" t="s">
        <v>856</v>
      </c>
      <c r="D79" s="63">
        <v>464</v>
      </c>
      <c r="E79" s="17">
        <f t="shared" si="84"/>
        <v>0</v>
      </c>
      <c r="F79" s="18">
        <f t="shared" si="85"/>
        <v>0</v>
      </c>
      <c r="G79" s="19">
        <f t="shared" si="86"/>
        <v>0</v>
      </c>
      <c r="H79" s="20">
        <f t="shared" si="87"/>
        <v>0</v>
      </c>
      <c r="I79" s="21">
        <v>0</v>
      </c>
      <c r="J79" s="18">
        <v>0</v>
      </c>
      <c r="K79" s="19">
        <v>0</v>
      </c>
      <c r="L79" s="20">
        <v>0</v>
      </c>
      <c r="M79" s="21">
        <v>0</v>
      </c>
      <c r="N79" s="18">
        <f t="shared" si="88"/>
        <v>0</v>
      </c>
      <c r="O79" s="19">
        <v>0</v>
      </c>
      <c r="P79" s="20">
        <f t="shared" si="89"/>
        <v>0</v>
      </c>
      <c r="Q79" s="22"/>
      <c r="R79" s="18">
        <f t="shared" si="90"/>
        <v>0</v>
      </c>
      <c r="S79" s="20">
        <f t="shared" si="91"/>
        <v>464</v>
      </c>
      <c r="T79" s="23">
        <v>51</v>
      </c>
      <c r="U79" s="24" t="s">
        <v>15</v>
      </c>
      <c r="V79" s="34" t="e">
        <f t="shared" si="92"/>
        <v>#DIV/0!</v>
      </c>
      <c r="W79" s="28">
        <f t="shared" si="93"/>
        <v>9.0980392156862742</v>
      </c>
      <c r="X79" s="32" t="s">
        <v>863</v>
      </c>
    </row>
    <row r="80" spans="2:28" ht="35.450000000000003" customHeight="1" x14ac:dyDescent="0.2">
      <c r="B80" s="917"/>
      <c r="C80" s="749" t="s">
        <v>1004</v>
      </c>
      <c r="D80" s="699">
        <f>204+44-AB80</f>
        <v>164</v>
      </c>
      <c r="E80" s="17">
        <f t="shared" si="84"/>
        <v>0</v>
      </c>
      <c r="F80" s="18">
        <f t="shared" si="85"/>
        <v>0</v>
      </c>
      <c r="G80" s="19">
        <f t="shared" si="86"/>
        <v>0</v>
      </c>
      <c r="H80" s="20">
        <f t="shared" si="87"/>
        <v>0</v>
      </c>
      <c r="I80" s="21">
        <v>0</v>
      </c>
      <c r="J80" s="18">
        <v>0</v>
      </c>
      <c r="K80" s="19">
        <v>0</v>
      </c>
      <c r="L80" s="20">
        <v>0</v>
      </c>
      <c r="M80" s="21">
        <v>0</v>
      </c>
      <c r="N80" s="18">
        <f t="shared" si="88"/>
        <v>0</v>
      </c>
      <c r="O80" s="19">
        <v>0</v>
      </c>
      <c r="P80" s="20">
        <f t="shared" si="89"/>
        <v>0</v>
      </c>
      <c r="Q80" s="22"/>
      <c r="R80" s="18">
        <f t="shared" si="90"/>
        <v>0</v>
      </c>
      <c r="S80" s="20">
        <f t="shared" si="91"/>
        <v>164</v>
      </c>
      <c r="T80" s="23">
        <v>210</v>
      </c>
      <c r="U80" s="24" t="s">
        <v>22</v>
      </c>
      <c r="V80" s="34" t="e">
        <f t="shared" si="92"/>
        <v>#DIV/0!</v>
      </c>
      <c r="W80" s="28">
        <f t="shared" si="93"/>
        <v>0.78095238095238095</v>
      </c>
      <c r="AA80" s="751" t="s">
        <v>1001</v>
      </c>
      <c r="AB80" s="751">
        <f>0.4*T80</f>
        <v>84</v>
      </c>
    </row>
    <row r="81" spans="2:28" ht="45" customHeight="1" x14ac:dyDescent="0.2">
      <c r="B81" s="917"/>
      <c r="C81" s="749" t="s">
        <v>868</v>
      </c>
      <c r="D81" s="699">
        <f>-AB81+320</f>
        <v>277</v>
      </c>
      <c r="E81" s="17">
        <f t="shared" si="84"/>
        <v>0</v>
      </c>
      <c r="F81" s="18">
        <f t="shared" si="85"/>
        <v>0</v>
      </c>
      <c r="G81" s="19">
        <f t="shared" si="86"/>
        <v>0</v>
      </c>
      <c r="H81" s="20">
        <f t="shared" si="87"/>
        <v>0</v>
      </c>
      <c r="I81" s="21">
        <v>0</v>
      </c>
      <c r="J81" s="18">
        <v>0</v>
      </c>
      <c r="K81" s="19">
        <v>0</v>
      </c>
      <c r="L81" s="20">
        <v>0</v>
      </c>
      <c r="M81" s="21">
        <v>0</v>
      </c>
      <c r="N81" s="18">
        <f t="shared" si="88"/>
        <v>0</v>
      </c>
      <c r="O81" s="19">
        <v>0</v>
      </c>
      <c r="P81" s="20">
        <f t="shared" si="89"/>
        <v>0</v>
      </c>
      <c r="Q81" s="22"/>
      <c r="R81" s="18">
        <f t="shared" si="90"/>
        <v>0</v>
      </c>
      <c r="S81" s="20">
        <f t="shared" si="91"/>
        <v>277</v>
      </c>
      <c r="T81" s="23">
        <v>29</v>
      </c>
      <c r="U81" s="24" t="s">
        <v>741</v>
      </c>
      <c r="V81" s="34" t="e">
        <f t="shared" si="92"/>
        <v>#DIV/0!</v>
      </c>
      <c r="W81" s="28">
        <f t="shared" si="93"/>
        <v>9.5517241379310338</v>
      </c>
      <c r="AA81" s="751" t="s">
        <v>1003</v>
      </c>
      <c r="AB81" s="751">
        <v>43</v>
      </c>
    </row>
    <row r="82" spans="2:28" ht="34.15" customHeight="1" x14ac:dyDescent="0.2">
      <c r="B82" s="917"/>
      <c r="C82" s="749" t="s">
        <v>1005</v>
      </c>
      <c r="D82" s="699">
        <f>-AB82+1168</f>
        <v>755.8</v>
      </c>
      <c r="E82" s="17">
        <f t="shared" si="84"/>
        <v>0</v>
      </c>
      <c r="F82" s="18">
        <f t="shared" si="85"/>
        <v>0</v>
      </c>
      <c r="G82" s="19">
        <f t="shared" si="86"/>
        <v>0</v>
      </c>
      <c r="H82" s="20">
        <f t="shared" si="87"/>
        <v>0</v>
      </c>
      <c r="I82" s="21">
        <v>0</v>
      </c>
      <c r="J82" s="18">
        <v>0</v>
      </c>
      <c r="K82" s="19">
        <v>0</v>
      </c>
      <c r="L82" s="20">
        <v>0</v>
      </c>
      <c r="M82" s="21">
        <v>0</v>
      </c>
      <c r="N82" s="18">
        <f t="shared" si="88"/>
        <v>0</v>
      </c>
      <c r="O82" s="19">
        <v>0</v>
      </c>
      <c r="P82" s="20">
        <f t="shared" si="89"/>
        <v>0</v>
      </c>
      <c r="Q82" s="22"/>
      <c r="R82" s="18">
        <f t="shared" si="90"/>
        <v>0</v>
      </c>
      <c r="S82" s="20">
        <f t="shared" si="91"/>
        <v>755.8</v>
      </c>
      <c r="T82" s="23">
        <v>1374</v>
      </c>
      <c r="U82" s="24" t="s">
        <v>22</v>
      </c>
      <c r="V82" s="34" t="e">
        <f t="shared" si="92"/>
        <v>#DIV/0!</v>
      </c>
      <c r="W82" s="28">
        <f t="shared" si="93"/>
        <v>0.55007278020378458</v>
      </c>
      <c r="AA82" s="751" t="s">
        <v>995</v>
      </c>
      <c r="AB82" s="751">
        <f>0.3*1374</f>
        <v>412.2</v>
      </c>
    </row>
    <row r="83" spans="2:28" ht="20.100000000000001" customHeight="1" x14ac:dyDescent="0.2">
      <c r="B83" s="917"/>
      <c r="C83" s="33" t="s">
        <v>869</v>
      </c>
      <c r="D83" s="63">
        <v>28</v>
      </c>
      <c r="E83" s="17">
        <f>M83+I83</f>
        <v>0</v>
      </c>
      <c r="F83" s="18">
        <f>E83*D83</f>
        <v>0</v>
      </c>
      <c r="G83" s="19">
        <f>O83+K83</f>
        <v>0</v>
      </c>
      <c r="H83" s="20">
        <f t="shared" si="87"/>
        <v>0</v>
      </c>
      <c r="I83" s="21">
        <v>0</v>
      </c>
      <c r="J83" s="18">
        <v>0</v>
      </c>
      <c r="K83" s="19">
        <v>0</v>
      </c>
      <c r="L83" s="20">
        <v>0</v>
      </c>
      <c r="M83" s="21">
        <v>0</v>
      </c>
      <c r="N83" s="18">
        <f>M83*D83</f>
        <v>0</v>
      </c>
      <c r="O83" s="19">
        <v>0</v>
      </c>
      <c r="P83" s="20">
        <f t="shared" si="89"/>
        <v>0</v>
      </c>
      <c r="Q83" s="22"/>
      <c r="R83" s="18">
        <f>G83+Q83</f>
        <v>0</v>
      </c>
      <c r="S83" s="20">
        <f>D83-R83</f>
        <v>28</v>
      </c>
      <c r="T83" s="23">
        <f>7.5+17</f>
        <v>24.5</v>
      </c>
      <c r="U83" s="24" t="s">
        <v>666</v>
      </c>
      <c r="V83" s="34" t="e">
        <f t="shared" si="92"/>
        <v>#DIV/0!</v>
      </c>
      <c r="W83" s="28">
        <f t="shared" si="93"/>
        <v>1.1428571428571428</v>
      </c>
      <c r="Y83" s="420"/>
    </row>
    <row r="84" spans="2:28" ht="20.100000000000001" customHeight="1" x14ac:dyDescent="0.2">
      <c r="B84" s="917"/>
      <c r="C84" s="33" t="s">
        <v>796</v>
      </c>
      <c r="D84" s="63">
        <f>2*T84</f>
        <v>88</v>
      </c>
      <c r="E84" s="17">
        <f>M84+I84</f>
        <v>0</v>
      </c>
      <c r="F84" s="18">
        <f>E84*D84</f>
        <v>0</v>
      </c>
      <c r="G84" s="19">
        <f>O84+K84</f>
        <v>0</v>
      </c>
      <c r="H84" s="20">
        <f>F84-G84</f>
        <v>0</v>
      </c>
      <c r="I84" s="21">
        <v>0</v>
      </c>
      <c r="J84" s="18">
        <v>0</v>
      </c>
      <c r="K84" s="19">
        <v>0</v>
      </c>
      <c r="L84" s="20">
        <v>0</v>
      </c>
      <c r="M84" s="21">
        <v>0</v>
      </c>
      <c r="N84" s="18">
        <f t="shared" si="88"/>
        <v>0</v>
      </c>
      <c r="O84" s="19">
        <v>0</v>
      </c>
      <c r="P84" s="20">
        <f t="shared" si="89"/>
        <v>0</v>
      </c>
      <c r="Q84" s="22"/>
      <c r="R84" s="18">
        <f>G84+Q84</f>
        <v>0</v>
      </c>
      <c r="S84" s="20">
        <f>D84-R84</f>
        <v>88</v>
      </c>
      <c r="T84" s="23">
        <v>44</v>
      </c>
      <c r="U84" s="24" t="s">
        <v>741</v>
      </c>
      <c r="V84" s="34" t="e">
        <f>G84/(E84*T84)</f>
        <v>#DIV/0!</v>
      </c>
      <c r="W84" s="28">
        <f>D84/(T84)</f>
        <v>2</v>
      </c>
    </row>
    <row r="85" spans="2:28" ht="20.100000000000001" customHeight="1" x14ac:dyDescent="0.2">
      <c r="B85" s="917"/>
      <c r="C85" s="33" t="s">
        <v>797</v>
      </c>
      <c r="D85" s="63">
        <f>36*T85</f>
        <v>216</v>
      </c>
      <c r="E85" s="17">
        <f>M85+I85</f>
        <v>0</v>
      </c>
      <c r="F85" s="18">
        <f>E85*D85</f>
        <v>0</v>
      </c>
      <c r="G85" s="19">
        <f>O85+K85</f>
        <v>0</v>
      </c>
      <c r="H85" s="20">
        <f>F85-G85</f>
        <v>0</v>
      </c>
      <c r="I85" s="21">
        <v>0</v>
      </c>
      <c r="J85" s="18">
        <v>0</v>
      </c>
      <c r="K85" s="19">
        <v>0</v>
      </c>
      <c r="L85" s="20">
        <v>0</v>
      </c>
      <c r="M85" s="21">
        <v>0</v>
      </c>
      <c r="N85" s="18">
        <f t="shared" si="88"/>
        <v>0</v>
      </c>
      <c r="O85" s="19">
        <v>0</v>
      </c>
      <c r="P85" s="20">
        <f t="shared" si="89"/>
        <v>0</v>
      </c>
      <c r="Q85" s="22"/>
      <c r="R85" s="18">
        <f>G85+Q85</f>
        <v>0</v>
      </c>
      <c r="S85" s="20">
        <f>D85-R85</f>
        <v>216</v>
      </c>
      <c r="T85" s="23">
        <v>6</v>
      </c>
      <c r="U85" s="24" t="s">
        <v>667</v>
      </c>
      <c r="V85" s="34" t="e">
        <f>G85/(E85*T85)</f>
        <v>#DIV/0!</v>
      </c>
      <c r="W85" s="28">
        <f>D85/(T85)</f>
        <v>36</v>
      </c>
    </row>
    <row r="86" spans="2:28" ht="20.100000000000001" customHeight="1" x14ac:dyDescent="0.2">
      <c r="B86" s="917"/>
      <c r="C86" s="33"/>
      <c r="D86" s="63"/>
      <c r="E86" s="17"/>
      <c r="F86" s="18"/>
      <c r="G86" s="19"/>
      <c r="H86" s="20"/>
      <c r="I86" s="21"/>
      <c r="J86" s="18"/>
      <c r="K86" s="19"/>
      <c r="L86" s="20"/>
      <c r="M86" s="21"/>
      <c r="N86" s="18"/>
      <c r="O86" s="19"/>
      <c r="P86" s="20"/>
      <c r="Q86" s="22"/>
      <c r="R86" s="18"/>
      <c r="S86" s="20"/>
      <c r="T86" s="23"/>
      <c r="U86" s="24"/>
      <c r="V86" s="34"/>
      <c r="W86" s="28"/>
    </row>
    <row r="87" spans="2:28" ht="20.100000000000001" customHeight="1" x14ac:dyDescent="0.2">
      <c r="B87" s="917"/>
      <c r="C87" s="33"/>
      <c r="D87" s="63"/>
      <c r="E87" s="17"/>
      <c r="F87" s="18"/>
      <c r="G87" s="19"/>
      <c r="H87" s="20"/>
      <c r="I87" s="21"/>
      <c r="J87" s="18"/>
      <c r="K87" s="19"/>
      <c r="L87" s="20"/>
      <c r="M87" s="21"/>
      <c r="N87" s="18"/>
      <c r="O87" s="19"/>
      <c r="P87" s="20"/>
      <c r="Q87" s="22"/>
      <c r="R87" s="18"/>
      <c r="S87" s="20"/>
      <c r="T87" s="23"/>
      <c r="U87" s="24"/>
      <c r="V87" s="34"/>
      <c r="W87" s="28"/>
    </row>
    <row r="88" spans="2:28" ht="20.100000000000001" customHeight="1" x14ac:dyDescent="0.2">
      <c r="B88" s="917"/>
      <c r="C88" s="33"/>
      <c r="D88" s="63"/>
      <c r="E88" s="17"/>
      <c r="F88" s="18"/>
      <c r="G88" s="19"/>
      <c r="H88" s="20"/>
      <c r="I88" s="21"/>
      <c r="J88" s="18"/>
      <c r="K88" s="19"/>
      <c r="L88" s="20"/>
      <c r="M88" s="21"/>
      <c r="N88" s="18"/>
      <c r="O88" s="19"/>
      <c r="P88" s="20"/>
      <c r="Q88" s="22"/>
      <c r="R88" s="18"/>
      <c r="S88" s="20"/>
      <c r="T88" s="23"/>
      <c r="U88" s="24"/>
      <c r="V88" s="34"/>
      <c r="W88" s="28"/>
    </row>
    <row r="89" spans="2:28" ht="20.100000000000001" customHeight="1" x14ac:dyDescent="0.2">
      <c r="B89" s="917"/>
      <c r="C89" s="33"/>
      <c r="D89" s="63"/>
      <c r="E89" s="17"/>
      <c r="F89" s="18"/>
      <c r="G89" s="19"/>
      <c r="H89" s="20"/>
      <c r="I89" s="21"/>
      <c r="J89" s="18"/>
      <c r="K89" s="19"/>
      <c r="L89" s="20"/>
      <c r="M89" s="21"/>
      <c r="N89" s="18"/>
      <c r="O89" s="19"/>
      <c r="P89" s="20"/>
      <c r="Q89" s="22"/>
      <c r="R89" s="18"/>
      <c r="S89" s="20"/>
      <c r="T89" s="23"/>
      <c r="U89" s="24"/>
      <c r="V89" s="34"/>
      <c r="W89" s="28"/>
    </row>
    <row r="90" spans="2:28" s="31" customFormat="1" ht="82.15" customHeight="1" x14ac:dyDescent="0.2">
      <c r="B90" s="394"/>
      <c r="C90" s="395" t="s">
        <v>661</v>
      </c>
      <c r="D90" s="396">
        <f>SUM(D74:D85)</f>
        <v>4119</v>
      </c>
      <c r="E90" s="397">
        <f>F90/D90</f>
        <v>0</v>
      </c>
      <c r="F90" s="404">
        <f>SUM(F74:F85)</f>
        <v>0</v>
      </c>
      <c r="G90" s="404">
        <f>SUM(G74:G85)</f>
        <v>0</v>
      </c>
      <c r="H90" s="399">
        <f>F90-G90</f>
        <v>0</v>
      </c>
      <c r="I90" s="397">
        <f>J90/D90</f>
        <v>0</v>
      </c>
      <c r="J90" s="404">
        <f>SUM(J74:J85)</f>
        <v>0</v>
      </c>
      <c r="K90" s="404">
        <f>SUM(K74:K85)</f>
        <v>0</v>
      </c>
      <c r="L90" s="399">
        <f>J90-K90</f>
        <v>0</v>
      </c>
      <c r="M90" s="397">
        <f>N90/D90</f>
        <v>0</v>
      </c>
      <c r="N90" s="404">
        <f>SUM(N74:N85)</f>
        <v>0</v>
      </c>
      <c r="O90" s="404">
        <f>SUM(O74:O85)</f>
        <v>0</v>
      </c>
      <c r="P90" s="399">
        <f>N90-O90</f>
        <v>0</v>
      </c>
      <c r="Q90" s="405">
        <f>SUM(Q74:Q85)</f>
        <v>0</v>
      </c>
      <c r="R90" s="404">
        <f>SUM(R74:R85)</f>
        <v>0</v>
      </c>
      <c r="S90" s="406">
        <f>SUM(S74:S85)</f>
        <v>4119</v>
      </c>
      <c r="T90" s="400">
        <f>+T80+T81*8+T82</f>
        <v>1816</v>
      </c>
      <c r="U90" s="401" t="s">
        <v>22</v>
      </c>
      <c r="V90" s="402" t="e">
        <f>G90/(E90*T90)</f>
        <v>#DIV/0!</v>
      </c>
      <c r="W90" s="403">
        <f>D90/(T90)</f>
        <v>2.268171806167401</v>
      </c>
      <c r="Y90" s="694">
        <v>45490</v>
      </c>
      <c r="Z90" s="693" t="s">
        <v>833</v>
      </c>
    </row>
    <row r="91" spans="2:28" ht="79.150000000000006" customHeight="1" x14ac:dyDescent="0.2">
      <c r="B91" s="916" t="s">
        <v>653</v>
      </c>
      <c r="C91" s="35" t="s">
        <v>786</v>
      </c>
      <c r="D91" s="63">
        <f>0.9*T91</f>
        <v>941.4</v>
      </c>
      <c r="E91" s="17">
        <f t="shared" ref="E91:E97" si="94">M91+I91</f>
        <v>0</v>
      </c>
      <c r="F91" s="18">
        <f t="shared" ref="F91:F97" si="95">E91*D91</f>
        <v>0</v>
      </c>
      <c r="G91" s="19">
        <f t="shared" ref="G91:G97" si="96">O91+K91</f>
        <v>0</v>
      </c>
      <c r="H91" s="20">
        <f t="shared" ref="H91:H98" si="97">F91-G91</f>
        <v>0</v>
      </c>
      <c r="I91" s="21">
        <v>0</v>
      </c>
      <c r="J91" s="18">
        <v>0</v>
      </c>
      <c r="K91" s="19">
        <v>0</v>
      </c>
      <c r="L91" s="20">
        <v>0</v>
      </c>
      <c r="M91" s="21">
        <v>0</v>
      </c>
      <c r="N91" s="18">
        <f t="shared" ref="N91:N100" si="98">M91*D91</f>
        <v>0</v>
      </c>
      <c r="O91" s="19">
        <v>0</v>
      </c>
      <c r="P91" s="20">
        <f t="shared" ref="P91:P124" si="99">N91-O91</f>
        <v>0</v>
      </c>
      <c r="Q91" s="22"/>
      <c r="R91" s="18">
        <f t="shared" ref="R91:R97" si="100">G91+Q91</f>
        <v>0</v>
      </c>
      <c r="S91" s="20">
        <f t="shared" ref="S91:S97" si="101">D91-R91</f>
        <v>941.4</v>
      </c>
      <c r="T91" s="23">
        <v>1046</v>
      </c>
      <c r="U91" s="24" t="s">
        <v>22</v>
      </c>
      <c r="V91" s="34" t="e">
        <f t="shared" ref="V91:V117" si="102">G91/(E91*T91)</f>
        <v>#DIV/0!</v>
      </c>
      <c r="W91" s="28">
        <f t="shared" ref="W91:W117" si="103">D91/(T91)</f>
        <v>0.9</v>
      </c>
      <c r="X91" s="32" t="s">
        <v>872</v>
      </c>
      <c r="Y91" s="420" t="s">
        <v>873</v>
      </c>
      <c r="Z91" s="32" t="s">
        <v>794</v>
      </c>
    </row>
    <row r="92" spans="2:28" ht="20.100000000000001" customHeight="1" x14ac:dyDescent="0.2">
      <c r="B92" s="917"/>
      <c r="C92" s="35" t="s">
        <v>738</v>
      </c>
      <c r="D92" s="63">
        <f>0.7*T92</f>
        <v>183.39999999999998</v>
      </c>
      <c r="E92" s="17">
        <f t="shared" si="94"/>
        <v>0</v>
      </c>
      <c r="F92" s="18">
        <f t="shared" si="95"/>
        <v>0</v>
      </c>
      <c r="G92" s="19">
        <f t="shared" si="96"/>
        <v>0</v>
      </c>
      <c r="H92" s="20">
        <f t="shared" si="97"/>
        <v>0</v>
      </c>
      <c r="I92" s="21">
        <v>0</v>
      </c>
      <c r="J92" s="18">
        <v>0</v>
      </c>
      <c r="K92" s="19">
        <v>0</v>
      </c>
      <c r="L92" s="20">
        <v>0</v>
      </c>
      <c r="M92" s="21">
        <v>0</v>
      </c>
      <c r="N92" s="18">
        <f t="shared" si="98"/>
        <v>0</v>
      </c>
      <c r="O92" s="19">
        <v>0</v>
      </c>
      <c r="P92" s="20">
        <f t="shared" si="99"/>
        <v>0</v>
      </c>
      <c r="Q92" s="22"/>
      <c r="R92" s="18">
        <f t="shared" si="100"/>
        <v>0</v>
      </c>
      <c r="S92" s="20">
        <f t="shared" si="101"/>
        <v>183.39999999999998</v>
      </c>
      <c r="T92" s="23">
        <v>262</v>
      </c>
      <c r="U92" s="24" t="s">
        <v>22</v>
      </c>
      <c r="V92" s="34" t="e">
        <f t="shared" si="102"/>
        <v>#DIV/0!</v>
      </c>
      <c r="W92" s="28">
        <f t="shared" si="103"/>
        <v>0.7</v>
      </c>
    </row>
    <row r="93" spans="2:28" ht="20.100000000000001" customHeight="1" x14ac:dyDescent="0.2">
      <c r="B93" s="917"/>
      <c r="C93" s="35" t="s">
        <v>664</v>
      </c>
      <c r="D93" s="63">
        <f>6*T93</f>
        <v>192</v>
      </c>
      <c r="E93" s="17">
        <f t="shared" si="94"/>
        <v>0</v>
      </c>
      <c r="F93" s="18">
        <f t="shared" si="95"/>
        <v>0</v>
      </c>
      <c r="G93" s="19">
        <f t="shared" si="96"/>
        <v>0</v>
      </c>
      <c r="H93" s="20">
        <f t="shared" si="97"/>
        <v>0</v>
      </c>
      <c r="I93" s="21">
        <v>0</v>
      </c>
      <c r="J93" s="18">
        <v>0</v>
      </c>
      <c r="K93" s="19">
        <v>0</v>
      </c>
      <c r="L93" s="20">
        <v>0</v>
      </c>
      <c r="M93" s="21">
        <v>0</v>
      </c>
      <c r="N93" s="18">
        <f t="shared" si="98"/>
        <v>0</v>
      </c>
      <c r="O93" s="19">
        <v>0</v>
      </c>
      <c r="P93" s="20">
        <f t="shared" si="99"/>
        <v>0</v>
      </c>
      <c r="Q93" s="22"/>
      <c r="R93" s="18">
        <f t="shared" si="100"/>
        <v>0</v>
      </c>
      <c r="S93" s="20">
        <f t="shared" si="101"/>
        <v>192</v>
      </c>
      <c r="T93" s="23">
        <v>32</v>
      </c>
      <c r="U93" s="24" t="s">
        <v>15</v>
      </c>
      <c r="V93" s="34" t="e">
        <f t="shared" si="102"/>
        <v>#DIV/0!</v>
      </c>
      <c r="W93" s="28">
        <f t="shared" si="103"/>
        <v>6</v>
      </c>
      <c r="Y93" s="420"/>
    </row>
    <row r="94" spans="2:28" ht="20.100000000000001" customHeight="1" x14ac:dyDescent="0.2">
      <c r="B94" s="917"/>
      <c r="C94" s="33" t="s">
        <v>856</v>
      </c>
      <c r="D94" s="63">
        <v>464</v>
      </c>
      <c r="E94" s="17">
        <f t="shared" si="94"/>
        <v>0</v>
      </c>
      <c r="F94" s="18">
        <f t="shared" si="95"/>
        <v>0</v>
      </c>
      <c r="G94" s="19">
        <f t="shared" si="96"/>
        <v>0</v>
      </c>
      <c r="H94" s="20">
        <f t="shared" si="97"/>
        <v>0</v>
      </c>
      <c r="I94" s="21">
        <v>0</v>
      </c>
      <c r="J94" s="18">
        <v>0</v>
      </c>
      <c r="K94" s="19">
        <v>0</v>
      </c>
      <c r="L94" s="20">
        <v>0</v>
      </c>
      <c r="M94" s="21">
        <v>0</v>
      </c>
      <c r="N94" s="18">
        <f t="shared" si="98"/>
        <v>0</v>
      </c>
      <c r="O94" s="19">
        <v>0</v>
      </c>
      <c r="P94" s="20">
        <f t="shared" si="99"/>
        <v>0</v>
      </c>
      <c r="Q94" s="22"/>
      <c r="R94" s="18">
        <f t="shared" si="100"/>
        <v>0</v>
      </c>
      <c r="S94" s="20">
        <f t="shared" si="101"/>
        <v>464</v>
      </c>
      <c r="T94" s="23">
        <v>51</v>
      </c>
      <c r="U94" s="24" t="s">
        <v>15</v>
      </c>
      <c r="V94" s="34" t="e">
        <f t="shared" si="102"/>
        <v>#DIV/0!</v>
      </c>
      <c r="W94" s="28">
        <f t="shared" si="103"/>
        <v>9.0980392156862742</v>
      </c>
      <c r="X94" s="32" t="s">
        <v>870</v>
      </c>
    </row>
    <row r="95" spans="2:28" ht="45" x14ac:dyDescent="0.2">
      <c r="B95" s="917"/>
      <c r="C95" s="749" t="s">
        <v>874</v>
      </c>
      <c r="D95" s="699">
        <f>201+44-AB95</f>
        <v>161</v>
      </c>
      <c r="E95" s="17">
        <f t="shared" si="94"/>
        <v>0</v>
      </c>
      <c r="F95" s="18">
        <f t="shared" si="95"/>
        <v>0</v>
      </c>
      <c r="G95" s="19">
        <f t="shared" si="96"/>
        <v>0</v>
      </c>
      <c r="H95" s="20">
        <f t="shared" si="97"/>
        <v>0</v>
      </c>
      <c r="I95" s="21">
        <v>0</v>
      </c>
      <c r="J95" s="18">
        <v>0</v>
      </c>
      <c r="K95" s="19">
        <v>0</v>
      </c>
      <c r="L95" s="20">
        <v>0</v>
      </c>
      <c r="M95" s="21">
        <v>0</v>
      </c>
      <c r="N95" s="18">
        <f t="shared" si="98"/>
        <v>0</v>
      </c>
      <c r="O95" s="19">
        <v>0</v>
      </c>
      <c r="P95" s="20">
        <f t="shared" si="99"/>
        <v>0</v>
      </c>
      <c r="Q95" s="22"/>
      <c r="R95" s="18">
        <f t="shared" si="100"/>
        <v>0</v>
      </c>
      <c r="S95" s="20">
        <f t="shared" si="101"/>
        <v>161</v>
      </c>
      <c r="T95" s="23">
        <v>210</v>
      </c>
      <c r="U95" s="24" t="s">
        <v>22</v>
      </c>
      <c r="V95" s="34" t="e">
        <f t="shared" si="102"/>
        <v>#DIV/0!</v>
      </c>
      <c r="W95" s="28">
        <f t="shared" si="103"/>
        <v>0.76666666666666672</v>
      </c>
      <c r="Y95" s="420"/>
      <c r="AA95" s="751" t="s">
        <v>1001</v>
      </c>
      <c r="AB95" s="751">
        <f>0.4*T95</f>
        <v>84</v>
      </c>
    </row>
    <row r="96" spans="2:28" ht="45" x14ac:dyDescent="0.2">
      <c r="B96" s="917"/>
      <c r="C96" s="749" t="s">
        <v>876</v>
      </c>
      <c r="D96" s="699">
        <f>-AB96+320</f>
        <v>277</v>
      </c>
      <c r="E96" s="17">
        <f t="shared" si="94"/>
        <v>0</v>
      </c>
      <c r="F96" s="18">
        <f t="shared" si="95"/>
        <v>0</v>
      </c>
      <c r="G96" s="19">
        <f t="shared" si="96"/>
        <v>0</v>
      </c>
      <c r="H96" s="20">
        <f t="shared" si="97"/>
        <v>0</v>
      </c>
      <c r="I96" s="21">
        <v>0</v>
      </c>
      <c r="J96" s="18">
        <v>0</v>
      </c>
      <c r="K96" s="19">
        <v>0</v>
      </c>
      <c r="L96" s="20">
        <v>0</v>
      </c>
      <c r="M96" s="21">
        <v>0</v>
      </c>
      <c r="N96" s="18">
        <f t="shared" si="98"/>
        <v>0</v>
      </c>
      <c r="O96" s="19">
        <v>0</v>
      </c>
      <c r="P96" s="20">
        <f t="shared" si="99"/>
        <v>0</v>
      </c>
      <c r="Q96" s="22"/>
      <c r="R96" s="18">
        <f t="shared" si="100"/>
        <v>0</v>
      </c>
      <c r="S96" s="20">
        <f t="shared" si="101"/>
        <v>277</v>
      </c>
      <c r="T96" s="23">
        <v>29</v>
      </c>
      <c r="U96" s="24" t="s">
        <v>741</v>
      </c>
      <c r="V96" s="34" t="e">
        <f t="shared" si="102"/>
        <v>#DIV/0!</v>
      </c>
      <c r="W96" s="28">
        <f t="shared" si="103"/>
        <v>9.5517241379310338</v>
      </c>
      <c r="AA96" s="751" t="s">
        <v>1003</v>
      </c>
      <c r="AB96" s="751">
        <v>43</v>
      </c>
    </row>
    <row r="97" spans="2:28" ht="45" x14ac:dyDescent="0.2">
      <c r="B97" s="917"/>
      <c r="C97" s="749" t="s">
        <v>866</v>
      </c>
      <c r="D97" s="699">
        <f>-AB97+1168</f>
        <v>755.8</v>
      </c>
      <c r="E97" s="17">
        <f t="shared" si="94"/>
        <v>0</v>
      </c>
      <c r="F97" s="18">
        <f t="shared" si="95"/>
        <v>0</v>
      </c>
      <c r="G97" s="19">
        <f t="shared" si="96"/>
        <v>0</v>
      </c>
      <c r="H97" s="20">
        <f t="shared" si="97"/>
        <v>0</v>
      </c>
      <c r="I97" s="21">
        <v>0</v>
      </c>
      <c r="J97" s="18">
        <v>0</v>
      </c>
      <c r="K97" s="19">
        <v>0</v>
      </c>
      <c r="L97" s="20">
        <v>0</v>
      </c>
      <c r="M97" s="21">
        <v>0</v>
      </c>
      <c r="N97" s="18">
        <f t="shared" si="98"/>
        <v>0</v>
      </c>
      <c r="O97" s="19">
        <v>0</v>
      </c>
      <c r="P97" s="20">
        <f t="shared" si="99"/>
        <v>0</v>
      </c>
      <c r="Q97" s="22"/>
      <c r="R97" s="18">
        <f t="shared" si="100"/>
        <v>0</v>
      </c>
      <c r="S97" s="20">
        <f t="shared" si="101"/>
        <v>755.8</v>
      </c>
      <c r="T97" s="23">
        <v>1374</v>
      </c>
      <c r="U97" s="24" t="s">
        <v>22</v>
      </c>
      <c r="V97" s="34" t="e">
        <f t="shared" si="102"/>
        <v>#DIV/0!</v>
      </c>
      <c r="W97" s="28">
        <f t="shared" si="103"/>
        <v>0.55007278020378458</v>
      </c>
      <c r="Y97" s="420"/>
      <c r="AA97" s="751" t="s">
        <v>995</v>
      </c>
      <c r="AB97" s="751">
        <f>0.3*1374</f>
        <v>412.2</v>
      </c>
    </row>
    <row r="98" spans="2:28" ht="20.100000000000001" customHeight="1" x14ac:dyDescent="0.2">
      <c r="B98" s="917"/>
      <c r="C98" s="33" t="s">
        <v>1047</v>
      </c>
      <c r="D98" s="63">
        <v>28</v>
      </c>
      <c r="E98" s="17">
        <f>M98+I98</f>
        <v>0</v>
      </c>
      <c r="F98" s="18">
        <f>E98*D98</f>
        <v>0</v>
      </c>
      <c r="G98" s="19">
        <f>O98+K98</f>
        <v>0</v>
      </c>
      <c r="H98" s="20">
        <f t="shared" si="97"/>
        <v>0</v>
      </c>
      <c r="I98" s="21">
        <v>0</v>
      </c>
      <c r="J98" s="18">
        <v>0</v>
      </c>
      <c r="K98" s="19">
        <v>0</v>
      </c>
      <c r="L98" s="20">
        <v>0</v>
      </c>
      <c r="M98" s="21">
        <v>0</v>
      </c>
      <c r="N98" s="18">
        <f>M98*D98</f>
        <v>0</v>
      </c>
      <c r="O98" s="19">
        <v>0</v>
      </c>
      <c r="P98" s="20">
        <f t="shared" si="99"/>
        <v>0</v>
      </c>
      <c r="Q98" s="22"/>
      <c r="R98" s="18">
        <f>G98+Q98</f>
        <v>0</v>
      </c>
      <c r="S98" s="20">
        <f>D98-R98</f>
        <v>28</v>
      </c>
      <c r="T98" s="23">
        <f>7.5+17</f>
        <v>24.5</v>
      </c>
      <c r="U98" s="24" t="s">
        <v>666</v>
      </c>
      <c r="V98" s="34" t="e">
        <f t="shared" si="102"/>
        <v>#DIV/0!</v>
      </c>
      <c r="W98" s="28">
        <f t="shared" si="103"/>
        <v>1.1428571428571428</v>
      </c>
      <c r="Y98" s="420"/>
    </row>
    <row r="99" spans="2:28" ht="34.9" customHeight="1" x14ac:dyDescent="0.2">
      <c r="B99" s="917"/>
      <c r="C99" s="33" t="s">
        <v>796</v>
      </c>
      <c r="D99" s="63">
        <f>2*T99</f>
        <v>88</v>
      </c>
      <c r="E99" s="17">
        <f>M99+I99</f>
        <v>0</v>
      </c>
      <c r="F99" s="18">
        <f>E99*D99</f>
        <v>0</v>
      </c>
      <c r="G99" s="19">
        <f>O99+K99</f>
        <v>0</v>
      </c>
      <c r="H99" s="20">
        <f>F99-G99</f>
        <v>0</v>
      </c>
      <c r="I99" s="21">
        <v>0</v>
      </c>
      <c r="J99" s="18">
        <v>0</v>
      </c>
      <c r="K99" s="19">
        <v>0</v>
      </c>
      <c r="L99" s="20">
        <v>0</v>
      </c>
      <c r="M99" s="21">
        <v>0</v>
      </c>
      <c r="N99" s="18">
        <f t="shared" si="98"/>
        <v>0</v>
      </c>
      <c r="O99" s="19">
        <v>0</v>
      </c>
      <c r="P99" s="20">
        <f t="shared" si="99"/>
        <v>0</v>
      </c>
      <c r="Q99" s="22"/>
      <c r="R99" s="18">
        <f>G99+Q99</f>
        <v>0</v>
      </c>
      <c r="S99" s="20">
        <f>D99-R99</f>
        <v>88</v>
      </c>
      <c r="T99" s="23">
        <v>44</v>
      </c>
      <c r="U99" s="24" t="s">
        <v>741</v>
      </c>
      <c r="V99" s="34" t="e">
        <f>G99/(E99*T99)</f>
        <v>#DIV/0!</v>
      </c>
      <c r="W99" s="28">
        <f>D99/(T99)</f>
        <v>2</v>
      </c>
      <c r="X99" s="32" t="s">
        <v>875</v>
      </c>
    </row>
    <row r="100" spans="2:28" ht="20.100000000000001" customHeight="1" x14ac:dyDescent="0.2">
      <c r="B100" s="917"/>
      <c r="C100" s="33" t="s">
        <v>797</v>
      </c>
      <c r="D100" s="63">
        <f>36*T100</f>
        <v>216</v>
      </c>
      <c r="E100" s="17">
        <f>M100+I100</f>
        <v>0</v>
      </c>
      <c r="F100" s="18">
        <f>E100*D100</f>
        <v>0</v>
      </c>
      <c r="G100" s="19">
        <f>O100+K100</f>
        <v>0</v>
      </c>
      <c r="H100" s="20">
        <f>F100-G100</f>
        <v>0</v>
      </c>
      <c r="I100" s="21">
        <v>0</v>
      </c>
      <c r="J100" s="18">
        <v>0</v>
      </c>
      <c r="K100" s="19">
        <v>0</v>
      </c>
      <c r="L100" s="20">
        <v>0</v>
      </c>
      <c r="M100" s="21">
        <v>0</v>
      </c>
      <c r="N100" s="18">
        <f t="shared" si="98"/>
        <v>0</v>
      </c>
      <c r="O100" s="19">
        <v>0</v>
      </c>
      <c r="P100" s="20">
        <f t="shared" si="99"/>
        <v>0</v>
      </c>
      <c r="Q100" s="22"/>
      <c r="R100" s="18">
        <f>G100+Q100</f>
        <v>0</v>
      </c>
      <c r="S100" s="20">
        <f>D100-R100</f>
        <v>216</v>
      </c>
      <c r="T100" s="23">
        <v>6</v>
      </c>
      <c r="U100" s="24" t="s">
        <v>667</v>
      </c>
      <c r="V100" s="34" t="e">
        <f>G100/(E100*T100)</f>
        <v>#DIV/0!</v>
      </c>
      <c r="W100" s="28">
        <f>D100/(T100)</f>
        <v>36</v>
      </c>
    </row>
    <row r="101" spans="2:28" ht="20.100000000000001" customHeight="1" x14ac:dyDescent="0.2">
      <c r="B101" s="917"/>
      <c r="C101" s="33"/>
      <c r="D101" s="63"/>
      <c r="E101" s="17"/>
      <c r="F101" s="18"/>
      <c r="G101" s="19"/>
      <c r="H101" s="20"/>
      <c r="I101" s="21"/>
      <c r="J101" s="18"/>
      <c r="K101" s="19"/>
      <c r="L101" s="20"/>
      <c r="M101" s="21"/>
      <c r="N101" s="18"/>
      <c r="O101" s="19"/>
      <c r="P101" s="20"/>
      <c r="Q101" s="22"/>
      <c r="R101" s="18"/>
      <c r="S101" s="20"/>
      <c r="T101" s="23"/>
      <c r="U101" s="24"/>
      <c r="V101" s="34"/>
      <c r="W101" s="28"/>
    </row>
    <row r="102" spans="2:28" ht="20.100000000000001" customHeight="1" x14ac:dyDescent="0.2">
      <c r="B102" s="917"/>
      <c r="C102" s="33"/>
      <c r="D102" s="63"/>
      <c r="E102" s="17"/>
      <c r="F102" s="18"/>
      <c r="G102" s="19"/>
      <c r="H102" s="20"/>
      <c r="I102" s="21"/>
      <c r="J102" s="18"/>
      <c r="K102" s="19"/>
      <c r="L102" s="20"/>
      <c r="M102" s="21"/>
      <c r="N102" s="18"/>
      <c r="O102" s="19"/>
      <c r="P102" s="20"/>
      <c r="Q102" s="22"/>
      <c r="R102" s="18"/>
      <c r="S102" s="20"/>
      <c r="T102" s="23"/>
      <c r="U102" s="24"/>
      <c r="V102" s="34"/>
      <c r="W102" s="28"/>
    </row>
    <row r="103" spans="2:28" ht="20.100000000000001" customHeight="1" x14ac:dyDescent="0.2">
      <c r="B103" s="917"/>
      <c r="C103" s="33"/>
      <c r="D103" s="63"/>
      <c r="E103" s="17"/>
      <c r="F103" s="18"/>
      <c r="G103" s="19"/>
      <c r="H103" s="20"/>
      <c r="I103" s="21"/>
      <c r="J103" s="18"/>
      <c r="K103" s="19"/>
      <c r="L103" s="20"/>
      <c r="M103" s="21"/>
      <c r="N103" s="18"/>
      <c r="O103" s="19"/>
      <c r="P103" s="20"/>
      <c r="Q103" s="22"/>
      <c r="R103" s="18"/>
      <c r="S103" s="20"/>
      <c r="T103" s="23"/>
      <c r="U103" s="24"/>
      <c r="V103" s="34"/>
      <c r="W103" s="28"/>
    </row>
    <row r="104" spans="2:28" ht="20.100000000000001" customHeight="1" x14ac:dyDescent="0.2">
      <c r="B104" s="917"/>
      <c r="C104" s="33"/>
      <c r="D104" s="63"/>
      <c r="E104" s="17"/>
      <c r="F104" s="18"/>
      <c r="G104" s="19"/>
      <c r="H104" s="20"/>
      <c r="I104" s="21"/>
      <c r="J104" s="18"/>
      <c r="K104" s="19"/>
      <c r="L104" s="20"/>
      <c r="M104" s="21"/>
      <c r="N104" s="18"/>
      <c r="O104" s="19"/>
      <c r="P104" s="20"/>
      <c r="Q104" s="22"/>
      <c r="R104" s="18"/>
      <c r="S104" s="20"/>
      <c r="T104" s="23"/>
      <c r="U104" s="24"/>
      <c r="V104" s="34"/>
      <c r="W104" s="28"/>
    </row>
    <row r="105" spans="2:28" s="31" customFormat="1" ht="36.6" customHeight="1" x14ac:dyDescent="0.2">
      <c r="B105" s="394"/>
      <c r="C105" s="395" t="s">
        <v>662</v>
      </c>
      <c r="D105" s="396">
        <f>SUM(D91:D100)</f>
        <v>3306.6000000000004</v>
      </c>
      <c r="E105" s="397">
        <f>F105/D105</f>
        <v>0</v>
      </c>
      <c r="F105" s="404">
        <f>SUM(F91:F100)</f>
        <v>0</v>
      </c>
      <c r="G105" s="404">
        <f>SUM(G91:G100)</f>
        <v>0</v>
      </c>
      <c r="H105" s="399">
        <f t="shared" ref="H105:H124" si="104">F105-G105</f>
        <v>0</v>
      </c>
      <c r="I105" s="397">
        <f>J105/D105</f>
        <v>0</v>
      </c>
      <c r="J105" s="404">
        <f>SUM(J91:J100)</f>
        <v>0</v>
      </c>
      <c r="K105" s="404">
        <f>SUM(K91:K100)</f>
        <v>0</v>
      </c>
      <c r="L105" s="399">
        <f>J105-K105</f>
        <v>0</v>
      </c>
      <c r="M105" s="397">
        <f>N105/D105</f>
        <v>0</v>
      </c>
      <c r="N105" s="404">
        <f>SUM(N91:N100)</f>
        <v>0</v>
      </c>
      <c r="O105" s="404">
        <f>SUM(O91:O100)</f>
        <v>0</v>
      </c>
      <c r="P105" s="399">
        <f t="shared" si="99"/>
        <v>0</v>
      </c>
      <c r="Q105" s="405">
        <f>SUM(Q91:Q100)</f>
        <v>0</v>
      </c>
      <c r="R105" s="404">
        <f>SUM(R91:R100)</f>
        <v>0</v>
      </c>
      <c r="S105" s="406">
        <f>SUM(S91:S100)</f>
        <v>3306.6000000000004</v>
      </c>
      <c r="T105" s="400">
        <f>+T95+T96*8+T97</f>
        <v>1816</v>
      </c>
      <c r="U105" s="401" t="s">
        <v>22</v>
      </c>
      <c r="V105" s="402" t="e">
        <f t="shared" si="102"/>
        <v>#DIV/0!</v>
      </c>
      <c r="W105" s="403">
        <f t="shared" si="103"/>
        <v>1.8208149779735685</v>
      </c>
      <c r="Y105" s="694"/>
      <c r="Z105" s="32"/>
    </row>
    <row r="106" spans="2:28" ht="63.6" customHeight="1" x14ac:dyDescent="0.2">
      <c r="B106" s="916" t="s">
        <v>980</v>
      </c>
      <c r="C106" s="35" t="s">
        <v>786</v>
      </c>
      <c r="D106" s="63">
        <f>0.9*T106</f>
        <v>941.4</v>
      </c>
      <c r="E106" s="17">
        <f t="shared" ref="E106:E109" si="105">M106+I106</f>
        <v>0</v>
      </c>
      <c r="F106" s="18">
        <f t="shared" ref="F106:F109" si="106">E106*D106</f>
        <v>0</v>
      </c>
      <c r="G106" s="19">
        <f t="shared" ref="G106:G109" si="107">O106+K106</f>
        <v>0</v>
      </c>
      <c r="H106" s="20">
        <f t="shared" si="104"/>
        <v>0</v>
      </c>
      <c r="I106" s="21">
        <v>0</v>
      </c>
      <c r="J106" s="18">
        <v>0</v>
      </c>
      <c r="K106" s="19">
        <v>0</v>
      </c>
      <c r="L106" s="20">
        <v>0</v>
      </c>
      <c r="M106" s="21">
        <v>0</v>
      </c>
      <c r="N106" s="18">
        <f t="shared" ref="N106:N109" si="108">M106*D106</f>
        <v>0</v>
      </c>
      <c r="O106" s="19">
        <v>0</v>
      </c>
      <c r="P106" s="20">
        <f t="shared" si="99"/>
        <v>0</v>
      </c>
      <c r="Q106" s="22"/>
      <c r="R106" s="18">
        <f t="shared" ref="R106:R109" si="109">G106+Q106</f>
        <v>0</v>
      </c>
      <c r="S106" s="20">
        <f t="shared" ref="S106:S109" si="110">D106-R106</f>
        <v>941.4</v>
      </c>
      <c r="T106" s="23">
        <v>1046</v>
      </c>
      <c r="U106" s="24" t="s">
        <v>22</v>
      </c>
      <c r="V106" s="34" t="e">
        <f t="shared" si="102"/>
        <v>#DIV/0!</v>
      </c>
      <c r="W106" s="28">
        <f t="shared" si="103"/>
        <v>0.9</v>
      </c>
      <c r="X106" s="32" t="s">
        <v>877</v>
      </c>
      <c r="Y106" s="420"/>
      <c r="Z106" s="32" t="s">
        <v>794</v>
      </c>
    </row>
    <row r="107" spans="2:28" ht="20.100000000000001" customHeight="1" x14ac:dyDescent="0.2">
      <c r="B107" s="917"/>
      <c r="C107" s="35" t="s">
        <v>738</v>
      </c>
      <c r="D107" s="63">
        <f>0.7*T107</f>
        <v>212.79999999999998</v>
      </c>
      <c r="E107" s="17">
        <f t="shared" si="105"/>
        <v>0</v>
      </c>
      <c r="F107" s="18">
        <f t="shared" si="106"/>
        <v>0</v>
      </c>
      <c r="G107" s="19">
        <f t="shared" si="107"/>
        <v>0</v>
      </c>
      <c r="H107" s="20">
        <f t="shared" si="104"/>
        <v>0</v>
      </c>
      <c r="I107" s="21">
        <v>0</v>
      </c>
      <c r="J107" s="18">
        <v>0</v>
      </c>
      <c r="K107" s="19">
        <v>0</v>
      </c>
      <c r="L107" s="20">
        <v>0</v>
      </c>
      <c r="M107" s="21">
        <v>0</v>
      </c>
      <c r="N107" s="18">
        <f t="shared" si="108"/>
        <v>0</v>
      </c>
      <c r="O107" s="19">
        <v>0</v>
      </c>
      <c r="P107" s="20">
        <f t="shared" si="99"/>
        <v>0</v>
      </c>
      <c r="Q107" s="22"/>
      <c r="R107" s="18">
        <f t="shared" si="109"/>
        <v>0</v>
      </c>
      <c r="S107" s="20">
        <f t="shared" si="110"/>
        <v>212.79999999999998</v>
      </c>
      <c r="T107" s="23">
        <v>304</v>
      </c>
      <c r="U107" s="24" t="s">
        <v>22</v>
      </c>
      <c r="V107" s="34" t="e">
        <f t="shared" si="102"/>
        <v>#DIV/0!</v>
      </c>
      <c r="W107" s="28">
        <f t="shared" si="103"/>
        <v>0.7</v>
      </c>
    </row>
    <row r="108" spans="2:28" ht="20.100000000000001" customHeight="1" x14ac:dyDescent="0.2">
      <c r="B108" s="917"/>
      <c r="C108" s="35" t="s">
        <v>664</v>
      </c>
      <c r="D108" s="63">
        <v>192</v>
      </c>
      <c r="E108" s="17">
        <f t="shared" si="105"/>
        <v>0</v>
      </c>
      <c r="F108" s="18">
        <f t="shared" si="106"/>
        <v>0</v>
      </c>
      <c r="G108" s="19">
        <f t="shared" si="107"/>
        <v>0</v>
      </c>
      <c r="H108" s="20">
        <f t="shared" si="104"/>
        <v>0</v>
      </c>
      <c r="I108" s="21">
        <v>0</v>
      </c>
      <c r="J108" s="18">
        <v>0</v>
      </c>
      <c r="K108" s="19">
        <v>0</v>
      </c>
      <c r="L108" s="20">
        <v>0</v>
      </c>
      <c r="M108" s="21">
        <v>0</v>
      </c>
      <c r="N108" s="18">
        <f t="shared" si="108"/>
        <v>0</v>
      </c>
      <c r="O108" s="19">
        <v>0</v>
      </c>
      <c r="P108" s="20">
        <f t="shared" si="99"/>
        <v>0</v>
      </c>
      <c r="Q108" s="22"/>
      <c r="R108" s="18">
        <f t="shared" si="109"/>
        <v>0</v>
      </c>
      <c r="S108" s="20">
        <f t="shared" si="110"/>
        <v>192</v>
      </c>
      <c r="T108" s="23">
        <v>32</v>
      </c>
      <c r="U108" s="24" t="s">
        <v>15</v>
      </c>
      <c r="V108" s="34" t="e">
        <f t="shared" si="102"/>
        <v>#DIV/0!</v>
      </c>
      <c r="W108" s="28">
        <f t="shared" si="103"/>
        <v>6</v>
      </c>
      <c r="Y108" s="420"/>
    </row>
    <row r="109" spans="2:28" ht="20.100000000000001" customHeight="1" x14ac:dyDescent="0.2">
      <c r="B109" s="917"/>
      <c r="C109" s="33" t="s">
        <v>856</v>
      </c>
      <c r="D109" s="63">
        <v>464</v>
      </c>
      <c r="E109" s="17">
        <f t="shared" si="105"/>
        <v>0</v>
      </c>
      <c r="F109" s="18">
        <f t="shared" si="106"/>
        <v>0</v>
      </c>
      <c r="G109" s="19">
        <f t="shared" si="107"/>
        <v>0</v>
      </c>
      <c r="H109" s="20">
        <f t="shared" si="104"/>
        <v>0</v>
      </c>
      <c r="I109" s="21">
        <v>0</v>
      </c>
      <c r="J109" s="18">
        <v>0</v>
      </c>
      <c r="K109" s="19">
        <v>0</v>
      </c>
      <c r="L109" s="20">
        <v>0</v>
      </c>
      <c r="M109" s="21">
        <v>0</v>
      </c>
      <c r="N109" s="18">
        <f t="shared" si="108"/>
        <v>0</v>
      </c>
      <c r="O109" s="19">
        <v>0</v>
      </c>
      <c r="P109" s="20">
        <f t="shared" si="99"/>
        <v>0</v>
      </c>
      <c r="Q109" s="22"/>
      <c r="R109" s="18">
        <f t="shared" si="109"/>
        <v>0</v>
      </c>
      <c r="S109" s="20">
        <f t="shared" si="110"/>
        <v>464</v>
      </c>
      <c r="T109" s="23">
        <v>51</v>
      </c>
      <c r="U109" s="24" t="s">
        <v>15</v>
      </c>
      <c r="V109" s="34" t="e">
        <f t="shared" si="102"/>
        <v>#DIV/0!</v>
      </c>
      <c r="W109" s="28">
        <f t="shared" si="103"/>
        <v>9.0980392156862742</v>
      </c>
      <c r="X109" s="32" t="s">
        <v>870</v>
      </c>
    </row>
    <row r="110" spans="2:28" ht="36.6" customHeight="1" x14ac:dyDescent="0.2">
      <c r="B110" s="917"/>
      <c r="C110" s="749" t="s">
        <v>878</v>
      </c>
      <c r="D110" s="699">
        <f>0.85*T110+50+14-AB110</f>
        <v>1036.4000000000001</v>
      </c>
      <c r="E110" s="17">
        <f>M110+I110</f>
        <v>0</v>
      </c>
      <c r="F110" s="18">
        <f>E110*D110</f>
        <v>0</v>
      </c>
      <c r="G110" s="19">
        <f>O110+K110</f>
        <v>0</v>
      </c>
      <c r="H110" s="20">
        <f t="shared" si="104"/>
        <v>0</v>
      </c>
      <c r="I110" s="21">
        <v>0</v>
      </c>
      <c r="J110" s="18">
        <v>0</v>
      </c>
      <c r="K110" s="19">
        <v>0</v>
      </c>
      <c r="L110" s="20">
        <v>0</v>
      </c>
      <c r="M110" s="21">
        <v>0</v>
      </c>
      <c r="N110" s="18">
        <f>M110*D110</f>
        <v>0</v>
      </c>
      <c r="O110" s="19">
        <v>0</v>
      </c>
      <c r="P110" s="20">
        <f t="shared" si="99"/>
        <v>0</v>
      </c>
      <c r="Q110" s="22"/>
      <c r="R110" s="18">
        <f>G110+Q110</f>
        <v>0</v>
      </c>
      <c r="S110" s="20">
        <f>D110-R110</f>
        <v>1036.4000000000001</v>
      </c>
      <c r="T110" s="23">
        <v>1768</v>
      </c>
      <c r="U110" s="24" t="s">
        <v>22</v>
      </c>
      <c r="V110" s="34" t="e">
        <f t="shared" si="102"/>
        <v>#DIV/0!</v>
      </c>
      <c r="W110" s="28">
        <f t="shared" si="103"/>
        <v>0.58619909502262446</v>
      </c>
      <c r="Y110" s="420"/>
      <c r="AA110" s="751" t="s">
        <v>995</v>
      </c>
      <c r="AB110" s="751">
        <f>0.3*T110</f>
        <v>530.4</v>
      </c>
    </row>
    <row r="111" spans="2:28" ht="20.100000000000001" customHeight="1" x14ac:dyDescent="0.2">
      <c r="B111" s="917"/>
      <c r="C111" s="33" t="s">
        <v>792</v>
      </c>
      <c r="D111" s="63">
        <f>1*T111</f>
        <v>233</v>
      </c>
      <c r="E111" s="17">
        <f>M111+I111</f>
        <v>0</v>
      </c>
      <c r="F111" s="18">
        <f>E111*D111</f>
        <v>0</v>
      </c>
      <c r="G111" s="19">
        <f>O111+K111</f>
        <v>0</v>
      </c>
      <c r="H111" s="20">
        <f t="shared" si="104"/>
        <v>0</v>
      </c>
      <c r="I111" s="21">
        <v>0</v>
      </c>
      <c r="J111" s="18">
        <v>0</v>
      </c>
      <c r="K111" s="19">
        <v>0</v>
      </c>
      <c r="L111" s="20">
        <v>0</v>
      </c>
      <c r="M111" s="21">
        <v>0</v>
      </c>
      <c r="N111" s="18">
        <f>M111*D111</f>
        <v>0</v>
      </c>
      <c r="O111" s="19">
        <v>0</v>
      </c>
      <c r="P111" s="20">
        <f t="shared" si="99"/>
        <v>0</v>
      </c>
      <c r="Q111" s="22"/>
      <c r="R111" s="18">
        <f>G111+Q111</f>
        <v>0</v>
      </c>
      <c r="S111" s="20">
        <f>D111-R111</f>
        <v>233</v>
      </c>
      <c r="T111" s="23">
        <v>233</v>
      </c>
      <c r="U111" s="24" t="s">
        <v>666</v>
      </c>
      <c r="V111" s="34" t="e">
        <f t="shared" si="102"/>
        <v>#DIV/0!</v>
      </c>
      <c r="W111" s="28">
        <f t="shared" si="103"/>
        <v>1</v>
      </c>
      <c r="Y111" s="420"/>
    </row>
    <row r="112" spans="2:28" ht="20.100000000000001" customHeight="1" x14ac:dyDescent="0.2">
      <c r="B112" s="917"/>
      <c r="C112" s="33" t="s">
        <v>796</v>
      </c>
      <c r="D112" s="63">
        <f>2*T112</f>
        <v>88</v>
      </c>
      <c r="E112" s="17">
        <f>M112+I112</f>
        <v>0</v>
      </c>
      <c r="F112" s="18">
        <f>E112*D112</f>
        <v>0</v>
      </c>
      <c r="G112" s="19">
        <f>O112+K112</f>
        <v>0</v>
      </c>
      <c r="H112" s="20">
        <f>F112-G112</f>
        <v>0</v>
      </c>
      <c r="I112" s="21">
        <v>0</v>
      </c>
      <c r="J112" s="18">
        <v>0</v>
      </c>
      <c r="K112" s="19">
        <v>0</v>
      </c>
      <c r="L112" s="20">
        <v>0</v>
      </c>
      <c r="M112" s="21">
        <v>0</v>
      </c>
      <c r="N112" s="18">
        <f t="shared" ref="N112" si="111">M112*D112</f>
        <v>0</v>
      </c>
      <c r="O112" s="19">
        <v>0</v>
      </c>
      <c r="P112" s="20">
        <f t="shared" si="99"/>
        <v>0</v>
      </c>
      <c r="Q112" s="22"/>
      <c r="R112" s="18">
        <f>G112+Q112</f>
        <v>0</v>
      </c>
      <c r="S112" s="20">
        <f>D112-R112</f>
        <v>88</v>
      </c>
      <c r="T112" s="23">
        <v>44</v>
      </c>
      <c r="U112" s="24" t="s">
        <v>741</v>
      </c>
      <c r="V112" s="34" t="e">
        <f>G112/(E112*T112)</f>
        <v>#DIV/0!</v>
      </c>
      <c r="W112" s="28">
        <f>D112/(T112)</f>
        <v>2</v>
      </c>
    </row>
    <row r="113" spans="2:30" ht="20.100000000000001" customHeight="1" x14ac:dyDescent="0.2">
      <c r="B113" s="917"/>
      <c r="C113" s="33"/>
      <c r="D113" s="63"/>
      <c r="E113" s="17"/>
      <c r="F113" s="18"/>
      <c r="G113" s="19"/>
      <c r="H113" s="20"/>
      <c r="I113" s="21"/>
      <c r="J113" s="18"/>
      <c r="K113" s="19"/>
      <c r="L113" s="20"/>
      <c r="M113" s="21"/>
      <c r="N113" s="18"/>
      <c r="O113" s="19"/>
      <c r="P113" s="20"/>
      <c r="Q113" s="22"/>
      <c r="R113" s="18"/>
      <c r="S113" s="20"/>
      <c r="T113" s="23"/>
      <c r="U113" s="24"/>
      <c r="V113" s="34"/>
      <c r="W113" s="28"/>
    </row>
    <row r="114" spans="2:30" ht="20.100000000000001" customHeight="1" x14ac:dyDescent="0.2">
      <c r="B114" s="917"/>
      <c r="C114" s="33"/>
      <c r="D114" s="63"/>
      <c r="E114" s="17"/>
      <c r="F114" s="18"/>
      <c r="G114" s="19"/>
      <c r="H114" s="20"/>
      <c r="I114" s="21"/>
      <c r="J114" s="18"/>
      <c r="K114" s="19"/>
      <c r="L114" s="20"/>
      <c r="M114" s="21"/>
      <c r="N114" s="18"/>
      <c r="O114" s="19"/>
      <c r="P114" s="20"/>
      <c r="Q114" s="22"/>
      <c r="R114" s="18"/>
      <c r="S114" s="20"/>
      <c r="T114" s="23"/>
      <c r="U114" s="24"/>
      <c r="V114" s="34"/>
      <c r="W114" s="28"/>
    </row>
    <row r="115" spans="2:30" ht="20.100000000000001" customHeight="1" x14ac:dyDescent="0.2">
      <c r="B115" s="917"/>
      <c r="C115" s="33"/>
      <c r="D115" s="63"/>
      <c r="E115" s="17"/>
      <c r="F115" s="18"/>
      <c r="G115" s="19"/>
      <c r="H115" s="20"/>
      <c r="I115" s="21"/>
      <c r="J115" s="18"/>
      <c r="K115" s="19"/>
      <c r="L115" s="20"/>
      <c r="M115" s="21"/>
      <c r="N115" s="18"/>
      <c r="O115" s="19"/>
      <c r="P115" s="20"/>
      <c r="Q115" s="22"/>
      <c r="R115" s="18"/>
      <c r="S115" s="20"/>
      <c r="T115" s="23"/>
      <c r="U115" s="24"/>
      <c r="V115" s="34"/>
      <c r="W115" s="28"/>
    </row>
    <row r="116" spans="2:30" ht="20.100000000000001" customHeight="1" x14ac:dyDescent="0.2">
      <c r="B116" s="917"/>
      <c r="C116" s="33"/>
      <c r="D116" s="63"/>
      <c r="E116" s="17"/>
      <c r="F116" s="18"/>
      <c r="G116" s="19"/>
      <c r="H116" s="20"/>
      <c r="I116" s="21"/>
      <c r="J116" s="18"/>
      <c r="K116" s="19"/>
      <c r="L116" s="20"/>
      <c r="M116" s="21"/>
      <c r="N116" s="18"/>
      <c r="O116" s="19"/>
      <c r="P116" s="20"/>
      <c r="Q116" s="22"/>
      <c r="R116" s="18"/>
      <c r="S116" s="20"/>
      <c r="T116" s="23"/>
      <c r="U116" s="24"/>
      <c r="V116" s="34"/>
      <c r="W116" s="28"/>
    </row>
    <row r="117" spans="2:30" s="31" customFormat="1" ht="20.100000000000001" customHeight="1" x14ac:dyDescent="0.2">
      <c r="B117" s="394"/>
      <c r="C117" s="395" t="s">
        <v>663</v>
      </c>
      <c r="D117" s="396">
        <f>SUM(D106:D112)</f>
        <v>3167.6000000000004</v>
      </c>
      <c r="E117" s="397">
        <f>F117/D117</f>
        <v>0</v>
      </c>
      <c r="F117" s="404">
        <f>SUM(F106:F112)</f>
        <v>0</v>
      </c>
      <c r="G117" s="404">
        <f>SUM(G106:G112)</f>
        <v>0</v>
      </c>
      <c r="H117" s="399">
        <f t="shared" si="104"/>
        <v>0</v>
      </c>
      <c r="I117" s="397">
        <f>J117/D117</f>
        <v>0</v>
      </c>
      <c r="J117" s="404">
        <f>SUM(J106:J110)</f>
        <v>0</v>
      </c>
      <c r="K117" s="404">
        <f>SUM(K106:K110)</f>
        <v>0</v>
      </c>
      <c r="L117" s="399">
        <f>J117-K117</f>
        <v>0</v>
      </c>
      <c r="M117" s="397">
        <f>N117/D117</f>
        <v>0</v>
      </c>
      <c r="N117" s="404">
        <f>SUM(N106:N110)</f>
        <v>0</v>
      </c>
      <c r="O117" s="404">
        <f>SUM(O106:O110)</f>
        <v>0</v>
      </c>
      <c r="P117" s="399">
        <f t="shared" si="99"/>
        <v>0</v>
      </c>
      <c r="Q117" s="405">
        <f>SUM(Q106:Q110)</f>
        <v>0</v>
      </c>
      <c r="R117" s="404">
        <f>SUM(R106:R110)</f>
        <v>0</v>
      </c>
      <c r="S117" s="406">
        <f>SUM(S106:S110)</f>
        <v>2846.6000000000004</v>
      </c>
      <c r="T117" s="400">
        <f>+T110</f>
        <v>1768</v>
      </c>
      <c r="U117" s="401" t="s">
        <v>22</v>
      </c>
      <c r="V117" s="402" t="e">
        <f t="shared" si="102"/>
        <v>#DIV/0!</v>
      </c>
      <c r="W117" s="403">
        <f t="shared" si="103"/>
        <v>1.7916289592760184</v>
      </c>
      <c r="Y117" s="420"/>
    </row>
    <row r="118" spans="2:30" ht="20.100000000000001" customHeight="1" x14ac:dyDescent="0.2">
      <c r="B118" s="929" t="s">
        <v>654</v>
      </c>
      <c r="C118" s="33" t="s">
        <v>879</v>
      </c>
      <c r="D118" s="63">
        <f>2*8*3*T118</f>
        <v>144</v>
      </c>
      <c r="E118" s="17">
        <f>M118+I118</f>
        <v>0</v>
      </c>
      <c r="F118" s="18">
        <f>E118*D118</f>
        <v>0</v>
      </c>
      <c r="G118" s="19">
        <f>O118+K118</f>
        <v>0</v>
      </c>
      <c r="H118" s="20">
        <f t="shared" si="104"/>
        <v>0</v>
      </c>
      <c r="I118" s="21">
        <v>0</v>
      </c>
      <c r="J118" s="18">
        <v>0</v>
      </c>
      <c r="K118" s="19">
        <v>0</v>
      </c>
      <c r="L118" s="20">
        <v>0</v>
      </c>
      <c r="M118" s="21">
        <v>0</v>
      </c>
      <c r="N118" s="18">
        <f>M118*D118</f>
        <v>0</v>
      </c>
      <c r="O118" s="19">
        <v>0</v>
      </c>
      <c r="P118" s="20">
        <f t="shared" si="99"/>
        <v>0</v>
      </c>
      <c r="Q118" s="22"/>
      <c r="R118" s="18">
        <f>G118+Q118</f>
        <v>0</v>
      </c>
      <c r="S118" s="20">
        <f>D118-R118</f>
        <v>144</v>
      </c>
      <c r="T118" s="23">
        <v>3</v>
      </c>
      <c r="U118" s="24" t="s">
        <v>741</v>
      </c>
      <c r="V118" s="34" t="e">
        <f>G118/(E118*T118)</f>
        <v>#DIV/0!</v>
      </c>
      <c r="W118" s="28">
        <f>D118/(T118)</f>
        <v>48</v>
      </c>
      <c r="X118" s="32" t="s">
        <v>880</v>
      </c>
      <c r="Y118" s="420"/>
    </row>
    <row r="119" spans="2:30" ht="20.100000000000001" customHeight="1" x14ac:dyDescent="0.2">
      <c r="B119" s="930"/>
      <c r="C119" s="33" t="s">
        <v>655</v>
      </c>
      <c r="D119" s="63">
        <f>4*T119</f>
        <v>160</v>
      </c>
      <c r="E119" s="17">
        <f>M119+I119</f>
        <v>0</v>
      </c>
      <c r="F119" s="18">
        <f>E119*D119</f>
        <v>0</v>
      </c>
      <c r="G119" s="19">
        <f>O119+K119</f>
        <v>0</v>
      </c>
      <c r="H119" s="20">
        <f t="shared" si="104"/>
        <v>0</v>
      </c>
      <c r="I119" s="21">
        <v>0</v>
      </c>
      <c r="J119" s="18">
        <v>0</v>
      </c>
      <c r="K119" s="19">
        <v>0</v>
      </c>
      <c r="L119" s="20">
        <v>0</v>
      </c>
      <c r="M119" s="21">
        <v>0</v>
      </c>
      <c r="N119" s="18">
        <f>M119*D119</f>
        <v>0</v>
      </c>
      <c r="O119" s="19">
        <v>0</v>
      </c>
      <c r="P119" s="20">
        <f t="shared" si="99"/>
        <v>0</v>
      </c>
      <c r="Q119" s="22"/>
      <c r="R119" s="18">
        <f>G119+Q119</f>
        <v>0</v>
      </c>
      <c r="S119" s="20">
        <f>D119-R119</f>
        <v>160</v>
      </c>
      <c r="T119" s="687">
        <v>40</v>
      </c>
      <c r="U119" s="24" t="s">
        <v>15</v>
      </c>
      <c r="V119" s="34" t="e">
        <f>G119/(E119*T119)</f>
        <v>#DIV/0!</v>
      </c>
      <c r="W119" s="28">
        <f>D119/(T119)</f>
        <v>4</v>
      </c>
      <c r="Y119" s="420"/>
    </row>
    <row r="120" spans="2:30" ht="20.100000000000001" customHeight="1" x14ac:dyDescent="0.2">
      <c r="B120" s="930"/>
      <c r="C120" s="33"/>
      <c r="D120" s="63"/>
      <c r="E120" s="17"/>
      <c r="F120" s="18"/>
      <c r="G120" s="19"/>
      <c r="H120" s="20"/>
      <c r="I120" s="21"/>
      <c r="J120" s="18"/>
      <c r="K120" s="19"/>
      <c r="L120" s="20"/>
      <c r="M120" s="21"/>
      <c r="N120" s="18"/>
      <c r="O120" s="19"/>
      <c r="P120" s="20"/>
      <c r="Q120" s="22"/>
      <c r="R120" s="18"/>
      <c r="S120" s="20"/>
      <c r="T120" s="23"/>
      <c r="U120" s="24"/>
      <c r="V120" s="34"/>
      <c r="W120" s="28"/>
      <c r="Y120" s="420"/>
    </row>
    <row r="121" spans="2:30" ht="20.100000000000001" customHeight="1" x14ac:dyDescent="0.2">
      <c r="B121" s="930"/>
      <c r="C121" s="33"/>
      <c r="D121" s="63"/>
      <c r="E121" s="17"/>
      <c r="F121" s="18"/>
      <c r="G121" s="19"/>
      <c r="H121" s="20"/>
      <c r="I121" s="21"/>
      <c r="J121" s="18"/>
      <c r="K121" s="19"/>
      <c r="L121" s="20"/>
      <c r="M121" s="21"/>
      <c r="N121" s="18"/>
      <c r="O121" s="19"/>
      <c r="P121" s="20"/>
      <c r="Q121" s="22"/>
      <c r="R121" s="18"/>
      <c r="S121" s="20"/>
      <c r="T121" s="23"/>
      <c r="U121" s="24"/>
      <c r="V121" s="34"/>
      <c r="W121" s="28"/>
      <c r="Y121" s="420"/>
    </row>
    <row r="122" spans="2:30" ht="20.100000000000001" customHeight="1" x14ac:dyDescent="0.2">
      <c r="B122" s="930"/>
      <c r="C122" s="33"/>
      <c r="D122" s="63"/>
      <c r="E122" s="17"/>
      <c r="F122" s="18"/>
      <c r="G122" s="19"/>
      <c r="H122" s="20"/>
      <c r="I122" s="21"/>
      <c r="J122" s="18"/>
      <c r="K122" s="19"/>
      <c r="L122" s="20"/>
      <c r="M122" s="21"/>
      <c r="N122" s="18"/>
      <c r="O122" s="19"/>
      <c r="P122" s="20"/>
      <c r="Q122" s="22"/>
      <c r="R122" s="18"/>
      <c r="S122" s="20"/>
      <c r="T122" s="23"/>
      <c r="U122" s="24"/>
      <c r="V122" s="34"/>
      <c r="W122" s="28"/>
      <c r="Y122" s="420"/>
    </row>
    <row r="123" spans="2:30" ht="20.100000000000001" customHeight="1" x14ac:dyDescent="0.2">
      <c r="B123" s="930"/>
      <c r="C123" s="33"/>
      <c r="D123" s="63"/>
      <c r="E123" s="17"/>
      <c r="F123" s="18"/>
      <c r="G123" s="19"/>
      <c r="H123" s="20"/>
      <c r="I123" s="21"/>
      <c r="J123" s="18"/>
      <c r="K123" s="19"/>
      <c r="L123" s="20"/>
      <c r="M123" s="21"/>
      <c r="N123" s="18"/>
      <c r="O123" s="19"/>
      <c r="P123" s="20"/>
      <c r="Q123" s="22"/>
      <c r="R123" s="18"/>
      <c r="S123" s="20"/>
      <c r="T123" s="23"/>
      <c r="U123" s="24"/>
      <c r="V123" s="34"/>
      <c r="W123" s="28"/>
      <c r="Y123" s="420"/>
    </row>
    <row r="124" spans="2:30" s="31" customFormat="1" ht="20.100000000000001" customHeight="1" x14ac:dyDescent="0.2">
      <c r="B124" s="394"/>
      <c r="C124" s="395" t="s">
        <v>117</v>
      </c>
      <c r="D124" s="396">
        <f>SUM(D118:D119)</f>
        <v>304</v>
      </c>
      <c r="E124" s="397">
        <f>F124/D124</f>
        <v>0</v>
      </c>
      <c r="F124" s="404">
        <f>SUM(F118:F119)</f>
        <v>0</v>
      </c>
      <c r="G124" s="404">
        <f>SUM(G118:G119)</f>
        <v>0</v>
      </c>
      <c r="H124" s="399">
        <f t="shared" si="104"/>
        <v>0</v>
      </c>
      <c r="I124" s="397">
        <f>J124/D124</f>
        <v>0</v>
      </c>
      <c r="J124" s="404">
        <f>SUM(J118:J119)</f>
        <v>0</v>
      </c>
      <c r="K124" s="404">
        <f>SUM(K118:K119)</f>
        <v>0</v>
      </c>
      <c r="L124" s="399">
        <f>J124-K124</f>
        <v>0</v>
      </c>
      <c r="M124" s="397">
        <f>N124/D124</f>
        <v>0</v>
      </c>
      <c r="N124" s="404">
        <f>SUM(N118:N119)</f>
        <v>0</v>
      </c>
      <c r="O124" s="404">
        <f>SUM(O118:O119)</f>
        <v>0</v>
      </c>
      <c r="P124" s="399">
        <f t="shared" si="99"/>
        <v>0</v>
      </c>
      <c r="Q124" s="405">
        <f>SUM(Q118:Q119)</f>
        <v>0</v>
      </c>
      <c r="R124" s="404">
        <f>SUM(R118:R119)</f>
        <v>0</v>
      </c>
      <c r="S124" s="406">
        <f>SUM(S118:S119)</f>
        <v>304</v>
      </c>
      <c r="T124" s="400"/>
      <c r="U124" s="401" t="s">
        <v>22</v>
      </c>
      <c r="V124" s="402" t="e">
        <f>G124/(E124*T124)</f>
        <v>#DIV/0!</v>
      </c>
      <c r="W124" s="403" t="e">
        <f>D124/(T124)</f>
        <v>#DIV/0!</v>
      </c>
      <c r="Y124" s="420"/>
    </row>
    <row r="125" spans="2:30" s="420" customFormat="1" ht="15.75" customHeight="1" x14ac:dyDescent="0.2">
      <c r="B125" s="937" t="s">
        <v>4</v>
      </c>
      <c r="C125" s="938" t="s">
        <v>5</v>
      </c>
      <c r="D125" s="941" t="s">
        <v>76</v>
      </c>
      <c r="E125" s="944" t="s">
        <v>6</v>
      </c>
      <c r="F125" s="919"/>
      <c r="G125" s="919"/>
      <c r="H125" s="920"/>
      <c r="I125" s="944" t="s">
        <v>6</v>
      </c>
      <c r="J125" s="919"/>
      <c r="K125" s="919"/>
      <c r="L125" s="920"/>
      <c r="M125" s="944" t="s">
        <v>6</v>
      </c>
      <c r="N125" s="919"/>
      <c r="O125" s="919"/>
      <c r="P125" s="920"/>
      <c r="Q125" s="944" t="s">
        <v>7</v>
      </c>
      <c r="R125" s="919"/>
      <c r="S125" s="920"/>
      <c r="T125" s="41"/>
      <c r="U125" s="13"/>
      <c r="V125" s="41"/>
      <c r="W125" s="41"/>
    </row>
    <row r="126" spans="2:30" s="420" customFormat="1" ht="15.75" customHeight="1" x14ac:dyDescent="0.2">
      <c r="B126" s="937"/>
      <c r="C126" s="939"/>
      <c r="D126" s="942"/>
      <c r="E126" s="921" t="s">
        <v>9</v>
      </c>
      <c r="F126" s="922"/>
      <c r="G126" s="922"/>
      <c r="H126" s="923"/>
      <c r="I126" s="921" t="s">
        <v>77</v>
      </c>
      <c r="J126" s="922"/>
      <c r="K126" s="922"/>
      <c r="L126" s="923"/>
      <c r="M126" s="921" t="s">
        <v>10</v>
      </c>
      <c r="N126" s="922"/>
      <c r="O126" s="922"/>
      <c r="P126" s="923"/>
      <c r="Q126" s="921" t="s">
        <v>13</v>
      </c>
      <c r="R126" s="922" t="s">
        <v>11</v>
      </c>
      <c r="S126" s="923" t="s">
        <v>12</v>
      </c>
      <c r="T126" s="41"/>
      <c r="U126" s="13"/>
      <c r="V126" s="41"/>
      <c r="W126" s="41"/>
    </row>
    <row r="127" spans="2:30" s="420" customFormat="1" ht="30" x14ac:dyDescent="0.2">
      <c r="B127" s="937"/>
      <c r="C127" s="940"/>
      <c r="D127" s="943"/>
      <c r="E127" s="423" t="s">
        <v>17</v>
      </c>
      <c r="F127" s="424" t="s">
        <v>18</v>
      </c>
      <c r="G127" s="424" t="s">
        <v>19</v>
      </c>
      <c r="H127" s="425" t="s">
        <v>12</v>
      </c>
      <c r="I127" s="426" t="s">
        <v>17</v>
      </c>
      <c r="J127" s="424" t="s">
        <v>18</v>
      </c>
      <c r="K127" s="424" t="s">
        <v>19</v>
      </c>
      <c r="L127" s="425" t="s">
        <v>12</v>
      </c>
      <c r="M127" s="426" t="s">
        <v>17</v>
      </c>
      <c r="N127" s="424" t="s">
        <v>18</v>
      </c>
      <c r="O127" s="424" t="s">
        <v>19</v>
      </c>
      <c r="P127" s="425" t="s">
        <v>12</v>
      </c>
      <c r="Q127" s="924"/>
      <c r="R127" s="925"/>
      <c r="S127" s="926"/>
      <c r="T127" s="41"/>
      <c r="U127" s="13"/>
      <c r="V127" s="41"/>
      <c r="W127" s="41"/>
    </row>
    <row r="128" spans="2:30" s="429" customFormat="1" ht="45" x14ac:dyDescent="0.2">
      <c r="C128" s="430" t="s">
        <v>0</v>
      </c>
      <c r="D128" s="431">
        <f>+SUM(D10:D124)/2</f>
        <v>27103.433333333342</v>
      </c>
      <c r="E128" s="432">
        <f>F128/D128</f>
        <v>0.26773792549405134</v>
      </c>
      <c r="F128" s="431">
        <f>+SUM(F10:F124)/2</f>
        <v>7256.6170144329899</v>
      </c>
      <c r="G128" s="431">
        <f>+SUM(G10:G124)/2</f>
        <v>7300</v>
      </c>
      <c r="H128" s="431">
        <f>+SUM(H10:H124)/2</f>
        <v>-35.38298556701011</v>
      </c>
      <c r="I128" s="432">
        <f>J128/D128</f>
        <v>0</v>
      </c>
      <c r="J128" s="431">
        <f>+SUM(J10:J124)/2</f>
        <v>0</v>
      </c>
      <c r="K128" s="431">
        <f>+SUM(K10:K124)/2</f>
        <v>0</v>
      </c>
      <c r="L128" s="431">
        <f>+SUM(L10:L124)/2</f>
        <v>0</v>
      </c>
      <c r="M128" s="432">
        <f>N128/D128</f>
        <v>0</v>
      </c>
      <c r="N128" s="431">
        <f>+SUM(N10:N124)/2</f>
        <v>0</v>
      </c>
      <c r="O128" s="431">
        <f>+SUM(O10:O124)/2</f>
        <v>0</v>
      </c>
      <c r="P128" s="431">
        <f>+SUM(P10:P124)/2</f>
        <v>0</v>
      </c>
      <c r="Q128" s="431">
        <f>+SUM(Q10:Q124)/2</f>
        <v>0</v>
      </c>
      <c r="R128" s="433">
        <f>G128+Q128</f>
        <v>7300</v>
      </c>
      <c r="S128" s="434">
        <f>D128-R128</f>
        <v>19803.433333333342</v>
      </c>
      <c r="T128" s="41"/>
      <c r="U128" s="13"/>
      <c r="V128" s="41"/>
      <c r="W128" s="41"/>
      <c r="Y128" s="694">
        <v>45490</v>
      </c>
      <c r="Z128" s="693" t="s">
        <v>832</v>
      </c>
      <c r="AA128" s="429" t="s">
        <v>1010</v>
      </c>
      <c r="AB128" s="429">
        <f>-SUM(AB33:AB127)</f>
        <v>-2799.8</v>
      </c>
      <c r="AC128" s="429" t="s">
        <v>1013</v>
      </c>
      <c r="AD128" s="429">
        <f>SUM(AD33:AD127)</f>
        <v>600</v>
      </c>
    </row>
    <row r="129" spans="2:23" x14ac:dyDescent="0.2">
      <c r="G129" s="42"/>
      <c r="R129" s="42"/>
    </row>
    <row r="130" spans="2:23" x14ac:dyDescent="0.2">
      <c r="B130" s="948" t="s">
        <v>118</v>
      </c>
      <c r="C130" s="948"/>
      <c r="D130" s="807">
        <v>27100</v>
      </c>
      <c r="E130" s="8"/>
      <c r="H130" s="44"/>
    </row>
    <row r="131" spans="2:23" x14ac:dyDescent="0.2">
      <c r="E131" s="8"/>
      <c r="Q131" s="44"/>
      <c r="R131" s="44"/>
    </row>
    <row r="133" spans="2:23" x14ac:dyDescent="0.2">
      <c r="T133" s="32"/>
      <c r="U133" s="32"/>
      <c r="V133" s="32"/>
      <c r="W133" s="32"/>
    </row>
    <row r="134" spans="2:23" x14ac:dyDescent="0.2">
      <c r="T134" s="32"/>
      <c r="U134" s="32"/>
      <c r="V134" s="32"/>
      <c r="W134" s="32"/>
    </row>
  </sheetData>
  <sheetProtection formatCells="0" formatColumns="0" formatRows="0" insertColumns="0" insertRows="0" insertHyperlinks="0" deleteColumns="0" deleteRows="0" sort="0" autoFilter="0" pivotTables="0"/>
  <mergeCells count="43">
    <mergeCell ref="B130:C130"/>
    <mergeCell ref="M125:P125"/>
    <mergeCell ref="Q125:S125"/>
    <mergeCell ref="E126:H126"/>
    <mergeCell ref="I126:L126"/>
    <mergeCell ref="M126:P126"/>
    <mergeCell ref="Q126:Q127"/>
    <mergeCell ref="R126:R127"/>
    <mergeCell ref="S126:S127"/>
    <mergeCell ref="I125:L125"/>
    <mergeCell ref="B125:B127"/>
    <mergeCell ref="C125:C127"/>
    <mergeCell ref="D125:D127"/>
    <mergeCell ref="E125:H125"/>
    <mergeCell ref="B118:B123"/>
    <mergeCell ref="B1:O1"/>
    <mergeCell ref="Q1:S1"/>
    <mergeCell ref="B7:B9"/>
    <mergeCell ref="C7:C9"/>
    <mergeCell ref="D7:D9"/>
    <mergeCell ref="E7:H7"/>
    <mergeCell ref="I7:L7"/>
    <mergeCell ref="M7:P7"/>
    <mergeCell ref="Q7:S7"/>
    <mergeCell ref="B10:B31"/>
    <mergeCell ref="B33:B53"/>
    <mergeCell ref="B74:B89"/>
    <mergeCell ref="B91:B104"/>
    <mergeCell ref="B56:B72"/>
    <mergeCell ref="E8:H8"/>
    <mergeCell ref="D5:G5"/>
    <mergeCell ref="AA6:AB6"/>
    <mergeCell ref="AC6:AD6"/>
    <mergeCell ref="C2:C3"/>
    <mergeCell ref="B106:B116"/>
    <mergeCell ref="T7:W7"/>
    <mergeCell ref="I8:L8"/>
    <mergeCell ref="M8:P8"/>
    <mergeCell ref="Q8:Q9"/>
    <mergeCell ref="R8:R9"/>
    <mergeCell ref="S8:S9"/>
    <mergeCell ref="T8:T9"/>
    <mergeCell ref="U8:U9"/>
  </mergeCells>
  <phoneticPr fontId="62" type="noConversion"/>
  <conditionalFormatting sqref="V10:V124">
    <cfRule type="cellIs" dxfId="9" priority="1" stopIfTrue="1" operator="greaterThan">
      <formula>$W10</formula>
    </cfRule>
    <cfRule type="cellIs" dxfId="8" priority="2" stopIfTrue="1" operator="lessThan">
      <formula>$W10</formula>
    </cfRule>
  </conditionalFormatting>
  <printOptions horizontalCentered="1" verticalCentered="1"/>
  <pageMargins left="0" right="0" top="0.39370078740157483" bottom="0.39370078740157483" header="0" footer="0"/>
  <pageSetup paperSize="8" scale="32" fitToWidth="0" orientation="portrait" r:id="rId1"/>
  <headerFooter alignWithMargins="0">
    <oddHeader>&amp;R&amp;T;&amp;D</oddHeader>
    <oddFooter>&amp;L&amp;Z&amp;F&amp;R&amp;P/&amp;N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9F30B-B458-4061-9092-F00B52EF55D6}">
  <sheetPr codeName="Feuil12">
    <tabColor rgb="FF0070C0"/>
  </sheetPr>
  <dimension ref="B2:H29"/>
  <sheetViews>
    <sheetView workbookViewId="0">
      <selection activeCell="M21" sqref="M21"/>
    </sheetView>
  </sheetViews>
  <sheetFormatPr baseColWidth="10" defaultColWidth="11.5703125" defaultRowHeight="15" x14ac:dyDescent="0.25"/>
  <cols>
    <col min="1" max="2" width="11.5703125" style="784"/>
    <col min="3" max="3" width="25.140625" style="784" bestFit="1" customWidth="1"/>
    <col min="4" max="6" width="11.5703125" style="784"/>
    <col min="7" max="7" width="12.5703125" style="784" hidden="1" customWidth="1"/>
    <col min="8" max="8" width="0" style="784" hidden="1" customWidth="1"/>
    <col min="9" max="16384" width="11.5703125" style="784"/>
  </cols>
  <sheetData>
    <row r="2" spans="2:7" x14ac:dyDescent="0.25">
      <c r="B2" s="949" t="s">
        <v>1062</v>
      </c>
      <c r="C2" s="949"/>
      <c r="D2" s="949"/>
      <c r="E2" s="949"/>
    </row>
    <row r="4" spans="2:7" x14ac:dyDescent="0.25">
      <c r="B4" s="790" t="s">
        <v>1061</v>
      </c>
      <c r="C4" s="790" t="s">
        <v>1060</v>
      </c>
      <c r="D4" s="790" t="s">
        <v>1059</v>
      </c>
      <c r="E4" s="790" t="s">
        <v>1058</v>
      </c>
      <c r="F4" s="790" t="s">
        <v>1057</v>
      </c>
      <c r="G4" s="790" t="s">
        <v>1056</v>
      </c>
    </row>
    <row r="5" spans="2:7" x14ac:dyDescent="0.25">
      <c r="B5" s="785" t="s">
        <v>1055</v>
      </c>
      <c r="C5" s="788" t="s">
        <v>738</v>
      </c>
      <c r="D5" s="788">
        <v>184</v>
      </c>
      <c r="E5" s="788">
        <v>262</v>
      </c>
      <c r="F5" s="788" t="s">
        <v>22</v>
      </c>
      <c r="G5" s="787">
        <f t="shared" ref="G5:G12" si="0">D5*31</f>
        <v>5704</v>
      </c>
    </row>
    <row r="6" spans="2:7" x14ac:dyDescent="0.25">
      <c r="C6" s="785" t="s">
        <v>1050</v>
      </c>
      <c r="D6" s="785">
        <v>192</v>
      </c>
      <c r="E6" s="785">
        <v>32</v>
      </c>
      <c r="F6" s="785" t="s">
        <v>15</v>
      </c>
      <c r="G6" s="789">
        <f t="shared" si="0"/>
        <v>5952</v>
      </c>
    </row>
    <row r="7" spans="2:7" x14ac:dyDescent="0.25">
      <c r="C7" s="788" t="s">
        <v>898</v>
      </c>
      <c r="D7" s="788">
        <v>464</v>
      </c>
      <c r="E7" s="788">
        <v>51</v>
      </c>
      <c r="F7" s="788" t="s">
        <v>15</v>
      </c>
      <c r="G7" s="787">
        <f t="shared" si="0"/>
        <v>14384</v>
      </c>
    </row>
    <row r="8" spans="2:7" x14ac:dyDescent="0.25">
      <c r="C8" s="785" t="s">
        <v>1054</v>
      </c>
      <c r="D8" s="785">
        <v>164</v>
      </c>
      <c r="E8" s="785">
        <v>210</v>
      </c>
      <c r="F8" s="785" t="s">
        <v>22</v>
      </c>
      <c r="G8" s="789">
        <f t="shared" si="0"/>
        <v>5084</v>
      </c>
    </row>
    <row r="9" spans="2:7" x14ac:dyDescent="0.25">
      <c r="C9" s="788" t="s">
        <v>1053</v>
      </c>
      <c r="D9" s="788">
        <v>277</v>
      </c>
      <c r="E9" s="788">
        <v>29</v>
      </c>
      <c r="F9" s="788" t="s">
        <v>15</v>
      </c>
      <c r="G9" s="787">
        <f t="shared" si="0"/>
        <v>8587</v>
      </c>
    </row>
    <row r="10" spans="2:7" x14ac:dyDescent="0.25">
      <c r="C10" s="785" t="s">
        <v>901</v>
      </c>
      <c r="D10" s="785">
        <v>755.8</v>
      </c>
      <c r="E10" s="785">
        <v>1374</v>
      </c>
      <c r="F10" s="785" t="s">
        <v>22</v>
      </c>
      <c r="G10" s="789">
        <f t="shared" si="0"/>
        <v>23429.8</v>
      </c>
    </row>
    <row r="11" spans="2:7" x14ac:dyDescent="0.25">
      <c r="C11" s="788" t="s">
        <v>1052</v>
      </c>
      <c r="D11" s="788">
        <v>28</v>
      </c>
      <c r="E11" s="788">
        <v>24.5</v>
      </c>
      <c r="F11" s="788" t="s">
        <v>666</v>
      </c>
      <c r="G11" s="787">
        <f t="shared" si="0"/>
        <v>868</v>
      </c>
    </row>
    <row r="12" spans="2:7" x14ac:dyDescent="0.25">
      <c r="C12" s="785" t="s">
        <v>1051</v>
      </c>
      <c r="D12" s="785">
        <v>216</v>
      </c>
      <c r="E12" s="785">
        <v>6</v>
      </c>
      <c r="F12" s="785" t="s">
        <v>667</v>
      </c>
      <c r="G12" s="789">
        <f t="shared" si="0"/>
        <v>6696</v>
      </c>
    </row>
    <row r="13" spans="2:7" x14ac:dyDescent="0.25">
      <c r="C13" s="785"/>
      <c r="D13" s="785"/>
      <c r="E13" s="785"/>
      <c r="F13" s="785"/>
      <c r="G13" s="789"/>
    </row>
    <row r="14" spans="2:7" x14ac:dyDescent="0.25">
      <c r="B14" s="785" t="s">
        <v>979</v>
      </c>
      <c r="C14" s="788" t="s">
        <v>738</v>
      </c>
      <c r="D14" s="788">
        <v>183.4</v>
      </c>
      <c r="E14" s="788">
        <v>262</v>
      </c>
      <c r="F14" s="788" t="s">
        <v>22</v>
      </c>
      <c r="G14" s="787">
        <f t="shared" ref="G14:G21" si="1">D14*31</f>
        <v>5685.4000000000005</v>
      </c>
    </row>
    <row r="15" spans="2:7" x14ac:dyDescent="0.25">
      <c r="C15" s="785" t="s">
        <v>1050</v>
      </c>
      <c r="D15" s="785">
        <v>192</v>
      </c>
      <c r="E15" s="785">
        <v>32</v>
      </c>
      <c r="F15" s="785" t="s">
        <v>15</v>
      </c>
      <c r="G15" s="789">
        <f t="shared" si="1"/>
        <v>5952</v>
      </c>
    </row>
    <row r="16" spans="2:7" x14ac:dyDescent="0.25">
      <c r="C16" s="788" t="s">
        <v>898</v>
      </c>
      <c r="D16" s="788">
        <v>464</v>
      </c>
      <c r="E16" s="788">
        <v>51</v>
      </c>
      <c r="F16" s="788" t="s">
        <v>15</v>
      </c>
      <c r="G16" s="787">
        <f t="shared" si="1"/>
        <v>14384</v>
      </c>
    </row>
    <row r="17" spans="2:8" x14ac:dyDescent="0.25">
      <c r="C17" s="785" t="s">
        <v>1054</v>
      </c>
      <c r="D17" s="785">
        <v>161</v>
      </c>
      <c r="E17" s="785">
        <v>210</v>
      </c>
      <c r="F17" s="785" t="s">
        <v>22</v>
      </c>
      <c r="G17" s="789">
        <f t="shared" si="1"/>
        <v>4991</v>
      </c>
    </row>
    <row r="18" spans="2:8" x14ac:dyDescent="0.25">
      <c r="C18" s="788" t="s">
        <v>1053</v>
      </c>
      <c r="D18" s="788">
        <v>277</v>
      </c>
      <c r="E18" s="788">
        <v>29</v>
      </c>
      <c r="F18" s="788" t="s">
        <v>15</v>
      </c>
      <c r="G18" s="787">
        <f t="shared" si="1"/>
        <v>8587</v>
      </c>
    </row>
    <row r="19" spans="2:8" x14ac:dyDescent="0.25">
      <c r="C19" s="785" t="s">
        <v>901</v>
      </c>
      <c r="D19" s="785">
        <v>755.8</v>
      </c>
      <c r="E19" s="785">
        <v>1374</v>
      </c>
      <c r="F19" s="785" t="s">
        <v>22</v>
      </c>
      <c r="G19" s="789">
        <f t="shared" si="1"/>
        <v>23429.8</v>
      </c>
    </row>
    <row r="20" spans="2:8" x14ac:dyDescent="0.25">
      <c r="C20" s="788" t="s">
        <v>1052</v>
      </c>
      <c r="D20" s="788">
        <v>28</v>
      </c>
      <c r="E20" s="788">
        <v>24.5</v>
      </c>
      <c r="F20" s="788" t="s">
        <v>666</v>
      </c>
      <c r="G20" s="787">
        <f t="shared" si="1"/>
        <v>868</v>
      </c>
    </row>
    <row r="21" spans="2:8" x14ac:dyDescent="0.25">
      <c r="C21" s="785" t="s">
        <v>1051</v>
      </c>
      <c r="D21" s="785">
        <v>216</v>
      </c>
      <c r="E21" s="785">
        <v>6</v>
      </c>
      <c r="F21" s="785" t="s">
        <v>667</v>
      </c>
      <c r="G21" s="789">
        <f t="shared" si="1"/>
        <v>6696</v>
      </c>
    </row>
    <row r="23" spans="2:8" x14ac:dyDescent="0.25">
      <c r="B23" s="785" t="s">
        <v>980</v>
      </c>
      <c r="C23" s="788" t="s">
        <v>738</v>
      </c>
      <c r="D23" s="788">
        <v>212.8</v>
      </c>
      <c r="E23" s="788">
        <v>304</v>
      </c>
      <c r="F23" s="788" t="s">
        <v>22</v>
      </c>
      <c r="G23" s="787">
        <f>D23*31</f>
        <v>6596.8</v>
      </c>
    </row>
    <row r="24" spans="2:8" x14ac:dyDescent="0.25">
      <c r="C24" s="785" t="s">
        <v>1050</v>
      </c>
      <c r="D24" s="785">
        <v>192</v>
      </c>
      <c r="E24" s="785">
        <v>32</v>
      </c>
      <c r="F24" s="785" t="s">
        <v>15</v>
      </c>
      <c r="G24" s="789">
        <f>D24*31</f>
        <v>5952</v>
      </c>
    </row>
    <row r="25" spans="2:8" x14ac:dyDescent="0.25">
      <c r="C25" s="788" t="s">
        <v>898</v>
      </c>
      <c r="D25" s="788">
        <v>464</v>
      </c>
      <c r="E25" s="788">
        <v>51</v>
      </c>
      <c r="F25" s="788" t="s">
        <v>15</v>
      </c>
      <c r="G25" s="787">
        <f>D25*31</f>
        <v>14384</v>
      </c>
    </row>
    <row r="26" spans="2:8" x14ac:dyDescent="0.25">
      <c r="C26" s="785" t="s">
        <v>901</v>
      </c>
      <c r="D26" s="785">
        <v>1036.4000000000001</v>
      </c>
      <c r="E26" s="785">
        <v>1768</v>
      </c>
      <c r="F26" s="785" t="s">
        <v>22</v>
      </c>
      <c r="G26" s="789">
        <f>D26*31</f>
        <v>32128.400000000001</v>
      </c>
    </row>
    <row r="27" spans="2:8" x14ac:dyDescent="0.25">
      <c r="C27" s="788" t="s">
        <v>1049</v>
      </c>
      <c r="D27" s="788">
        <v>233</v>
      </c>
      <c r="E27" s="788">
        <v>233</v>
      </c>
      <c r="F27" s="788" t="s">
        <v>666</v>
      </c>
      <c r="G27" s="787">
        <f>D27*31</f>
        <v>7223</v>
      </c>
    </row>
    <row r="29" spans="2:8" x14ac:dyDescent="0.25">
      <c r="G29" s="786">
        <f>SUM(G5:G27)</f>
        <v>207582.19999999998</v>
      </c>
      <c r="H29" s="785" t="s">
        <v>1048</v>
      </c>
    </row>
  </sheetData>
  <mergeCells count="1">
    <mergeCell ref="B2:E2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3">
    <tabColor theme="6"/>
    <pageSetUpPr fitToPage="1"/>
  </sheetPr>
  <dimension ref="A1:V96"/>
  <sheetViews>
    <sheetView zoomScale="85" zoomScaleNormal="85" workbookViewId="0">
      <selection activeCell="U25" sqref="U25"/>
    </sheetView>
  </sheetViews>
  <sheetFormatPr baseColWidth="10" defaultColWidth="11.42578125" defaultRowHeight="15" x14ac:dyDescent="0.2"/>
  <cols>
    <col min="1" max="1" width="11.140625" style="442" customWidth="1"/>
    <col min="2" max="2" width="30.5703125" style="442" customWidth="1"/>
    <col min="3" max="3" width="9.85546875" style="442" bestFit="1" customWidth="1"/>
    <col min="4" max="7" width="13.5703125" style="442" customWidth="1"/>
    <col min="8" max="8" width="13.5703125" style="450" hidden="1" customWidth="1"/>
    <col min="9" max="11" width="13.5703125" style="442" hidden="1" customWidth="1"/>
    <col min="12" max="12" width="13.5703125" style="450" hidden="1" customWidth="1"/>
    <col min="13" max="15" width="13.5703125" style="442" hidden="1" customWidth="1"/>
    <col min="16" max="16" width="11.42578125" style="442"/>
    <col min="17" max="17" width="21.140625" style="442" customWidth="1"/>
    <col min="18" max="18" width="8.5703125" style="442" bestFit="1" customWidth="1"/>
    <col min="19" max="16384" width="11.42578125" style="442"/>
  </cols>
  <sheetData>
    <row r="1" spans="1:21" s="439" customFormat="1" ht="25.15" customHeight="1" thickBot="1" x14ac:dyDescent="0.25">
      <c r="A1" s="931" t="s">
        <v>1020</v>
      </c>
      <c r="B1" s="932"/>
      <c r="C1" s="932"/>
      <c r="D1" s="932"/>
      <c r="E1" s="932"/>
      <c r="F1" s="932"/>
      <c r="G1" s="932"/>
      <c r="H1" s="932"/>
      <c r="I1" s="932"/>
      <c r="J1" s="932"/>
      <c r="K1" s="932"/>
      <c r="L1" s="932"/>
      <c r="M1" s="933"/>
      <c r="N1" s="418" t="s">
        <v>3</v>
      </c>
      <c r="O1" s="438"/>
    </row>
    <row r="2" spans="1:21" s="440" customFormat="1" x14ac:dyDescent="0.2">
      <c r="A2" s="13"/>
      <c r="B2" s="13"/>
      <c r="C2" s="13"/>
      <c r="D2" s="13"/>
      <c r="E2" s="13"/>
      <c r="F2" s="13"/>
      <c r="G2" s="13"/>
      <c r="H2" s="14"/>
      <c r="I2" s="13"/>
      <c r="J2" s="13"/>
      <c r="K2" s="13"/>
      <c r="L2" s="14"/>
      <c r="M2" s="13"/>
      <c r="N2" s="13"/>
      <c r="O2" s="13"/>
    </row>
    <row r="3" spans="1:21" s="6" customFormat="1" x14ac:dyDescent="0.2">
      <c r="A3" s="937" t="s">
        <v>4</v>
      </c>
      <c r="B3" s="938" t="s">
        <v>5</v>
      </c>
      <c r="C3" s="941" t="s">
        <v>76</v>
      </c>
      <c r="D3" s="944" t="s">
        <v>6</v>
      </c>
      <c r="E3" s="919"/>
      <c r="F3" s="919"/>
      <c r="G3" s="920"/>
      <c r="H3" s="944" t="s">
        <v>6</v>
      </c>
      <c r="I3" s="919"/>
      <c r="J3" s="919"/>
      <c r="K3" s="920"/>
      <c r="L3" s="944" t="s">
        <v>6</v>
      </c>
      <c r="M3" s="919"/>
      <c r="N3" s="919"/>
      <c r="O3" s="920"/>
    </row>
    <row r="4" spans="1:21" s="6" customFormat="1" ht="14.45" customHeight="1" x14ac:dyDescent="0.2">
      <c r="A4" s="937"/>
      <c r="B4" s="939"/>
      <c r="C4" s="942"/>
      <c r="D4" s="921" t="s">
        <v>9</v>
      </c>
      <c r="E4" s="922"/>
      <c r="F4" s="922"/>
      <c r="G4" s="923"/>
      <c r="H4" s="921" t="s">
        <v>77</v>
      </c>
      <c r="I4" s="922"/>
      <c r="J4" s="922"/>
      <c r="K4" s="923"/>
      <c r="L4" s="921" t="s">
        <v>10</v>
      </c>
      <c r="M4" s="922"/>
      <c r="N4" s="922"/>
      <c r="O4" s="923"/>
      <c r="Q4" s="915" t="s">
        <v>1081</v>
      </c>
      <c r="R4" s="915"/>
      <c r="S4" s="915"/>
    </row>
    <row r="5" spans="1:21" s="6" customFormat="1" ht="30" x14ac:dyDescent="0.2">
      <c r="A5" s="937"/>
      <c r="B5" s="940"/>
      <c r="C5" s="943"/>
      <c r="D5" s="423" t="s">
        <v>17</v>
      </c>
      <c r="E5" s="424" t="s">
        <v>108</v>
      </c>
      <c r="F5" s="424" t="s">
        <v>107</v>
      </c>
      <c r="G5" s="425" t="s">
        <v>12</v>
      </c>
      <c r="H5" s="426" t="s">
        <v>17</v>
      </c>
      <c r="I5" s="424" t="s">
        <v>108</v>
      </c>
      <c r="J5" s="424" t="s">
        <v>107</v>
      </c>
      <c r="K5" s="425" t="s">
        <v>12</v>
      </c>
      <c r="L5" s="426" t="s">
        <v>17</v>
      </c>
      <c r="M5" s="424" t="s">
        <v>108</v>
      </c>
      <c r="N5" s="424" t="s">
        <v>107</v>
      </c>
      <c r="O5" s="425" t="s">
        <v>12</v>
      </c>
      <c r="Q5" s="915"/>
      <c r="R5" s="915"/>
      <c r="S5" s="915"/>
    </row>
    <row r="6" spans="1:21" s="441" customFormat="1" ht="20.100000000000001" customHeight="1" x14ac:dyDescent="0.2">
      <c r="A6" s="950"/>
      <c r="B6" s="705" t="s">
        <v>884</v>
      </c>
      <c r="C6" s="706"/>
      <c r="D6" s="17">
        <f t="shared" ref="D6:D12" si="0">L6+H6</f>
        <v>0</v>
      </c>
      <c r="E6" s="18">
        <f t="shared" ref="E6:E12" si="1">D6*C6</f>
        <v>0</v>
      </c>
      <c r="F6" s="19">
        <v>4.7</v>
      </c>
      <c r="G6" s="20">
        <f t="shared" ref="G6:G13" si="2">E6-F6</f>
        <v>-4.7</v>
      </c>
      <c r="H6" s="21">
        <v>0</v>
      </c>
      <c r="I6" s="18">
        <v>0</v>
      </c>
      <c r="J6" s="714">
        <v>4.5</v>
      </c>
      <c r="K6" s="20">
        <v>0</v>
      </c>
      <c r="L6" s="21">
        <v>0</v>
      </c>
      <c r="M6" s="18">
        <f t="shared" ref="M6:M12" si="3">L6*C6</f>
        <v>0</v>
      </c>
      <c r="N6" s="19">
        <v>0</v>
      </c>
      <c r="O6" s="20">
        <f t="shared" ref="O6:O13" si="4">M6-N6</f>
        <v>0</v>
      </c>
      <c r="P6" s="713"/>
      <c r="Q6" s="915"/>
      <c r="R6" s="915"/>
      <c r="S6" s="915"/>
    </row>
    <row r="7" spans="1:21" s="441" customFormat="1" ht="20.100000000000001" customHeight="1" x14ac:dyDescent="0.2">
      <c r="A7" s="950"/>
      <c r="B7" s="705" t="s">
        <v>886</v>
      </c>
      <c r="C7" s="706"/>
      <c r="D7" s="708">
        <v>1</v>
      </c>
      <c r="E7" s="709">
        <f t="shared" si="1"/>
        <v>0</v>
      </c>
      <c r="F7" s="710">
        <v>82</v>
      </c>
      <c r="G7" s="711">
        <f t="shared" si="2"/>
        <v>-82</v>
      </c>
      <c r="H7" s="712">
        <v>0</v>
      </c>
      <c r="I7" s="709">
        <v>0</v>
      </c>
      <c r="J7" s="715">
        <v>82</v>
      </c>
      <c r="K7" s="711">
        <v>0</v>
      </c>
      <c r="L7" s="712">
        <v>0</v>
      </c>
      <c r="M7" s="709">
        <f t="shared" si="3"/>
        <v>0</v>
      </c>
      <c r="N7" s="710">
        <v>0</v>
      </c>
      <c r="O7" s="711">
        <f t="shared" si="4"/>
        <v>0</v>
      </c>
      <c r="P7" s="713"/>
    </row>
    <row r="8" spans="1:21" s="441" customFormat="1" ht="20.100000000000001" customHeight="1" x14ac:dyDescent="0.2">
      <c r="A8" s="950"/>
      <c r="B8" s="705" t="s">
        <v>885</v>
      </c>
      <c r="C8" s="706"/>
      <c r="D8" s="708">
        <f t="shared" si="0"/>
        <v>0</v>
      </c>
      <c r="E8" s="709">
        <f t="shared" si="1"/>
        <v>0</v>
      </c>
      <c r="F8" s="710">
        <f t="shared" ref="F8:F11" si="5">N8+J8</f>
        <v>0</v>
      </c>
      <c r="G8" s="711">
        <f t="shared" si="2"/>
        <v>0</v>
      </c>
      <c r="H8" s="712">
        <v>0</v>
      </c>
      <c r="I8" s="709">
        <v>0</v>
      </c>
      <c r="J8" s="710">
        <v>0</v>
      </c>
      <c r="K8" s="711">
        <v>0</v>
      </c>
      <c r="L8" s="712">
        <v>0</v>
      </c>
      <c r="M8" s="709">
        <f t="shared" si="3"/>
        <v>0</v>
      </c>
      <c r="N8" s="710">
        <v>0</v>
      </c>
      <c r="O8" s="711">
        <f t="shared" si="4"/>
        <v>0</v>
      </c>
      <c r="P8" s="713"/>
    </row>
    <row r="9" spans="1:21" s="441" customFormat="1" ht="20.100000000000001" customHeight="1" x14ac:dyDescent="0.2">
      <c r="A9" s="950"/>
      <c r="B9" s="705" t="s">
        <v>887</v>
      </c>
      <c r="C9" s="706"/>
      <c r="D9" s="708">
        <f t="shared" si="0"/>
        <v>0</v>
      </c>
      <c r="E9" s="709">
        <f t="shared" si="1"/>
        <v>0</v>
      </c>
      <c r="F9" s="710">
        <f t="shared" si="5"/>
        <v>0</v>
      </c>
      <c r="G9" s="711">
        <f t="shared" si="2"/>
        <v>0</v>
      </c>
      <c r="H9" s="712">
        <v>0</v>
      </c>
      <c r="I9" s="709">
        <v>0</v>
      </c>
      <c r="J9" s="710">
        <v>0</v>
      </c>
      <c r="K9" s="711">
        <v>0</v>
      </c>
      <c r="L9" s="712">
        <v>0</v>
      </c>
      <c r="M9" s="709">
        <f t="shared" si="3"/>
        <v>0</v>
      </c>
      <c r="N9" s="710">
        <v>0</v>
      </c>
      <c r="O9" s="711">
        <f t="shared" si="4"/>
        <v>0</v>
      </c>
      <c r="P9" s="713"/>
    </row>
    <row r="10" spans="1:21" s="441" customFormat="1" ht="20.100000000000001" customHeight="1" x14ac:dyDescent="0.2">
      <c r="A10" s="950"/>
      <c r="B10" s="705"/>
      <c r="C10" s="706"/>
      <c r="D10" s="708">
        <f t="shared" si="0"/>
        <v>0</v>
      </c>
      <c r="E10" s="709">
        <f t="shared" si="1"/>
        <v>0</v>
      </c>
      <c r="F10" s="710">
        <f t="shared" si="5"/>
        <v>0</v>
      </c>
      <c r="G10" s="711">
        <f t="shared" si="2"/>
        <v>0</v>
      </c>
      <c r="H10" s="712">
        <v>0</v>
      </c>
      <c r="I10" s="709">
        <v>0</v>
      </c>
      <c r="J10" s="710">
        <v>0</v>
      </c>
      <c r="K10" s="711">
        <v>0</v>
      </c>
      <c r="L10" s="712">
        <v>0</v>
      </c>
      <c r="M10" s="709">
        <f t="shared" si="3"/>
        <v>0</v>
      </c>
      <c r="N10" s="710">
        <v>0</v>
      </c>
      <c r="O10" s="711">
        <f t="shared" si="4"/>
        <v>0</v>
      </c>
      <c r="P10" s="713"/>
    </row>
    <row r="11" spans="1:21" s="441" customFormat="1" ht="20.100000000000001" customHeight="1" x14ac:dyDescent="0.2">
      <c r="A11" s="950"/>
      <c r="B11" s="707"/>
      <c r="C11" s="706"/>
      <c r="D11" s="708">
        <f t="shared" si="0"/>
        <v>0</v>
      </c>
      <c r="E11" s="709">
        <f t="shared" si="1"/>
        <v>0</v>
      </c>
      <c r="F11" s="710">
        <f t="shared" si="5"/>
        <v>0</v>
      </c>
      <c r="G11" s="711">
        <f t="shared" si="2"/>
        <v>0</v>
      </c>
      <c r="H11" s="712">
        <v>0</v>
      </c>
      <c r="I11" s="709">
        <v>0</v>
      </c>
      <c r="J11" s="710">
        <v>0</v>
      </c>
      <c r="K11" s="711">
        <v>0</v>
      </c>
      <c r="L11" s="712">
        <v>0</v>
      </c>
      <c r="M11" s="709">
        <f t="shared" si="3"/>
        <v>0</v>
      </c>
      <c r="N11" s="710">
        <v>0</v>
      </c>
      <c r="O11" s="711">
        <f t="shared" si="4"/>
        <v>0</v>
      </c>
      <c r="P11" s="713"/>
    </row>
    <row r="12" spans="1:21" s="441" customFormat="1" ht="20.100000000000001" customHeight="1" x14ac:dyDescent="0.2">
      <c r="A12" s="950"/>
      <c r="B12" s="707" t="s">
        <v>888</v>
      </c>
      <c r="C12" s="706"/>
      <c r="D12" s="708">
        <f t="shared" si="0"/>
        <v>0</v>
      </c>
      <c r="E12" s="709">
        <f t="shared" si="1"/>
        <v>0</v>
      </c>
      <c r="F12" s="710">
        <v>0.32</v>
      </c>
      <c r="G12" s="711">
        <f t="shared" si="2"/>
        <v>-0.32</v>
      </c>
      <c r="H12" s="712">
        <v>0</v>
      </c>
      <c r="I12" s="709">
        <v>0</v>
      </c>
      <c r="J12" s="710">
        <v>0</v>
      </c>
      <c r="K12" s="711">
        <v>0</v>
      </c>
      <c r="L12" s="712">
        <v>0</v>
      </c>
      <c r="M12" s="709">
        <f t="shared" si="3"/>
        <v>0</v>
      </c>
      <c r="N12" s="710">
        <v>0</v>
      </c>
      <c r="O12" s="711">
        <f t="shared" si="4"/>
        <v>0</v>
      </c>
      <c r="P12" s="713"/>
    </row>
    <row r="13" spans="1:21" ht="20.100000000000001" customHeight="1" x14ac:dyDescent="0.2">
      <c r="A13" s="394"/>
      <c r="B13" s="395" t="s">
        <v>80</v>
      </c>
      <c r="C13" s="396">
        <f>SUM(C6:C6)</f>
        <v>0</v>
      </c>
      <c r="D13" s="397" t="e">
        <f>E13/C13</f>
        <v>#DIV/0!</v>
      </c>
      <c r="E13" s="398">
        <f>SUM(E6:E6)</f>
        <v>0</v>
      </c>
      <c r="F13" s="398">
        <f>SUM(F6:F12)</f>
        <v>87.02</v>
      </c>
      <c r="G13" s="399">
        <f t="shared" si="2"/>
        <v>-87.02</v>
      </c>
      <c r="H13" s="397" t="e">
        <f>I13/C13</f>
        <v>#DIV/0!</v>
      </c>
      <c r="I13" s="398">
        <f>SUM(I6:I6)</f>
        <v>0</v>
      </c>
      <c r="J13" s="398">
        <f>SUM(J6:J12)</f>
        <v>86.5</v>
      </c>
      <c r="K13" s="399">
        <f>I13-J13</f>
        <v>-86.5</v>
      </c>
      <c r="L13" s="397" t="e">
        <f>M13/C13</f>
        <v>#DIV/0!</v>
      </c>
      <c r="M13" s="398">
        <f>SUM(M6:M6)</f>
        <v>0</v>
      </c>
      <c r="N13" s="398">
        <f>SUM(N6:N6)</f>
        <v>0</v>
      </c>
      <c r="O13" s="399">
        <f t="shared" si="4"/>
        <v>0</v>
      </c>
      <c r="P13" s="713"/>
      <c r="R13" s="441"/>
      <c r="U13" s="441"/>
    </row>
    <row r="14" spans="1:21" ht="20.100000000000001" customHeight="1" x14ac:dyDescent="0.2">
      <c r="A14" s="951"/>
      <c r="B14" s="33" t="s">
        <v>658</v>
      </c>
      <c r="C14" s="63">
        <f>610+3</f>
        <v>613</v>
      </c>
      <c r="D14" s="17">
        <v>0.98</v>
      </c>
      <c r="E14" s="18">
        <f t="shared" ref="E14:E23" si="6">D14*C14</f>
        <v>600.74</v>
      </c>
      <c r="F14" s="19">
        <v>768.05</v>
      </c>
      <c r="G14" s="20">
        <f t="shared" ref="G14:G23" si="7">E14-F14</f>
        <v>-167.30999999999995</v>
      </c>
      <c r="H14" s="21">
        <v>0</v>
      </c>
      <c r="I14" s="18">
        <v>0</v>
      </c>
      <c r="J14" s="19">
        <v>210.6</v>
      </c>
      <c r="K14" s="20">
        <v>0</v>
      </c>
      <c r="L14" s="21">
        <v>0</v>
      </c>
      <c r="M14" s="18">
        <f t="shared" ref="M14:M23" si="8">L14*C14</f>
        <v>0</v>
      </c>
      <c r="N14" s="19">
        <v>0</v>
      </c>
      <c r="O14" s="20">
        <f t="shared" ref="O14:O23" si="9">M14-N14</f>
        <v>0</v>
      </c>
      <c r="P14" s="713">
        <f>(E14-F14)/E14</f>
        <v>-0.27850650863934473</v>
      </c>
      <c r="R14" s="441"/>
      <c r="U14" s="441"/>
    </row>
    <row r="15" spans="1:21" ht="20.100000000000001" customHeight="1" x14ac:dyDescent="0.2">
      <c r="A15" s="950"/>
      <c r="B15" s="707" t="s">
        <v>889</v>
      </c>
      <c r="C15" s="706">
        <f>241</f>
        <v>241</v>
      </c>
      <c r="D15" s="17">
        <v>1</v>
      </c>
      <c r="E15" s="709">
        <f t="shared" ref="E15:E21" si="10">D15*C15</f>
        <v>241</v>
      </c>
      <c r="F15" s="710">
        <v>187.89</v>
      </c>
      <c r="G15" s="711">
        <f t="shared" ref="G15:G21" si="11">E15-F15</f>
        <v>53.110000000000014</v>
      </c>
      <c r="H15" s="712">
        <v>0</v>
      </c>
      <c r="I15" s="709">
        <v>0</v>
      </c>
      <c r="J15" s="710">
        <v>39.4</v>
      </c>
      <c r="K15" s="711">
        <v>0</v>
      </c>
      <c r="L15" s="712">
        <v>0</v>
      </c>
      <c r="M15" s="709">
        <f t="shared" ref="M15:M20" si="12">L15*C15</f>
        <v>0</v>
      </c>
      <c r="N15" s="710">
        <v>0</v>
      </c>
      <c r="O15" s="711">
        <f t="shared" ref="O15:O20" si="13">M15-N15</f>
        <v>0</v>
      </c>
      <c r="P15" s="713">
        <f>(E15-F15)/E15</f>
        <v>0.22037344398340256</v>
      </c>
      <c r="R15" s="441"/>
      <c r="U15" s="441"/>
    </row>
    <row r="16" spans="1:21" ht="20.100000000000001" customHeight="1" x14ac:dyDescent="0.2">
      <c r="A16" s="950"/>
      <c r="B16" s="707" t="s">
        <v>890</v>
      </c>
      <c r="C16" s="706">
        <v>13</v>
      </c>
      <c r="D16" s="708">
        <v>0.95</v>
      </c>
      <c r="E16" s="709">
        <f t="shared" si="10"/>
        <v>12.35</v>
      </c>
      <c r="F16" s="710">
        <v>23.9</v>
      </c>
      <c r="G16" s="711">
        <f t="shared" si="11"/>
        <v>-11.549999999999999</v>
      </c>
      <c r="H16" s="712">
        <v>0</v>
      </c>
      <c r="I16" s="709">
        <v>0</v>
      </c>
      <c r="J16" s="710">
        <v>0</v>
      </c>
      <c r="K16" s="711">
        <v>0</v>
      </c>
      <c r="L16" s="712">
        <v>0</v>
      </c>
      <c r="M16" s="709">
        <f t="shared" si="12"/>
        <v>0</v>
      </c>
      <c r="N16" s="710">
        <v>0</v>
      </c>
      <c r="O16" s="711">
        <f t="shared" si="13"/>
        <v>0</v>
      </c>
      <c r="P16" s="713"/>
      <c r="R16" s="441"/>
      <c r="U16" s="441"/>
    </row>
    <row r="17" spans="1:21" ht="20.100000000000001" customHeight="1" x14ac:dyDescent="0.2">
      <c r="A17" s="950"/>
      <c r="B17" s="707" t="s">
        <v>891</v>
      </c>
      <c r="C17" s="748">
        <v>53</v>
      </c>
      <c r="D17" s="708">
        <v>0.57999999999999996</v>
      </c>
      <c r="E17" s="709">
        <f t="shared" si="10"/>
        <v>30.74</v>
      </c>
      <c r="F17" s="710">
        <v>9.6</v>
      </c>
      <c r="G17" s="711">
        <f t="shared" si="11"/>
        <v>21.14</v>
      </c>
      <c r="H17" s="712">
        <v>0</v>
      </c>
      <c r="I17" s="709">
        <v>0</v>
      </c>
      <c r="J17" s="710">
        <v>0</v>
      </c>
      <c r="K17" s="711">
        <v>0</v>
      </c>
      <c r="L17" s="712">
        <v>0</v>
      </c>
      <c r="M17" s="709">
        <f t="shared" si="12"/>
        <v>0</v>
      </c>
      <c r="N17" s="710">
        <v>0</v>
      </c>
      <c r="O17" s="711">
        <f t="shared" si="13"/>
        <v>0</v>
      </c>
      <c r="P17" s="713"/>
      <c r="R17" s="441"/>
      <c r="U17" s="441"/>
    </row>
    <row r="18" spans="1:21" ht="20.100000000000001" customHeight="1" x14ac:dyDescent="0.2">
      <c r="A18" s="950"/>
      <c r="B18" s="707" t="s">
        <v>892</v>
      </c>
      <c r="C18" s="706">
        <v>126</v>
      </c>
      <c r="D18" s="708">
        <v>0.66</v>
      </c>
      <c r="E18" s="709">
        <f t="shared" si="10"/>
        <v>83.160000000000011</v>
      </c>
      <c r="F18" s="710">
        <v>3.8</v>
      </c>
      <c r="G18" s="711">
        <f t="shared" si="11"/>
        <v>79.360000000000014</v>
      </c>
      <c r="H18" s="712">
        <v>0</v>
      </c>
      <c r="I18" s="709">
        <v>0</v>
      </c>
      <c r="J18" s="710">
        <v>0</v>
      </c>
      <c r="K18" s="711">
        <v>0</v>
      </c>
      <c r="L18" s="712">
        <v>0</v>
      </c>
      <c r="M18" s="709">
        <f t="shared" si="12"/>
        <v>0</v>
      </c>
      <c r="N18" s="710">
        <v>0</v>
      </c>
      <c r="O18" s="711">
        <f t="shared" si="13"/>
        <v>0</v>
      </c>
      <c r="P18" s="713"/>
      <c r="R18" s="441"/>
      <c r="U18" s="441"/>
    </row>
    <row r="19" spans="1:21" ht="20.100000000000001" customHeight="1" x14ac:dyDescent="0.2">
      <c r="A19" s="951"/>
      <c r="B19" s="33" t="s">
        <v>893</v>
      </c>
      <c r="C19" s="63">
        <v>20</v>
      </c>
      <c r="D19" s="17">
        <v>1</v>
      </c>
      <c r="E19" s="18">
        <f t="shared" si="10"/>
        <v>20</v>
      </c>
      <c r="F19" s="19">
        <v>47.27</v>
      </c>
      <c r="G19" s="20">
        <f t="shared" si="11"/>
        <v>-27.270000000000003</v>
      </c>
      <c r="H19" s="21">
        <v>0</v>
      </c>
      <c r="I19" s="18">
        <v>0</v>
      </c>
      <c r="J19" s="19">
        <v>0</v>
      </c>
      <c r="K19" s="20">
        <v>0</v>
      </c>
      <c r="L19" s="21">
        <v>0</v>
      </c>
      <c r="M19" s="18">
        <f t="shared" si="12"/>
        <v>0</v>
      </c>
      <c r="N19" s="19">
        <v>0</v>
      </c>
      <c r="O19" s="20">
        <f t="shared" si="13"/>
        <v>0</v>
      </c>
      <c r="P19" s="952" t="s">
        <v>1022</v>
      </c>
      <c r="Q19" s="953"/>
      <c r="R19" s="953"/>
      <c r="S19" s="953"/>
      <c r="T19" s="713"/>
      <c r="U19" s="713"/>
    </row>
    <row r="20" spans="1:21" ht="20.100000000000001" customHeight="1" x14ac:dyDescent="0.2">
      <c r="A20" s="951"/>
      <c r="B20" s="33" t="s">
        <v>894</v>
      </c>
      <c r="C20" s="63">
        <v>113</v>
      </c>
      <c r="D20" s="17">
        <v>1</v>
      </c>
      <c r="E20" s="18">
        <f t="shared" si="10"/>
        <v>113</v>
      </c>
      <c r="F20" s="19">
        <v>95.22</v>
      </c>
      <c r="G20" s="20">
        <f t="shared" si="11"/>
        <v>17.78</v>
      </c>
      <c r="H20" s="21">
        <v>0</v>
      </c>
      <c r="I20" s="18">
        <v>0</v>
      </c>
      <c r="J20" s="19">
        <v>0</v>
      </c>
      <c r="K20" s="20">
        <v>0</v>
      </c>
      <c r="L20" s="21">
        <v>0</v>
      </c>
      <c r="M20" s="18">
        <f t="shared" si="12"/>
        <v>0</v>
      </c>
      <c r="N20" s="19">
        <v>0</v>
      </c>
      <c r="O20" s="20">
        <f t="shared" si="13"/>
        <v>0</v>
      </c>
      <c r="R20" s="441"/>
      <c r="U20" s="441"/>
    </row>
    <row r="21" spans="1:21" ht="20.100000000000001" customHeight="1" x14ac:dyDescent="0.2">
      <c r="A21" s="951"/>
      <c r="B21" s="33" t="s">
        <v>896</v>
      </c>
      <c r="C21" s="63">
        <v>34</v>
      </c>
      <c r="D21" s="17">
        <v>1</v>
      </c>
      <c r="E21" s="18">
        <f t="shared" si="10"/>
        <v>34</v>
      </c>
      <c r="F21" s="19"/>
      <c r="G21" s="20">
        <f t="shared" si="11"/>
        <v>34</v>
      </c>
      <c r="H21" s="21">
        <v>0</v>
      </c>
      <c r="I21" s="18">
        <v>0</v>
      </c>
      <c r="J21" s="19">
        <v>0</v>
      </c>
      <c r="K21" s="20">
        <v>0</v>
      </c>
      <c r="L21" s="21">
        <v>0</v>
      </c>
      <c r="M21" s="18">
        <f t="shared" si="8"/>
        <v>0</v>
      </c>
      <c r="N21" s="19">
        <v>0</v>
      </c>
      <c r="O21" s="20">
        <f t="shared" si="9"/>
        <v>0</v>
      </c>
      <c r="R21" s="441"/>
      <c r="U21" s="441"/>
    </row>
    <row r="22" spans="1:21" ht="20.100000000000001" customHeight="1" x14ac:dyDescent="0.2">
      <c r="A22" s="951"/>
      <c r="B22" s="33"/>
      <c r="C22" s="63"/>
      <c r="D22" s="17">
        <f t="shared" ref="D22:D23" si="14">L22+H22</f>
        <v>0</v>
      </c>
      <c r="E22" s="18">
        <f t="shared" si="6"/>
        <v>0</v>
      </c>
      <c r="F22" s="19">
        <f t="shared" ref="F22" si="15">N22+J22</f>
        <v>0</v>
      </c>
      <c r="G22" s="20">
        <f t="shared" si="7"/>
        <v>0</v>
      </c>
      <c r="H22" s="21">
        <v>0</v>
      </c>
      <c r="I22" s="18">
        <v>0</v>
      </c>
      <c r="J22" s="19">
        <v>0</v>
      </c>
      <c r="K22" s="20">
        <v>0</v>
      </c>
      <c r="L22" s="21">
        <v>0</v>
      </c>
      <c r="M22" s="18">
        <f t="shared" si="8"/>
        <v>0</v>
      </c>
      <c r="N22" s="19">
        <v>0</v>
      </c>
      <c r="O22" s="20">
        <f t="shared" si="9"/>
        <v>0</v>
      </c>
      <c r="R22" s="441"/>
      <c r="U22" s="441"/>
    </row>
    <row r="23" spans="1:21" s="443" customFormat="1" ht="20.100000000000001" customHeight="1" x14ac:dyDescent="0.2">
      <c r="A23" s="951"/>
      <c r="B23" s="33" t="s">
        <v>1070</v>
      </c>
      <c r="C23" s="63"/>
      <c r="D23" s="17">
        <f t="shared" si="14"/>
        <v>0</v>
      </c>
      <c r="E23" s="18">
        <f t="shared" si="6"/>
        <v>0</v>
      </c>
      <c r="F23" s="19">
        <v>2.17</v>
      </c>
      <c r="G23" s="20">
        <f t="shared" si="7"/>
        <v>-2.17</v>
      </c>
      <c r="H23" s="21">
        <v>0</v>
      </c>
      <c r="I23" s="18">
        <v>0</v>
      </c>
      <c r="J23" s="19">
        <v>0</v>
      </c>
      <c r="K23" s="20">
        <v>0</v>
      </c>
      <c r="L23" s="21">
        <v>0</v>
      </c>
      <c r="M23" s="18">
        <f t="shared" si="8"/>
        <v>0</v>
      </c>
      <c r="N23" s="19">
        <v>0</v>
      </c>
      <c r="O23" s="20">
        <f t="shared" si="9"/>
        <v>0</v>
      </c>
      <c r="Q23" s="442"/>
      <c r="R23" s="441"/>
      <c r="U23" s="441"/>
    </row>
    <row r="24" spans="1:21" ht="20.100000000000001" customHeight="1" x14ac:dyDescent="0.2">
      <c r="A24" s="394"/>
      <c r="B24" s="395" t="s">
        <v>895</v>
      </c>
      <c r="C24" s="396">
        <f>SUM(C14:C23)</f>
        <v>1213</v>
      </c>
      <c r="D24" s="397">
        <f>E24/C24</f>
        <v>0.93568837592745258</v>
      </c>
      <c r="E24" s="398">
        <f>SUM(E14:E23)</f>
        <v>1134.99</v>
      </c>
      <c r="F24" s="398">
        <f>SUM(F14:F23)</f>
        <v>1137.9000000000001</v>
      </c>
      <c r="G24" s="399">
        <f>E24-F24</f>
        <v>-2.9100000000000819</v>
      </c>
      <c r="H24" s="397">
        <f>I24/C24</f>
        <v>0</v>
      </c>
      <c r="I24" s="398">
        <f>SUM(I14:I23)</f>
        <v>0</v>
      </c>
      <c r="J24" s="398">
        <f>SUM(J14:J23)</f>
        <v>250</v>
      </c>
      <c r="K24" s="399">
        <f>I24-J24</f>
        <v>-250</v>
      </c>
      <c r="L24" s="397">
        <f>M24/C24</f>
        <v>0</v>
      </c>
      <c r="M24" s="398">
        <f>SUM(M14:M23)</f>
        <v>0</v>
      </c>
      <c r="N24" s="398">
        <f>SUM(N14:N23)</f>
        <v>0</v>
      </c>
      <c r="O24" s="399">
        <f>M24-N24</f>
        <v>0</v>
      </c>
      <c r="Q24" s="444"/>
      <c r="R24" s="441"/>
      <c r="U24" s="441"/>
    </row>
    <row r="25" spans="1:21" ht="20.100000000000001" customHeight="1" x14ac:dyDescent="0.2">
      <c r="A25" s="950"/>
      <c r="B25" s="707" t="s">
        <v>898</v>
      </c>
      <c r="C25" s="743">
        <v>3</v>
      </c>
      <c r="D25" s="708">
        <v>1</v>
      </c>
      <c r="E25" s="709">
        <f t="shared" ref="E25:E31" si="16">D25*C25</f>
        <v>3</v>
      </c>
      <c r="F25" s="710">
        <v>4.3</v>
      </c>
      <c r="G25" s="711">
        <f t="shared" ref="G25:G31" si="17">E25-F25</f>
        <v>-1.2999999999999998</v>
      </c>
      <c r="H25" s="712">
        <v>0</v>
      </c>
      <c r="I25" s="709">
        <v>0</v>
      </c>
      <c r="J25" s="710">
        <v>0</v>
      </c>
      <c r="K25" s="711">
        <v>0</v>
      </c>
      <c r="L25" s="712">
        <v>0</v>
      </c>
      <c r="M25" s="709">
        <f t="shared" ref="M25:M31" si="18">L25*C25</f>
        <v>0</v>
      </c>
      <c r="N25" s="710">
        <v>0</v>
      </c>
      <c r="O25" s="711">
        <f t="shared" ref="O25:O31" si="19">M25-N25</f>
        <v>0</v>
      </c>
      <c r="R25" s="441"/>
      <c r="U25" s="441"/>
    </row>
    <row r="26" spans="1:21" ht="20.100000000000001" customHeight="1" x14ac:dyDescent="0.2">
      <c r="A26" s="950"/>
      <c r="B26" s="33" t="s">
        <v>984</v>
      </c>
      <c r="C26" s="706">
        <v>2</v>
      </c>
      <c r="D26" s="708">
        <v>1</v>
      </c>
      <c r="E26" s="709">
        <f t="shared" si="16"/>
        <v>2</v>
      </c>
      <c r="F26" s="710"/>
      <c r="G26" s="711">
        <f t="shared" si="17"/>
        <v>2</v>
      </c>
      <c r="H26" s="712">
        <v>0</v>
      </c>
      <c r="I26" s="709">
        <v>0</v>
      </c>
      <c r="J26" s="710">
        <v>0</v>
      </c>
      <c r="K26" s="711">
        <v>0</v>
      </c>
      <c r="L26" s="712">
        <v>0</v>
      </c>
      <c r="M26" s="709">
        <f t="shared" si="18"/>
        <v>0</v>
      </c>
      <c r="N26" s="710">
        <v>0</v>
      </c>
      <c r="O26" s="711">
        <f t="shared" si="19"/>
        <v>0</v>
      </c>
      <c r="Q26" s="954" t="s">
        <v>1071</v>
      </c>
      <c r="R26" s="954"/>
      <c r="U26" s="441"/>
    </row>
    <row r="27" spans="1:21" ht="20.100000000000001" customHeight="1" x14ac:dyDescent="0.2">
      <c r="A27" s="951"/>
      <c r="B27" s="33" t="s">
        <v>985</v>
      </c>
      <c r="C27" s="63">
        <v>8.86</v>
      </c>
      <c r="D27" s="17">
        <f t="shared" ref="D27:D31" si="20">L27+H27</f>
        <v>0</v>
      </c>
      <c r="E27" s="18">
        <f t="shared" si="16"/>
        <v>0</v>
      </c>
      <c r="F27" s="19">
        <f>N26+J26</f>
        <v>0</v>
      </c>
      <c r="G27" s="711">
        <f t="shared" si="17"/>
        <v>0</v>
      </c>
      <c r="H27" s="21">
        <v>0</v>
      </c>
      <c r="I27" s="18">
        <v>0</v>
      </c>
      <c r="J27" s="19">
        <v>0</v>
      </c>
      <c r="K27" s="20">
        <v>0</v>
      </c>
      <c r="L27" s="21">
        <v>0</v>
      </c>
      <c r="M27" s="18">
        <f t="shared" si="18"/>
        <v>0</v>
      </c>
      <c r="N27" s="19">
        <v>0</v>
      </c>
      <c r="O27" s="20">
        <f t="shared" si="19"/>
        <v>0</v>
      </c>
      <c r="R27" s="441"/>
      <c r="U27" s="441"/>
    </row>
    <row r="28" spans="1:21" ht="20.100000000000001" customHeight="1" x14ac:dyDescent="0.2">
      <c r="A28" s="951"/>
      <c r="B28" s="33" t="s">
        <v>896</v>
      </c>
      <c r="C28" s="63"/>
      <c r="D28" s="17">
        <v>1</v>
      </c>
      <c r="E28" s="18">
        <f t="shared" si="16"/>
        <v>0</v>
      </c>
      <c r="F28" s="19">
        <v>44.68</v>
      </c>
      <c r="G28" s="711">
        <f t="shared" si="17"/>
        <v>-44.68</v>
      </c>
      <c r="H28" s="21">
        <v>0</v>
      </c>
      <c r="I28" s="18">
        <v>0</v>
      </c>
      <c r="J28" s="19">
        <v>0</v>
      </c>
      <c r="K28" s="20">
        <v>0</v>
      </c>
      <c r="L28" s="21">
        <v>0</v>
      </c>
      <c r="M28" s="18">
        <f t="shared" si="18"/>
        <v>0</v>
      </c>
      <c r="N28" s="19">
        <v>0</v>
      </c>
      <c r="O28" s="20">
        <f t="shared" si="19"/>
        <v>0</v>
      </c>
      <c r="R28" s="441"/>
      <c r="U28" s="441"/>
    </row>
    <row r="29" spans="1:21" ht="20.100000000000001" customHeight="1" x14ac:dyDescent="0.2">
      <c r="A29" s="951"/>
      <c r="B29" s="442" t="s">
        <v>737</v>
      </c>
      <c r="C29" s="63">
        <v>19</v>
      </c>
      <c r="D29" s="17">
        <v>1</v>
      </c>
      <c r="E29" s="18">
        <f t="shared" si="16"/>
        <v>19</v>
      </c>
      <c r="F29" s="19">
        <v>0.95</v>
      </c>
      <c r="G29" s="711">
        <f t="shared" si="17"/>
        <v>18.05</v>
      </c>
      <c r="H29" s="21">
        <v>0</v>
      </c>
      <c r="I29" s="18">
        <v>0</v>
      </c>
      <c r="J29" s="19">
        <v>0</v>
      </c>
      <c r="K29" s="20">
        <v>0</v>
      </c>
      <c r="L29" s="21">
        <v>0</v>
      </c>
      <c r="M29" s="18">
        <f t="shared" si="18"/>
        <v>0</v>
      </c>
      <c r="N29" s="19">
        <v>0</v>
      </c>
      <c r="O29" s="20">
        <f t="shared" si="19"/>
        <v>0</v>
      </c>
      <c r="R29" s="441"/>
      <c r="U29" s="441"/>
    </row>
    <row r="30" spans="1:21" ht="20.100000000000001" customHeight="1" x14ac:dyDescent="0.2">
      <c r="A30" s="951"/>
      <c r="B30" s="33"/>
      <c r="C30" s="63"/>
      <c r="D30" s="17">
        <f t="shared" si="20"/>
        <v>0</v>
      </c>
      <c r="E30" s="18">
        <f t="shared" si="16"/>
        <v>0</v>
      </c>
      <c r="F30" s="19">
        <f t="shared" ref="F30:F31" si="21">N30+J30</f>
        <v>0</v>
      </c>
      <c r="G30" s="711">
        <f t="shared" si="17"/>
        <v>0</v>
      </c>
      <c r="H30" s="21">
        <v>0</v>
      </c>
      <c r="I30" s="18">
        <v>0</v>
      </c>
      <c r="J30" s="19">
        <v>0</v>
      </c>
      <c r="K30" s="20">
        <v>0</v>
      </c>
      <c r="L30" s="21">
        <v>0</v>
      </c>
      <c r="M30" s="18">
        <f t="shared" si="18"/>
        <v>0</v>
      </c>
      <c r="N30" s="19">
        <v>0</v>
      </c>
      <c r="O30" s="20">
        <f t="shared" si="19"/>
        <v>0</v>
      </c>
      <c r="R30" s="441"/>
      <c r="U30" s="441"/>
    </row>
    <row r="31" spans="1:21" s="443" customFormat="1" ht="20.100000000000001" customHeight="1" x14ac:dyDescent="0.2">
      <c r="A31" s="951"/>
      <c r="B31" s="33"/>
      <c r="C31" s="63"/>
      <c r="D31" s="17">
        <f t="shared" si="20"/>
        <v>0</v>
      </c>
      <c r="E31" s="18">
        <f t="shared" si="16"/>
        <v>0</v>
      </c>
      <c r="F31" s="19">
        <f t="shared" si="21"/>
        <v>0</v>
      </c>
      <c r="G31" s="20">
        <f t="shared" si="17"/>
        <v>0</v>
      </c>
      <c r="H31" s="21">
        <v>0</v>
      </c>
      <c r="I31" s="18">
        <v>0</v>
      </c>
      <c r="J31" s="19">
        <v>0</v>
      </c>
      <c r="K31" s="20">
        <v>0</v>
      </c>
      <c r="L31" s="21">
        <v>0</v>
      </c>
      <c r="M31" s="18">
        <f t="shared" si="18"/>
        <v>0</v>
      </c>
      <c r="N31" s="19">
        <v>0</v>
      </c>
      <c r="O31" s="20">
        <f t="shared" si="19"/>
        <v>0</v>
      </c>
      <c r="Q31" s="442"/>
      <c r="R31" s="441"/>
      <c r="U31" s="441"/>
    </row>
    <row r="32" spans="1:21" ht="20.100000000000001" customHeight="1" x14ac:dyDescent="0.2">
      <c r="A32" s="394"/>
      <c r="B32" s="395" t="s">
        <v>983</v>
      </c>
      <c r="C32" s="396">
        <f>SUM(C25:C31)</f>
        <v>32.86</v>
      </c>
      <c r="D32" s="397">
        <f>E32/C32</f>
        <v>0.73037127206329888</v>
      </c>
      <c r="E32" s="398">
        <f>SUM(E25:E31)</f>
        <v>24</v>
      </c>
      <c r="F32" s="398">
        <f>SUM(F25:F31)</f>
        <v>49.93</v>
      </c>
      <c r="G32" s="399">
        <f>E32-F32</f>
        <v>-25.93</v>
      </c>
      <c r="H32" s="397">
        <f>I32/C32</f>
        <v>0</v>
      </c>
      <c r="I32" s="398">
        <f>SUM(I25:I31)</f>
        <v>0</v>
      </c>
      <c r="J32" s="398">
        <f>SUM(J25:J31)</f>
        <v>0</v>
      </c>
      <c r="K32" s="399">
        <f>I32-J32</f>
        <v>0</v>
      </c>
      <c r="L32" s="397">
        <f>M32/C32</f>
        <v>0</v>
      </c>
      <c r="M32" s="398">
        <f>SUM(M25:M31)</f>
        <v>0</v>
      </c>
      <c r="N32" s="398">
        <f>SUM(N25:N31)</f>
        <v>0</v>
      </c>
      <c r="O32" s="399">
        <f>M32-N32</f>
        <v>0</v>
      </c>
      <c r="Q32" s="444"/>
      <c r="R32" s="441"/>
      <c r="U32" s="441"/>
    </row>
    <row r="33" spans="1:21" ht="20.100000000000001" customHeight="1" x14ac:dyDescent="0.2">
      <c r="A33" s="951"/>
      <c r="B33" s="35" t="s">
        <v>896</v>
      </c>
      <c r="C33" s="63">
        <v>61</v>
      </c>
      <c r="D33" s="17">
        <v>0.4</v>
      </c>
      <c r="E33" s="18">
        <f t="shared" ref="E33:E42" si="22">D33*C33</f>
        <v>24.400000000000002</v>
      </c>
      <c r="F33" s="19"/>
      <c r="G33" s="20">
        <f t="shared" ref="G33:G42" si="23">E33-F33</f>
        <v>24.400000000000002</v>
      </c>
      <c r="H33" s="21">
        <v>0</v>
      </c>
      <c r="I33" s="18">
        <v>0</v>
      </c>
      <c r="J33" s="19">
        <v>0</v>
      </c>
      <c r="K33" s="20">
        <v>0</v>
      </c>
      <c r="L33" s="21">
        <v>0</v>
      </c>
      <c r="M33" s="18">
        <f t="shared" ref="M33:M42" si="24">L33*C33</f>
        <v>0</v>
      </c>
      <c r="N33" s="19">
        <v>0</v>
      </c>
      <c r="O33" s="20">
        <f t="shared" ref="O33:O42" si="25">M33-N33</f>
        <v>0</v>
      </c>
      <c r="Q33" s="444"/>
      <c r="R33" s="441"/>
      <c r="U33" s="441"/>
    </row>
    <row r="34" spans="1:21" ht="20.100000000000001" customHeight="1" x14ac:dyDescent="0.2">
      <c r="A34" s="951"/>
      <c r="B34" s="35" t="s">
        <v>897</v>
      </c>
      <c r="C34" s="63">
        <v>20</v>
      </c>
      <c r="D34" s="17">
        <f t="shared" ref="D34:D42" si="26">L34+H34</f>
        <v>0</v>
      </c>
      <c r="E34" s="18">
        <f t="shared" si="22"/>
        <v>0</v>
      </c>
      <c r="F34" s="19">
        <f t="shared" ref="F34:F42" si="27">N34+J34</f>
        <v>0</v>
      </c>
      <c r="G34" s="20">
        <f t="shared" si="23"/>
        <v>0</v>
      </c>
      <c r="H34" s="21">
        <v>0</v>
      </c>
      <c r="I34" s="18">
        <v>0</v>
      </c>
      <c r="J34" s="19">
        <v>0</v>
      </c>
      <c r="K34" s="20">
        <v>0</v>
      </c>
      <c r="L34" s="21">
        <v>0</v>
      </c>
      <c r="M34" s="18">
        <f t="shared" si="24"/>
        <v>0</v>
      </c>
      <c r="N34" s="19">
        <v>0</v>
      </c>
      <c r="O34" s="20">
        <f t="shared" si="25"/>
        <v>0</v>
      </c>
      <c r="Q34" s="444"/>
      <c r="R34" s="441"/>
      <c r="U34" s="441"/>
    </row>
    <row r="35" spans="1:21" ht="20.100000000000001" customHeight="1" x14ac:dyDescent="0.2">
      <c r="A35" s="951"/>
      <c r="B35" s="35" t="s">
        <v>899</v>
      </c>
      <c r="C35" s="63">
        <v>19</v>
      </c>
      <c r="D35" s="17">
        <v>0.68</v>
      </c>
      <c r="E35" s="18">
        <f t="shared" si="22"/>
        <v>12.920000000000002</v>
      </c>
      <c r="F35" s="19">
        <v>16.05</v>
      </c>
      <c r="G35" s="20">
        <f t="shared" si="23"/>
        <v>-3.129999999999999</v>
      </c>
      <c r="H35" s="21">
        <v>0</v>
      </c>
      <c r="I35" s="18">
        <v>0</v>
      </c>
      <c r="J35" s="19">
        <v>0</v>
      </c>
      <c r="K35" s="20">
        <v>0</v>
      </c>
      <c r="L35" s="21">
        <v>0</v>
      </c>
      <c r="M35" s="18">
        <f t="shared" si="24"/>
        <v>0</v>
      </c>
      <c r="N35" s="19">
        <v>0</v>
      </c>
      <c r="O35" s="20">
        <f t="shared" si="25"/>
        <v>0</v>
      </c>
      <c r="Q35" s="444"/>
      <c r="R35" s="441"/>
      <c r="U35" s="441"/>
    </row>
    <row r="36" spans="1:21" ht="20.100000000000001" customHeight="1" x14ac:dyDescent="0.2">
      <c r="A36" s="951"/>
      <c r="B36" s="35" t="s">
        <v>898</v>
      </c>
      <c r="C36" s="742">
        <v>4</v>
      </c>
      <c r="D36" s="17">
        <v>0.16</v>
      </c>
      <c r="E36" s="18">
        <f t="shared" si="22"/>
        <v>0.64</v>
      </c>
      <c r="F36" s="19">
        <f t="shared" si="27"/>
        <v>0</v>
      </c>
      <c r="G36" s="20">
        <f t="shared" si="23"/>
        <v>0.64</v>
      </c>
      <c r="H36" s="21">
        <v>0</v>
      </c>
      <c r="I36" s="18">
        <v>0</v>
      </c>
      <c r="J36" s="19">
        <v>0</v>
      </c>
      <c r="K36" s="20">
        <v>0</v>
      </c>
      <c r="L36" s="21">
        <v>0</v>
      </c>
      <c r="M36" s="18">
        <f t="shared" si="24"/>
        <v>0</v>
      </c>
      <c r="N36" s="19">
        <v>0</v>
      </c>
      <c r="O36" s="20">
        <f t="shared" si="25"/>
        <v>0</v>
      </c>
      <c r="Q36" s="444"/>
      <c r="R36" s="441"/>
      <c r="U36" s="441"/>
    </row>
    <row r="37" spans="1:21" ht="20.100000000000001" customHeight="1" x14ac:dyDescent="0.2">
      <c r="A37" s="951"/>
      <c r="B37" s="35" t="s">
        <v>900</v>
      </c>
      <c r="C37" s="63"/>
      <c r="D37" s="17">
        <f t="shared" si="26"/>
        <v>0</v>
      </c>
      <c r="E37" s="18">
        <f t="shared" si="22"/>
        <v>0</v>
      </c>
      <c r="F37" s="19">
        <f t="shared" si="27"/>
        <v>0</v>
      </c>
      <c r="G37" s="20">
        <f t="shared" si="23"/>
        <v>0</v>
      </c>
      <c r="H37" s="21">
        <v>0</v>
      </c>
      <c r="I37" s="18">
        <v>0</v>
      </c>
      <c r="J37" s="19">
        <v>0</v>
      </c>
      <c r="K37" s="20">
        <v>0</v>
      </c>
      <c r="L37" s="21">
        <v>0</v>
      </c>
      <c r="M37" s="18">
        <f t="shared" si="24"/>
        <v>0</v>
      </c>
      <c r="N37" s="19">
        <v>0</v>
      </c>
      <c r="O37" s="20">
        <f t="shared" si="25"/>
        <v>0</v>
      </c>
      <c r="Q37" s="444" t="s">
        <v>1066</v>
      </c>
      <c r="R37" s="441"/>
      <c r="U37" s="441"/>
    </row>
    <row r="38" spans="1:21" ht="20.100000000000001" customHeight="1" x14ac:dyDescent="0.2">
      <c r="A38" s="951"/>
      <c r="B38" s="33" t="s">
        <v>901</v>
      </c>
      <c r="C38" s="63"/>
      <c r="D38" s="17">
        <f t="shared" si="26"/>
        <v>0</v>
      </c>
      <c r="E38" s="18">
        <f t="shared" si="22"/>
        <v>0</v>
      </c>
      <c r="F38" s="19">
        <f t="shared" si="27"/>
        <v>0</v>
      </c>
      <c r="G38" s="20">
        <f t="shared" si="23"/>
        <v>0</v>
      </c>
      <c r="H38" s="21">
        <v>0</v>
      </c>
      <c r="I38" s="18">
        <v>0</v>
      </c>
      <c r="J38" s="19">
        <v>0</v>
      </c>
      <c r="K38" s="20">
        <v>0</v>
      </c>
      <c r="L38" s="21">
        <v>0</v>
      </c>
      <c r="M38" s="18">
        <f t="shared" si="24"/>
        <v>0</v>
      </c>
      <c r="N38" s="19">
        <v>0</v>
      </c>
      <c r="O38" s="20">
        <f t="shared" si="25"/>
        <v>0</v>
      </c>
      <c r="Q38" s="444" t="s">
        <v>1066</v>
      </c>
      <c r="R38" s="441"/>
      <c r="U38" s="441"/>
    </row>
    <row r="39" spans="1:21" ht="20.100000000000001" customHeight="1" x14ac:dyDescent="0.2">
      <c r="A39" s="951"/>
      <c r="B39" s="33" t="s">
        <v>739</v>
      </c>
      <c r="C39" s="63"/>
      <c r="D39" s="17">
        <f t="shared" si="26"/>
        <v>0</v>
      </c>
      <c r="E39" s="18">
        <f t="shared" si="22"/>
        <v>0</v>
      </c>
      <c r="F39" s="19">
        <f t="shared" si="27"/>
        <v>0</v>
      </c>
      <c r="G39" s="20">
        <f t="shared" si="23"/>
        <v>0</v>
      </c>
      <c r="H39" s="21">
        <v>0</v>
      </c>
      <c r="I39" s="18">
        <v>0</v>
      </c>
      <c r="J39" s="19">
        <v>0</v>
      </c>
      <c r="K39" s="20">
        <v>0</v>
      </c>
      <c r="L39" s="21">
        <v>0</v>
      </c>
      <c r="M39" s="18">
        <f t="shared" si="24"/>
        <v>0</v>
      </c>
      <c r="N39" s="19">
        <v>0</v>
      </c>
      <c r="O39" s="20">
        <f t="shared" si="25"/>
        <v>0</v>
      </c>
      <c r="Q39" s="444"/>
      <c r="R39" s="441"/>
      <c r="U39" s="441"/>
    </row>
    <row r="40" spans="1:21" ht="32.450000000000003" customHeight="1" x14ac:dyDescent="0.2">
      <c r="A40" s="951"/>
      <c r="B40" s="33" t="s">
        <v>1068</v>
      </c>
      <c r="C40" s="63">
        <v>23</v>
      </c>
      <c r="D40" s="17">
        <f t="shared" si="26"/>
        <v>0</v>
      </c>
      <c r="E40" s="18">
        <f t="shared" si="22"/>
        <v>0</v>
      </c>
      <c r="F40" s="19">
        <f t="shared" si="27"/>
        <v>0</v>
      </c>
      <c r="G40" s="20">
        <f t="shared" si="23"/>
        <v>0</v>
      </c>
      <c r="H40" s="21">
        <v>0</v>
      </c>
      <c r="I40" s="18">
        <v>0</v>
      </c>
      <c r="J40" s="19">
        <v>0</v>
      </c>
      <c r="K40" s="20">
        <v>0</v>
      </c>
      <c r="L40" s="21">
        <v>0</v>
      </c>
      <c r="M40" s="18">
        <f t="shared" si="24"/>
        <v>0</v>
      </c>
      <c r="N40" s="19">
        <v>0</v>
      </c>
      <c r="O40" s="20">
        <f t="shared" si="25"/>
        <v>0</v>
      </c>
      <c r="Q40" s="444"/>
      <c r="R40" s="441"/>
      <c r="U40" s="441"/>
    </row>
    <row r="41" spans="1:21" ht="20.100000000000001" customHeight="1" x14ac:dyDescent="0.2">
      <c r="A41" s="951"/>
      <c r="B41" s="33"/>
      <c r="C41" s="63"/>
      <c r="D41" s="17">
        <f t="shared" si="26"/>
        <v>0</v>
      </c>
      <c r="E41" s="18">
        <f t="shared" si="22"/>
        <v>0</v>
      </c>
      <c r="F41" s="19">
        <f t="shared" si="27"/>
        <v>0</v>
      </c>
      <c r="G41" s="20">
        <f t="shared" si="23"/>
        <v>0</v>
      </c>
      <c r="H41" s="21">
        <v>0</v>
      </c>
      <c r="I41" s="18">
        <v>0</v>
      </c>
      <c r="J41" s="19">
        <v>0</v>
      </c>
      <c r="K41" s="20">
        <v>0</v>
      </c>
      <c r="L41" s="21">
        <v>0</v>
      </c>
      <c r="M41" s="18">
        <f t="shared" si="24"/>
        <v>0</v>
      </c>
      <c r="N41" s="19">
        <v>0</v>
      </c>
      <c r="O41" s="20">
        <f t="shared" si="25"/>
        <v>0</v>
      </c>
      <c r="Q41" s="444"/>
      <c r="R41" s="441"/>
      <c r="U41" s="441"/>
    </row>
    <row r="42" spans="1:21" ht="20.100000000000001" customHeight="1" x14ac:dyDescent="0.2">
      <c r="A42" s="951"/>
      <c r="B42" s="33"/>
      <c r="C42" s="63"/>
      <c r="D42" s="17">
        <f t="shared" si="26"/>
        <v>0</v>
      </c>
      <c r="E42" s="18">
        <f t="shared" si="22"/>
        <v>0</v>
      </c>
      <c r="F42" s="19">
        <f t="shared" si="27"/>
        <v>0</v>
      </c>
      <c r="G42" s="20">
        <f t="shared" si="23"/>
        <v>0</v>
      </c>
      <c r="H42" s="21">
        <v>0</v>
      </c>
      <c r="I42" s="18">
        <v>0</v>
      </c>
      <c r="J42" s="19">
        <v>0</v>
      </c>
      <c r="K42" s="20">
        <v>0</v>
      </c>
      <c r="L42" s="21">
        <v>0</v>
      </c>
      <c r="M42" s="18">
        <f t="shared" si="24"/>
        <v>0</v>
      </c>
      <c r="N42" s="19">
        <v>0</v>
      </c>
      <c r="O42" s="20">
        <f t="shared" si="25"/>
        <v>0</v>
      </c>
      <c r="Q42" s="444"/>
      <c r="R42" s="441"/>
      <c r="U42" s="441"/>
    </row>
    <row r="43" spans="1:21" ht="20.100000000000001" customHeight="1" x14ac:dyDescent="0.2">
      <c r="A43" s="394"/>
      <c r="B43" s="395" t="s">
        <v>902</v>
      </c>
      <c r="C43" s="396">
        <f>SUM(C33:C42)</f>
        <v>127</v>
      </c>
      <c r="D43" s="397">
        <f>E43/C43</f>
        <v>0.29889763779527567</v>
      </c>
      <c r="E43" s="404">
        <f>SUM(E33:E42)</f>
        <v>37.960000000000008</v>
      </c>
      <c r="F43" s="404">
        <f>SUM(F33:F42)</f>
        <v>16.05</v>
      </c>
      <c r="G43" s="399">
        <f t="shared" ref="G43:G56" si="28">E43-F43</f>
        <v>21.910000000000007</v>
      </c>
      <c r="H43" s="397">
        <f>I43/C43</f>
        <v>0</v>
      </c>
      <c r="I43" s="404">
        <f>SUM(I33:I42)</f>
        <v>0</v>
      </c>
      <c r="J43" s="404">
        <f>SUM(J33:J42)</f>
        <v>0</v>
      </c>
      <c r="K43" s="399">
        <f>I43-J43</f>
        <v>0</v>
      </c>
      <c r="L43" s="397">
        <f>M43/C43</f>
        <v>0</v>
      </c>
      <c r="M43" s="404">
        <f>SUM(M33:M42)</f>
        <v>0</v>
      </c>
      <c r="N43" s="404">
        <f>SUM(N33:N42)</f>
        <v>0</v>
      </c>
      <c r="O43" s="399">
        <f t="shared" ref="O43:O56" si="29">M43-N43</f>
        <v>0</v>
      </c>
      <c r="Q43" s="444"/>
      <c r="R43" s="441"/>
      <c r="U43" s="441"/>
    </row>
    <row r="44" spans="1:21" ht="20.100000000000001" customHeight="1" x14ac:dyDescent="0.2">
      <c r="A44" s="950"/>
      <c r="B44" s="705" t="s">
        <v>904</v>
      </c>
      <c r="C44" s="706">
        <v>13</v>
      </c>
      <c r="D44" s="708">
        <f t="shared" ref="D44:D55" si="30">L44+H44</f>
        <v>0</v>
      </c>
      <c r="E44" s="709">
        <f t="shared" ref="E44:E55" si="31">D44*C44</f>
        <v>0</v>
      </c>
      <c r="F44" s="710">
        <f t="shared" ref="F44:F55" si="32">N44+J44</f>
        <v>0</v>
      </c>
      <c r="G44" s="711">
        <f t="shared" si="28"/>
        <v>0</v>
      </c>
      <c r="H44" s="712">
        <v>0</v>
      </c>
      <c r="I44" s="709">
        <v>0</v>
      </c>
      <c r="J44" s="710">
        <v>0</v>
      </c>
      <c r="K44" s="711">
        <v>0</v>
      </c>
      <c r="L44" s="712">
        <v>0</v>
      </c>
      <c r="M44" s="709">
        <f t="shared" ref="M44:M55" si="33">L44*C44</f>
        <v>0</v>
      </c>
      <c r="N44" s="710">
        <v>0</v>
      </c>
      <c r="O44" s="711">
        <f t="shared" si="29"/>
        <v>0</v>
      </c>
      <c r="Q44" s="713"/>
      <c r="R44" s="441"/>
      <c r="U44" s="441"/>
    </row>
    <row r="45" spans="1:21" ht="20.100000000000001" customHeight="1" x14ac:dyDescent="0.2">
      <c r="A45" s="950"/>
      <c r="B45" s="705" t="s">
        <v>896</v>
      </c>
      <c r="C45" s="706">
        <v>20</v>
      </c>
      <c r="D45" s="708">
        <f t="shared" si="30"/>
        <v>0</v>
      </c>
      <c r="E45" s="709">
        <f t="shared" si="31"/>
        <v>0</v>
      </c>
      <c r="F45" s="710">
        <f t="shared" si="32"/>
        <v>0</v>
      </c>
      <c r="G45" s="711">
        <f t="shared" si="28"/>
        <v>0</v>
      </c>
      <c r="H45" s="712">
        <v>0</v>
      </c>
      <c r="I45" s="709">
        <v>0</v>
      </c>
      <c r="J45" s="710">
        <v>0</v>
      </c>
      <c r="K45" s="711">
        <v>0</v>
      </c>
      <c r="L45" s="712">
        <v>0</v>
      </c>
      <c r="M45" s="709">
        <f t="shared" si="33"/>
        <v>0</v>
      </c>
      <c r="N45" s="710">
        <v>0</v>
      </c>
      <c r="O45" s="711">
        <f t="shared" si="29"/>
        <v>0</v>
      </c>
      <c r="Q45" s="713"/>
      <c r="R45" s="441"/>
      <c r="U45" s="441"/>
    </row>
    <row r="46" spans="1:21" ht="20.100000000000001" customHeight="1" x14ac:dyDescent="0.2">
      <c r="A46" s="950"/>
      <c r="B46" s="705" t="s">
        <v>899</v>
      </c>
      <c r="C46" s="706">
        <v>8</v>
      </c>
      <c r="D46" s="708">
        <f t="shared" si="30"/>
        <v>0</v>
      </c>
      <c r="E46" s="709">
        <f t="shared" si="31"/>
        <v>0</v>
      </c>
      <c r="F46" s="710">
        <f t="shared" si="32"/>
        <v>0</v>
      </c>
      <c r="G46" s="711">
        <f t="shared" si="28"/>
        <v>0</v>
      </c>
      <c r="H46" s="712">
        <v>0</v>
      </c>
      <c r="I46" s="709">
        <v>0</v>
      </c>
      <c r="J46" s="710">
        <v>0</v>
      </c>
      <c r="K46" s="711">
        <v>0</v>
      </c>
      <c r="L46" s="712">
        <v>0</v>
      </c>
      <c r="M46" s="709">
        <f t="shared" si="33"/>
        <v>0</v>
      </c>
      <c r="N46" s="710">
        <v>0</v>
      </c>
      <c r="O46" s="711">
        <f t="shared" si="29"/>
        <v>0</v>
      </c>
      <c r="Q46" s="713"/>
      <c r="R46" s="441"/>
      <c r="U46" s="441"/>
    </row>
    <row r="47" spans="1:21" ht="20.100000000000001" customHeight="1" x14ac:dyDescent="0.2">
      <c r="A47" s="950"/>
      <c r="B47" s="705" t="s">
        <v>898</v>
      </c>
      <c r="C47" s="743">
        <v>2</v>
      </c>
      <c r="D47" s="708">
        <f t="shared" si="30"/>
        <v>0</v>
      </c>
      <c r="E47" s="709">
        <f t="shared" si="31"/>
        <v>0</v>
      </c>
      <c r="F47" s="710">
        <f t="shared" si="32"/>
        <v>0</v>
      </c>
      <c r="G47" s="711">
        <f t="shared" si="28"/>
        <v>0</v>
      </c>
      <c r="H47" s="712">
        <v>0</v>
      </c>
      <c r="I47" s="709">
        <v>0</v>
      </c>
      <c r="J47" s="710">
        <v>0</v>
      </c>
      <c r="K47" s="711">
        <v>0</v>
      </c>
      <c r="L47" s="712">
        <v>0</v>
      </c>
      <c r="M47" s="709">
        <f t="shared" si="33"/>
        <v>0</v>
      </c>
      <c r="N47" s="710">
        <v>0</v>
      </c>
      <c r="O47" s="711">
        <f t="shared" si="29"/>
        <v>0</v>
      </c>
      <c r="Q47" s="713"/>
      <c r="R47" s="441"/>
      <c r="U47" s="441"/>
    </row>
    <row r="48" spans="1:21" ht="20.100000000000001" customHeight="1" x14ac:dyDescent="0.2">
      <c r="A48" s="950"/>
      <c r="B48" s="705" t="s">
        <v>900</v>
      </c>
      <c r="C48" s="706"/>
      <c r="D48" s="708">
        <f t="shared" si="30"/>
        <v>0</v>
      </c>
      <c r="E48" s="709">
        <f t="shared" si="31"/>
        <v>0</v>
      </c>
      <c r="F48" s="710">
        <f t="shared" si="32"/>
        <v>0</v>
      </c>
      <c r="G48" s="711">
        <f t="shared" si="28"/>
        <v>0</v>
      </c>
      <c r="H48" s="712">
        <v>0</v>
      </c>
      <c r="I48" s="709">
        <v>0</v>
      </c>
      <c r="J48" s="710">
        <v>0</v>
      </c>
      <c r="K48" s="711">
        <v>0</v>
      </c>
      <c r="L48" s="712">
        <v>0</v>
      </c>
      <c r="M48" s="709">
        <f t="shared" si="33"/>
        <v>0</v>
      </c>
      <c r="N48" s="710">
        <v>0</v>
      </c>
      <c r="O48" s="711">
        <f t="shared" si="29"/>
        <v>0</v>
      </c>
      <c r="Q48" s="444" t="s">
        <v>1066</v>
      </c>
      <c r="R48" s="441"/>
      <c r="U48" s="441"/>
    </row>
    <row r="49" spans="1:22" ht="20.100000000000001" customHeight="1" x14ac:dyDescent="0.2">
      <c r="A49" s="950"/>
      <c r="B49" s="707" t="s">
        <v>901</v>
      </c>
      <c r="C49" s="706"/>
      <c r="D49" s="708">
        <f t="shared" si="30"/>
        <v>0</v>
      </c>
      <c r="E49" s="709">
        <f t="shared" si="31"/>
        <v>0</v>
      </c>
      <c r="F49" s="710">
        <f t="shared" si="32"/>
        <v>0</v>
      </c>
      <c r="G49" s="711">
        <f t="shared" si="28"/>
        <v>0</v>
      </c>
      <c r="H49" s="712">
        <v>0</v>
      </c>
      <c r="I49" s="709">
        <v>0</v>
      </c>
      <c r="J49" s="710">
        <v>0</v>
      </c>
      <c r="K49" s="711">
        <v>0</v>
      </c>
      <c r="L49" s="712">
        <v>0</v>
      </c>
      <c r="M49" s="709">
        <f t="shared" si="33"/>
        <v>0</v>
      </c>
      <c r="N49" s="710">
        <v>0</v>
      </c>
      <c r="O49" s="711">
        <f t="shared" si="29"/>
        <v>0</v>
      </c>
      <c r="Q49" s="444" t="s">
        <v>1066</v>
      </c>
      <c r="R49" s="441"/>
      <c r="U49" s="441"/>
    </row>
    <row r="50" spans="1:22" ht="20.100000000000001" customHeight="1" x14ac:dyDescent="0.2">
      <c r="A50" s="950"/>
      <c r="B50" s="707" t="s">
        <v>739</v>
      </c>
      <c r="C50" s="706"/>
      <c r="D50" s="708">
        <f t="shared" si="30"/>
        <v>0</v>
      </c>
      <c r="E50" s="709">
        <f t="shared" si="31"/>
        <v>0</v>
      </c>
      <c r="F50" s="710">
        <f t="shared" si="32"/>
        <v>0</v>
      </c>
      <c r="G50" s="711">
        <f t="shared" si="28"/>
        <v>0</v>
      </c>
      <c r="H50" s="712">
        <v>0</v>
      </c>
      <c r="I50" s="709">
        <v>0</v>
      </c>
      <c r="J50" s="710">
        <v>0</v>
      </c>
      <c r="K50" s="711">
        <v>0</v>
      </c>
      <c r="L50" s="712">
        <v>0</v>
      </c>
      <c r="M50" s="709">
        <f t="shared" si="33"/>
        <v>0</v>
      </c>
      <c r="N50" s="710">
        <v>0</v>
      </c>
      <c r="O50" s="711">
        <f t="shared" si="29"/>
        <v>0</v>
      </c>
      <c r="Q50" s="713"/>
      <c r="R50" s="441"/>
      <c r="U50" s="441"/>
    </row>
    <row r="51" spans="1:22" ht="32.450000000000003" customHeight="1" x14ac:dyDescent="0.2">
      <c r="A51" s="950"/>
      <c r="B51" s="33" t="s">
        <v>1068</v>
      </c>
      <c r="C51" s="63">
        <v>23</v>
      </c>
      <c r="D51" s="17">
        <f t="shared" si="30"/>
        <v>0</v>
      </c>
      <c r="E51" s="18">
        <f t="shared" si="31"/>
        <v>0</v>
      </c>
      <c r="F51" s="19">
        <f t="shared" si="32"/>
        <v>0</v>
      </c>
      <c r="G51" s="20">
        <f t="shared" si="28"/>
        <v>0</v>
      </c>
      <c r="H51" s="21">
        <v>0</v>
      </c>
      <c r="I51" s="18">
        <v>0</v>
      </c>
      <c r="J51" s="19">
        <v>0</v>
      </c>
      <c r="K51" s="20">
        <v>0</v>
      </c>
      <c r="L51" s="21">
        <v>0</v>
      </c>
      <c r="M51" s="18">
        <f t="shared" si="33"/>
        <v>0</v>
      </c>
      <c r="N51" s="19">
        <v>0</v>
      </c>
      <c r="O51" s="20">
        <f t="shared" si="29"/>
        <v>0</v>
      </c>
      <c r="Q51" s="444"/>
      <c r="R51" s="441"/>
      <c r="U51" s="441"/>
    </row>
    <row r="52" spans="1:22" ht="20.100000000000001" customHeight="1" x14ac:dyDescent="0.2">
      <c r="A52" s="950"/>
      <c r="B52" s="707"/>
      <c r="C52" s="706"/>
      <c r="D52" s="708">
        <f t="shared" si="30"/>
        <v>0</v>
      </c>
      <c r="E52" s="709">
        <f t="shared" si="31"/>
        <v>0</v>
      </c>
      <c r="F52" s="710">
        <f t="shared" si="32"/>
        <v>0</v>
      </c>
      <c r="G52" s="711">
        <f t="shared" si="28"/>
        <v>0</v>
      </c>
      <c r="H52" s="712">
        <v>0</v>
      </c>
      <c r="I52" s="709">
        <v>0</v>
      </c>
      <c r="J52" s="710">
        <v>0</v>
      </c>
      <c r="K52" s="711">
        <v>0</v>
      </c>
      <c r="L52" s="712">
        <v>0</v>
      </c>
      <c r="M52" s="709">
        <f t="shared" si="33"/>
        <v>0</v>
      </c>
      <c r="N52" s="710">
        <v>0</v>
      </c>
      <c r="O52" s="711">
        <f t="shared" si="29"/>
        <v>0</v>
      </c>
      <c r="Q52" s="713"/>
      <c r="R52" s="441"/>
      <c r="U52" s="441"/>
    </row>
    <row r="53" spans="1:22" ht="20.100000000000001" customHeight="1" x14ac:dyDescent="0.2">
      <c r="A53" s="950"/>
      <c r="B53" s="707"/>
      <c r="C53" s="706"/>
      <c r="D53" s="708">
        <f t="shared" si="30"/>
        <v>0</v>
      </c>
      <c r="E53" s="709">
        <f t="shared" si="31"/>
        <v>0</v>
      </c>
      <c r="F53" s="710">
        <f t="shared" si="32"/>
        <v>0</v>
      </c>
      <c r="G53" s="711">
        <f t="shared" si="28"/>
        <v>0</v>
      </c>
      <c r="H53" s="712">
        <v>0</v>
      </c>
      <c r="I53" s="709">
        <v>0</v>
      </c>
      <c r="J53" s="710">
        <v>0</v>
      </c>
      <c r="K53" s="711">
        <v>0</v>
      </c>
      <c r="L53" s="712">
        <v>0</v>
      </c>
      <c r="M53" s="709">
        <f t="shared" si="33"/>
        <v>0</v>
      </c>
      <c r="N53" s="710">
        <v>0</v>
      </c>
      <c r="O53" s="711">
        <f t="shared" si="29"/>
        <v>0</v>
      </c>
      <c r="Q53" s="713"/>
      <c r="R53" s="441"/>
      <c r="U53" s="441"/>
    </row>
    <row r="54" spans="1:22" ht="20.100000000000001" customHeight="1" x14ac:dyDescent="0.2">
      <c r="A54" s="950"/>
      <c r="B54" s="707"/>
      <c r="C54" s="706"/>
      <c r="D54" s="708">
        <f t="shared" si="30"/>
        <v>0</v>
      </c>
      <c r="E54" s="709">
        <f t="shared" si="31"/>
        <v>0</v>
      </c>
      <c r="F54" s="710">
        <f t="shared" si="32"/>
        <v>0</v>
      </c>
      <c r="G54" s="711">
        <f t="shared" si="28"/>
        <v>0</v>
      </c>
      <c r="H54" s="712">
        <v>0</v>
      </c>
      <c r="I54" s="709">
        <v>0</v>
      </c>
      <c r="J54" s="710">
        <v>0</v>
      </c>
      <c r="K54" s="711">
        <v>0</v>
      </c>
      <c r="L54" s="712">
        <v>0</v>
      </c>
      <c r="M54" s="709">
        <f t="shared" si="33"/>
        <v>0</v>
      </c>
      <c r="N54" s="710">
        <v>0</v>
      </c>
      <c r="O54" s="711">
        <f t="shared" si="29"/>
        <v>0</v>
      </c>
      <c r="Q54" s="713"/>
      <c r="R54" s="441"/>
      <c r="U54" s="441"/>
    </row>
    <row r="55" spans="1:22" ht="20.100000000000001" customHeight="1" x14ac:dyDescent="0.2">
      <c r="A55" s="950"/>
      <c r="B55" s="707"/>
      <c r="C55" s="706"/>
      <c r="D55" s="708">
        <f t="shared" si="30"/>
        <v>0</v>
      </c>
      <c r="E55" s="709">
        <f t="shared" si="31"/>
        <v>0</v>
      </c>
      <c r="F55" s="710">
        <f t="shared" si="32"/>
        <v>0</v>
      </c>
      <c r="G55" s="711">
        <f t="shared" si="28"/>
        <v>0</v>
      </c>
      <c r="H55" s="712">
        <v>0</v>
      </c>
      <c r="I55" s="709">
        <v>0</v>
      </c>
      <c r="J55" s="710">
        <v>0</v>
      </c>
      <c r="K55" s="711">
        <v>0</v>
      </c>
      <c r="L55" s="712">
        <v>0</v>
      </c>
      <c r="M55" s="709">
        <f t="shared" si="33"/>
        <v>0</v>
      </c>
      <c r="N55" s="710">
        <v>0</v>
      </c>
      <c r="O55" s="711">
        <f t="shared" si="29"/>
        <v>0</v>
      </c>
      <c r="Q55" s="713"/>
      <c r="R55" s="441"/>
      <c r="U55" s="441"/>
    </row>
    <row r="56" spans="1:22" ht="20.100000000000001" customHeight="1" x14ac:dyDescent="0.2">
      <c r="A56" s="394"/>
      <c r="B56" s="395" t="s">
        <v>903</v>
      </c>
      <c r="C56" s="396">
        <f>SUM(C44:C55)</f>
        <v>66</v>
      </c>
      <c r="D56" s="397">
        <f>E56/C56</f>
        <v>0</v>
      </c>
      <c r="E56" s="404">
        <f>SUM(E44:E55)</f>
        <v>0</v>
      </c>
      <c r="F56" s="404">
        <f>SUM(F44:F55)</f>
        <v>0</v>
      </c>
      <c r="G56" s="399">
        <f t="shared" si="28"/>
        <v>0</v>
      </c>
      <c r="H56" s="397">
        <f>I56/C56</f>
        <v>0</v>
      </c>
      <c r="I56" s="404">
        <f>SUM(I44:I55)</f>
        <v>0</v>
      </c>
      <c r="J56" s="404">
        <f>SUM(J44:J55)</f>
        <v>0</v>
      </c>
      <c r="K56" s="399">
        <f>I56-J56</f>
        <v>0</v>
      </c>
      <c r="L56" s="397">
        <f>M56/C56</f>
        <v>0</v>
      </c>
      <c r="M56" s="404">
        <f>SUM(M44:M55)</f>
        <v>0</v>
      </c>
      <c r="N56" s="404">
        <f>SUM(N44:N55)</f>
        <v>0</v>
      </c>
      <c r="O56" s="399">
        <f t="shared" si="29"/>
        <v>0</v>
      </c>
      <c r="Q56" s="713"/>
      <c r="R56" s="441"/>
      <c r="U56" s="441"/>
    </row>
    <row r="57" spans="1:22" ht="20.100000000000001" customHeight="1" x14ac:dyDescent="0.2">
      <c r="A57" s="951"/>
      <c r="B57" s="705" t="s">
        <v>904</v>
      </c>
      <c r="C57" s="63">
        <v>13</v>
      </c>
      <c r="D57" s="17">
        <f t="shared" ref="D57:D67" si="34">L57+H57</f>
        <v>0</v>
      </c>
      <c r="E57" s="18">
        <f t="shared" ref="E57:E67" si="35">D57*C57</f>
        <v>0</v>
      </c>
      <c r="F57" s="19">
        <f t="shared" ref="F57:F67" si="36">N57+J57</f>
        <v>0</v>
      </c>
      <c r="G57" s="20">
        <f t="shared" ref="G57:G67" si="37">E57-F57</f>
        <v>0</v>
      </c>
      <c r="H57" s="21">
        <v>0</v>
      </c>
      <c r="I57" s="18">
        <v>0</v>
      </c>
      <c r="J57" s="19">
        <v>0</v>
      </c>
      <c r="K57" s="20">
        <v>0</v>
      </c>
      <c r="L57" s="21">
        <v>0</v>
      </c>
      <c r="M57" s="18">
        <f t="shared" ref="M57:M67" si="38">L57*C57</f>
        <v>0</v>
      </c>
      <c r="N57" s="19">
        <v>0</v>
      </c>
      <c r="O57" s="20">
        <f t="shared" ref="O57:O67" si="39">M57-N57</f>
        <v>0</v>
      </c>
    </row>
    <row r="58" spans="1:22" s="443" customFormat="1" ht="20.100000000000001" customHeight="1" x14ac:dyDescent="0.2">
      <c r="A58" s="951"/>
      <c r="B58" s="705" t="s">
        <v>896</v>
      </c>
      <c r="C58" s="63">
        <v>20</v>
      </c>
      <c r="D58" s="17">
        <f t="shared" si="34"/>
        <v>0</v>
      </c>
      <c r="E58" s="18">
        <f t="shared" si="35"/>
        <v>0</v>
      </c>
      <c r="F58" s="19">
        <f t="shared" si="36"/>
        <v>0</v>
      </c>
      <c r="G58" s="20">
        <f t="shared" si="37"/>
        <v>0</v>
      </c>
      <c r="H58" s="21">
        <v>0</v>
      </c>
      <c r="I58" s="18">
        <v>0</v>
      </c>
      <c r="J58" s="19">
        <v>0</v>
      </c>
      <c r="K58" s="20">
        <v>0</v>
      </c>
      <c r="L58" s="21">
        <v>0</v>
      </c>
      <c r="M58" s="18">
        <f t="shared" si="38"/>
        <v>0</v>
      </c>
      <c r="N58" s="19">
        <v>0</v>
      </c>
      <c r="O58" s="20">
        <f t="shared" si="39"/>
        <v>0</v>
      </c>
      <c r="P58" s="445"/>
      <c r="R58" s="442"/>
      <c r="U58" s="442"/>
      <c r="V58" s="445"/>
    </row>
    <row r="59" spans="1:22" ht="20.100000000000001" customHeight="1" x14ac:dyDescent="0.2">
      <c r="A59" s="951"/>
      <c r="B59" s="705" t="s">
        <v>899</v>
      </c>
      <c r="C59" s="63">
        <v>8</v>
      </c>
      <c r="D59" s="17">
        <f t="shared" si="34"/>
        <v>0</v>
      </c>
      <c r="E59" s="18">
        <f t="shared" si="35"/>
        <v>0</v>
      </c>
      <c r="F59" s="19">
        <f t="shared" si="36"/>
        <v>0</v>
      </c>
      <c r="G59" s="20">
        <f t="shared" si="37"/>
        <v>0</v>
      </c>
      <c r="H59" s="21">
        <v>0</v>
      </c>
      <c r="I59" s="18">
        <v>0</v>
      </c>
      <c r="J59" s="19">
        <v>0</v>
      </c>
      <c r="K59" s="20">
        <v>0</v>
      </c>
      <c r="L59" s="21">
        <v>0</v>
      </c>
      <c r="M59" s="18">
        <f t="shared" si="38"/>
        <v>0</v>
      </c>
      <c r="N59" s="19">
        <v>0</v>
      </c>
      <c r="O59" s="20">
        <f t="shared" si="39"/>
        <v>0</v>
      </c>
      <c r="Q59" s="443"/>
      <c r="R59" s="446"/>
      <c r="S59" s="443"/>
      <c r="T59" s="443"/>
      <c r="U59" s="446"/>
    </row>
    <row r="60" spans="1:22" s="441" customFormat="1" ht="20.100000000000001" customHeight="1" x14ac:dyDescent="0.2">
      <c r="A60" s="951"/>
      <c r="B60" s="705" t="s">
        <v>898</v>
      </c>
      <c r="C60" s="742">
        <v>2</v>
      </c>
      <c r="D60" s="17">
        <f t="shared" si="34"/>
        <v>0</v>
      </c>
      <c r="E60" s="18">
        <f t="shared" si="35"/>
        <v>0</v>
      </c>
      <c r="F60" s="19">
        <f t="shared" si="36"/>
        <v>0</v>
      </c>
      <c r="G60" s="20">
        <f t="shared" si="37"/>
        <v>0</v>
      </c>
      <c r="H60" s="21">
        <v>0</v>
      </c>
      <c r="I60" s="18">
        <v>0</v>
      </c>
      <c r="J60" s="19">
        <v>0</v>
      </c>
      <c r="K60" s="20">
        <v>0</v>
      </c>
      <c r="L60" s="21">
        <v>0</v>
      </c>
      <c r="M60" s="18">
        <f t="shared" si="38"/>
        <v>0</v>
      </c>
      <c r="N60" s="19">
        <v>0</v>
      </c>
      <c r="O60" s="20">
        <f t="shared" si="39"/>
        <v>0</v>
      </c>
    </row>
    <row r="61" spans="1:22" ht="20.100000000000001" customHeight="1" x14ac:dyDescent="0.2">
      <c r="A61" s="951"/>
      <c r="B61" s="705" t="s">
        <v>900</v>
      </c>
      <c r="C61" s="63"/>
      <c r="D61" s="17">
        <f t="shared" si="34"/>
        <v>0</v>
      </c>
      <c r="E61" s="18">
        <f t="shared" si="35"/>
        <v>0</v>
      </c>
      <c r="F61" s="19">
        <f t="shared" si="36"/>
        <v>0</v>
      </c>
      <c r="G61" s="20">
        <f t="shared" si="37"/>
        <v>0</v>
      </c>
      <c r="H61" s="21">
        <v>0</v>
      </c>
      <c r="I61" s="18">
        <v>0</v>
      </c>
      <c r="J61" s="19">
        <v>0</v>
      </c>
      <c r="K61" s="20">
        <v>0</v>
      </c>
      <c r="L61" s="21">
        <v>0</v>
      </c>
      <c r="M61" s="18">
        <f t="shared" si="38"/>
        <v>0</v>
      </c>
      <c r="N61" s="19">
        <v>0</v>
      </c>
      <c r="O61" s="20">
        <f t="shared" si="39"/>
        <v>0</v>
      </c>
      <c r="Q61" s="444" t="s">
        <v>1066</v>
      </c>
      <c r="R61" s="805"/>
    </row>
    <row r="62" spans="1:22" ht="20.100000000000001" customHeight="1" x14ac:dyDescent="0.2">
      <c r="A62" s="951"/>
      <c r="B62" s="707" t="s">
        <v>901</v>
      </c>
      <c r="C62" s="63"/>
      <c r="D62" s="17">
        <f t="shared" si="34"/>
        <v>0</v>
      </c>
      <c r="E62" s="18">
        <f t="shared" si="35"/>
        <v>0</v>
      </c>
      <c r="F62" s="19">
        <f t="shared" si="36"/>
        <v>0</v>
      </c>
      <c r="G62" s="20">
        <f t="shared" si="37"/>
        <v>0</v>
      </c>
      <c r="H62" s="21">
        <v>0</v>
      </c>
      <c r="I62" s="18">
        <v>0</v>
      </c>
      <c r="J62" s="19">
        <v>0</v>
      </c>
      <c r="K62" s="20">
        <v>0</v>
      </c>
      <c r="L62" s="21">
        <v>0</v>
      </c>
      <c r="M62" s="18">
        <f t="shared" si="38"/>
        <v>0</v>
      </c>
      <c r="N62" s="19">
        <v>0</v>
      </c>
      <c r="O62" s="20">
        <f t="shared" si="39"/>
        <v>0</v>
      </c>
      <c r="Q62" s="444" t="s">
        <v>1066</v>
      </c>
    </row>
    <row r="63" spans="1:22" ht="20.100000000000001" customHeight="1" x14ac:dyDescent="0.2">
      <c r="A63" s="951"/>
      <c r="B63" s="707" t="s">
        <v>739</v>
      </c>
      <c r="C63" s="63"/>
      <c r="D63" s="17">
        <f t="shared" si="34"/>
        <v>0</v>
      </c>
      <c r="E63" s="18">
        <f t="shared" si="35"/>
        <v>0</v>
      </c>
      <c r="F63" s="19">
        <f t="shared" si="36"/>
        <v>0</v>
      </c>
      <c r="G63" s="20">
        <f t="shared" si="37"/>
        <v>0</v>
      </c>
      <c r="H63" s="21">
        <v>0</v>
      </c>
      <c r="I63" s="18">
        <v>0</v>
      </c>
      <c r="J63" s="19">
        <v>0</v>
      </c>
      <c r="K63" s="20">
        <v>0</v>
      </c>
      <c r="L63" s="21">
        <v>0</v>
      </c>
      <c r="M63" s="18">
        <f t="shared" si="38"/>
        <v>0</v>
      </c>
      <c r="N63" s="19">
        <v>0</v>
      </c>
      <c r="O63" s="20">
        <f t="shared" si="39"/>
        <v>0</v>
      </c>
    </row>
    <row r="64" spans="1:22" ht="32.450000000000003" customHeight="1" x14ac:dyDescent="0.2">
      <c r="A64" s="950"/>
      <c r="B64" s="33" t="s">
        <v>1068</v>
      </c>
      <c r="C64" s="63">
        <v>23</v>
      </c>
      <c r="D64" s="17">
        <f t="shared" si="34"/>
        <v>0</v>
      </c>
      <c r="E64" s="18">
        <f t="shared" si="35"/>
        <v>0</v>
      </c>
      <c r="F64" s="19">
        <f t="shared" si="36"/>
        <v>0</v>
      </c>
      <c r="G64" s="20">
        <f t="shared" si="37"/>
        <v>0</v>
      </c>
      <c r="H64" s="21">
        <v>0</v>
      </c>
      <c r="I64" s="18">
        <v>0</v>
      </c>
      <c r="J64" s="19">
        <v>0</v>
      </c>
      <c r="K64" s="20">
        <v>0</v>
      </c>
      <c r="L64" s="21">
        <v>0</v>
      </c>
      <c r="M64" s="18">
        <f t="shared" si="38"/>
        <v>0</v>
      </c>
      <c r="N64" s="19">
        <v>0</v>
      </c>
      <c r="O64" s="20">
        <f t="shared" si="39"/>
        <v>0</v>
      </c>
      <c r="Q64" s="444"/>
      <c r="R64" s="441"/>
      <c r="U64" s="441"/>
    </row>
    <row r="65" spans="1:22" ht="20.100000000000001" customHeight="1" x14ac:dyDescent="0.2">
      <c r="A65" s="951"/>
      <c r="B65" s="707"/>
      <c r="C65" s="63"/>
      <c r="D65" s="17">
        <f t="shared" si="34"/>
        <v>0</v>
      </c>
      <c r="E65" s="18">
        <f t="shared" si="35"/>
        <v>0</v>
      </c>
      <c r="F65" s="19">
        <f t="shared" si="36"/>
        <v>0</v>
      </c>
      <c r="G65" s="20">
        <f t="shared" si="37"/>
        <v>0</v>
      </c>
      <c r="H65" s="21">
        <v>0</v>
      </c>
      <c r="I65" s="18">
        <v>0</v>
      </c>
      <c r="J65" s="19">
        <v>0</v>
      </c>
      <c r="K65" s="20">
        <v>0</v>
      </c>
      <c r="L65" s="21">
        <v>0</v>
      </c>
      <c r="M65" s="18">
        <f t="shared" si="38"/>
        <v>0</v>
      </c>
      <c r="N65" s="19">
        <v>0</v>
      </c>
      <c r="O65" s="20">
        <f t="shared" si="39"/>
        <v>0</v>
      </c>
    </row>
    <row r="66" spans="1:22" s="443" customFormat="1" ht="20.100000000000001" customHeight="1" x14ac:dyDescent="0.2">
      <c r="A66" s="951"/>
      <c r="B66" s="707"/>
      <c r="C66" s="63"/>
      <c r="D66" s="17">
        <f t="shared" si="34"/>
        <v>0</v>
      </c>
      <c r="E66" s="18">
        <f t="shared" si="35"/>
        <v>0</v>
      </c>
      <c r="F66" s="19">
        <f t="shared" si="36"/>
        <v>0</v>
      </c>
      <c r="G66" s="20">
        <f t="shared" si="37"/>
        <v>0</v>
      </c>
      <c r="H66" s="21">
        <v>0</v>
      </c>
      <c r="I66" s="18">
        <v>0</v>
      </c>
      <c r="J66" s="19">
        <v>0</v>
      </c>
      <c r="K66" s="20">
        <v>0</v>
      </c>
      <c r="L66" s="21">
        <v>0</v>
      </c>
      <c r="M66" s="18">
        <f t="shared" si="38"/>
        <v>0</v>
      </c>
      <c r="N66" s="19">
        <v>0</v>
      </c>
      <c r="O66" s="20">
        <f t="shared" si="39"/>
        <v>0</v>
      </c>
    </row>
    <row r="67" spans="1:22" ht="20.100000000000001" customHeight="1" x14ac:dyDescent="0.2">
      <c r="A67" s="951"/>
      <c r="B67" s="707"/>
      <c r="C67" s="63"/>
      <c r="D67" s="17">
        <f t="shared" si="34"/>
        <v>0</v>
      </c>
      <c r="E67" s="18">
        <f t="shared" si="35"/>
        <v>0</v>
      </c>
      <c r="F67" s="19">
        <f t="shared" si="36"/>
        <v>0</v>
      </c>
      <c r="G67" s="20">
        <f t="shared" si="37"/>
        <v>0</v>
      </c>
      <c r="H67" s="21">
        <v>0</v>
      </c>
      <c r="I67" s="18">
        <v>0</v>
      </c>
      <c r="J67" s="19">
        <v>0</v>
      </c>
      <c r="K67" s="20">
        <v>0</v>
      </c>
      <c r="L67" s="21">
        <v>0</v>
      </c>
      <c r="M67" s="18">
        <f t="shared" si="38"/>
        <v>0</v>
      </c>
      <c r="N67" s="19">
        <v>0</v>
      </c>
      <c r="O67" s="20">
        <f t="shared" si="39"/>
        <v>0</v>
      </c>
    </row>
    <row r="68" spans="1:22" s="6" customFormat="1" ht="20.100000000000001" customHeight="1" x14ac:dyDescent="0.2">
      <c r="A68" s="394"/>
      <c r="B68" s="395" t="s">
        <v>115</v>
      </c>
      <c r="C68" s="396">
        <f>SUM(C57:C67)</f>
        <v>66</v>
      </c>
      <c r="D68" s="397">
        <f>E68/C68</f>
        <v>0</v>
      </c>
      <c r="E68" s="404">
        <f>SUM(E57:E67)</f>
        <v>0</v>
      </c>
      <c r="F68" s="404">
        <f>SUM(F57:F67)</f>
        <v>0</v>
      </c>
      <c r="G68" s="399">
        <f t="shared" ref="G68:G79" si="40">E68-F68</f>
        <v>0</v>
      </c>
      <c r="H68" s="397">
        <f>I68/C68</f>
        <v>0</v>
      </c>
      <c r="I68" s="404">
        <f>SUM(I57:I67)</f>
        <v>0</v>
      </c>
      <c r="J68" s="404">
        <f>SUM(J57:J67)</f>
        <v>0</v>
      </c>
      <c r="K68" s="399">
        <f>I68-J68</f>
        <v>0</v>
      </c>
      <c r="L68" s="397">
        <f>M68/C68</f>
        <v>0</v>
      </c>
      <c r="M68" s="404">
        <f>SUM(M57:M67)</f>
        <v>0</v>
      </c>
      <c r="N68" s="404">
        <f>SUM(N57:N67)</f>
        <v>0</v>
      </c>
      <c r="O68" s="399">
        <f t="shared" ref="O68:O79" si="41">M68-N68</f>
        <v>0</v>
      </c>
    </row>
    <row r="69" spans="1:22" ht="20.100000000000001" customHeight="1" x14ac:dyDescent="0.2">
      <c r="A69" s="950"/>
      <c r="B69" s="705" t="s">
        <v>904</v>
      </c>
      <c r="C69" s="706">
        <v>13</v>
      </c>
      <c r="D69" s="708">
        <f t="shared" ref="D69:D78" si="42">L69+H69</f>
        <v>0</v>
      </c>
      <c r="E69" s="709">
        <f t="shared" ref="E69:E78" si="43">D69*C69</f>
        <v>0</v>
      </c>
      <c r="F69" s="710">
        <f t="shared" ref="F69:F78" si="44">N69+J69</f>
        <v>0</v>
      </c>
      <c r="G69" s="711">
        <f t="shared" si="40"/>
        <v>0</v>
      </c>
      <c r="H69" s="712">
        <v>0</v>
      </c>
      <c r="I69" s="709">
        <v>0</v>
      </c>
      <c r="J69" s="710">
        <v>0</v>
      </c>
      <c r="K69" s="711">
        <v>0</v>
      </c>
      <c r="L69" s="712">
        <v>0</v>
      </c>
      <c r="M69" s="709">
        <f t="shared" ref="M69:M78" si="45">L69*C69</f>
        <v>0</v>
      </c>
      <c r="N69" s="710">
        <v>0</v>
      </c>
      <c r="O69" s="711">
        <f t="shared" si="41"/>
        <v>0</v>
      </c>
    </row>
    <row r="70" spans="1:22" s="443" customFormat="1" ht="20.100000000000001" customHeight="1" x14ac:dyDescent="0.2">
      <c r="A70" s="950"/>
      <c r="B70" s="705" t="s">
        <v>896</v>
      </c>
      <c r="C70" s="706">
        <v>23</v>
      </c>
      <c r="D70" s="708">
        <f t="shared" si="42"/>
        <v>0</v>
      </c>
      <c r="E70" s="709">
        <f t="shared" si="43"/>
        <v>0</v>
      </c>
      <c r="F70" s="710">
        <f t="shared" si="44"/>
        <v>0</v>
      </c>
      <c r="G70" s="711">
        <f t="shared" si="40"/>
        <v>0</v>
      </c>
      <c r="H70" s="712">
        <v>0</v>
      </c>
      <c r="I70" s="709">
        <v>0</v>
      </c>
      <c r="J70" s="710">
        <v>0</v>
      </c>
      <c r="K70" s="711">
        <v>0</v>
      </c>
      <c r="L70" s="712">
        <v>0</v>
      </c>
      <c r="M70" s="709">
        <f t="shared" si="45"/>
        <v>0</v>
      </c>
      <c r="N70" s="710">
        <v>0</v>
      </c>
      <c r="O70" s="711">
        <f t="shared" si="41"/>
        <v>0</v>
      </c>
      <c r="P70" s="445"/>
      <c r="R70" s="442"/>
      <c r="U70" s="442"/>
      <c r="V70" s="445"/>
    </row>
    <row r="71" spans="1:22" ht="20.100000000000001" customHeight="1" x14ac:dyDescent="0.2">
      <c r="A71" s="950"/>
      <c r="B71" s="705" t="s">
        <v>899</v>
      </c>
      <c r="C71" s="706">
        <v>8</v>
      </c>
      <c r="D71" s="708">
        <f t="shared" si="42"/>
        <v>0</v>
      </c>
      <c r="E71" s="709">
        <f t="shared" si="43"/>
        <v>0</v>
      </c>
      <c r="F71" s="710">
        <f t="shared" si="44"/>
        <v>0</v>
      </c>
      <c r="G71" s="711">
        <f t="shared" si="40"/>
        <v>0</v>
      </c>
      <c r="H71" s="712">
        <v>0</v>
      </c>
      <c r="I71" s="709">
        <v>0</v>
      </c>
      <c r="J71" s="710">
        <v>0</v>
      </c>
      <c r="K71" s="711">
        <v>0</v>
      </c>
      <c r="L71" s="712">
        <v>0</v>
      </c>
      <c r="M71" s="709">
        <f t="shared" si="45"/>
        <v>0</v>
      </c>
      <c r="N71" s="710">
        <v>0</v>
      </c>
      <c r="O71" s="711">
        <f t="shared" si="41"/>
        <v>0</v>
      </c>
      <c r="Q71" s="443"/>
      <c r="R71" s="446"/>
      <c r="S71" s="443"/>
      <c r="T71" s="443"/>
      <c r="U71" s="446"/>
    </row>
    <row r="72" spans="1:22" s="441" customFormat="1" ht="20.100000000000001" customHeight="1" x14ac:dyDescent="0.2">
      <c r="A72" s="950"/>
      <c r="B72" s="705" t="s">
        <v>898</v>
      </c>
      <c r="C72" s="743">
        <v>2</v>
      </c>
      <c r="D72" s="708">
        <f t="shared" si="42"/>
        <v>0</v>
      </c>
      <c r="E72" s="709">
        <f t="shared" si="43"/>
        <v>0</v>
      </c>
      <c r="F72" s="710">
        <f t="shared" si="44"/>
        <v>0</v>
      </c>
      <c r="G72" s="711">
        <f t="shared" si="40"/>
        <v>0</v>
      </c>
      <c r="H72" s="712">
        <v>0</v>
      </c>
      <c r="I72" s="709">
        <v>0</v>
      </c>
      <c r="J72" s="710">
        <v>0</v>
      </c>
      <c r="K72" s="711">
        <v>0</v>
      </c>
      <c r="L72" s="712">
        <v>0</v>
      </c>
      <c r="M72" s="709">
        <f t="shared" si="45"/>
        <v>0</v>
      </c>
      <c r="N72" s="710">
        <v>0</v>
      </c>
      <c r="O72" s="711">
        <f t="shared" si="41"/>
        <v>0</v>
      </c>
    </row>
    <row r="73" spans="1:22" ht="20.100000000000001" customHeight="1" x14ac:dyDescent="0.2">
      <c r="A73" s="950"/>
      <c r="B73" s="705" t="s">
        <v>900</v>
      </c>
      <c r="C73" s="706"/>
      <c r="D73" s="708">
        <f t="shared" si="42"/>
        <v>0</v>
      </c>
      <c r="E73" s="709">
        <f t="shared" si="43"/>
        <v>0</v>
      </c>
      <c r="F73" s="710">
        <f t="shared" si="44"/>
        <v>0</v>
      </c>
      <c r="G73" s="711">
        <f t="shared" si="40"/>
        <v>0</v>
      </c>
      <c r="H73" s="712">
        <v>0</v>
      </c>
      <c r="I73" s="709">
        <v>0</v>
      </c>
      <c r="J73" s="710">
        <v>0</v>
      </c>
      <c r="K73" s="711">
        <v>0</v>
      </c>
      <c r="L73" s="712">
        <v>0</v>
      </c>
      <c r="M73" s="709">
        <f t="shared" si="45"/>
        <v>0</v>
      </c>
      <c r="N73" s="710">
        <v>0</v>
      </c>
      <c r="O73" s="711">
        <f t="shared" si="41"/>
        <v>0</v>
      </c>
    </row>
    <row r="74" spans="1:22" ht="52.15" customHeight="1" x14ac:dyDescent="0.2">
      <c r="A74" s="950"/>
      <c r="B74" s="707" t="s">
        <v>901</v>
      </c>
      <c r="C74" s="706">
        <v>245</v>
      </c>
      <c r="D74" s="708">
        <f t="shared" si="42"/>
        <v>0</v>
      </c>
      <c r="E74" s="709">
        <f t="shared" si="43"/>
        <v>0</v>
      </c>
      <c r="F74" s="710">
        <f t="shared" si="44"/>
        <v>0</v>
      </c>
      <c r="G74" s="711">
        <f t="shared" si="40"/>
        <v>0</v>
      </c>
      <c r="H74" s="712">
        <v>0</v>
      </c>
      <c r="I74" s="709">
        <v>0</v>
      </c>
      <c r="J74" s="710">
        <v>0</v>
      </c>
      <c r="K74" s="711">
        <v>0</v>
      </c>
      <c r="L74" s="712">
        <v>0</v>
      </c>
      <c r="M74" s="709">
        <f t="shared" si="45"/>
        <v>0</v>
      </c>
      <c r="N74" s="710">
        <v>0</v>
      </c>
      <c r="O74" s="711">
        <f t="shared" si="41"/>
        <v>0</v>
      </c>
      <c r="Q74" s="442" t="s">
        <v>1067</v>
      </c>
    </row>
    <row r="75" spans="1:22" ht="20.100000000000001" customHeight="1" x14ac:dyDescent="0.2">
      <c r="A75" s="950"/>
      <c r="B75" s="707" t="s">
        <v>739</v>
      </c>
      <c r="C75" s="706"/>
      <c r="D75" s="708">
        <f t="shared" si="42"/>
        <v>0</v>
      </c>
      <c r="E75" s="709">
        <f t="shared" si="43"/>
        <v>0</v>
      </c>
      <c r="F75" s="710">
        <f t="shared" si="44"/>
        <v>0</v>
      </c>
      <c r="G75" s="711">
        <f t="shared" si="40"/>
        <v>0</v>
      </c>
      <c r="H75" s="712">
        <v>0</v>
      </c>
      <c r="I75" s="709">
        <v>0</v>
      </c>
      <c r="J75" s="710">
        <v>0</v>
      </c>
      <c r="K75" s="711">
        <v>0</v>
      </c>
      <c r="L75" s="712">
        <v>0</v>
      </c>
      <c r="M75" s="709">
        <f t="shared" si="45"/>
        <v>0</v>
      </c>
      <c r="N75" s="710">
        <v>0</v>
      </c>
      <c r="O75" s="711">
        <f t="shared" si="41"/>
        <v>0</v>
      </c>
    </row>
    <row r="76" spans="1:22" ht="20.100000000000001" customHeight="1" x14ac:dyDescent="0.2">
      <c r="A76" s="950"/>
      <c r="B76" s="707"/>
      <c r="C76" s="706"/>
      <c r="D76" s="708">
        <f t="shared" si="42"/>
        <v>0</v>
      </c>
      <c r="E76" s="709">
        <f t="shared" si="43"/>
        <v>0</v>
      </c>
      <c r="F76" s="710">
        <f t="shared" si="44"/>
        <v>0</v>
      </c>
      <c r="G76" s="711">
        <f t="shared" si="40"/>
        <v>0</v>
      </c>
      <c r="H76" s="712">
        <v>0</v>
      </c>
      <c r="I76" s="709">
        <v>0</v>
      </c>
      <c r="J76" s="710">
        <v>0</v>
      </c>
      <c r="K76" s="711">
        <v>0</v>
      </c>
      <c r="L76" s="712">
        <v>0</v>
      </c>
      <c r="M76" s="709">
        <f t="shared" si="45"/>
        <v>0</v>
      </c>
      <c r="N76" s="710">
        <v>0</v>
      </c>
      <c r="O76" s="711">
        <f t="shared" si="41"/>
        <v>0</v>
      </c>
    </row>
    <row r="77" spans="1:22" s="443" customFormat="1" ht="20.100000000000001" customHeight="1" x14ac:dyDescent="0.2">
      <c r="A77" s="950"/>
      <c r="B77" s="707"/>
      <c r="C77" s="706"/>
      <c r="D77" s="708">
        <f t="shared" si="42"/>
        <v>0</v>
      </c>
      <c r="E77" s="709">
        <f t="shared" si="43"/>
        <v>0</v>
      </c>
      <c r="F77" s="710">
        <f t="shared" si="44"/>
        <v>0</v>
      </c>
      <c r="G77" s="711">
        <f t="shared" si="40"/>
        <v>0</v>
      </c>
      <c r="H77" s="712">
        <v>0</v>
      </c>
      <c r="I77" s="709">
        <v>0</v>
      </c>
      <c r="J77" s="710">
        <v>0</v>
      </c>
      <c r="K77" s="711">
        <v>0</v>
      </c>
      <c r="L77" s="712">
        <v>0</v>
      </c>
      <c r="M77" s="709">
        <f t="shared" si="45"/>
        <v>0</v>
      </c>
      <c r="N77" s="710">
        <v>0</v>
      </c>
      <c r="O77" s="711">
        <f t="shared" si="41"/>
        <v>0</v>
      </c>
    </row>
    <row r="78" spans="1:22" ht="20.100000000000001" customHeight="1" x14ac:dyDescent="0.2">
      <c r="A78" s="950"/>
      <c r="B78" s="707"/>
      <c r="C78" s="706"/>
      <c r="D78" s="708">
        <f t="shared" si="42"/>
        <v>0</v>
      </c>
      <c r="E78" s="709">
        <f t="shared" si="43"/>
        <v>0</v>
      </c>
      <c r="F78" s="710">
        <f t="shared" si="44"/>
        <v>0</v>
      </c>
      <c r="G78" s="711">
        <f t="shared" si="40"/>
        <v>0</v>
      </c>
      <c r="H78" s="712">
        <v>0</v>
      </c>
      <c r="I78" s="709">
        <v>0</v>
      </c>
      <c r="J78" s="710">
        <v>0</v>
      </c>
      <c r="K78" s="711">
        <v>0</v>
      </c>
      <c r="L78" s="712">
        <v>0</v>
      </c>
      <c r="M78" s="709">
        <f t="shared" si="45"/>
        <v>0</v>
      </c>
      <c r="N78" s="710">
        <v>0</v>
      </c>
      <c r="O78" s="711">
        <f t="shared" si="41"/>
        <v>0</v>
      </c>
    </row>
    <row r="79" spans="1:22" s="6" customFormat="1" ht="20.100000000000001" customHeight="1" x14ac:dyDescent="0.2">
      <c r="A79" s="394"/>
      <c r="B79" s="395" t="s">
        <v>116</v>
      </c>
      <c r="C79" s="396">
        <f>SUM(C69:C78)</f>
        <v>291</v>
      </c>
      <c r="D79" s="397">
        <f>E79/C79</f>
        <v>0</v>
      </c>
      <c r="E79" s="404">
        <f>SUM(E69:E78)</f>
        <v>0</v>
      </c>
      <c r="F79" s="404">
        <f>SUM(F69:F78)</f>
        <v>0</v>
      </c>
      <c r="G79" s="399">
        <f t="shared" si="40"/>
        <v>0</v>
      </c>
      <c r="H79" s="397">
        <f>I79/C79</f>
        <v>0</v>
      </c>
      <c r="I79" s="404">
        <f>SUM(I69:I78)</f>
        <v>0</v>
      </c>
      <c r="J79" s="404">
        <f>SUM(J69:J78)</f>
        <v>0</v>
      </c>
      <c r="K79" s="399">
        <f>I79-J79</f>
        <v>0</v>
      </c>
      <c r="L79" s="397">
        <f>M79/C79</f>
        <v>0</v>
      </c>
      <c r="M79" s="404">
        <f>SUM(M69:M78)</f>
        <v>0</v>
      </c>
      <c r="N79" s="404">
        <f>SUM(N69:N78)</f>
        <v>0</v>
      </c>
      <c r="O79" s="399">
        <f t="shared" si="41"/>
        <v>0</v>
      </c>
    </row>
    <row r="80" spans="1:22" ht="20.100000000000001" customHeight="1" x14ac:dyDescent="0.2">
      <c r="A80" s="951"/>
      <c r="B80" s="33" t="s">
        <v>905</v>
      </c>
      <c r="C80" s="63"/>
      <c r="D80" s="17">
        <f t="shared" ref="D80:D86" si="46">L80+H80</f>
        <v>0</v>
      </c>
      <c r="E80" s="18">
        <f t="shared" ref="E80:E86" si="47">D80*C80</f>
        <v>0</v>
      </c>
      <c r="F80" s="19">
        <f t="shared" ref="F80:F86" si="48">N80+J80</f>
        <v>0</v>
      </c>
      <c r="G80" s="20">
        <f t="shared" ref="G80:G86" si="49">E80-F80</f>
        <v>0</v>
      </c>
      <c r="H80" s="21">
        <v>0</v>
      </c>
      <c r="I80" s="18">
        <v>0</v>
      </c>
      <c r="J80" s="19">
        <v>0</v>
      </c>
      <c r="K80" s="20">
        <v>0</v>
      </c>
      <c r="L80" s="21">
        <v>0</v>
      </c>
      <c r="M80" s="18">
        <f t="shared" ref="M80:M86" si="50">L80*C80</f>
        <v>0</v>
      </c>
      <c r="N80" s="19">
        <v>0</v>
      </c>
      <c r="O80" s="20">
        <f t="shared" ref="O80:O86" si="51">M80-N80</f>
        <v>0</v>
      </c>
    </row>
    <row r="81" spans="1:15" ht="20.100000000000001" customHeight="1" x14ac:dyDescent="0.2">
      <c r="A81" s="951"/>
      <c r="B81" s="33" t="s">
        <v>906</v>
      </c>
      <c r="C81" s="63"/>
      <c r="D81" s="17">
        <f t="shared" si="46"/>
        <v>0</v>
      </c>
      <c r="E81" s="18">
        <f t="shared" si="47"/>
        <v>0</v>
      </c>
      <c r="F81" s="19">
        <f t="shared" si="48"/>
        <v>0</v>
      </c>
      <c r="G81" s="20">
        <f t="shared" si="49"/>
        <v>0</v>
      </c>
      <c r="H81" s="21">
        <v>0</v>
      </c>
      <c r="I81" s="18">
        <v>0</v>
      </c>
      <c r="J81" s="19">
        <v>0</v>
      </c>
      <c r="K81" s="20">
        <v>0</v>
      </c>
      <c r="L81" s="21">
        <v>0</v>
      </c>
      <c r="M81" s="18">
        <f t="shared" si="50"/>
        <v>0</v>
      </c>
      <c r="N81" s="19">
        <v>0</v>
      </c>
      <c r="O81" s="20">
        <f t="shared" si="51"/>
        <v>0</v>
      </c>
    </row>
    <row r="82" spans="1:15" ht="20.100000000000001" customHeight="1" x14ac:dyDescent="0.2">
      <c r="A82" s="951"/>
      <c r="B82" s="33"/>
      <c r="C82" s="63"/>
      <c r="D82" s="17">
        <f t="shared" si="46"/>
        <v>0</v>
      </c>
      <c r="E82" s="18">
        <f t="shared" si="47"/>
        <v>0</v>
      </c>
      <c r="F82" s="19">
        <f t="shared" si="48"/>
        <v>0</v>
      </c>
      <c r="G82" s="20">
        <f t="shared" si="49"/>
        <v>0</v>
      </c>
      <c r="H82" s="21">
        <v>0</v>
      </c>
      <c r="I82" s="18">
        <v>0</v>
      </c>
      <c r="J82" s="19">
        <v>0</v>
      </c>
      <c r="K82" s="20">
        <v>0</v>
      </c>
      <c r="L82" s="21">
        <v>0</v>
      </c>
      <c r="M82" s="18">
        <f t="shared" si="50"/>
        <v>0</v>
      </c>
      <c r="N82" s="19">
        <v>0</v>
      </c>
      <c r="O82" s="20">
        <f t="shared" si="51"/>
        <v>0</v>
      </c>
    </row>
    <row r="83" spans="1:15" ht="20.100000000000001" customHeight="1" x14ac:dyDescent="0.2">
      <c r="A83" s="951"/>
      <c r="B83" s="33"/>
      <c r="C83" s="63"/>
      <c r="D83" s="17">
        <f t="shared" si="46"/>
        <v>0</v>
      </c>
      <c r="E83" s="18">
        <f t="shared" si="47"/>
        <v>0</v>
      </c>
      <c r="F83" s="19">
        <f t="shared" si="48"/>
        <v>0</v>
      </c>
      <c r="G83" s="20">
        <f t="shared" si="49"/>
        <v>0</v>
      </c>
      <c r="H83" s="21">
        <v>0</v>
      </c>
      <c r="I83" s="18">
        <v>0</v>
      </c>
      <c r="J83" s="19">
        <v>0</v>
      </c>
      <c r="K83" s="20">
        <v>0</v>
      </c>
      <c r="L83" s="21">
        <v>0</v>
      </c>
      <c r="M83" s="18">
        <f t="shared" si="50"/>
        <v>0</v>
      </c>
      <c r="N83" s="19">
        <v>0</v>
      </c>
      <c r="O83" s="20">
        <f t="shared" si="51"/>
        <v>0</v>
      </c>
    </row>
    <row r="84" spans="1:15" ht="20.100000000000001" customHeight="1" x14ac:dyDescent="0.2">
      <c r="A84" s="951"/>
      <c r="B84" s="33"/>
      <c r="C84" s="63"/>
      <c r="D84" s="17">
        <f t="shared" si="46"/>
        <v>0</v>
      </c>
      <c r="E84" s="18">
        <f t="shared" si="47"/>
        <v>0</v>
      </c>
      <c r="F84" s="19">
        <f t="shared" si="48"/>
        <v>0</v>
      </c>
      <c r="G84" s="20">
        <f t="shared" si="49"/>
        <v>0</v>
      </c>
      <c r="H84" s="21">
        <v>0</v>
      </c>
      <c r="I84" s="18">
        <v>0</v>
      </c>
      <c r="J84" s="19">
        <v>0</v>
      </c>
      <c r="K84" s="20">
        <v>0</v>
      </c>
      <c r="L84" s="21">
        <v>0</v>
      </c>
      <c r="M84" s="18">
        <f t="shared" si="50"/>
        <v>0</v>
      </c>
      <c r="N84" s="19">
        <v>0</v>
      </c>
      <c r="O84" s="20">
        <f t="shared" si="51"/>
        <v>0</v>
      </c>
    </row>
    <row r="85" spans="1:15" ht="20.100000000000001" customHeight="1" x14ac:dyDescent="0.2">
      <c r="A85" s="951"/>
      <c r="B85" s="33"/>
      <c r="C85" s="63"/>
      <c r="D85" s="17">
        <f t="shared" si="46"/>
        <v>0</v>
      </c>
      <c r="E85" s="18">
        <f t="shared" si="47"/>
        <v>0</v>
      </c>
      <c r="F85" s="19">
        <f t="shared" si="48"/>
        <v>0</v>
      </c>
      <c r="G85" s="20">
        <f t="shared" si="49"/>
        <v>0</v>
      </c>
      <c r="H85" s="21">
        <v>0</v>
      </c>
      <c r="I85" s="18">
        <v>0</v>
      </c>
      <c r="J85" s="19">
        <v>0</v>
      </c>
      <c r="K85" s="20">
        <v>0</v>
      </c>
      <c r="L85" s="21">
        <v>0</v>
      </c>
      <c r="M85" s="18">
        <f t="shared" si="50"/>
        <v>0</v>
      </c>
      <c r="N85" s="19">
        <v>0</v>
      </c>
      <c r="O85" s="20">
        <f t="shared" si="51"/>
        <v>0</v>
      </c>
    </row>
    <row r="86" spans="1:15" ht="20.100000000000001" customHeight="1" x14ac:dyDescent="0.2">
      <c r="A86" s="951"/>
      <c r="B86" s="33"/>
      <c r="C86" s="63"/>
      <c r="D86" s="17">
        <f t="shared" si="46"/>
        <v>0</v>
      </c>
      <c r="E86" s="18">
        <f t="shared" si="47"/>
        <v>0</v>
      </c>
      <c r="F86" s="19">
        <f t="shared" si="48"/>
        <v>0</v>
      </c>
      <c r="G86" s="20">
        <f t="shared" si="49"/>
        <v>0</v>
      </c>
      <c r="H86" s="21">
        <v>0</v>
      </c>
      <c r="I86" s="18">
        <v>0</v>
      </c>
      <c r="J86" s="19">
        <v>0</v>
      </c>
      <c r="K86" s="20">
        <v>0</v>
      </c>
      <c r="L86" s="21">
        <v>0</v>
      </c>
      <c r="M86" s="18">
        <f t="shared" si="50"/>
        <v>0</v>
      </c>
      <c r="N86" s="19">
        <v>0</v>
      </c>
      <c r="O86" s="20">
        <f t="shared" si="51"/>
        <v>0</v>
      </c>
    </row>
    <row r="87" spans="1:15" ht="20.100000000000001" customHeight="1" x14ac:dyDescent="0.2">
      <c r="A87" s="394"/>
      <c r="B87" s="395" t="s">
        <v>117</v>
      </c>
      <c r="C87" s="396">
        <f>SUM(C80:C86)</f>
        <v>0</v>
      </c>
      <c r="D87" s="397" t="e">
        <f>E87/C87</f>
        <v>#DIV/0!</v>
      </c>
      <c r="E87" s="404">
        <f>SUM(E80:E86)</f>
        <v>0</v>
      </c>
      <c r="F87" s="404">
        <f>SUM(F80:F86)</f>
        <v>0</v>
      </c>
      <c r="G87" s="399">
        <f>E87-F87</f>
        <v>0</v>
      </c>
      <c r="H87" s="397" t="e">
        <f>I87/C87</f>
        <v>#DIV/0!</v>
      </c>
      <c r="I87" s="404">
        <f>SUM(I80:I86)</f>
        <v>0</v>
      </c>
      <c r="J87" s="404">
        <f>SUM(J80:J86)</f>
        <v>0</v>
      </c>
      <c r="K87" s="399">
        <f>I87-J87</f>
        <v>0</v>
      </c>
      <c r="L87" s="397" t="e">
        <f>M87/C87</f>
        <v>#DIV/0!</v>
      </c>
      <c r="M87" s="404">
        <f>SUM(M80:M86)</f>
        <v>0</v>
      </c>
      <c r="N87" s="404">
        <f>SUM(N80:N86)</f>
        <v>0</v>
      </c>
      <c r="O87" s="399">
        <f>M87-N87</f>
        <v>0</v>
      </c>
    </row>
    <row r="88" spans="1:15" ht="20.100000000000001" customHeight="1" x14ac:dyDescent="0.2">
      <c r="A88" s="36"/>
      <c r="B88" s="32"/>
      <c r="C88" s="64"/>
      <c r="D88" s="37"/>
      <c r="E88" s="38"/>
      <c r="F88" s="38"/>
      <c r="G88" s="39"/>
      <c r="H88" s="40"/>
      <c r="I88" s="38"/>
      <c r="J88" s="38"/>
      <c r="K88" s="39"/>
      <c r="L88" s="40"/>
      <c r="M88" s="38"/>
      <c r="N88" s="38"/>
      <c r="O88" s="39"/>
    </row>
    <row r="89" spans="1:15" x14ac:dyDescent="0.2">
      <c r="A89" s="937" t="s">
        <v>4</v>
      </c>
      <c r="B89" s="938" t="s">
        <v>5</v>
      </c>
      <c r="C89" s="941" t="s">
        <v>76</v>
      </c>
      <c r="D89" s="944" t="s">
        <v>6</v>
      </c>
      <c r="E89" s="919"/>
      <c r="F89" s="919"/>
      <c r="G89" s="920"/>
      <c r="H89" s="944" t="s">
        <v>6</v>
      </c>
      <c r="I89" s="919"/>
      <c r="J89" s="919"/>
      <c r="K89" s="920"/>
      <c r="L89" s="944" t="s">
        <v>6</v>
      </c>
      <c r="M89" s="919"/>
      <c r="N89" s="919"/>
      <c r="O89" s="920"/>
    </row>
    <row r="90" spans="1:15" x14ac:dyDescent="0.2">
      <c r="A90" s="937"/>
      <c r="B90" s="939"/>
      <c r="C90" s="942"/>
      <c r="D90" s="921" t="s">
        <v>9</v>
      </c>
      <c r="E90" s="922"/>
      <c r="F90" s="922"/>
      <c r="G90" s="923"/>
      <c r="H90" s="921" t="s">
        <v>77</v>
      </c>
      <c r="I90" s="922"/>
      <c r="J90" s="922"/>
      <c r="K90" s="923"/>
      <c r="L90" s="921" t="s">
        <v>10</v>
      </c>
      <c r="M90" s="922"/>
      <c r="N90" s="922"/>
      <c r="O90" s="923"/>
    </row>
    <row r="91" spans="1:15" ht="30" x14ac:dyDescent="0.2">
      <c r="A91" s="937"/>
      <c r="B91" s="940"/>
      <c r="C91" s="943"/>
      <c r="D91" s="423" t="s">
        <v>17</v>
      </c>
      <c r="E91" s="424" t="s">
        <v>108</v>
      </c>
      <c r="F91" s="424" t="s">
        <v>107</v>
      </c>
      <c r="G91" s="425" t="s">
        <v>12</v>
      </c>
      <c r="H91" s="426" t="s">
        <v>17</v>
      </c>
      <c r="I91" s="424" t="s">
        <v>108</v>
      </c>
      <c r="J91" s="424" t="s">
        <v>107</v>
      </c>
      <c r="K91" s="425" t="s">
        <v>12</v>
      </c>
      <c r="L91" s="426" t="s">
        <v>17</v>
      </c>
      <c r="M91" s="424" t="s">
        <v>108</v>
      </c>
      <c r="N91" s="424" t="s">
        <v>107</v>
      </c>
      <c r="O91" s="425" t="s">
        <v>12</v>
      </c>
    </row>
    <row r="92" spans="1:15" x14ac:dyDescent="0.2">
      <c r="A92" s="429"/>
      <c r="B92" s="430" t="s">
        <v>0</v>
      </c>
      <c r="C92" s="431">
        <f>+SUM(C6:C87)/2</f>
        <v>1795.8600000000001</v>
      </c>
      <c r="D92" s="432">
        <f>E92/C92</f>
        <v>0.66650518414575743</v>
      </c>
      <c r="E92" s="431">
        <f>+SUM(E6:E87)/2</f>
        <v>1196.95</v>
      </c>
      <c r="F92" s="431">
        <f>+SUM(F6:F87)/2</f>
        <v>1290.9000000000001</v>
      </c>
      <c r="G92" s="431">
        <f>+SUM(G6:G87)/2</f>
        <v>-93.95</v>
      </c>
      <c r="H92" s="432">
        <f>I92/C92</f>
        <v>0</v>
      </c>
      <c r="I92" s="431">
        <f>+SUM(I6:I87)/2</f>
        <v>0</v>
      </c>
      <c r="J92" s="431">
        <f>+SUM(J6:J87)/2</f>
        <v>336.5</v>
      </c>
      <c r="K92" s="431">
        <f>+SUM(K6:K87)/2</f>
        <v>-168.25</v>
      </c>
      <c r="L92" s="432">
        <f>M92/C92</f>
        <v>0</v>
      </c>
      <c r="M92" s="431">
        <f>+SUM(M6:M87)/2</f>
        <v>0</v>
      </c>
      <c r="N92" s="431">
        <f>+SUM(N6:N87)/2</f>
        <v>0</v>
      </c>
      <c r="O92" s="431">
        <f>+SUM(O6:O87)/2</f>
        <v>0</v>
      </c>
    </row>
    <row r="94" spans="1:15" x14ac:dyDescent="0.2">
      <c r="B94" s="448" t="s">
        <v>585</v>
      </c>
      <c r="C94" s="449">
        <f>+C92-G92</f>
        <v>1889.8100000000002</v>
      </c>
    </row>
    <row r="96" spans="1:15" x14ac:dyDescent="0.2">
      <c r="B96" s="437" t="s">
        <v>120</v>
      </c>
      <c r="C96" s="435">
        <v>1998</v>
      </c>
      <c r="D96" s="85" t="s">
        <v>1069</v>
      </c>
    </row>
  </sheetData>
  <sheetProtection formatCells="0" formatColumns="0" formatRows="0" insertColumns="0" insertRows="0" insertHyperlinks="0" deleteColumns="0" deleteRows="0" sort="0" autoFilter="0" pivotTables="0"/>
  <mergeCells count="30">
    <mergeCell ref="A1:M1"/>
    <mergeCell ref="L4:O4"/>
    <mergeCell ref="A3:A5"/>
    <mergeCell ref="B3:B5"/>
    <mergeCell ref="C3:C5"/>
    <mergeCell ref="D3:G3"/>
    <mergeCell ref="H3:K3"/>
    <mergeCell ref="L3:O3"/>
    <mergeCell ref="D4:G4"/>
    <mergeCell ref="H4:K4"/>
    <mergeCell ref="D90:G90"/>
    <mergeCell ref="H90:K90"/>
    <mergeCell ref="L90:O90"/>
    <mergeCell ref="A80:A86"/>
    <mergeCell ref="A89:A91"/>
    <mergeCell ref="B89:B91"/>
    <mergeCell ref="C89:C91"/>
    <mergeCell ref="Q4:S6"/>
    <mergeCell ref="A69:A78"/>
    <mergeCell ref="D89:G89"/>
    <mergeCell ref="H89:K89"/>
    <mergeCell ref="L89:O89"/>
    <mergeCell ref="A33:A42"/>
    <mergeCell ref="A57:A67"/>
    <mergeCell ref="A14:A23"/>
    <mergeCell ref="A6:A12"/>
    <mergeCell ref="A44:A55"/>
    <mergeCell ref="A25:A31"/>
    <mergeCell ref="P19:S19"/>
    <mergeCell ref="Q26:R26"/>
  </mergeCells>
  <printOptions horizontalCentered="1" verticalCentered="1"/>
  <pageMargins left="0" right="0" top="0.39370078740157483" bottom="0.39370078740157483" header="0" footer="0"/>
  <pageSetup paperSize="8" scale="61" orientation="portrait" r:id="rId1"/>
  <headerFooter alignWithMargins="0">
    <oddHeader>&amp;R&amp;T;&amp;D</oddHeader>
    <oddFooter>&amp;L&amp;Z&amp;F&amp;R&amp;P/&amp;N</oddFooter>
  </headerFooter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4">
    <tabColor theme="6"/>
    <pageSetUpPr fitToPage="1"/>
  </sheetPr>
  <dimension ref="A1:AB71"/>
  <sheetViews>
    <sheetView zoomScale="85" zoomScaleNormal="85" workbookViewId="0">
      <selection activeCell="K11" sqref="K11"/>
    </sheetView>
  </sheetViews>
  <sheetFormatPr baseColWidth="10" defaultColWidth="11.42578125" defaultRowHeight="15" x14ac:dyDescent="0.2"/>
  <cols>
    <col min="1" max="6" width="14.28515625" style="7" customWidth="1"/>
    <col min="7" max="7" width="14.28515625" style="86" customWidth="1"/>
    <col min="8" max="8" width="14.28515625" style="7" customWidth="1"/>
    <col min="9" max="16384" width="11.42578125" style="7"/>
  </cols>
  <sheetData>
    <row r="1" spans="1:28" s="8" customFormat="1" ht="22.5" customHeight="1" thickBot="1" x14ac:dyDescent="0.25">
      <c r="A1" s="841" t="s">
        <v>79</v>
      </c>
      <c r="B1" s="842"/>
      <c r="C1" s="842"/>
      <c r="D1" s="842"/>
      <c r="E1" s="842"/>
      <c r="F1" s="842"/>
      <c r="G1" s="843"/>
      <c r="H1" s="53"/>
    </row>
    <row r="2" spans="1:28" s="8" customFormat="1" x14ac:dyDescent="0.2">
      <c r="G2" s="75"/>
    </row>
    <row r="3" spans="1:28" s="8" customFormat="1" x14ac:dyDescent="0.2">
      <c r="A3" s="955" t="s">
        <v>59</v>
      </c>
      <c r="B3" s="956"/>
      <c r="C3" s="56" t="s">
        <v>60</v>
      </c>
      <c r="D3" s="57"/>
      <c r="E3" s="58"/>
      <c r="F3" s="59" t="s">
        <v>61</v>
      </c>
      <c r="G3" s="76"/>
    </row>
    <row r="4" spans="1:28" s="8" customFormat="1" x14ac:dyDescent="0.2">
      <c r="G4" s="75"/>
    </row>
    <row r="5" spans="1:28" s="77" customFormat="1" x14ac:dyDescent="0.2">
      <c r="A5" s="451" t="s">
        <v>62</v>
      </c>
      <c r="B5" s="961" t="s">
        <v>72</v>
      </c>
      <c r="C5" s="959" t="s">
        <v>586</v>
      </c>
      <c r="D5" s="960"/>
      <c r="E5" s="451" t="s">
        <v>63</v>
      </c>
      <c r="F5" s="452" t="s">
        <v>64</v>
      </c>
      <c r="G5" s="957" t="s">
        <v>65</v>
      </c>
      <c r="Q5" s="8"/>
      <c r="R5" s="8"/>
      <c r="S5" s="8"/>
      <c r="T5" s="8"/>
      <c r="U5" s="8"/>
    </row>
    <row r="6" spans="1:28" s="77" customFormat="1" x14ac:dyDescent="0.2">
      <c r="A6" s="453" t="s">
        <v>66</v>
      </c>
      <c r="B6" s="962"/>
      <c r="C6" s="454" t="s">
        <v>10</v>
      </c>
      <c r="D6" s="455" t="s">
        <v>16</v>
      </c>
      <c r="E6" s="453" t="s">
        <v>67</v>
      </c>
      <c r="F6" s="456" t="s">
        <v>67</v>
      </c>
      <c r="G6" s="95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78"/>
      <c r="B7" s="79"/>
      <c r="C7" s="80"/>
      <c r="D7" s="4">
        <f>+C7</f>
        <v>0</v>
      </c>
      <c r="E7" s="538"/>
      <c r="F7" s="539" t="e">
        <f>E7/C7</f>
        <v>#DIV/0!</v>
      </c>
      <c r="G7" s="81"/>
    </row>
    <row r="8" spans="1:28" x14ac:dyDescent="0.2">
      <c r="A8" s="82">
        <v>2407722</v>
      </c>
      <c r="B8" s="83">
        <v>45504</v>
      </c>
      <c r="C8" s="3">
        <v>32.5</v>
      </c>
      <c r="D8" s="5">
        <f>+D7+C8</f>
        <v>32.5</v>
      </c>
      <c r="E8" s="766">
        <v>4415.75</v>
      </c>
      <c r="F8" s="540">
        <f t="shared" ref="F8:F25" si="0">E8/C8</f>
        <v>135.86923076923077</v>
      </c>
      <c r="G8" s="84" t="s">
        <v>988</v>
      </c>
    </row>
    <row r="9" spans="1:28" x14ac:dyDescent="0.2">
      <c r="A9" s="82">
        <v>2408284</v>
      </c>
      <c r="B9" s="83">
        <v>45505</v>
      </c>
      <c r="C9" s="3">
        <v>0</v>
      </c>
      <c r="D9" s="5">
        <f>+D8+C9</f>
        <v>32.5</v>
      </c>
      <c r="E9" s="766">
        <v>825</v>
      </c>
      <c r="F9" s="540" t="e">
        <f t="shared" si="0"/>
        <v>#DIV/0!</v>
      </c>
      <c r="G9" s="84" t="s">
        <v>994</v>
      </c>
    </row>
    <row r="10" spans="1:28" x14ac:dyDescent="0.2">
      <c r="A10" s="82">
        <v>2409384</v>
      </c>
      <c r="B10" s="83">
        <v>45536</v>
      </c>
      <c r="C10" s="3">
        <v>361.5</v>
      </c>
      <c r="D10" s="5">
        <f t="shared" ref="D10:D14" si="1">+D9+C10</f>
        <v>394</v>
      </c>
      <c r="E10" s="766">
        <v>35902.75</v>
      </c>
      <c r="F10" s="540">
        <f t="shared" si="0"/>
        <v>99.316044260027667</v>
      </c>
      <c r="G10" s="84"/>
    </row>
    <row r="11" spans="1:28" x14ac:dyDescent="0.2">
      <c r="A11" s="82" t="s">
        <v>1033</v>
      </c>
      <c r="B11" s="83">
        <v>45597</v>
      </c>
      <c r="C11" s="3">
        <v>129.4</v>
      </c>
      <c r="D11" s="5">
        <f t="shared" si="1"/>
        <v>523.4</v>
      </c>
      <c r="E11" s="766">
        <v>13331.6</v>
      </c>
      <c r="F11" s="540">
        <f t="shared" si="0"/>
        <v>103.02627511591963</v>
      </c>
      <c r="G11" s="84" t="s">
        <v>1035</v>
      </c>
    </row>
    <row r="12" spans="1:28" x14ac:dyDescent="0.2">
      <c r="A12" s="82">
        <v>2410354</v>
      </c>
      <c r="B12" s="83">
        <v>45566</v>
      </c>
      <c r="C12" s="3">
        <v>515.79999999999995</v>
      </c>
      <c r="D12" s="5">
        <f t="shared" si="1"/>
        <v>1039.1999999999998</v>
      </c>
      <c r="E12" s="766">
        <v>47704.25</v>
      </c>
      <c r="F12" s="540">
        <f t="shared" si="0"/>
        <v>92.485944164404813</v>
      </c>
      <c r="G12" s="84" t="s">
        <v>1034</v>
      </c>
    </row>
    <row r="13" spans="1:28" x14ac:dyDescent="0.2">
      <c r="A13" s="82">
        <v>2412322</v>
      </c>
      <c r="B13" s="83">
        <v>45627</v>
      </c>
      <c r="C13" s="3">
        <v>0</v>
      </c>
      <c r="D13" s="5">
        <f t="shared" si="1"/>
        <v>1039.1999999999998</v>
      </c>
      <c r="E13" s="766">
        <v>-24.6</v>
      </c>
      <c r="F13" s="540">
        <f>+E13</f>
        <v>-24.6</v>
      </c>
      <c r="G13" s="84"/>
    </row>
    <row r="14" spans="1:28" x14ac:dyDescent="0.2">
      <c r="A14" s="82">
        <v>2412323</v>
      </c>
      <c r="B14" s="83">
        <v>45627</v>
      </c>
      <c r="C14" s="3">
        <v>0</v>
      </c>
      <c r="D14" s="5">
        <f t="shared" si="1"/>
        <v>1039.1999999999998</v>
      </c>
      <c r="E14" s="766">
        <v>-44.1</v>
      </c>
      <c r="F14" s="540">
        <f>+E14</f>
        <v>-44.1</v>
      </c>
      <c r="G14" s="84"/>
    </row>
    <row r="15" spans="1:28" x14ac:dyDescent="0.2">
      <c r="A15" s="82">
        <v>2412456</v>
      </c>
      <c r="B15" s="83">
        <v>45627</v>
      </c>
      <c r="C15" s="3">
        <v>76.2</v>
      </c>
      <c r="D15" s="5">
        <f t="shared" ref="D15:D27" si="2">+D14+C15</f>
        <v>1115.3999999999999</v>
      </c>
      <c r="E15" s="766">
        <v>8779.75</v>
      </c>
      <c r="F15" s="540">
        <f t="shared" ref="F15:F16" si="3">E15/C15</f>
        <v>115.21981627296587</v>
      </c>
      <c r="G15" s="84" t="s">
        <v>1039</v>
      </c>
    </row>
    <row r="16" spans="1:28" x14ac:dyDescent="0.2">
      <c r="A16" s="82"/>
      <c r="B16" s="83"/>
      <c r="C16" s="3"/>
      <c r="D16" s="5">
        <f t="shared" si="2"/>
        <v>1115.3999999999999</v>
      </c>
      <c r="E16" s="538"/>
      <c r="F16" s="540" t="e">
        <f t="shared" si="3"/>
        <v>#DIV/0!</v>
      </c>
      <c r="G16" s="84"/>
    </row>
    <row r="17" spans="1:7" x14ac:dyDescent="0.2">
      <c r="A17" s="82"/>
      <c r="B17" s="83"/>
      <c r="C17" s="3"/>
      <c r="D17" s="5">
        <f t="shared" si="2"/>
        <v>1115.3999999999999</v>
      </c>
      <c r="E17" s="538"/>
      <c r="F17" s="540" t="e">
        <f>E17/C17</f>
        <v>#DIV/0!</v>
      </c>
      <c r="G17" s="84"/>
    </row>
    <row r="18" spans="1:7" x14ac:dyDescent="0.2">
      <c r="A18" s="82"/>
      <c r="B18" s="83"/>
      <c r="C18" s="3"/>
      <c r="D18" s="5">
        <f t="shared" si="2"/>
        <v>1115.3999999999999</v>
      </c>
      <c r="E18" s="538"/>
      <c r="F18" s="540" t="e">
        <f t="shared" ref="F18:F19" si="4">E18/C18</f>
        <v>#DIV/0!</v>
      </c>
      <c r="G18" s="84"/>
    </row>
    <row r="19" spans="1:7" x14ac:dyDescent="0.2">
      <c r="A19" s="82"/>
      <c r="B19" s="83"/>
      <c r="C19" s="3"/>
      <c r="D19" s="5">
        <f t="shared" si="2"/>
        <v>1115.3999999999999</v>
      </c>
      <c r="E19" s="538"/>
      <c r="F19" s="540" t="e">
        <f t="shared" si="4"/>
        <v>#DIV/0!</v>
      </c>
      <c r="G19" s="84"/>
    </row>
    <row r="20" spans="1:7" x14ac:dyDescent="0.2">
      <c r="A20" s="82"/>
      <c r="B20" s="83"/>
      <c r="C20" s="3"/>
      <c r="D20" s="5">
        <f t="shared" si="2"/>
        <v>1115.3999999999999</v>
      </c>
      <c r="E20" s="538"/>
      <c r="F20" s="540" t="e">
        <f>E20/C20</f>
        <v>#DIV/0!</v>
      </c>
      <c r="G20" s="84"/>
    </row>
    <row r="21" spans="1:7" x14ac:dyDescent="0.2">
      <c r="A21" s="82"/>
      <c r="B21" s="83"/>
      <c r="C21" s="3"/>
      <c r="D21" s="5">
        <f t="shared" si="2"/>
        <v>1115.3999999999999</v>
      </c>
      <c r="E21" s="538"/>
      <c r="F21" s="540" t="e">
        <f t="shared" ref="F21:F22" si="5">E21/C21</f>
        <v>#DIV/0!</v>
      </c>
      <c r="G21" s="84"/>
    </row>
    <row r="22" spans="1:7" x14ac:dyDescent="0.2">
      <c r="A22" s="82"/>
      <c r="B22" s="83"/>
      <c r="C22" s="3"/>
      <c r="D22" s="5">
        <f t="shared" si="2"/>
        <v>1115.3999999999999</v>
      </c>
      <c r="E22" s="538"/>
      <c r="F22" s="540" t="e">
        <f t="shared" si="5"/>
        <v>#DIV/0!</v>
      </c>
      <c r="G22" s="84"/>
    </row>
    <row r="23" spans="1:7" x14ac:dyDescent="0.2">
      <c r="A23" s="82"/>
      <c r="B23" s="83"/>
      <c r="C23" s="3"/>
      <c r="D23" s="5">
        <f t="shared" si="2"/>
        <v>1115.3999999999999</v>
      </c>
      <c r="E23" s="538"/>
      <c r="F23" s="540" t="e">
        <f>E23/C23</f>
        <v>#DIV/0!</v>
      </c>
      <c r="G23" s="84"/>
    </row>
    <row r="24" spans="1:7" x14ac:dyDescent="0.2">
      <c r="A24" s="82"/>
      <c r="B24" s="83"/>
      <c r="C24" s="3"/>
      <c r="D24" s="5">
        <f t="shared" si="2"/>
        <v>1115.3999999999999</v>
      </c>
      <c r="E24" s="538"/>
      <c r="F24" s="540" t="e">
        <f t="shared" si="0"/>
        <v>#DIV/0!</v>
      </c>
      <c r="G24" s="84"/>
    </row>
    <row r="25" spans="1:7" x14ac:dyDescent="0.2">
      <c r="A25" s="82"/>
      <c r="B25" s="83"/>
      <c r="C25" s="3"/>
      <c r="D25" s="5">
        <f t="shared" si="2"/>
        <v>1115.3999999999999</v>
      </c>
      <c r="E25" s="538"/>
      <c r="F25" s="540" t="e">
        <f t="shared" si="0"/>
        <v>#DIV/0!</v>
      </c>
      <c r="G25" s="84"/>
    </row>
    <row r="26" spans="1:7" x14ac:dyDescent="0.2">
      <c r="A26" s="82"/>
      <c r="B26" s="83"/>
      <c r="C26" s="3"/>
      <c r="D26" s="5">
        <f t="shared" si="2"/>
        <v>1115.3999999999999</v>
      </c>
      <c r="E26" s="538"/>
      <c r="F26" s="540" t="e">
        <f>E26/C26</f>
        <v>#DIV/0!</v>
      </c>
      <c r="G26" s="84"/>
    </row>
    <row r="27" spans="1:7" x14ac:dyDescent="0.2">
      <c r="A27" s="82"/>
      <c r="B27" s="83"/>
      <c r="C27" s="3"/>
      <c r="D27" s="5">
        <f t="shared" si="2"/>
        <v>1115.3999999999999</v>
      </c>
      <c r="E27" s="538"/>
      <c r="F27" s="540" t="e">
        <f>E27/C27</f>
        <v>#DIV/0!</v>
      </c>
      <c r="G27" s="84"/>
    </row>
    <row r="28" spans="1:7" s="53" customFormat="1" ht="22.5" customHeight="1" x14ac:dyDescent="0.2">
      <c r="A28" s="457"/>
      <c r="B28" s="457" t="s">
        <v>0</v>
      </c>
      <c r="C28" s="458">
        <f>SUM(C7:C27)</f>
        <v>1115.3999999999999</v>
      </c>
      <c r="D28" s="459">
        <f>D27</f>
        <v>1115.3999999999999</v>
      </c>
      <c r="E28" s="541">
        <f>SUM(E7:E27)</f>
        <v>110890.4</v>
      </c>
      <c r="F28" s="542">
        <f>E28/C28</f>
        <v>99.417608032992661</v>
      </c>
      <c r="G28" s="460"/>
    </row>
    <row r="29" spans="1:7" x14ac:dyDescent="0.2">
      <c r="D29" s="85"/>
      <c r="F29" s="85"/>
    </row>
    <row r="30" spans="1:7" x14ac:dyDescent="0.2">
      <c r="D30" s="948" t="s">
        <v>121</v>
      </c>
      <c r="E30" s="948"/>
      <c r="F30" s="596">
        <v>115</v>
      </c>
    </row>
    <row r="31" spans="1:7" ht="42.75" x14ac:dyDescent="0.2">
      <c r="D31" s="437" t="s">
        <v>120</v>
      </c>
      <c r="E31" s="435">
        <f>+Béton!C96</f>
        <v>1998</v>
      </c>
    </row>
    <row r="32" spans="1:7" x14ac:dyDescent="0.2">
      <c r="D32" s="85"/>
      <c r="F32" s="85"/>
    </row>
    <row r="33" spans="4:6" x14ac:dyDescent="0.2">
      <c r="D33" s="85"/>
      <c r="F33" s="85"/>
    </row>
    <row r="34" spans="4:6" x14ac:dyDescent="0.2">
      <c r="D34" s="85"/>
      <c r="F34" s="85"/>
    </row>
    <row r="35" spans="4:6" x14ac:dyDescent="0.2">
      <c r="D35" s="85"/>
      <c r="F35" s="85"/>
    </row>
    <row r="36" spans="4:6" x14ac:dyDescent="0.2">
      <c r="D36" s="85"/>
      <c r="F36" s="85"/>
    </row>
    <row r="37" spans="4:6" x14ac:dyDescent="0.2">
      <c r="D37" s="85"/>
      <c r="F37" s="85"/>
    </row>
    <row r="38" spans="4:6" x14ac:dyDescent="0.2">
      <c r="D38" s="85"/>
      <c r="F38" s="85"/>
    </row>
    <row r="39" spans="4:6" x14ac:dyDescent="0.2">
      <c r="D39" s="85"/>
      <c r="F39" s="85"/>
    </row>
    <row r="40" spans="4:6" x14ac:dyDescent="0.2">
      <c r="D40" s="85"/>
      <c r="F40" s="85"/>
    </row>
    <row r="41" spans="4:6" x14ac:dyDescent="0.2">
      <c r="D41" s="85"/>
      <c r="F41" s="85"/>
    </row>
    <row r="42" spans="4:6" x14ac:dyDescent="0.2">
      <c r="D42" s="85"/>
      <c r="F42" s="85"/>
    </row>
    <row r="43" spans="4:6" x14ac:dyDescent="0.2">
      <c r="D43" s="85"/>
      <c r="F43" s="85"/>
    </row>
    <row r="44" spans="4:6" x14ac:dyDescent="0.2">
      <c r="D44" s="85"/>
      <c r="F44" s="85"/>
    </row>
    <row r="45" spans="4:6" x14ac:dyDescent="0.2">
      <c r="D45" s="85"/>
      <c r="F45" s="85"/>
    </row>
    <row r="46" spans="4:6" x14ac:dyDescent="0.2">
      <c r="D46" s="85"/>
      <c r="F46" s="85"/>
    </row>
    <row r="47" spans="4:6" x14ac:dyDescent="0.2">
      <c r="D47" s="85"/>
      <c r="F47" s="85"/>
    </row>
    <row r="48" spans="4:6" x14ac:dyDescent="0.2">
      <c r="D48" s="85"/>
      <c r="F48" s="85"/>
    </row>
    <row r="49" spans="4:6" x14ac:dyDescent="0.2">
      <c r="D49" s="85"/>
      <c r="F49" s="85"/>
    </row>
    <row r="50" spans="4:6" x14ac:dyDescent="0.2">
      <c r="D50" s="85"/>
      <c r="F50" s="85"/>
    </row>
    <row r="65" spans="7:7" x14ac:dyDescent="0.2">
      <c r="G65" s="87"/>
    </row>
    <row r="67" spans="7:7" x14ac:dyDescent="0.2">
      <c r="G67" s="88"/>
    </row>
    <row r="68" spans="7:7" x14ac:dyDescent="0.2">
      <c r="G68" s="88"/>
    </row>
    <row r="69" spans="7:7" x14ac:dyDescent="0.2">
      <c r="G69" s="88"/>
    </row>
    <row r="70" spans="7:7" x14ac:dyDescent="0.2">
      <c r="G70" s="87"/>
    </row>
    <row r="71" spans="7:7" x14ac:dyDescent="0.2">
      <c r="G71" s="88"/>
    </row>
  </sheetData>
  <sheetProtection formatCells="0" formatColumns="0" formatRows="0" insertColumns="0" insertRows="0" insertHyperlinks="0" deleteColumns="0" deleteRows="0" sort="0" autoFilter="0" pivotTables="0"/>
  <mergeCells count="6">
    <mergeCell ref="A1:G1"/>
    <mergeCell ref="A3:B3"/>
    <mergeCell ref="G5:G6"/>
    <mergeCell ref="C5:D5"/>
    <mergeCell ref="D30:E30"/>
    <mergeCell ref="B5:B6"/>
  </mergeCells>
  <printOptions horizontalCentered="1" verticalCentered="1"/>
  <pageMargins left="0" right="0" top="0.39370078740157483" bottom="0.39370078740157483" header="0" footer="0"/>
  <pageSetup paperSize="9" orientation="landscape" r:id="rId1"/>
  <headerFooter alignWithMargins="0">
    <oddHeader>&amp;R&amp;T;&amp;D</oddHeader>
    <oddFooter>&amp;L&amp;Z&amp;F&amp;R&amp;P/&amp;N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7F76F-265D-4449-AE6F-C4499243A110}">
  <sheetPr codeName="Feuil15">
    <tabColor theme="5"/>
    <pageSetUpPr fitToPage="1"/>
  </sheetPr>
  <dimension ref="A1:L65"/>
  <sheetViews>
    <sheetView zoomScale="85" zoomScaleNormal="85" workbookViewId="0">
      <selection activeCell="L11" sqref="L11"/>
    </sheetView>
  </sheetViews>
  <sheetFormatPr baseColWidth="10" defaultColWidth="11.42578125" defaultRowHeight="15" x14ac:dyDescent="0.25"/>
  <cols>
    <col min="1" max="1" width="32.42578125" style="90" customWidth="1"/>
    <col min="2" max="3" width="12" style="90" customWidth="1"/>
    <col min="4" max="4" width="16.7109375" style="90" customWidth="1"/>
    <col min="5" max="6" width="19.140625" style="90" customWidth="1"/>
    <col min="7" max="7" width="21.85546875" style="90" bestFit="1" customWidth="1"/>
    <col min="8" max="8" width="15.7109375" style="90" customWidth="1"/>
    <col min="9" max="9" width="22" style="90" bestFit="1" customWidth="1"/>
    <col min="10" max="10" width="12.85546875" style="90" bestFit="1" customWidth="1"/>
    <col min="11" max="16384" width="11.42578125" style="90"/>
  </cols>
  <sheetData>
    <row r="1" spans="1:12" ht="19.5" thickBot="1" x14ac:dyDescent="0.3">
      <c r="A1" s="966" t="s">
        <v>617</v>
      </c>
      <c r="B1" s="967"/>
      <c r="C1" s="967"/>
      <c r="D1" s="968"/>
      <c r="E1" s="476" t="s">
        <v>3</v>
      </c>
      <c r="F1" s="477"/>
      <c r="G1" s="10"/>
    </row>
    <row r="2" spans="1:12" x14ac:dyDescent="0.25">
      <c r="A2" s="10"/>
      <c r="B2" s="10"/>
      <c r="C2" s="10"/>
      <c r="D2" s="10"/>
      <c r="E2" s="10"/>
      <c r="F2" s="10"/>
      <c r="G2" s="10"/>
      <c r="H2" s="10"/>
      <c r="I2" s="10"/>
    </row>
    <row r="3" spans="1:12" x14ac:dyDescent="0.25">
      <c r="A3" s="91"/>
      <c r="B3" s="91"/>
      <c r="C3" s="91"/>
      <c r="D3" s="91"/>
      <c r="E3" s="91"/>
      <c r="F3" s="91"/>
      <c r="G3" s="91"/>
    </row>
    <row r="4" spans="1:12" x14ac:dyDescent="0.25">
      <c r="A4" s="478" t="s">
        <v>129</v>
      </c>
      <c r="B4" s="969" t="s">
        <v>130</v>
      </c>
      <c r="C4" s="969"/>
      <c r="D4" s="479" t="s">
        <v>78</v>
      </c>
      <c r="E4" s="480" t="s">
        <v>131</v>
      </c>
      <c r="F4" s="479" t="s">
        <v>132</v>
      </c>
    </row>
    <row r="5" spans="1:12" x14ac:dyDescent="0.25">
      <c r="A5" s="92" t="s">
        <v>705</v>
      </c>
      <c r="B5" s="93"/>
      <c r="C5" s="12" t="s">
        <v>22</v>
      </c>
      <c r="D5" s="568"/>
      <c r="E5" s="569" t="e">
        <f t="shared" ref="E5:E40" si="0">+D5/B5</f>
        <v>#DIV/0!</v>
      </c>
      <c r="F5" s="963">
        <f>+SUM(D5:D10)/SUM(B5:B10)</f>
        <v>181.99999999999997</v>
      </c>
      <c r="G5" s="166"/>
      <c r="H5" s="166"/>
      <c r="I5" s="166"/>
      <c r="J5" s="167"/>
    </row>
    <row r="6" spans="1:12" x14ac:dyDescent="0.25">
      <c r="A6" s="168" t="s">
        <v>706</v>
      </c>
      <c r="B6" s="94">
        <v>755.2</v>
      </c>
      <c r="C6" s="95" t="s">
        <v>22</v>
      </c>
      <c r="D6" s="570">
        <v>137446.39999999999</v>
      </c>
      <c r="E6" s="571">
        <f t="shared" si="0"/>
        <v>181.99999999999997</v>
      </c>
      <c r="F6" s="964"/>
      <c r="G6" s="169"/>
      <c r="H6" s="564"/>
      <c r="I6" s="169"/>
      <c r="J6" s="170"/>
    </row>
    <row r="7" spans="1:12" x14ac:dyDescent="0.25">
      <c r="A7" s="168" t="s">
        <v>707</v>
      </c>
      <c r="B7" s="94"/>
      <c r="C7" s="95" t="s">
        <v>22</v>
      </c>
      <c r="D7" s="570"/>
      <c r="E7" s="571" t="e">
        <f t="shared" si="0"/>
        <v>#DIV/0!</v>
      </c>
      <c r="F7" s="964"/>
      <c r="G7" s="169"/>
      <c r="H7" s="564"/>
      <c r="I7" s="169"/>
      <c r="J7" s="170"/>
    </row>
    <row r="8" spans="1:12" x14ac:dyDescent="0.25">
      <c r="A8" s="168" t="s">
        <v>708</v>
      </c>
      <c r="B8" s="94"/>
      <c r="C8" s="95" t="s">
        <v>22</v>
      </c>
      <c r="D8" s="572"/>
      <c r="E8" s="571" t="e">
        <f t="shared" si="0"/>
        <v>#DIV/0!</v>
      </c>
      <c r="F8" s="964"/>
      <c r="G8" s="169"/>
      <c r="H8" s="564"/>
      <c r="I8" s="169"/>
      <c r="J8" s="170"/>
    </row>
    <row r="9" spans="1:12" x14ac:dyDescent="0.25">
      <c r="A9" s="168"/>
      <c r="B9" s="94"/>
      <c r="C9" s="95" t="s">
        <v>22</v>
      </c>
      <c r="D9" s="570"/>
      <c r="E9" s="571" t="e">
        <f t="shared" si="0"/>
        <v>#DIV/0!</v>
      </c>
      <c r="F9" s="964"/>
      <c r="G9" s="483" t="s">
        <v>128</v>
      </c>
      <c r="H9" s="565">
        <f>+B6</f>
        <v>755.2</v>
      </c>
      <c r="I9" s="169"/>
      <c r="J9" s="170"/>
    </row>
    <row r="10" spans="1:12" ht="15" customHeight="1" x14ac:dyDescent="0.25">
      <c r="A10" s="171"/>
      <c r="B10" s="172"/>
      <c r="C10" s="173" t="s">
        <v>22</v>
      </c>
      <c r="D10" s="573"/>
      <c r="E10" s="574" t="e">
        <f t="shared" si="0"/>
        <v>#DIV/0!</v>
      </c>
      <c r="F10" s="965"/>
      <c r="G10" s="473"/>
      <c r="H10" s="566"/>
      <c r="I10" s="484" t="s">
        <v>121</v>
      </c>
      <c r="J10" s="561">
        <f>+E6</f>
        <v>181.99999999999997</v>
      </c>
      <c r="L10" s="90">
        <f>((182*81)+(142*207))/(81+207)</f>
        <v>153.25</v>
      </c>
    </row>
    <row r="11" spans="1:12" x14ac:dyDescent="0.25">
      <c r="A11" s="92" t="s">
        <v>709</v>
      </c>
      <c r="B11" s="93"/>
      <c r="C11" s="12" t="s">
        <v>22</v>
      </c>
      <c r="D11" s="575"/>
      <c r="E11" s="569" t="e">
        <f t="shared" si="0"/>
        <v>#DIV/0!</v>
      </c>
      <c r="F11" s="963">
        <f>+SUM(D11:D15)/SUM(B11:B15)</f>
        <v>142</v>
      </c>
      <c r="G11" s="166"/>
      <c r="H11" s="567"/>
      <c r="I11" s="166"/>
      <c r="J11" s="562"/>
    </row>
    <row r="12" spans="1:12" x14ac:dyDescent="0.25">
      <c r="A12" s="168" t="s">
        <v>710</v>
      </c>
      <c r="B12" s="94">
        <v>2344.9</v>
      </c>
      <c r="C12" s="95" t="s">
        <v>22</v>
      </c>
      <c r="D12" s="572">
        <v>332975.8</v>
      </c>
      <c r="E12" s="571">
        <f t="shared" si="0"/>
        <v>142</v>
      </c>
      <c r="F12" s="964"/>
      <c r="G12" s="169"/>
      <c r="H12" s="564"/>
      <c r="I12" s="169"/>
      <c r="J12" s="563"/>
    </row>
    <row r="13" spans="1:12" x14ac:dyDescent="0.25">
      <c r="A13" s="168" t="s">
        <v>707</v>
      </c>
      <c r="B13" s="94"/>
      <c r="C13" s="95" t="s">
        <v>22</v>
      </c>
      <c r="D13" s="572"/>
      <c r="E13" s="571" t="e">
        <f t="shared" si="0"/>
        <v>#DIV/0!</v>
      </c>
      <c r="F13" s="964"/>
      <c r="G13" s="169"/>
      <c r="H13" s="564"/>
      <c r="I13" s="169"/>
      <c r="J13" s="563"/>
    </row>
    <row r="14" spans="1:12" x14ac:dyDescent="0.25">
      <c r="A14" s="168" t="s">
        <v>708</v>
      </c>
      <c r="B14" s="94"/>
      <c r="C14" s="95" t="s">
        <v>22</v>
      </c>
      <c r="D14" s="572"/>
      <c r="E14" s="571" t="e">
        <f t="shared" si="0"/>
        <v>#DIV/0!</v>
      </c>
      <c r="F14" s="964"/>
      <c r="G14" s="483" t="s">
        <v>128</v>
      </c>
      <c r="H14" s="565">
        <f>+B12</f>
        <v>2344.9</v>
      </c>
      <c r="I14" s="169"/>
      <c r="J14" s="563"/>
    </row>
    <row r="15" spans="1:12" ht="15" customHeight="1" x14ac:dyDescent="0.25">
      <c r="A15" s="171"/>
      <c r="B15" s="172"/>
      <c r="C15" s="173" t="s">
        <v>22</v>
      </c>
      <c r="D15" s="573"/>
      <c r="E15" s="574" t="e">
        <f t="shared" si="0"/>
        <v>#DIV/0!</v>
      </c>
      <c r="F15" s="965"/>
      <c r="G15" s="473"/>
      <c r="H15" s="566"/>
      <c r="I15" s="484" t="s">
        <v>121</v>
      </c>
      <c r="J15" s="561">
        <f>+E12</f>
        <v>142</v>
      </c>
    </row>
    <row r="16" spans="1:12" x14ac:dyDescent="0.25">
      <c r="A16" s="92" t="s">
        <v>711</v>
      </c>
      <c r="B16" s="93"/>
      <c r="C16" s="12" t="s">
        <v>15</v>
      </c>
      <c r="D16" s="575"/>
      <c r="E16" s="569" t="e">
        <f t="shared" si="0"/>
        <v>#DIV/0!</v>
      </c>
      <c r="F16" s="963">
        <f>+SUM(D16:D20)/SUM(B16:B20)</f>
        <v>250.00000000000003</v>
      </c>
      <c r="G16" s="166"/>
      <c r="H16" s="567"/>
      <c r="I16" s="166"/>
      <c r="J16" s="562"/>
    </row>
    <row r="17" spans="1:10" x14ac:dyDescent="0.25">
      <c r="A17" s="168" t="s">
        <v>712</v>
      </c>
      <c r="B17" s="94">
        <v>37.799999999999997</v>
      </c>
      <c r="C17" s="95" t="s">
        <v>15</v>
      </c>
      <c r="D17" s="572">
        <v>9450</v>
      </c>
      <c r="E17" s="571">
        <f t="shared" si="0"/>
        <v>250.00000000000003</v>
      </c>
      <c r="F17" s="964"/>
      <c r="G17" s="169"/>
      <c r="H17" s="564"/>
      <c r="I17" s="169"/>
      <c r="J17" s="563"/>
    </row>
    <row r="18" spans="1:10" x14ac:dyDescent="0.25">
      <c r="A18" s="168" t="s">
        <v>713</v>
      </c>
      <c r="B18" s="94"/>
      <c r="C18" s="95" t="s">
        <v>15</v>
      </c>
      <c r="D18" s="572"/>
      <c r="E18" s="571" t="e">
        <f t="shared" si="0"/>
        <v>#DIV/0!</v>
      </c>
      <c r="F18" s="964"/>
      <c r="G18" s="169"/>
      <c r="H18" s="564"/>
      <c r="I18" s="169"/>
      <c r="J18" s="563"/>
    </row>
    <row r="19" spans="1:10" x14ac:dyDescent="0.25">
      <c r="A19" s="168" t="s">
        <v>714</v>
      </c>
      <c r="B19" s="94"/>
      <c r="C19" s="95" t="s">
        <v>15</v>
      </c>
      <c r="D19" s="572"/>
      <c r="E19" s="571" t="e">
        <f t="shared" si="0"/>
        <v>#DIV/0!</v>
      </c>
      <c r="F19" s="964"/>
      <c r="G19" s="483" t="s">
        <v>128</v>
      </c>
      <c r="H19" s="565">
        <f>+B17</f>
        <v>37.799999999999997</v>
      </c>
      <c r="I19" s="169"/>
      <c r="J19" s="563"/>
    </row>
    <row r="20" spans="1:10" ht="15" customHeight="1" x14ac:dyDescent="0.25">
      <c r="A20" s="171"/>
      <c r="B20" s="172"/>
      <c r="C20" s="173" t="s">
        <v>15</v>
      </c>
      <c r="D20" s="573"/>
      <c r="E20" s="574" t="e">
        <f t="shared" si="0"/>
        <v>#DIV/0!</v>
      </c>
      <c r="F20" s="965"/>
      <c r="G20" s="473"/>
      <c r="H20" s="566"/>
      <c r="I20" s="484" t="s">
        <v>121</v>
      </c>
      <c r="J20" s="561">
        <f>+E17</f>
        <v>250.00000000000003</v>
      </c>
    </row>
    <row r="21" spans="1:10" x14ac:dyDescent="0.25">
      <c r="A21" s="92" t="s">
        <v>715</v>
      </c>
      <c r="B21" s="93"/>
      <c r="C21" s="12" t="s">
        <v>22</v>
      </c>
      <c r="D21" s="575"/>
      <c r="E21" s="569" t="e">
        <f t="shared" si="0"/>
        <v>#DIV/0!</v>
      </c>
      <c r="F21" s="963">
        <f>+SUM(D21:D25)/SUM(B21:B25)</f>
        <v>237.99999999999997</v>
      </c>
      <c r="G21" s="166"/>
      <c r="H21" s="567"/>
      <c r="I21" s="166"/>
      <c r="J21" s="562"/>
    </row>
    <row r="22" spans="1:10" x14ac:dyDescent="0.25">
      <c r="A22" s="168" t="s">
        <v>716</v>
      </c>
      <c r="B22" s="94"/>
      <c r="C22" s="95" t="s">
        <v>22</v>
      </c>
      <c r="D22" s="572"/>
      <c r="E22" s="571" t="e">
        <f t="shared" si="0"/>
        <v>#DIV/0!</v>
      </c>
      <c r="F22" s="964"/>
      <c r="G22" s="169"/>
      <c r="H22" s="564"/>
      <c r="I22" s="169"/>
      <c r="J22" s="563"/>
    </row>
    <row r="23" spans="1:10" x14ac:dyDescent="0.25">
      <c r="A23" s="168" t="s">
        <v>717</v>
      </c>
      <c r="B23" s="94">
        <v>568.6</v>
      </c>
      <c r="C23" s="95" t="s">
        <v>22</v>
      </c>
      <c r="D23" s="572">
        <v>135326.79999999999</v>
      </c>
      <c r="E23" s="571">
        <f t="shared" si="0"/>
        <v>237.99999999999997</v>
      </c>
      <c r="F23" s="964"/>
      <c r="G23" s="169"/>
      <c r="H23" s="564"/>
      <c r="I23" s="169"/>
      <c r="J23" s="563"/>
    </row>
    <row r="24" spans="1:10" x14ac:dyDescent="0.25">
      <c r="A24" s="168" t="s">
        <v>718</v>
      </c>
      <c r="B24" s="94"/>
      <c r="C24" s="95" t="s">
        <v>22</v>
      </c>
      <c r="D24" s="572"/>
      <c r="E24" s="571" t="e">
        <f t="shared" si="0"/>
        <v>#DIV/0!</v>
      </c>
      <c r="F24" s="964"/>
      <c r="G24" s="483" t="s">
        <v>128</v>
      </c>
      <c r="H24" s="565">
        <f>+B23</f>
        <v>568.6</v>
      </c>
      <c r="I24" s="169"/>
      <c r="J24" s="563"/>
    </row>
    <row r="25" spans="1:10" ht="15" customHeight="1" x14ac:dyDescent="0.25">
      <c r="A25" s="171"/>
      <c r="B25" s="172"/>
      <c r="C25" s="173" t="s">
        <v>22</v>
      </c>
      <c r="D25" s="573"/>
      <c r="E25" s="574" t="e">
        <f t="shared" si="0"/>
        <v>#DIV/0!</v>
      </c>
      <c r="F25" s="965"/>
      <c r="G25" s="473"/>
      <c r="H25" s="566"/>
      <c r="I25" s="484" t="s">
        <v>121</v>
      </c>
      <c r="J25" s="561">
        <f>+F21</f>
        <v>237.99999999999997</v>
      </c>
    </row>
    <row r="26" spans="1:10" x14ac:dyDescent="0.25">
      <c r="A26" s="92" t="s">
        <v>640</v>
      </c>
      <c r="B26" s="93"/>
      <c r="C26" s="12" t="s">
        <v>587</v>
      </c>
      <c r="D26" s="575"/>
      <c r="E26" s="569" t="e">
        <f t="shared" si="0"/>
        <v>#DIV/0!</v>
      </c>
      <c r="F26" s="963" t="e">
        <f>+SUM(D26:D30)/SUM(B26:B30)</f>
        <v>#DIV/0!</v>
      </c>
      <c r="G26" s="166"/>
      <c r="H26" s="567"/>
      <c r="I26" s="166"/>
      <c r="J26" s="562"/>
    </row>
    <row r="27" spans="1:10" x14ac:dyDescent="0.25">
      <c r="A27" s="168"/>
      <c r="B27" s="94"/>
      <c r="C27" s="95" t="s">
        <v>587</v>
      </c>
      <c r="D27" s="572"/>
      <c r="E27" s="571" t="e">
        <f t="shared" si="0"/>
        <v>#DIV/0!</v>
      </c>
      <c r="F27" s="964"/>
      <c r="G27" s="169"/>
      <c r="H27" s="564"/>
      <c r="I27" s="169"/>
      <c r="J27" s="563"/>
    </row>
    <row r="28" spans="1:10" x14ac:dyDescent="0.25">
      <c r="A28" s="168"/>
      <c r="B28" s="94"/>
      <c r="C28" s="95" t="s">
        <v>587</v>
      </c>
      <c r="D28" s="572"/>
      <c r="E28" s="571" t="e">
        <f t="shared" si="0"/>
        <v>#DIV/0!</v>
      </c>
      <c r="F28" s="964"/>
      <c r="G28" s="169"/>
      <c r="H28" s="564"/>
      <c r="I28" s="169"/>
      <c r="J28" s="563"/>
    </row>
    <row r="29" spans="1:10" x14ac:dyDescent="0.25">
      <c r="A29" s="168"/>
      <c r="B29" s="94"/>
      <c r="C29" s="95" t="s">
        <v>587</v>
      </c>
      <c r="D29" s="572"/>
      <c r="E29" s="571" t="e">
        <f t="shared" si="0"/>
        <v>#DIV/0!</v>
      </c>
      <c r="F29" s="964"/>
      <c r="G29" s="483" t="s">
        <v>128</v>
      </c>
      <c r="H29" s="565"/>
      <c r="I29" s="169"/>
      <c r="J29" s="563"/>
    </row>
    <row r="30" spans="1:10" ht="15" customHeight="1" x14ac:dyDescent="0.25">
      <c r="A30" s="171"/>
      <c r="B30" s="172"/>
      <c r="C30" s="173" t="s">
        <v>587</v>
      </c>
      <c r="D30" s="573"/>
      <c r="E30" s="574" t="e">
        <f t="shared" si="0"/>
        <v>#DIV/0!</v>
      </c>
      <c r="F30" s="965"/>
      <c r="G30" s="473"/>
      <c r="H30" s="566"/>
      <c r="I30" s="484" t="s">
        <v>121</v>
      </c>
      <c r="J30" s="561"/>
    </row>
    <row r="31" spans="1:10" x14ac:dyDescent="0.25">
      <c r="A31" s="92" t="s">
        <v>641</v>
      </c>
      <c r="B31" s="93"/>
      <c r="C31" s="12" t="s">
        <v>587</v>
      </c>
      <c r="D31" s="575"/>
      <c r="E31" s="569" t="e">
        <f t="shared" si="0"/>
        <v>#DIV/0!</v>
      </c>
      <c r="F31" s="963" t="e">
        <f>+SUM(D31:D35)/SUM(B31:B35)</f>
        <v>#DIV/0!</v>
      </c>
      <c r="G31" s="166"/>
      <c r="H31" s="567"/>
      <c r="I31" s="166"/>
      <c r="J31" s="562"/>
    </row>
    <row r="32" spans="1:10" x14ac:dyDescent="0.25">
      <c r="A32" s="168"/>
      <c r="B32" s="94"/>
      <c r="C32" s="95" t="s">
        <v>587</v>
      </c>
      <c r="D32" s="572"/>
      <c r="E32" s="571" t="e">
        <f t="shared" si="0"/>
        <v>#DIV/0!</v>
      </c>
      <c r="F32" s="964"/>
      <c r="G32" s="169"/>
      <c r="H32" s="564"/>
      <c r="I32" s="169"/>
      <c r="J32" s="563"/>
    </row>
    <row r="33" spans="1:10" x14ac:dyDescent="0.25">
      <c r="A33" s="168"/>
      <c r="B33" s="94"/>
      <c r="C33" s="95" t="s">
        <v>587</v>
      </c>
      <c r="D33" s="572"/>
      <c r="E33" s="571" t="e">
        <f t="shared" si="0"/>
        <v>#DIV/0!</v>
      </c>
      <c r="F33" s="964"/>
      <c r="G33" s="169"/>
      <c r="H33" s="564"/>
      <c r="I33" s="169"/>
      <c r="J33" s="563"/>
    </row>
    <row r="34" spans="1:10" x14ac:dyDescent="0.25">
      <c r="A34" s="168"/>
      <c r="B34" s="94"/>
      <c r="C34" s="95" t="s">
        <v>587</v>
      </c>
      <c r="D34" s="572"/>
      <c r="E34" s="571" t="e">
        <f t="shared" si="0"/>
        <v>#DIV/0!</v>
      </c>
      <c r="F34" s="964"/>
      <c r="G34" s="483" t="s">
        <v>128</v>
      </c>
      <c r="H34" s="565"/>
      <c r="I34" s="169"/>
      <c r="J34" s="563"/>
    </row>
    <row r="35" spans="1:10" ht="15" customHeight="1" x14ac:dyDescent="0.25">
      <c r="A35" s="171"/>
      <c r="B35" s="172"/>
      <c r="C35" s="173" t="s">
        <v>587</v>
      </c>
      <c r="D35" s="573"/>
      <c r="E35" s="574" t="e">
        <f t="shared" si="0"/>
        <v>#DIV/0!</v>
      </c>
      <c r="F35" s="965"/>
      <c r="G35" s="473"/>
      <c r="H35" s="566"/>
      <c r="I35" s="484" t="s">
        <v>121</v>
      </c>
      <c r="J35" s="561"/>
    </row>
    <row r="36" spans="1:10" x14ac:dyDescent="0.25">
      <c r="A36" s="92" t="s">
        <v>642</v>
      </c>
      <c r="B36" s="93"/>
      <c r="C36" s="12" t="s">
        <v>22</v>
      </c>
      <c r="D36" s="575"/>
      <c r="E36" s="569" t="e">
        <f t="shared" si="0"/>
        <v>#DIV/0!</v>
      </c>
      <c r="F36" s="963" t="e">
        <f>+SUM(D36:D40)/SUM(B36:B40)</f>
        <v>#DIV/0!</v>
      </c>
      <c r="G36" s="166"/>
      <c r="H36" s="567"/>
      <c r="I36" s="166"/>
      <c r="J36" s="562"/>
    </row>
    <row r="37" spans="1:10" x14ac:dyDescent="0.25">
      <c r="A37" s="168"/>
      <c r="B37" s="94"/>
      <c r="C37" s="95" t="s">
        <v>22</v>
      </c>
      <c r="D37" s="572"/>
      <c r="E37" s="571" t="e">
        <f t="shared" si="0"/>
        <v>#DIV/0!</v>
      </c>
      <c r="F37" s="964"/>
      <c r="G37" s="169"/>
      <c r="H37" s="564"/>
      <c r="I37" s="169"/>
      <c r="J37" s="563"/>
    </row>
    <row r="38" spans="1:10" x14ac:dyDescent="0.25">
      <c r="A38" s="168"/>
      <c r="B38" s="94"/>
      <c r="C38" s="95" t="s">
        <v>22</v>
      </c>
      <c r="D38" s="572"/>
      <c r="E38" s="571" t="e">
        <f t="shared" si="0"/>
        <v>#DIV/0!</v>
      </c>
      <c r="F38" s="964"/>
      <c r="G38" s="169"/>
      <c r="H38" s="564"/>
      <c r="I38" s="169"/>
      <c r="J38" s="563"/>
    </row>
    <row r="39" spans="1:10" x14ac:dyDescent="0.25">
      <c r="A39" s="168"/>
      <c r="B39" s="94"/>
      <c r="C39" s="95" t="s">
        <v>22</v>
      </c>
      <c r="D39" s="572"/>
      <c r="E39" s="571" t="e">
        <f t="shared" si="0"/>
        <v>#DIV/0!</v>
      </c>
      <c r="F39" s="964"/>
      <c r="G39" s="483" t="s">
        <v>128</v>
      </c>
      <c r="H39" s="565"/>
      <c r="I39" s="169"/>
      <c r="J39" s="563"/>
    </row>
    <row r="40" spans="1:10" ht="15" customHeight="1" x14ac:dyDescent="0.25">
      <c r="A40" s="171"/>
      <c r="B40" s="172"/>
      <c r="C40" s="173" t="s">
        <v>22</v>
      </c>
      <c r="D40" s="573"/>
      <c r="E40" s="574" t="e">
        <f t="shared" si="0"/>
        <v>#DIV/0!</v>
      </c>
      <c r="F40" s="965"/>
      <c r="G40" s="473"/>
      <c r="H40" s="566"/>
      <c r="I40" s="484" t="s">
        <v>121</v>
      </c>
      <c r="J40" s="561"/>
    </row>
    <row r="41" spans="1:10" x14ac:dyDescent="0.25">
      <c r="A41" s="481" t="s">
        <v>0</v>
      </c>
      <c r="B41" s="482"/>
      <c r="C41" s="482"/>
      <c r="D41" s="576">
        <f>+SUM(D5:D40)</f>
        <v>615199</v>
      </c>
      <c r="E41" s="576"/>
      <c r="F41" s="577"/>
    </row>
    <row r="42" spans="1:10" x14ac:dyDescent="0.25">
      <c r="A42" s="91"/>
      <c r="B42" s="91"/>
      <c r="C42" s="91"/>
      <c r="D42" s="60"/>
      <c r="E42" s="91"/>
      <c r="F42" s="60"/>
      <c r="G42" s="91"/>
    </row>
    <row r="43" spans="1:10" x14ac:dyDescent="0.25">
      <c r="D43" s="60"/>
      <c r="F43" s="60"/>
    </row>
    <row r="44" spans="1:10" x14ac:dyDescent="0.25">
      <c r="D44" s="60"/>
      <c r="F44" s="60"/>
    </row>
    <row r="48" spans="1:10" ht="14.25" customHeight="1" x14ac:dyDescent="0.25"/>
    <row r="49" spans="7:7" ht="14.25" customHeight="1" x14ac:dyDescent="0.25"/>
    <row r="59" spans="7:7" x14ac:dyDescent="0.25">
      <c r="G59" s="474"/>
    </row>
    <row r="61" spans="7:7" x14ac:dyDescent="0.25">
      <c r="G61" s="475"/>
    </row>
    <row r="62" spans="7:7" x14ac:dyDescent="0.25">
      <c r="G62" s="475"/>
    </row>
    <row r="63" spans="7:7" x14ac:dyDescent="0.25">
      <c r="G63" s="475"/>
    </row>
    <row r="64" spans="7:7" x14ac:dyDescent="0.25">
      <c r="G64" s="474"/>
    </row>
    <row r="65" spans="7:7" x14ac:dyDescent="0.25">
      <c r="G65" s="475"/>
    </row>
  </sheetData>
  <mergeCells count="9">
    <mergeCell ref="F26:F30"/>
    <mergeCell ref="F31:F35"/>
    <mergeCell ref="F36:F40"/>
    <mergeCell ref="A1:D1"/>
    <mergeCell ref="B4:C4"/>
    <mergeCell ref="F5:F10"/>
    <mergeCell ref="F11:F15"/>
    <mergeCell ref="F16:F20"/>
    <mergeCell ref="F21:F25"/>
  </mergeCells>
  <phoneticPr fontId="57" type="noConversion"/>
  <printOptions horizontalCentered="1" verticalCentered="1"/>
  <pageMargins left="0" right="0" top="0.39370078740157483" bottom="0.39370078740157483" header="0" footer="0"/>
  <pageSetup paperSize="9" scale="79" orientation="landscape" r:id="rId1"/>
  <headerFooter alignWithMargins="0">
    <oddHeader>&amp;R&amp;T;&amp;D</oddHeader>
    <oddFooter>&amp;L&amp;Z&amp;F&amp;R&amp;P/&amp;N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16">
    <tabColor rgb="FFFFC000"/>
    <pageSetUpPr fitToPage="1"/>
  </sheetPr>
  <dimension ref="A1:L85"/>
  <sheetViews>
    <sheetView zoomScale="85" zoomScaleNormal="85" workbookViewId="0">
      <selection activeCell="F16" sqref="F16:F20"/>
    </sheetView>
  </sheetViews>
  <sheetFormatPr baseColWidth="10" defaultColWidth="11.42578125" defaultRowHeight="12.75" x14ac:dyDescent="0.2"/>
  <cols>
    <col min="1" max="1" width="32.42578125" style="96" customWidth="1"/>
    <col min="2" max="2" width="13.85546875" style="96" bestFit="1" customWidth="1"/>
    <col min="3" max="3" width="12" style="96" customWidth="1"/>
    <col min="4" max="4" width="17.7109375" style="96" customWidth="1"/>
    <col min="5" max="6" width="19.140625" style="96" customWidth="1"/>
    <col min="7" max="7" width="21.85546875" style="96" bestFit="1" customWidth="1"/>
    <col min="8" max="8" width="15.7109375" style="96" customWidth="1"/>
    <col min="9" max="9" width="22" style="96" bestFit="1" customWidth="1"/>
    <col min="10" max="10" width="11.7109375" style="96" bestFit="1" customWidth="1"/>
    <col min="11" max="16384" width="11.42578125" style="96"/>
  </cols>
  <sheetData>
    <row r="1" spans="1:12" s="89" customFormat="1" ht="19.5" thickBot="1" x14ac:dyDescent="0.35">
      <c r="A1" s="966" t="s">
        <v>622</v>
      </c>
      <c r="B1" s="967"/>
      <c r="C1" s="967"/>
      <c r="D1" s="968"/>
      <c r="E1" s="476" t="s">
        <v>3</v>
      </c>
      <c r="F1" s="477"/>
      <c r="G1" s="10"/>
      <c r="H1" s="90"/>
      <c r="I1" s="90"/>
      <c r="J1" s="90"/>
    </row>
    <row r="2" spans="1:12" s="90" customFormat="1" ht="15" x14ac:dyDescent="0.25">
      <c r="A2" s="10"/>
      <c r="B2" s="10"/>
      <c r="C2" s="10"/>
      <c r="D2" s="10"/>
      <c r="E2" s="10"/>
      <c r="F2" s="10"/>
      <c r="G2" s="10"/>
      <c r="H2" s="10"/>
      <c r="I2" s="10"/>
    </row>
    <row r="3" spans="1:12" s="90" customFormat="1" ht="15" x14ac:dyDescent="0.25">
      <c r="A3" s="91"/>
      <c r="B3" s="91"/>
      <c r="C3" s="91"/>
      <c r="D3" s="91"/>
      <c r="E3" s="91"/>
      <c r="F3" s="91"/>
      <c r="G3" s="91"/>
    </row>
    <row r="4" spans="1:12" s="90" customFormat="1" ht="15" x14ac:dyDescent="0.25">
      <c r="A4" s="478" t="s">
        <v>129</v>
      </c>
      <c r="B4" s="969" t="s">
        <v>130</v>
      </c>
      <c r="C4" s="969"/>
      <c r="D4" s="479" t="s">
        <v>78</v>
      </c>
      <c r="E4" s="480" t="s">
        <v>131</v>
      </c>
      <c r="F4" s="479" t="s">
        <v>132</v>
      </c>
    </row>
    <row r="5" spans="1:12" s="90" customFormat="1" ht="15" x14ac:dyDescent="0.25">
      <c r="A5" s="92" t="s">
        <v>737</v>
      </c>
      <c r="B5" s="93"/>
      <c r="C5" s="12" t="s">
        <v>22</v>
      </c>
      <c r="D5" s="568"/>
      <c r="E5" s="569" t="e">
        <f t="shared" ref="E5:E29" si="0">+D5/B5</f>
        <v>#DIV/0!</v>
      </c>
      <c r="F5" s="963">
        <f>+SUM(D5:D10)/SUM(B5:B10)</f>
        <v>28</v>
      </c>
      <c r="G5" s="166"/>
      <c r="H5" s="166"/>
      <c r="I5" s="166"/>
      <c r="J5" s="167"/>
      <c r="K5" s="90" t="s">
        <v>1077</v>
      </c>
      <c r="L5" s="90" t="s">
        <v>1078</v>
      </c>
    </row>
    <row r="6" spans="1:12" s="90" customFormat="1" ht="15" x14ac:dyDescent="0.25">
      <c r="A6" s="168"/>
      <c r="B6" s="94">
        <v>6157</v>
      </c>
      <c r="C6" s="95" t="s">
        <v>22</v>
      </c>
      <c r="D6" s="570">
        <f>+E6*B6</f>
        <v>172396</v>
      </c>
      <c r="E6" s="571">
        <v>28</v>
      </c>
      <c r="F6" s="964"/>
      <c r="G6" s="169"/>
      <c r="H6" s="169"/>
      <c r="I6" s="169"/>
      <c r="J6" s="170"/>
      <c r="K6" s="810">
        <v>2412336</v>
      </c>
      <c r="L6" s="811">
        <v>26.57</v>
      </c>
    </row>
    <row r="7" spans="1:12" s="90" customFormat="1" ht="15" x14ac:dyDescent="0.25">
      <c r="A7" s="168"/>
      <c r="B7" s="94"/>
      <c r="C7" s="95" t="s">
        <v>22</v>
      </c>
      <c r="D7" s="570"/>
      <c r="E7" s="571" t="e">
        <f t="shared" si="0"/>
        <v>#DIV/0!</v>
      </c>
      <c r="F7" s="964"/>
      <c r="G7" s="169"/>
      <c r="H7" s="169"/>
      <c r="I7" s="169"/>
      <c r="J7" s="170"/>
    </row>
    <row r="8" spans="1:12" s="90" customFormat="1" ht="15" x14ac:dyDescent="0.25">
      <c r="A8" s="168"/>
      <c r="B8" s="94"/>
      <c r="C8" s="95" t="s">
        <v>22</v>
      </c>
      <c r="D8" s="572"/>
      <c r="E8" s="571" t="e">
        <f t="shared" si="0"/>
        <v>#DIV/0!</v>
      </c>
      <c r="F8" s="964"/>
      <c r="G8" s="169"/>
      <c r="H8" s="564"/>
      <c r="I8" s="169"/>
      <c r="J8" s="170"/>
    </row>
    <row r="9" spans="1:12" s="90" customFormat="1" ht="15" x14ac:dyDescent="0.25">
      <c r="A9" s="168"/>
      <c r="B9" s="94"/>
      <c r="C9" s="95" t="s">
        <v>22</v>
      </c>
      <c r="D9" s="570"/>
      <c r="E9" s="571" t="e">
        <f t="shared" si="0"/>
        <v>#DIV/0!</v>
      </c>
      <c r="F9" s="964"/>
      <c r="G9" s="483" t="s">
        <v>128</v>
      </c>
      <c r="H9" s="565">
        <v>6157</v>
      </c>
      <c r="I9" s="169"/>
      <c r="J9" s="170"/>
    </row>
    <row r="10" spans="1:12" s="90" customFormat="1" ht="15" customHeight="1" x14ac:dyDescent="0.25">
      <c r="A10" s="171"/>
      <c r="B10" s="172"/>
      <c r="C10" s="173" t="s">
        <v>22</v>
      </c>
      <c r="D10" s="573"/>
      <c r="E10" s="574" t="e">
        <f t="shared" si="0"/>
        <v>#DIV/0!</v>
      </c>
      <c r="F10" s="965"/>
      <c r="G10" s="473"/>
      <c r="H10" s="566"/>
      <c r="I10" s="484" t="s">
        <v>121</v>
      </c>
      <c r="J10" s="561">
        <v>28</v>
      </c>
    </row>
    <row r="11" spans="1:12" s="90" customFormat="1" ht="15" x14ac:dyDescent="0.25">
      <c r="A11" s="92" t="s">
        <v>738</v>
      </c>
      <c r="B11" s="93"/>
      <c r="C11" s="12" t="s">
        <v>22</v>
      </c>
      <c r="D11" s="575"/>
      <c r="E11" s="569" t="e">
        <f t="shared" si="0"/>
        <v>#DIV/0!</v>
      </c>
      <c r="F11" s="963" t="e">
        <f>+SUM(D11:D15)/SUM(B11:B15)</f>
        <v>#DIV/0!</v>
      </c>
      <c r="G11" s="166"/>
      <c r="H11" s="567"/>
      <c r="I11" s="166"/>
      <c r="J11" s="562"/>
    </row>
    <row r="12" spans="1:12" s="90" customFormat="1" ht="15" x14ac:dyDescent="0.25">
      <c r="A12" s="168"/>
      <c r="B12" s="94"/>
      <c r="C12" s="95" t="s">
        <v>22</v>
      </c>
      <c r="D12" s="572"/>
      <c r="E12" s="571" t="e">
        <f t="shared" si="0"/>
        <v>#DIV/0!</v>
      </c>
      <c r="F12" s="964"/>
      <c r="G12" s="169"/>
      <c r="H12" s="564"/>
      <c r="I12" s="169"/>
      <c r="J12" s="563"/>
    </row>
    <row r="13" spans="1:12" s="90" customFormat="1" ht="15" x14ac:dyDescent="0.25">
      <c r="A13" s="168"/>
      <c r="B13" s="94"/>
      <c r="C13" s="95" t="s">
        <v>22</v>
      </c>
      <c r="D13" s="572"/>
      <c r="E13" s="571" t="e">
        <f t="shared" si="0"/>
        <v>#DIV/0!</v>
      </c>
      <c r="F13" s="964"/>
      <c r="G13" s="169"/>
      <c r="H13" s="564"/>
      <c r="I13" s="169"/>
      <c r="J13" s="563"/>
    </row>
    <row r="14" spans="1:12" s="90" customFormat="1" ht="15" x14ac:dyDescent="0.25">
      <c r="A14" s="168"/>
      <c r="B14" s="94"/>
      <c r="C14" s="95" t="s">
        <v>22</v>
      </c>
      <c r="D14" s="572"/>
      <c r="E14" s="571" t="e">
        <f t="shared" si="0"/>
        <v>#DIV/0!</v>
      </c>
      <c r="F14" s="964"/>
      <c r="G14" s="483" t="s">
        <v>128</v>
      </c>
      <c r="H14" s="565">
        <f>142+1985</f>
        <v>2127</v>
      </c>
      <c r="I14" s="169"/>
      <c r="J14" s="563"/>
    </row>
    <row r="15" spans="1:12" s="90" customFormat="1" ht="15" customHeight="1" x14ac:dyDescent="0.25">
      <c r="A15" s="171"/>
      <c r="B15" s="172"/>
      <c r="C15" s="173" t="s">
        <v>22</v>
      </c>
      <c r="D15" s="573"/>
      <c r="E15" s="574" t="e">
        <f t="shared" si="0"/>
        <v>#DIV/0!</v>
      </c>
      <c r="F15" s="965"/>
      <c r="G15" s="473"/>
      <c r="H15" s="566"/>
      <c r="I15" s="484" t="s">
        <v>121</v>
      </c>
      <c r="J15" s="561">
        <v>72.5</v>
      </c>
    </row>
    <row r="16" spans="1:12" s="90" customFormat="1" ht="15" x14ac:dyDescent="0.25">
      <c r="A16" s="92" t="s">
        <v>739</v>
      </c>
      <c r="B16" s="93"/>
      <c r="C16" s="12" t="s">
        <v>741</v>
      </c>
      <c r="D16" s="575"/>
      <c r="E16" s="569" t="e">
        <f t="shared" si="0"/>
        <v>#DIV/0!</v>
      </c>
      <c r="F16" s="970">
        <f>+SUM(D16:D20)/SUM(B16:B20)</f>
        <v>542.6</v>
      </c>
      <c r="G16" s="166"/>
      <c r="H16" s="567"/>
      <c r="I16" s="166"/>
      <c r="J16" s="562"/>
    </row>
    <row r="17" spans="1:10" s="90" customFormat="1" ht="15" x14ac:dyDescent="0.25">
      <c r="A17" s="168" t="s">
        <v>743</v>
      </c>
      <c r="B17" s="94"/>
      <c r="C17" s="95" t="s">
        <v>741</v>
      </c>
      <c r="D17" s="572"/>
      <c r="E17" s="571" t="e">
        <f t="shared" si="0"/>
        <v>#DIV/0!</v>
      </c>
      <c r="F17" s="971"/>
      <c r="G17" s="169"/>
      <c r="H17" s="564"/>
      <c r="I17" s="169"/>
      <c r="J17" s="563"/>
    </row>
    <row r="18" spans="1:10" s="90" customFormat="1" ht="15" x14ac:dyDescent="0.25">
      <c r="A18" s="781" t="s">
        <v>1079</v>
      </c>
      <c r="B18" s="94">
        <v>20</v>
      </c>
      <c r="C18" s="95" t="s">
        <v>741</v>
      </c>
      <c r="D18" s="814">
        <v>10852</v>
      </c>
      <c r="E18" s="571">
        <f t="shared" si="0"/>
        <v>542.6</v>
      </c>
      <c r="F18" s="971"/>
      <c r="G18" s="169"/>
      <c r="H18" s="564"/>
      <c r="I18" s="169"/>
      <c r="J18" s="563"/>
    </row>
    <row r="19" spans="1:10" s="90" customFormat="1" ht="15" x14ac:dyDescent="0.25">
      <c r="A19" s="168"/>
      <c r="B19" s="94"/>
      <c r="C19" s="95" t="s">
        <v>741</v>
      </c>
      <c r="D19" s="572"/>
      <c r="E19" s="571" t="e">
        <f t="shared" si="0"/>
        <v>#DIV/0!</v>
      </c>
      <c r="F19" s="971"/>
      <c r="G19" s="483" t="s">
        <v>742</v>
      </c>
      <c r="H19" s="565">
        <v>20</v>
      </c>
      <c r="I19" s="169"/>
      <c r="J19" s="563"/>
    </row>
    <row r="20" spans="1:10" s="90" customFormat="1" ht="15" customHeight="1" x14ac:dyDescent="0.25">
      <c r="A20" s="171"/>
      <c r="B20" s="172"/>
      <c r="C20" s="173" t="s">
        <v>741</v>
      </c>
      <c r="D20" s="573"/>
      <c r="E20" s="574" t="e">
        <f t="shared" si="0"/>
        <v>#DIV/0!</v>
      </c>
      <c r="F20" s="972"/>
      <c r="G20" s="473"/>
      <c r="H20" s="566"/>
      <c r="I20" s="484" t="s">
        <v>121</v>
      </c>
      <c r="J20" s="561">
        <f>(10905.87+382)/20</f>
        <v>564.39350000000002</v>
      </c>
    </row>
    <row r="21" spans="1:10" s="90" customFormat="1" ht="15" x14ac:dyDescent="0.25">
      <c r="A21" s="92" t="s">
        <v>740</v>
      </c>
      <c r="B21" s="93"/>
      <c r="C21" s="12" t="s">
        <v>15</v>
      </c>
      <c r="D21" s="575"/>
      <c r="E21" s="569" t="e">
        <f t="shared" si="0"/>
        <v>#DIV/0!</v>
      </c>
      <c r="F21" s="970"/>
      <c r="G21" s="166"/>
      <c r="H21" s="567"/>
      <c r="I21" s="166"/>
      <c r="J21" s="562"/>
    </row>
    <row r="22" spans="1:10" s="90" customFormat="1" ht="15" x14ac:dyDescent="0.25">
      <c r="A22" s="168" t="s">
        <v>881</v>
      </c>
      <c r="B22" s="94">
        <f>188+1055</f>
        <v>1243</v>
      </c>
      <c r="C22" s="95" t="s">
        <v>587</v>
      </c>
      <c r="D22" s="572">
        <v>133483.29999999999</v>
      </c>
      <c r="E22" s="571">
        <f t="shared" si="0"/>
        <v>107.38801287208366</v>
      </c>
      <c r="F22" s="971"/>
      <c r="G22" s="169"/>
      <c r="H22" s="564"/>
      <c r="I22" s="169"/>
      <c r="J22" s="563"/>
    </row>
    <row r="23" spans="1:10" s="90" customFormat="1" ht="15" x14ac:dyDescent="0.25">
      <c r="A23" s="168"/>
      <c r="B23" s="94">
        <f>38.84+139.74</f>
        <v>178.58</v>
      </c>
      <c r="C23" s="95" t="s">
        <v>666</v>
      </c>
      <c r="D23" s="572">
        <f>+D22</f>
        <v>133483.29999999999</v>
      </c>
      <c r="E23" s="571">
        <f t="shared" si="0"/>
        <v>747.47060141113218</v>
      </c>
      <c r="F23" s="971"/>
      <c r="G23" s="169"/>
      <c r="H23" s="564"/>
      <c r="I23" s="169"/>
      <c r="J23" s="563"/>
    </row>
    <row r="24" spans="1:10" s="90" customFormat="1" ht="15" x14ac:dyDescent="0.25">
      <c r="A24" s="168"/>
      <c r="B24" s="94"/>
      <c r="C24" s="95" t="s">
        <v>15</v>
      </c>
      <c r="D24" s="572"/>
      <c r="E24" s="571" t="e">
        <f t="shared" si="0"/>
        <v>#DIV/0!</v>
      </c>
      <c r="F24" s="971"/>
      <c r="G24" s="483" t="s">
        <v>128</v>
      </c>
      <c r="H24" s="565">
        <f>+B22</f>
        <v>1243</v>
      </c>
      <c r="I24" s="169"/>
      <c r="J24" s="563"/>
    </row>
    <row r="25" spans="1:10" s="90" customFormat="1" ht="15" customHeight="1" x14ac:dyDescent="0.25">
      <c r="A25" s="171"/>
      <c r="B25" s="172"/>
      <c r="C25" s="173" t="s">
        <v>15</v>
      </c>
      <c r="D25" s="573"/>
      <c r="E25" s="574" t="e">
        <f t="shared" si="0"/>
        <v>#DIV/0!</v>
      </c>
      <c r="F25" s="972"/>
      <c r="G25" s="473"/>
      <c r="H25" s="566"/>
      <c r="I25" s="484" t="s">
        <v>121</v>
      </c>
      <c r="J25" s="561">
        <f>+E22</f>
        <v>107.38801287208366</v>
      </c>
    </row>
    <row r="26" spans="1:10" s="90" customFormat="1" ht="15" x14ac:dyDescent="0.25">
      <c r="A26" s="92" t="s">
        <v>1073</v>
      </c>
      <c r="B26" s="93"/>
      <c r="C26" s="12"/>
      <c r="D26" s="575"/>
      <c r="E26" s="569" t="e">
        <f t="shared" si="0"/>
        <v>#DIV/0!</v>
      </c>
      <c r="F26" s="970"/>
      <c r="G26" s="166"/>
      <c r="H26" s="567"/>
      <c r="I26" s="166"/>
      <c r="J26" s="562"/>
    </row>
    <row r="27" spans="1:10" s="90" customFormat="1" ht="15" x14ac:dyDescent="0.25">
      <c r="A27" s="168" t="s">
        <v>1074</v>
      </c>
      <c r="B27" s="94">
        <v>790</v>
      </c>
      <c r="C27" s="95" t="s">
        <v>741</v>
      </c>
      <c r="D27" s="572">
        <v>29941.33</v>
      </c>
      <c r="E27" s="571">
        <f t="shared" si="0"/>
        <v>37.900417721518991</v>
      </c>
      <c r="F27" s="971"/>
      <c r="G27" s="169"/>
      <c r="H27" s="564"/>
      <c r="I27" s="169"/>
      <c r="J27" s="563"/>
    </row>
    <row r="28" spans="1:10" s="90" customFormat="1" ht="15" x14ac:dyDescent="0.25">
      <c r="A28" s="168"/>
      <c r="B28" s="94"/>
      <c r="C28" s="95"/>
      <c r="D28" s="572"/>
      <c r="E28" s="571" t="e">
        <f t="shared" si="0"/>
        <v>#DIV/0!</v>
      </c>
      <c r="F28" s="971"/>
      <c r="G28" s="169"/>
      <c r="H28" s="564"/>
      <c r="I28" s="169"/>
      <c r="J28" s="563"/>
    </row>
    <row r="29" spans="1:10" s="90" customFormat="1" ht="15" x14ac:dyDescent="0.25">
      <c r="A29" s="168"/>
      <c r="B29" s="94"/>
      <c r="C29" s="95" t="s">
        <v>1075</v>
      </c>
      <c r="D29" s="808">
        <v>16493.73</v>
      </c>
      <c r="E29" s="571" t="e">
        <f t="shared" si="0"/>
        <v>#DIV/0!</v>
      </c>
      <c r="F29" s="971"/>
      <c r="G29" s="483" t="s">
        <v>745</v>
      </c>
      <c r="H29" s="565">
        <v>796</v>
      </c>
      <c r="I29" s="169"/>
      <c r="J29" s="563"/>
    </row>
    <row r="30" spans="1:10" s="90" customFormat="1" ht="15" customHeight="1" x14ac:dyDescent="0.25">
      <c r="A30" s="171"/>
      <c r="B30" s="172"/>
      <c r="C30" s="173"/>
      <c r="D30" s="573"/>
      <c r="E30" s="574"/>
      <c r="F30" s="972"/>
      <c r="G30" s="473"/>
      <c r="H30" s="566"/>
      <c r="I30" s="484" t="s">
        <v>121</v>
      </c>
      <c r="J30" s="561">
        <v>37.61</v>
      </c>
    </row>
    <row r="31" spans="1:10" s="90" customFormat="1" ht="15" x14ac:dyDescent="0.25">
      <c r="A31" s="92"/>
      <c r="B31" s="93"/>
      <c r="C31" s="12"/>
      <c r="D31" s="575"/>
      <c r="E31" s="569"/>
      <c r="F31" s="970"/>
      <c r="G31" s="166"/>
      <c r="H31" s="567"/>
      <c r="I31" s="166"/>
      <c r="J31" s="562"/>
    </row>
    <row r="32" spans="1:10" s="90" customFormat="1" ht="15" x14ac:dyDescent="0.25">
      <c r="A32" s="168"/>
      <c r="B32" s="94"/>
      <c r="C32" s="95"/>
      <c r="D32" s="572"/>
      <c r="E32" s="571"/>
      <c r="F32" s="971"/>
      <c r="G32" s="169"/>
      <c r="H32" s="564"/>
      <c r="I32" s="169"/>
      <c r="J32" s="563"/>
    </row>
    <row r="33" spans="1:10" s="90" customFormat="1" ht="15" x14ac:dyDescent="0.25">
      <c r="A33" s="168"/>
      <c r="B33" s="94"/>
      <c r="C33" s="95"/>
      <c r="D33" s="572"/>
      <c r="E33" s="571"/>
      <c r="F33" s="971"/>
      <c r="G33" s="169"/>
      <c r="H33" s="564"/>
      <c r="I33" s="169"/>
      <c r="J33" s="563"/>
    </row>
    <row r="34" spans="1:10" s="90" customFormat="1" ht="15" x14ac:dyDescent="0.25">
      <c r="A34" s="168"/>
      <c r="B34" s="94"/>
      <c r="C34" s="95"/>
      <c r="D34" s="572"/>
      <c r="E34" s="571"/>
      <c r="F34" s="971"/>
      <c r="G34" s="483" t="s">
        <v>128</v>
      </c>
      <c r="H34" s="565">
        <f>+B31+B32</f>
        <v>0</v>
      </c>
      <c r="I34" s="169"/>
      <c r="J34" s="563"/>
    </row>
    <row r="35" spans="1:10" s="90" customFormat="1" ht="15" customHeight="1" x14ac:dyDescent="0.25">
      <c r="A35" s="171"/>
      <c r="B35" s="172"/>
      <c r="C35" s="173"/>
      <c r="D35" s="573"/>
      <c r="E35" s="574"/>
      <c r="F35" s="972"/>
      <c r="G35" s="473"/>
      <c r="H35" s="566"/>
      <c r="I35" s="484" t="s">
        <v>121</v>
      </c>
      <c r="J35" s="561" t="e">
        <f>+(E31+E32)/H34</f>
        <v>#DIV/0!</v>
      </c>
    </row>
    <row r="36" spans="1:10" s="90" customFormat="1" ht="15" x14ac:dyDescent="0.25">
      <c r="A36" s="92"/>
      <c r="B36" s="93"/>
      <c r="C36" s="12"/>
      <c r="D36" s="575"/>
      <c r="E36" s="569"/>
      <c r="F36" s="970"/>
      <c r="G36" s="166"/>
      <c r="H36" s="567"/>
      <c r="I36" s="166"/>
      <c r="J36" s="562"/>
    </row>
    <row r="37" spans="1:10" s="90" customFormat="1" ht="15" x14ac:dyDescent="0.25">
      <c r="A37" s="168"/>
      <c r="B37" s="94"/>
      <c r="C37" s="95"/>
      <c r="D37" s="572"/>
      <c r="E37" s="571"/>
      <c r="F37" s="971"/>
      <c r="G37" s="169"/>
      <c r="H37" s="564"/>
      <c r="I37" s="169"/>
      <c r="J37" s="563"/>
    </row>
    <row r="38" spans="1:10" s="90" customFormat="1" ht="15" x14ac:dyDescent="0.25">
      <c r="A38" s="168"/>
      <c r="B38" s="94"/>
      <c r="C38" s="95"/>
      <c r="D38" s="572"/>
      <c r="E38" s="571"/>
      <c r="F38" s="971"/>
      <c r="G38" s="169"/>
      <c r="H38" s="564"/>
      <c r="I38" s="169"/>
      <c r="J38" s="563"/>
    </row>
    <row r="39" spans="1:10" s="90" customFormat="1" ht="15" x14ac:dyDescent="0.25">
      <c r="A39" s="168"/>
      <c r="B39" s="94"/>
      <c r="C39" s="95"/>
      <c r="D39" s="572"/>
      <c r="E39" s="571"/>
      <c r="F39" s="971"/>
      <c r="G39" s="483" t="s">
        <v>128</v>
      </c>
      <c r="H39" s="565">
        <v>203</v>
      </c>
      <c r="I39" s="169"/>
      <c r="J39" s="563"/>
    </row>
    <row r="40" spans="1:10" s="90" customFormat="1" ht="15" customHeight="1" x14ac:dyDescent="0.25">
      <c r="A40" s="171"/>
      <c r="B40" s="172"/>
      <c r="C40" s="173"/>
      <c r="D40" s="573"/>
      <c r="E40" s="574"/>
      <c r="F40" s="972"/>
      <c r="G40" s="473"/>
      <c r="H40" s="566"/>
      <c r="I40" s="484" t="s">
        <v>121</v>
      </c>
      <c r="J40" s="561">
        <v>30</v>
      </c>
    </row>
    <row r="41" spans="1:10" s="90" customFormat="1" ht="15" x14ac:dyDescent="0.25">
      <c r="A41" s="92"/>
      <c r="B41" s="93"/>
      <c r="C41" s="12"/>
      <c r="D41" s="575"/>
      <c r="E41" s="569"/>
      <c r="F41" s="970"/>
      <c r="G41" s="166"/>
      <c r="H41" s="567"/>
      <c r="I41" s="166"/>
      <c r="J41" s="562"/>
    </row>
    <row r="42" spans="1:10" s="90" customFormat="1" ht="15" x14ac:dyDescent="0.25">
      <c r="A42" s="168"/>
      <c r="B42" s="94"/>
      <c r="C42" s="95"/>
      <c r="D42" s="572"/>
      <c r="E42" s="571"/>
      <c r="F42" s="971"/>
      <c r="G42" s="169"/>
      <c r="H42" s="564"/>
      <c r="I42" s="169"/>
      <c r="J42" s="563"/>
    </row>
    <row r="43" spans="1:10" s="90" customFormat="1" ht="15" x14ac:dyDescent="0.25">
      <c r="A43" s="168"/>
      <c r="B43" s="94"/>
      <c r="C43" s="95"/>
      <c r="D43" s="572"/>
      <c r="E43" s="571"/>
      <c r="F43" s="971"/>
      <c r="G43" s="169"/>
      <c r="H43" s="564"/>
      <c r="I43" s="169"/>
      <c r="J43" s="563"/>
    </row>
    <row r="44" spans="1:10" s="90" customFormat="1" ht="15" x14ac:dyDescent="0.25">
      <c r="A44" s="168"/>
      <c r="B44" s="94"/>
      <c r="C44" s="95"/>
      <c r="D44" s="572"/>
      <c r="E44" s="571"/>
      <c r="F44" s="971"/>
      <c r="G44" s="483" t="s">
        <v>128</v>
      </c>
      <c r="H44" s="565">
        <v>60</v>
      </c>
      <c r="I44" s="169"/>
      <c r="J44" s="563"/>
    </row>
    <row r="45" spans="1:10" s="90" customFormat="1" ht="15" customHeight="1" x14ac:dyDescent="0.25">
      <c r="A45" s="171"/>
      <c r="B45" s="172"/>
      <c r="C45" s="173"/>
      <c r="D45" s="573"/>
      <c r="E45" s="574"/>
      <c r="F45" s="972"/>
      <c r="G45" s="473"/>
      <c r="H45" s="566"/>
      <c r="I45" s="484" t="s">
        <v>121</v>
      </c>
      <c r="J45" s="561">
        <v>45</v>
      </c>
    </row>
    <row r="46" spans="1:10" s="90" customFormat="1" ht="15" x14ac:dyDescent="0.25">
      <c r="A46" s="92"/>
      <c r="B46" s="93"/>
      <c r="C46" s="12"/>
      <c r="D46" s="575"/>
      <c r="E46" s="569"/>
      <c r="F46" s="970"/>
      <c r="G46" s="166"/>
      <c r="H46" s="567"/>
      <c r="I46" s="166"/>
      <c r="J46" s="562"/>
    </row>
    <row r="47" spans="1:10" s="90" customFormat="1" ht="15" x14ac:dyDescent="0.25">
      <c r="A47" s="168"/>
      <c r="B47" s="94"/>
      <c r="C47" s="95"/>
      <c r="D47" s="572"/>
      <c r="E47" s="571"/>
      <c r="F47" s="971"/>
      <c r="G47" s="169"/>
      <c r="H47" s="564"/>
      <c r="I47" s="169"/>
      <c r="J47" s="563"/>
    </row>
    <row r="48" spans="1:10" s="90" customFormat="1" ht="15" x14ac:dyDescent="0.25">
      <c r="A48" s="168"/>
      <c r="B48" s="94"/>
      <c r="C48" s="95"/>
      <c r="D48" s="572"/>
      <c r="E48" s="571"/>
      <c r="F48" s="971"/>
      <c r="G48" s="169"/>
      <c r="H48" s="564"/>
      <c r="I48" s="169"/>
      <c r="J48" s="563"/>
    </row>
    <row r="49" spans="1:10" s="90" customFormat="1" ht="15" x14ac:dyDescent="0.25">
      <c r="A49" s="168"/>
      <c r="B49" s="94"/>
      <c r="C49" s="95"/>
      <c r="D49" s="572"/>
      <c r="E49" s="571"/>
      <c r="F49" s="971"/>
      <c r="G49" s="483" t="s">
        <v>128</v>
      </c>
      <c r="H49" s="565">
        <f>+B48+B49</f>
        <v>0</v>
      </c>
      <c r="I49" s="169"/>
      <c r="J49" s="563"/>
    </row>
    <row r="50" spans="1:10" s="90" customFormat="1" ht="15" customHeight="1" x14ac:dyDescent="0.25">
      <c r="A50" s="171"/>
      <c r="B50" s="172"/>
      <c r="C50" s="173"/>
      <c r="D50" s="573"/>
      <c r="E50" s="574"/>
      <c r="F50" s="972"/>
      <c r="G50" s="473"/>
      <c r="H50" s="566"/>
      <c r="I50" s="484" t="s">
        <v>121</v>
      </c>
      <c r="J50" s="561">
        <f>+F46</f>
        <v>0</v>
      </c>
    </row>
    <row r="51" spans="1:10" s="90" customFormat="1" ht="15" x14ac:dyDescent="0.25">
      <c r="A51" s="92"/>
      <c r="B51" s="93"/>
      <c r="C51" s="12"/>
      <c r="D51" s="575"/>
      <c r="E51" s="569"/>
      <c r="F51" s="970"/>
      <c r="G51" s="166"/>
      <c r="H51" s="567"/>
      <c r="I51" s="166"/>
      <c r="J51" s="562"/>
    </row>
    <row r="52" spans="1:10" s="90" customFormat="1" ht="15" x14ac:dyDescent="0.25">
      <c r="A52" s="168"/>
      <c r="B52" s="94"/>
      <c r="C52" s="95"/>
      <c r="D52" s="572"/>
      <c r="E52" s="571"/>
      <c r="F52" s="971"/>
      <c r="G52" s="169"/>
      <c r="H52" s="564"/>
      <c r="I52" s="169"/>
      <c r="J52" s="563"/>
    </row>
    <row r="53" spans="1:10" s="90" customFormat="1" ht="15" x14ac:dyDescent="0.25">
      <c r="A53" s="168"/>
      <c r="B53" s="94"/>
      <c r="C53" s="95"/>
      <c r="D53" s="572"/>
      <c r="E53" s="571"/>
      <c r="F53" s="971"/>
      <c r="G53" s="169"/>
      <c r="H53" s="564"/>
      <c r="I53" s="169"/>
      <c r="J53" s="563"/>
    </row>
    <row r="54" spans="1:10" s="90" customFormat="1" ht="15" x14ac:dyDescent="0.25">
      <c r="A54" s="168"/>
      <c r="B54" s="94"/>
      <c r="C54" s="95"/>
      <c r="D54" s="572"/>
      <c r="E54" s="571"/>
      <c r="F54" s="971"/>
      <c r="G54" s="483" t="s">
        <v>128</v>
      </c>
      <c r="H54" s="565">
        <v>4</v>
      </c>
      <c r="I54" s="169"/>
      <c r="J54" s="563"/>
    </row>
    <row r="55" spans="1:10" s="90" customFormat="1" ht="15" customHeight="1" x14ac:dyDescent="0.25">
      <c r="A55" s="171"/>
      <c r="B55" s="172"/>
      <c r="C55" s="173"/>
      <c r="D55" s="573"/>
      <c r="E55" s="574"/>
      <c r="F55" s="972"/>
      <c r="G55" s="473"/>
      <c r="H55" s="566"/>
      <c r="I55" s="484" t="s">
        <v>121</v>
      </c>
      <c r="J55" s="561">
        <v>3500</v>
      </c>
    </row>
    <row r="56" spans="1:10" s="90" customFormat="1" ht="15" x14ac:dyDescent="0.25">
      <c r="A56" s="92"/>
      <c r="B56" s="93"/>
      <c r="C56" s="12"/>
      <c r="D56" s="575"/>
      <c r="E56" s="569"/>
      <c r="F56" s="970"/>
      <c r="G56" s="166"/>
      <c r="H56" s="567"/>
      <c r="I56" s="166"/>
      <c r="J56" s="562"/>
    </row>
    <row r="57" spans="1:10" s="90" customFormat="1" ht="15" x14ac:dyDescent="0.25">
      <c r="A57" s="168"/>
      <c r="B57" s="94"/>
      <c r="C57" s="95"/>
      <c r="D57" s="572"/>
      <c r="E57" s="571"/>
      <c r="F57" s="971"/>
      <c r="G57" s="169"/>
      <c r="H57" s="564"/>
      <c r="I57" s="169"/>
      <c r="J57" s="563"/>
    </row>
    <row r="58" spans="1:10" s="90" customFormat="1" ht="15" x14ac:dyDescent="0.25">
      <c r="A58" s="168"/>
      <c r="B58" s="94"/>
      <c r="C58" s="95"/>
      <c r="D58" s="572"/>
      <c r="E58" s="571"/>
      <c r="F58" s="971"/>
      <c r="G58" s="169"/>
      <c r="H58" s="564"/>
      <c r="I58" s="169"/>
      <c r="J58" s="563"/>
    </row>
    <row r="59" spans="1:10" s="90" customFormat="1" ht="15" x14ac:dyDescent="0.25">
      <c r="A59" s="168"/>
      <c r="B59" s="94"/>
      <c r="C59" s="95"/>
      <c r="D59" s="572"/>
      <c r="E59" s="571"/>
      <c r="F59" s="971"/>
      <c r="G59" s="483" t="s">
        <v>128</v>
      </c>
      <c r="H59" s="565">
        <v>3</v>
      </c>
      <c r="I59" s="169"/>
      <c r="J59" s="563"/>
    </row>
    <row r="60" spans="1:10" s="90" customFormat="1" ht="15" customHeight="1" x14ac:dyDescent="0.25">
      <c r="A60" s="171"/>
      <c r="B60" s="172"/>
      <c r="C60" s="173"/>
      <c r="D60" s="573"/>
      <c r="E60" s="574"/>
      <c r="F60" s="972"/>
      <c r="G60" s="473"/>
      <c r="H60" s="566"/>
      <c r="I60" s="484" t="s">
        <v>121</v>
      </c>
      <c r="J60" s="561">
        <v>5850</v>
      </c>
    </row>
    <row r="61" spans="1:10" s="90" customFormat="1" ht="15" x14ac:dyDescent="0.25">
      <c r="A61" s="481" t="s">
        <v>0</v>
      </c>
      <c r="B61" s="482"/>
      <c r="C61" s="482"/>
      <c r="D61" s="576">
        <f>+SUM(D5:D60)</f>
        <v>496649.66</v>
      </c>
      <c r="E61" s="576"/>
      <c r="F61" s="577"/>
    </row>
    <row r="62" spans="1:10" s="90" customFormat="1" ht="15" x14ac:dyDescent="0.25">
      <c r="A62" s="91"/>
      <c r="B62" s="91"/>
      <c r="C62" s="91"/>
      <c r="D62" s="60"/>
      <c r="E62" s="91"/>
      <c r="F62" s="60"/>
      <c r="G62" s="91"/>
    </row>
    <row r="63" spans="1:10" x14ac:dyDescent="0.2">
      <c r="D63" s="97"/>
      <c r="F63" s="97"/>
    </row>
    <row r="64" spans="1:10" x14ac:dyDescent="0.2">
      <c r="D64" s="97"/>
      <c r="F64" s="97"/>
    </row>
    <row r="68" spans="7:7" ht="14.25" customHeight="1" x14ac:dyDescent="0.2"/>
    <row r="69" spans="7:7" ht="14.25" customHeight="1" x14ac:dyDescent="0.2"/>
    <row r="79" spans="7:7" ht="15.75" x14ac:dyDescent="0.25">
      <c r="G79" s="98"/>
    </row>
    <row r="81" spans="7:7" x14ac:dyDescent="0.2">
      <c r="G81" s="99"/>
    </row>
    <row r="82" spans="7:7" x14ac:dyDescent="0.2">
      <c r="G82" s="99"/>
    </row>
    <row r="83" spans="7:7" x14ac:dyDescent="0.2">
      <c r="G83" s="99"/>
    </row>
    <row r="84" spans="7:7" x14ac:dyDescent="0.2">
      <c r="G84" s="100"/>
    </row>
    <row r="85" spans="7:7" x14ac:dyDescent="0.2">
      <c r="G85" s="99"/>
    </row>
  </sheetData>
  <mergeCells count="13">
    <mergeCell ref="F5:F10"/>
    <mergeCell ref="F56:F60"/>
    <mergeCell ref="B4:C4"/>
    <mergeCell ref="A1:D1"/>
    <mergeCell ref="F16:F20"/>
    <mergeCell ref="F11:F15"/>
    <mergeCell ref="F21:F25"/>
    <mergeCell ref="F31:F35"/>
    <mergeCell ref="F26:F30"/>
    <mergeCell ref="F46:F50"/>
    <mergeCell ref="F36:F40"/>
    <mergeCell ref="F41:F45"/>
    <mergeCell ref="F51:F55"/>
  </mergeCells>
  <phoneticPr fontId="57" type="noConversion"/>
  <printOptions horizontalCentered="1" verticalCentered="1"/>
  <pageMargins left="0" right="0" top="0.39370078740157483" bottom="0.39370078740157483" header="0" footer="0"/>
  <pageSetup paperSize="9" scale="82" orientation="landscape" r:id="rId1"/>
  <headerFooter alignWithMargins="0">
    <oddHeader>&amp;R&amp;T;&amp;D</oddHeader>
    <oddFooter>&amp;L&amp;Z&amp;F&amp;R&amp;P/&amp;N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7">
    <tabColor rgb="FF7030A0"/>
    <pageSetUpPr fitToPage="1"/>
  </sheetPr>
  <dimension ref="A1:Q61"/>
  <sheetViews>
    <sheetView zoomScale="85" zoomScaleNormal="85" workbookViewId="0">
      <selection activeCell="C61" sqref="C61"/>
    </sheetView>
  </sheetViews>
  <sheetFormatPr baseColWidth="10" defaultColWidth="11.42578125" defaultRowHeight="15" x14ac:dyDescent="0.2"/>
  <cols>
    <col min="1" max="1" width="14.28515625" style="442" bestFit="1" customWidth="1"/>
    <col min="2" max="2" width="27.85546875" style="442" bestFit="1" customWidth="1"/>
    <col min="3" max="3" width="9.5703125" style="442" bestFit="1" customWidth="1"/>
    <col min="4" max="7" width="13.7109375" style="442" customWidth="1"/>
    <col min="8" max="8" width="13.7109375" style="450" customWidth="1"/>
    <col min="9" max="11" width="13.7109375" style="442" customWidth="1"/>
    <col min="12" max="12" width="13.7109375" style="450" customWidth="1"/>
    <col min="13" max="15" width="13.7109375" style="442" customWidth="1"/>
    <col min="16" max="16384" width="11.42578125" style="442"/>
  </cols>
  <sheetData>
    <row r="1" spans="1:16" s="439" customFormat="1" ht="26.25" customHeight="1" thickBot="1" x14ac:dyDescent="0.25">
      <c r="A1" s="931" t="s">
        <v>105</v>
      </c>
      <c r="B1" s="932"/>
      <c r="C1" s="932"/>
      <c r="D1" s="932"/>
      <c r="E1" s="932"/>
      <c r="F1" s="932"/>
      <c r="G1" s="932"/>
      <c r="H1" s="932"/>
      <c r="I1" s="932"/>
      <c r="J1" s="932"/>
      <c r="K1" s="932"/>
      <c r="L1" s="932"/>
      <c r="M1" s="933"/>
      <c r="N1" s="418" t="s">
        <v>3</v>
      </c>
      <c r="O1" s="438"/>
    </row>
    <row r="2" spans="1:16" s="440" customFormat="1" x14ac:dyDescent="0.2">
      <c r="A2" s="13"/>
      <c r="B2" s="13"/>
      <c r="C2" s="13"/>
      <c r="D2" s="13"/>
      <c r="E2" s="13"/>
      <c r="F2" s="13"/>
      <c r="G2" s="13"/>
      <c r="H2" s="14"/>
      <c r="I2" s="13"/>
      <c r="J2" s="13"/>
      <c r="K2" s="13"/>
      <c r="L2" s="14"/>
      <c r="M2" s="13"/>
      <c r="N2" s="13"/>
      <c r="O2" s="13"/>
    </row>
    <row r="3" spans="1:16" s="6" customFormat="1" ht="15.75" customHeight="1" x14ac:dyDescent="0.2">
      <c r="A3" s="937" t="s">
        <v>4</v>
      </c>
      <c r="B3" s="938" t="s">
        <v>5</v>
      </c>
      <c r="C3" s="941" t="s">
        <v>76</v>
      </c>
      <c r="D3" s="944" t="s">
        <v>6</v>
      </c>
      <c r="E3" s="919"/>
      <c r="F3" s="919"/>
      <c r="G3" s="920"/>
      <c r="H3" s="944" t="s">
        <v>6</v>
      </c>
      <c r="I3" s="919"/>
      <c r="J3" s="919"/>
      <c r="K3" s="920"/>
      <c r="L3" s="944" t="s">
        <v>6</v>
      </c>
      <c r="M3" s="919"/>
      <c r="N3" s="919"/>
      <c r="O3" s="920"/>
    </row>
    <row r="4" spans="1:16" s="6" customFormat="1" x14ac:dyDescent="0.2">
      <c r="A4" s="937"/>
      <c r="B4" s="939"/>
      <c r="C4" s="942"/>
      <c r="D4" s="921" t="s">
        <v>9</v>
      </c>
      <c r="E4" s="922"/>
      <c r="F4" s="922"/>
      <c r="G4" s="923"/>
      <c r="H4" s="921" t="s">
        <v>77</v>
      </c>
      <c r="I4" s="922"/>
      <c r="J4" s="922"/>
      <c r="K4" s="923"/>
      <c r="L4" s="921" t="s">
        <v>10</v>
      </c>
      <c r="M4" s="922"/>
      <c r="N4" s="922"/>
      <c r="O4" s="923"/>
    </row>
    <row r="5" spans="1:16" s="6" customFormat="1" ht="30" x14ac:dyDescent="0.2">
      <c r="A5" s="937"/>
      <c r="B5" s="940"/>
      <c r="C5" s="943"/>
      <c r="D5" s="423" t="s">
        <v>17</v>
      </c>
      <c r="E5" s="424" t="s">
        <v>108</v>
      </c>
      <c r="F5" s="424" t="s">
        <v>107</v>
      </c>
      <c r="G5" s="425" t="s">
        <v>12</v>
      </c>
      <c r="H5" s="426" t="s">
        <v>17</v>
      </c>
      <c r="I5" s="424" t="s">
        <v>108</v>
      </c>
      <c r="J5" s="424" t="s">
        <v>107</v>
      </c>
      <c r="K5" s="425" t="s">
        <v>12</v>
      </c>
      <c r="L5" s="426" t="s">
        <v>17</v>
      </c>
      <c r="M5" s="424" t="s">
        <v>108</v>
      </c>
      <c r="N5" s="424" t="s">
        <v>107</v>
      </c>
      <c r="O5" s="425" t="s">
        <v>12</v>
      </c>
    </row>
    <row r="6" spans="1:16" s="441" customFormat="1" ht="20.100000000000001" customHeight="1" x14ac:dyDescent="0.2">
      <c r="A6" s="66"/>
      <c r="B6" s="16"/>
      <c r="C6" s="62"/>
      <c r="D6" s="17">
        <f>L6+H6</f>
        <v>0</v>
      </c>
      <c r="E6" s="18">
        <f>D6*C6</f>
        <v>0</v>
      </c>
      <c r="F6" s="19">
        <f>N6+J6</f>
        <v>0</v>
      </c>
      <c r="G6" s="20">
        <f>E6-F6</f>
        <v>0</v>
      </c>
      <c r="H6" s="21">
        <v>0</v>
      </c>
      <c r="I6" s="18">
        <v>0</v>
      </c>
      <c r="J6" s="19">
        <v>0</v>
      </c>
      <c r="K6" s="20">
        <v>0</v>
      </c>
      <c r="L6" s="21">
        <v>0</v>
      </c>
      <c r="M6" s="18">
        <f>L6*C6</f>
        <v>0</v>
      </c>
      <c r="N6" s="19">
        <v>0</v>
      </c>
      <c r="O6" s="20">
        <f>M6-N6</f>
        <v>0</v>
      </c>
    </row>
    <row r="7" spans="1:16" s="441" customFormat="1" ht="20.100000000000001" customHeight="1" x14ac:dyDescent="0.2">
      <c r="A7" s="394"/>
      <c r="B7" s="395" t="s">
        <v>80</v>
      </c>
      <c r="C7" s="396">
        <f>SUM(C6:C6)</f>
        <v>0</v>
      </c>
      <c r="D7" s="397" t="e">
        <f>E7/C7</f>
        <v>#DIV/0!</v>
      </c>
      <c r="E7" s="398">
        <f>SUM(E6:E6)</f>
        <v>0</v>
      </c>
      <c r="F7" s="398">
        <f>SUM(F6:F6)</f>
        <v>0</v>
      </c>
      <c r="G7" s="399">
        <f>E7-F7</f>
        <v>0</v>
      </c>
      <c r="H7" s="397" t="e">
        <f>I7/C7</f>
        <v>#DIV/0!</v>
      </c>
      <c r="I7" s="398">
        <f>SUM(I6:I6)</f>
        <v>0</v>
      </c>
      <c r="J7" s="398">
        <f>SUM(J6:J6)</f>
        <v>0</v>
      </c>
      <c r="K7" s="399">
        <f>I7-J7</f>
        <v>0</v>
      </c>
      <c r="L7" s="397" t="e">
        <f>M7/C7</f>
        <v>#DIV/0!</v>
      </c>
      <c r="M7" s="398">
        <f>SUM(M6:M6)</f>
        <v>0</v>
      </c>
      <c r="N7" s="398">
        <f>SUM(N6:N6)</f>
        <v>0</v>
      </c>
      <c r="O7" s="399">
        <f>M7-N7</f>
        <v>0</v>
      </c>
    </row>
    <row r="8" spans="1:16" ht="20.100000000000001" customHeight="1" x14ac:dyDescent="0.2">
      <c r="A8" s="951"/>
      <c r="B8" s="33"/>
      <c r="C8" s="63"/>
      <c r="D8" s="17">
        <f t="shared" ref="D8:D13" si="0">L8+H8</f>
        <v>0</v>
      </c>
      <c r="E8" s="18">
        <f t="shared" ref="E8:E13" si="1">D8*C8</f>
        <v>0</v>
      </c>
      <c r="F8" s="19">
        <f t="shared" ref="F8:F13" si="2">N8+J8</f>
        <v>0</v>
      </c>
      <c r="G8" s="20">
        <f t="shared" ref="G8:G13" si="3">E8-F8</f>
        <v>0</v>
      </c>
      <c r="H8" s="21">
        <v>0</v>
      </c>
      <c r="I8" s="18">
        <v>0</v>
      </c>
      <c r="J8" s="19">
        <v>0</v>
      </c>
      <c r="K8" s="20">
        <v>0</v>
      </c>
      <c r="L8" s="21">
        <v>0</v>
      </c>
      <c r="M8" s="18">
        <f t="shared" ref="M8:M13" si="4">L8*C8</f>
        <v>0</v>
      </c>
      <c r="N8" s="19">
        <v>0</v>
      </c>
      <c r="O8" s="20">
        <f t="shared" ref="O8:O13" si="5">M8-N8</f>
        <v>0</v>
      </c>
      <c r="P8" s="441"/>
    </row>
    <row r="9" spans="1:16" ht="20.100000000000001" customHeight="1" x14ac:dyDescent="0.2">
      <c r="A9" s="951"/>
      <c r="B9" s="33"/>
      <c r="C9" s="63"/>
      <c r="D9" s="17">
        <f t="shared" si="0"/>
        <v>0</v>
      </c>
      <c r="E9" s="18">
        <f t="shared" si="1"/>
        <v>0</v>
      </c>
      <c r="F9" s="19">
        <f t="shared" si="2"/>
        <v>0</v>
      </c>
      <c r="G9" s="20">
        <f t="shared" si="3"/>
        <v>0</v>
      </c>
      <c r="H9" s="21">
        <v>0</v>
      </c>
      <c r="I9" s="18">
        <v>0</v>
      </c>
      <c r="J9" s="19">
        <v>0</v>
      </c>
      <c r="K9" s="20">
        <v>0</v>
      </c>
      <c r="L9" s="21">
        <v>0</v>
      </c>
      <c r="M9" s="18">
        <f t="shared" si="4"/>
        <v>0</v>
      </c>
      <c r="N9" s="19">
        <v>0</v>
      </c>
      <c r="O9" s="20">
        <f t="shared" si="5"/>
        <v>0</v>
      </c>
      <c r="P9" s="441"/>
    </row>
    <row r="10" spans="1:16" ht="20.100000000000001" customHeight="1" x14ac:dyDescent="0.2">
      <c r="A10" s="951"/>
      <c r="B10" s="33"/>
      <c r="C10" s="63"/>
      <c r="D10" s="17">
        <f t="shared" si="0"/>
        <v>0</v>
      </c>
      <c r="E10" s="18">
        <f t="shared" si="1"/>
        <v>0</v>
      </c>
      <c r="F10" s="19">
        <f t="shared" si="2"/>
        <v>0</v>
      </c>
      <c r="G10" s="20">
        <f t="shared" si="3"/>
        <v>0</v>
      </c>
      <c r="H10" s="21">
        <v>0</v>
      </c>
      <c r="I10" s="18">
        <v>0</v>
      </c>
      <c r="J10" s="19">
        <v>0</v>
      </c>
      <c r="K10" s="20">
        <v>0</v>
      </c>
      <c r="L10" s="21">
        <v>0</v>
      </c>
      <c r="M10" s="18">
        <f t="shared" si="4"/>
        <v>0</v>
      </c>
      <c r="N10" s="19">
        <v>0</v>
      </c>
      <c r="O10" s="20">
        <f t="shared" si="5"/>
        <v>0</v>
      </c>
      <c r="P10" s="441"/>
    </row>
    <row r="11" spans="1:16" ht="20.100000000000001" customHeight="1" x14ac:dyDescent="0.2">
      <c r="A11" s="951"/>
      <c r="B11" s="33"/>
      <c r="C11" s="63"/>
      <c r="D11" s="17">
        <f t="shared" si="0"/>
        <v>0</v>
      </c>
      <c r="E11" s="18">
        <f t="shared" si="1"/>
        <v>0</v>
      </c>
      <c r="F11" s="19">
        <f t="shared" si="2"/>
        <v>0</v>
      </c>
      <c r="G11" s="20">
        <f t="shared" si="3"/>
        <v>0</v>
      </c>
      <c r="H11" s="21">
        <v>0</v>
      </c>
      <c r="I11" s="18">
        <v>0</v>
      </c>
      <c r="J11" s="19">
        <v>0</v>
      </c>
      <c r="K11" s="20">
        <v>0</v>
      </c>
      <c r="L11" s="21">
        <v>0</v>
      </c>
      <c r="M11" s="18">
        <f t="shared" si="4"/>
        <v>0</v>
      </c>
      <c r="N11" s="19">
        <v>0</v>
      </c>
      <c r="O11" s="20">
        <f t="shared" si="5"/>
        <v>0</v>
      </c>
      <c r="P11" s="441"/>
    </row>
    <row r="12" spans="1:16" ht="20.100000000000001" customHeight="1" x14ac:dyDescent="0.2">
      <c r="A12" s="951"/>
      <c r="B12" s="33"/>
      <c r="C12" s="63"/>
      <c r="D12" s="17">
        <f t="shared" si="0"/>
        <v>0</v>
      </c>
      <c r="E12" s="18">
        <f t="shared" si="1"/>
        <v>0</v>
      </c>
      <c r="F12" s="19">
        <f t="shared" si="2"/>
        <v>0</v>
      </c>
      <c r="G12" s="20">
        <f t="shared" si="3"/>
        <v>0</v>
      </c>
      <c r="H12" s="21">
        <v>0</v>
      </c>
      <c r="I12" s="18">
        <v>0</v>
      </c>
      <c r="J12" s="19">
        <v>0</v>
      </c>
      <c r="K12" s="20">
        <v>0</v>
      </c>
      <c r="L12" s="21">
        <v>0</v>
      </c>
      <c r="M12" s="18">
        <f t="shared" si="4"/>
        <v>0</v>
      </c>
      <c r="N12" s="19">
        <v>0</v>
      </c>
      <c r="O12" s="20">
        <f t="shared" si="5"/>
        <v>0</v>
      </c>
      <c r="P12" s="441"/>
    </row>
    <row r="13" spans="1:16" ht="20.100000000000001" customHeight="1" x14ac:dyDescent="0.2">
      <c r="A13" s="951"/>
      <c r="B13" s="33"/>
      <c r="C13" s="63"/>
      <c r="D13" s="17">
        <f t="shared" si="0"/>
        <v>0</v>
      </c>
      <c r="E13" s="18">
        <f t="shared" si="1"/>
        <v>0</v>
      </c>
      <c r="F13" s="19">
        <f t="shared" si="2"/>
        <v>0</v>
      </c>
      <c r="G13" s="20">
        <f t="shared" si="3"/>
        <v>0</v>
      </c>
      <c r="H13" s="21">
        <v>0</v>
      </c>
      <c r="I13" s="18">
        <v>0</v>
      </c>
      <c r="J13" s="19">
        <v>0</v>
      </c>
      <c r="K13" s="20">
        <v>0</v>
      </c>
      <c r="L13" s="21">
        <v>0</v>
      </c>
      <c r="M13" s="18">
        <f t="shared" si="4"/>
        <v>0</v>
      </c>
      <c r="N13" s="19">
        <v>0</v>
      </c>
      <c r="O13" s="20">
        <f t="shared" si="5"/>
        <v>0</v>
      </c>
      <c r="P13" s="441"/>
    </row>
    <row r="14" spans="1:16" s="441" customFormat="1" ht="20.100000000000001" customHeight="1" x14ac:dyDescent="0.2">
      <c r="A14" s="394"/>
      <c r="B14" s="395" t="s">
        <v>113</v>
      </c>
      <c r="C14" s="396">
        <f>SUM(C8:C13)</f>
        <v>0</v>
      </c>
      <c r="D14" s="397" t="e">
        <f>E14/C14</f>
        <v>#DIV/0!</v>
      </c>
      <c r="E14" s="398">
        <f>SUM(E8:E13)</f>
        <v>0</v>
      </c>
      <c r="F14" s="398">
        <f>SUM(F8:F13)</f>
        <v>0</v>
      </c>
      <c r="G14" s="399">
        <f>E14-F14</f>
        <v>0</v>
      </c>
      <c r="H14" s="397" t="e">
        <f>I14/C14</f>
        <v>#DIV/0!</v>
      </c>
      <c r="I14" s="398">
        <f>SUM(I8:I13)</f>
        <v>0</v>
      </c>
      <c r="J14" s="398">
        <f>SUM(J8:J13)</f>
        <v>0</v>
      </c>
      <c r="K14" s="399">
        <f>I14-J14</f>
        <v>0</v>
      </c>
      <c r="L14" s="397" t="e">
        <f>M14/C14</f>
        <v>#DIV/0!</v>
      </c>
      <c r="M14" s="398">
        <f>SUM(M8:M13)</f>
        <v>0</v>
      </c>
      <c r="N14" s="398">
        <f>SUM(N8:N13)</f>
        <v>0</v>
      </c>
      <c r="O14" s="399">
        <f>M14-N14</f>
        <v>0</v>
      </c>
    </row>
    <row r="15" spans="1:16" ht="20.100000000000001" customHeight="1" x14ac:dyDescent="0.2">
      <c r="A15" s="951"/>
      <c r="B15" s="35"/>
      <c r="C15" s="63"/>
      <c r="D15" s="17">
        <f t="shared" ref="D15:D25" si="6">L15+H15</f>
        <v>0</v>
      </c>
      <c r="E15" s="18">
        <f t="shared" ref="E15:E25" si="7">D15*C15</f>
        <v>0</v>
      </c>
      <c r="F15" s="19">
        <f t="shared" ref="F15:F25" si="8">N15+J15</f>
        <v>0</v>
      </c>
      <c r="G15" s="20">
        <f t="shared" ref="G15:G25" si="9">E15-F15</f>
        <v>0</v>
      </c>
      <c r="H15" s="21">
        <v>0</v>
      </c>
      <c r="I15" s="18">
        <v>0</v>
      </c>
      <c r="J15" s="19">
        <v>0</v>
      </c>
      <c r="K15" s="20">
        <v>0</v>
      </c>
      <c r="L15" s="21">
        <v>0</v>
      </c>
      <c r="M15" s="18">
        <f t="shared" ref="M15:M25" si="10">L15*C15</f>
        <v>0</v>
      </c>
      <c r="N15" s="19">
        <v>0</v>
      </c>
      <c r="O15" s="20">
        <f t="shared" ref="O15:O25" si="11">M15-N15</f>
        <v>0</v>
      </c>
      <c r="P15" s="467"/>
    </row>
    <row r="16" spans="1:16" ht="20.100000000000001" customHeight="1" x14ac:dyDescent="0.2">
      <c r="A16" s="951"/>
      <c r="B16" s="35"/>
      <c r="C16" s="63"/>
      <c r="D16" s="17">
        <f t="shared" si="6"/>
        <v>0</v>
      </c>
      <c r="E16" s="18">
        <f t="shared" si="7"/>
        <v>0</v>
      </c>
      <c r="F16" s="19">
        <f t="shared" si="8"/>
        <v>0</v>
      </c>
      <c r="G16" s="20">
        <f t="shared" si="9"/>
        <v>0</v>
      </c>
      <c r="H16" s="21">
        <v>0</v>
      </c>
      <c r="I16" s="18">
        <v>0</v>
      </c>
      <c r="J16" s="19">
        <v>0</v>
      </c>
      <c r="K16" s="20">
        <v>0</v>
      </c>
      <c r="L16" s="21">
        <v>0</v>
      </c>
      <c r="M16" s="18">
        <f t="shared" si="10"/>
        <v>0</v>
      </c>
      <c r="N16" s="19">
        <v>0</v>
      </c>
      <c r="O16" s="20">
        <f t="shared" si="11"/>
        <v>0</v>
      </c>
      <c r="P16" s="467"/>
    </row>
    <row r="17" spans="1:16" ht="20.100000000000001" customHeight="1" x14ac:dyDescent="0.2">
      <c r="A17" s="951"/>
      <c r="B17" s="35"/>
      <c r="C17" s="63"/>
      <c r="D17" s="17">
        <f t="shared" si="6"/>
        <v>0</v>
      </c>
      <c r="E17" s="18">
        <f t="shared" si="7"/>
        <v>0</v>
      </c>
      <c r="F17" s="19">
        <f t="shared" si="8"/>
        <v>0</v>
      </c>
      <c r="G17" s="20">
        <f t="shared" si="9"/>
        <v>0</v>
      </c>
      <c r="H17" s="21">
        <v>0</v>
      </c>
      <c r="I17" s="18">
        <v>0</v>
      </c>
      <c r="J17" s="19">
        <v>0</v>
      </c>
      <c r="K17" s="20">
        <v>0</v>
      </c>
      <c r="L17" s="21">
        <v>0</v>
      </c>
      <c r="M17" s="18">
        <f t="shared" si="10"/>
        <v>0</v>
      </c>
      <c r="N17" s="19">
        <v>0</v>
      </c>
      <c r="O17" s="20">
        <f t="shared" si="11"/>
        <v>0</v>
      </c>
      <c r="P17" s="467"/>
    </row>
    <row r="18" spans="1:16" ht="20.100000000000001" customHeight="1" x14ac:dyDescent="0.2">
      <c r="A18" s="951"/>
      <c r="B18" s="35"/>
      <c r="C18" s="63"/>
      <c r="D18" s="17">
        <f t="shared" si="6"/>
        <v>0</v>
      </c>
      <c r="E18" s="18">
        <f t="shared" si="7"/>
        <v>0</v>
      </c>
      <c r="F18" s="19">
        <f t="shared" si="8"/>
        <v>0</v>
      </c>
      <c r="G18" s="20">
        <f t="shared" si="9"/>
        <v>0</v>
      </c>
      <c r="H18" s="21">
        <v>0</v>
      </c>
      <c r="I18" s="18">
        <v>0</v>
      </c>
      <c r="J18" s="19">
        <v>0</v>
      </c>
      <c r="K18" s="20">
        <v>0</v>
      </c>
      <c r="L18" s="21">
        <v>0</v>
      </c>
      <c r="M18" s="18">
        <f t="shared" si="10"/>
        <v>0</v>
      </c>
      <c r="N18" s="19">
        <v>0</v>
      </c>
      <c r="O18" s="20">
        <f t="shared" si="11"/>
        <v>0</v>
      </c>
      <c r="P18" s="467"/>
    </row>
    <row r="19" spans="1:16" ht="20.100000000000001" customHeight="1" x14ac:dyDescent="0.2">
      <c r="A19" s="951"/>
      <c r="B19" s="35"/>
      <c r="C19" s="63"/>
      <c r="D19" s="17">
        <f t="shared" si="6"/>
        <v>0</v>
      </c>
      <c r="E19" s="18">
        <f t="shared" si="7"/>
        <v>0</v>
      </c>
      <c r="F19" s="19">
        <f t="shared" si="8"/>
        <v>0</v>
      </c>
      <c r="G19" s="20">
        <f t="shared" si="9"/>
        <v>0</v>
      </c>
      <c r="H19" s="21">
        <v>0</v>
      </c>
      <c r="I19" s="18">
        <v>0</v>
      </c>
      <c r="J19" s="19">
        <v>0</v>
      </c>
      <c r="K19" s="20">
        <v>0</v>
      </c>
      <c r="L19" s="21">
        <v>0</v>
      </c>
      <c r="M19" s="18">
        <f t="shared" si="10"/>
        <v>0</v>
      </c>
      <c r="N19" s="19">
        <v>0</v>
      </c>
      <c r="O19" s="20">
        <f t="shared" si="11"/>
        <v>0</v>
      </c>
      <c r="P19" s="441"/>
    </row>
    <row r="20" spans="1:16" ht="20.100000000000001" customHeight="1" x14ac:dyDescent="0.2">
      <c r="A20" s="951"/>
      <c r="B20" s="33"/>
      <c r="C20" s="63"/>
      <c r="D20" s="17">
        <f t="shared" si="6"/>
        <v>0</v>
      </c>
      <c r="E20" s="18">
        <f t="shared" si="7"/>
        <v>0</v>
      </c>
      <c r="F20" s="19">
        <f t="shared" si="8"/>
        <v>0</v>
      </c>
      <c r="G20" s="20">
        <f t="shared" si="9"/>
        <v>0</v>
      </c>
      <c r="H20" s="21">
        <v>0</v>
      </c>
      <c r="I20" s="18">
        <v>0</v>
      </c>
      <c r="J20" s="19">
        <v>0</v>
      </c>
      <c r="K20" s="20">
        <v>0</v>
      </c>
      <c r="L20" s="21">
        <v>0</v>
      </c>
      <c r="M20" s="18">
        <f t="shared" si="10"/>
        <v>0</v>
      </c>
      <c r="N20" s="19">
        <v>0</v>
      </c>
      <c r="O20" s="20">
        <f t="shared" si="11"/>
        <v>0</v>
      </c>
      <c r="P20" s="441"/>
    </row>
    <row r="21" spans="1:16" ht="20.100000000000001" customHeight="1" x14ac:dyDescent="0.2">
      <c r="A21" s="951"/>
      <c r="B21" s="33"/>
      <c r="C21" s="63"/>
      <c r="D21" s="17">
        <f t="shared" si="6"/>
        <v>0</v>
      </c>
      <c r="E21" s="18">
        <f t="shared" si="7"/>
        <v>0</v>
      </c>
      <c r="F21" s="19">
        <f t="shared" si="8"/>
        <v>0</v>
      </c>
      <c r="G21" s="20">
        <f t="shared" si="9"/>
        <v>0</v>
      </c>
      <c r="H21" s="21">
        <v>0</v>
      </c>
      <c r="I21" s="18">
        <v>0</v>
      </c>
      <c r="J21" s="19">
        <v>0</v>
      </c>
      <c r="K21" s="20">
        <v>0</v>
      </c>
      <c r="L21" s="21">
        <v>0</v>
      </c>
      <c r="M21" s="18">
        <f t="shared" si="10"/>
        <v>0</v>
      </c>
      <c r="N21" s="19">
        <v>0</v>
      </c>
      <c r="O21" s="20">
        <f t="shared" si="11"/>
        <v>0</v>
      </c>
      <c r="P21" s="441"/>
    </row>
    <row r="22" spans="1:16" s="443" customFormat="1" ht="20.100000000000001" customHeight="1" x14ac:dyDescent="0.2">
      <c r="A22" s="951"/>
      <c r="B22" s="33"/>
      <c r="C22" s="63"/>
      <c r="D22" s="17">
        <f t="shared" si="6"/>
        <v>0</v>
      </c>
      <c r="E22" s="18">
        <f t="shared" si="7"/>
        <v>0</v>
      </c>
      <c r="F22" s="19">
        <f t="shared" si="8"/>
        <v>0</v>
      </c>
      <c r="G22" s="20">
        <f t="shared" si="9"/>
        <v>0</v>
      </c>
      <c r="H22" s="21">
        <v>0</v>
      </c>
      <c r="I22" s="18">
        <v>0</v>
      </c>
      <c r="J22" s="19">
        <v>0</v>
      </c>
      <c r="K22" s="20">
        <v>0</v>
      </c>
      <c r="L22" s="21">
        <v>0</v>
      </c>
      <c r="M22" s="18">
        <f t="shared" si="10"/>
        <v>0</v>
      </c>
      <c r="N22" s="19">
        <v>0</v>
      </c>
      <c r="O22" s="20">
        <f t="shared" si="11"/>
        <v>0</v>
      </c>
      <c r="P22" s="441"/>
    </row>
    <row r="23" spans="1:16" ht="20.100000000000001" customHeight="1" x14ac:dyDescent="0.2">
      <c r="A23" s="951"/>
      <c r="B23" s="33"/>
      <c r="C23" s="63"/>
      <c r="D23" s="17">
        <f t="shared" si="6"/>
        <v>0</v>
      </c>
      <c r="E23" s="18">
        <f t="shared" si="7"/>
        <v>0</v>
      </c>
      <c r="F23" s="19">
        <f t="shared" si="8"/>
        <v>0</v>
      </c>
      <c r="G23" s="20">
        <f t="shared" si="9"/>
        <v>0</v>
      </c>
      <c r="H23" s="21">
        <v>0</v>
      </c>
      <c r="I23" s="18">
        <v>0</v>
      </c>
      <c r="J23" s="19">
        <v>0</v>
      </c>
      <c r="K23" s="20">
        <v>0</v>
      </c>
      <c r="L23" s="21">
        <v>0</v>
      </c>
      <c r="M23" s="18">
        <f t="shared" si="10"/>
        <v>0</v>
      </c>
      <c r="N23" s="19">
        <v>0</v>
      </c>
      <c r="O23" s="20">
        <f t="shared" si="11"/>
        <v>0</v>
      </c>
      <c r="P23" s="441"/>
    </row>
    <row r="24" spans="1:16" ht="20.100000000000001" customHeight="1" x14ac:dyDescent="0.2">
      <c r="A24" s="951"/>
      <c r="B24" s="33"/>
      <c r="C24" s="63"/>
      <c r="D24" s="17">
        <f t="shared" si="6"/>
        <v>0</v>
      </c>
      <c r="E24" s="18">
        <f t="shared" si="7"/>
        <v>0</v>
      </c>
      <c r="F24" s="19">
        <f t="shared" si="8"/>
        <v>0</v>
      </c>
      <c r="G24" s="20">
        <f t="shared" si="9"/>
        <v>0</v>
      </c>
      <c r="H24" s="21">
        <v>0</v>
      </c>
      <c r="I24" s="18">
        <v>0</v>
      </c>
      <c r="J24" s="19">
        <v>0</v>
      </c>
      <c r="K24" s="20">
        <v>0</v>
      </c>
      <c r="L24" s="21">
        <v>0</v>
      </c>
      <c r="M24" s="18">
        <f t="shared" si="10"/>
        <v>0</v>
      </c>
      <c r="N24" s="19">
        <v>0</v>
      </c>
      <c r="O24" s="20">
        <f t="shared" si="11"/>
        <v>0</v>
      </c>
      <c r="P24" s="441"/>
    </row>
    <row r="25" spans="1:16" ht="20.100000000000001" customHeight="1" x14ac:dyDescent="0.2">
      <c r="A25" s="951"/>
      <c r="B25" s="33"/>
      <c r="C25" s="63"/>
      <c r="D25" s="17">
        <f t="shared" si="6"/>
        <v>0</v>
      </c>
      <c r="E25" s="18">
        <f t="shared" si="7"/>
        <v>0</v>
      </c>
      <c r="F25" s="19">
        <f t="shared" si="8"/>
        <v>0</v>
      </c>
      <c r="G25" s="20">
        <f t="shared" si="9"/>
        <v>0</v>
      </c>
      <c r="H25" s="21">
        <v>0</v>
      </c>
      <c r="I25" s="18">
        <v>0</v>
      </c>
      <c r="J25" s="19">
        <v>0</v>
      </c>
      <c r="K25" s="20">
        <v>0</v>
      </c>
      <c r="L25" s="21">
        <v>0</v>
      </c>
      <c r="M25" s="18">
        <f t="shared" si="10"/>
        <v>0</v>
      </c>
      <c r="N25" s="19">
        <v>0</v>
      </c>
      <c r="O25" s="20">
        <f t="shared" si="11"/>
        <v>0</v>
      </c>
      <c r="P25" s="441"/>
    </row>
    <row r="26" spans="1:16" ht="20.100000000000001" customHeight="1" x14ac:dyDescent="0.2">
      <c r="A26" s="394"/>
      <c r="B26" s="395" t="s">
        <v>114</v>
      </c>
      <c r="C26" s="396">
        <f>SUM(C15:C25)</f>
        <v>0</v>
      </c>
      <c r="D26" s="397" t="e">
        <f>E26/C26</f>
        <v>#DIV/0!</v>
      </c>
      <c r="E26" s="404">
        <f>SUM(E15:E25)</f>
        <v>0</v>
      </c>
      <c r="F26" s="404">
        <f>SUM(F15:F25)</f>
        <v>0</v>
      </c>
      <c r="G26" s="399">
        <f>E26-F26</f>
        <v>0</v>
      </c>
      <c r="H26" s="397" t="e">
        <f>I26/C26</f>
        <v>#DIV/0!</v>
      </c>
      <c r="I26" s="404">
        <f>SUM(I15:I25)</f>
        <v>0</v>
      </c>
      <c r="J26" s="404">
        <f>SUM(J15:J25)</f>
        <v>0</v>
      </c>
      <c r="K26" s="399">
        <f>I26-J26</f>
        <v>0</v>
      </c>
      <c r="L26" s="397" t="e">
        <f>M26/C26</f>
        <v>#DIV/0!</v>
      </c>
      <c r="M26" s="404">
        <f>SUM(M15:M25)</f>
        <v>0</v>
      </c>
      <c r="N26" s="404">
        <f>SUM(N15:N25)</f>
        <v>0</v>
      </c>
      <c r="O26" s="399">
        <f>M26-N26</f>
        <v>0</v>
      </c>
      <c r="P26" s="441"/>
    </row>
    <row r="27" spans="1:16" ht="20.100000000000001" customHeight="1" x14ac:dyDescent="0.2">
      <c r="A27" s="951"/>
      <c r="B27" s="33"/>
      <c r="C27" s="63"/>
      <c r="D27" s="17">
        <f t="shared" ref="D27:D36" si="12">L27+H27</f>
        <v>0</v>
      </c>
      <c r="E27" s="18">
        <f t="shared" ref="E27:E36" si="13">D27*C27</f>
        <v>0</v>
      </c>
      <c r="F27" s="19">
        <f t="shared" ref="F27:F36" si="14">N27+J27</f>
        <v>0</v>
      </c>
      <c r="G27" s="20">
        <f t="shared" ref="G27:G36" si="15">E27-F27</f>
        <v>0</v>
      </c>
      <c r="H27" s="21">
        <v>0</v>
      </c>
      <c r="I27" s="18">
        <v>0</v>
      </c>
      <c r="J27" s="19">
        <v>0</v>
      </c>
      <c r="K27" s="20">
        <v>0</v>
      </c>
      <c r="L27" s="21">
        <v>0</v>
      </c>
      <c r="M27" s="18">
        <f t="shared" ref="M27:M36" si="16">L27*C27</f>
        <v>0</v>
      </c>
      <c r="N27" s="19">
        <v>0</v>
      </c>
      <c r="O27" s="20">
        <f t="shared" ref="O27:O36" si="17">M27-N27</f>
        <v>0</v>
      </c>
      <c r="P27" s="441"/>
    </row>
    <row r="28" spans="1:16" ht="20.100000000000001" customHeight="1" x14ac:dyDescent="0.2">
      <c r="A28" s="951"/>
      <c r="B28" s="33"/>
      <c r="C28" s="63"/>
      <c r="D28" s="17">
        <f t="shared" si="12"/>
        <v>0</v>
      </c>
      <c r="E28" s="18">
        <f t="shared" si="13"/>
        <v>0</v>
      </c>
      <c r="F28" s="19">
        <f t="shared" si="14"/>
        <v>0</v>
      </c>
      <c r="G28" s="20">
        <f t="shared" si="15"/>
        <v>0</v>
      </c>
      <c r="H28" s="21">
        <v>0</v>
      </c>
      <c r="I28" s="18">
        <v>0</v>
      </c>
      <c r="J28" s="19">
        <v>0</v>
      </c>
      <c r="K28" s="20">
        <v>0</v>
      </c>
      <c r="L28" s="21">
        <v>0</v>
      </c>
      <c r="M28" s="18">
        <f t="shared" si="16"/>
        <v>0</v>
      </c>
      <c r="N28" s="19">
        <v>0</v>
      </c>
      <c r="O28" s="20">
        <f t="shared" si="17"/>
        <v>0</v>
      </c>
      <c r="P28" s="441"/>
    </row>
    <row r="29" spans="1:16" ht="20.100000000000001" customHeight="1" x14ac:dyDescent="0.2">
      <c r="A29" s="951"/>
      <c r="B29" s="33"/>
      <c r="C29" s="63"/>
      <c r="D29" s="17">
        <f t="shared" si="12"/>
        <v>0</v>
      </c>
      <c r="E29" s="18">
        <f t="shared" si="13"/>
        <v>0</v>
      </c>
      <c r="F29" s="19">
        <f t="shared" si="14"/>
        <v>0</v>
      </c>
      <c r="G29" s="20">
        <f t="shared" si="15"/>
        <v>0</v>
      </c>
      <c r="H29" s="21">
        <v>0</v>
      </c>
      <c r="I29" s="18">
        <v>0</v>
      </c>
      <c r="J29" s="19">
        <v>0</v>
      </c>
      <c r="K29" s="20">
        <v>0</v>
      </c>
      <c r="L29" s="21">
        <v>0</v>
      </c>
      <c r="M29" s="18">
        <f t="shared" si="16"/>
        <v>0</v>
      </c>
      <c r="N29" s="19">
        <v>0</v>
      </c>
      <c r="O29" s="20">
        <f t="shared" si="17"/>
        <v>0</v>
      </c>
      <c r="P29" s="441"/>
    </row>
    <row r="30" spans="1:16" s="443" customFormat="1" ht="20.100000000000001" customHeight="1" x14ac:dyDescent="0.2">
      <c r="A30" s="951"/>
      <c r="B30" s="35"/>
      <c r="C30" s="63"/>
      <c r="D30" s="17">
        <f t="shared" si="12"/>
        <v>0</v>
      </c>
      <c r="E30" s="18">
        <f t="shared" si="13"/>
        <v>0</v>
      </c>
      <c r="F30" s="19">
        <f t="shared" si="14"/>
        <v>0</v>
      </c>
      <c r="G30" s="20">
        <f t="shared" si="15"/>
        <v>0</v>
      </c>
      <c r="H30" s="21">
        <v>0</v>
      </c>
      <c r="I30" s="18">
        <v>0</v>
      </c>
      <c r="J30" s="19">
        <v>0</v>
      </c>
      <c r="K30" s="20">
        <v>0</v>
      </c>
      <c r="L30" s="21">
        <v>0</v>
      </c>
      <c r="M30" s="18">
        <f t="shared" si="16"/>
        <v>0</v>
      </c>
      <c r="N30" s="19">
        <v>0</v>
      </c>
      <c r="O30" s="20">
        <f t="shared" si="17"/>
        <v>0</v>
      </c>
      <c r="P30" s="441"/>
    </row>
    <row r="31" spans="1:16" ht="20.100000000000001" customHeight="1" x14ac:dyDescent="0.2">
      <c r="A31" s="951"/>
      <c r="B31" s="33"/>
      <c r="C31" s="63"/>
      <c r="D31" s="17">
        <f t="shared" si="12"/>
        <v>0</v>
      </c>
      <c r="E31" s="18">
        <f t="shared" si="13"/>
        <v>0</v>
      </c>
      <c r="F31" s="19">
        <f t="shared" si="14"/>
        <v>0</v>
      </c>
      <c r="G31" s="20">
        <f t="shared" si="15"/>
        <v>0</v>
      </c>
      <c r="H31" s="21">
        <v>0</v>
      </c>
      <c r="I31" s="18">
        <v>0</v>
      </c>
      <c r="J31" s="19">
        <v>0</v>
      </c>
      <c r="K31" s="20">
        <v>0</v>
      </c>
      <c r="L31" s="21">
        <v>0</v>
      </c>
      <c r="M31" s="18">
        <f t="shared" si="16"/>
        <v>0</v>
      </c>
      <c r="N31" s="19">
        <v>0</v>
      </c>
      <c r="O31" s="20">
        <f t="shared" si="17"/>
        <v>0</v>
      </c>
      <c r="P31" s="441"/>
    </row>
    <row r="32" spans="1:16" ht="20.100000000000001" customHeight="1" x14ac:dyDescent="0.2">
      <c r="A32" s="951"/>
      <c r="B32" s="33"/>
      <c r="C32" s="63"/>
      <c r="D32" s="17">
        <f t="shared" si="12"/>
        <v>0</v>
      </c>
      <c r="E32" s="18">
        <f t="shared" si="13"/>
        <v>0</v>
      </c>
      <c r="F32" s="19">
        <f t="shared" si="14"/>
        <v>0</v>
      </c>
      <c r="G32" s="20">
        <f t="shared" si="15"/>
        <v>0</v>
      </c>
      <c r="H32" s="21">
        <v>0</v>
      </c>
      <c r="I32" s="18">
        <v>0</v>
      </c>
      <c r="J32" s="19">
        <v>0</v>
      </c>
      <c r="K32" s="20">
        <v>0</v>
      </c>
      <c r="L32" s="21">
        <v>0</v>
      </c>
      <c r="M32" s="18">
        <f t="shared" si="16"/>
        <v>0</v>
      </c>
      <c r="N32" s="19">
        <v>0</v>
      </c>
      <c r="O32" s="20">
        <f t="shared" si="17"/>
        <v>0</v>
      </c>
      <c r="P32" s="441"/>
    </row>
    <row r="33" spans="1:17" ht="20.100000000000001" customHeight="1" x14ac:dyDescent="0.2">
      <c r="A33" s="951"/>
      <c r="B33" s="33"/>
      <c r="C33" s="63"/>
      <c r="D33" s="17">
        <f t="shared" si="12"/>
        <v>0</v>
      </c>
      <c r="E33" s="18">
        <f t="shared" si="13"/>
        <v>0</v>
      </c>
      <c r="F33" s="19">
        <f t="shared" si="14"/>
        <v>0</v>
      </c>
      <c r="G33" s="20">
        <f t="shared" si="15"/>
        <v>0</v>
      </c>
      <c r="H33" s="21">
        <v>0</v>
      </c>
      <c r="I33" s="18">
        <v>0</v>
      </c>
      <c r="J33" s="19">
        <v>0</v>
      </c>
      <c r="K33" s="20">
        <v>0</v>
      </c>
      <c r="L33" s="21">
        <v>0</v>
      </c>
      <c r="M33" s="18">
        <f t="shared" si="16"/>
        <v>0</v>
      </c>
      <c r="N33" s="19">
        <v>0</v>
      </c>
      <c r="O33" s="20">
        <f t="shared" si="17"/>
        <v>0</v>
      </c>
      <c r="P33" s="441"/>
    </row>
    <row r="34" spans="1:17" ht="20.100000000000001" customHeight="1" x14ac:dyDescent="0.2">
      <c r="A34" s="951"/>
      <c r="B34" s="33"/>
      <c r="C34" s="63"/>
      <c r="D34" s="17">
        <f t="shared" si="12"/>
        <v>0</v>
      </c>
      <c r="E34" s="18">
        <f t="shared" si="13"/>
        <v>0</v>
      </c>
      <c r="F34" s="19">
        <f t="shared" si="14"/>
        <v>0</v>
      </c>
      <c r="G34" s="20">
        <f t="shared" si="15"/>
        <v>0</v>
      </c>
      <c r="H34" s="21">
        <v>0</v>
      </c>
      <c r="I34" s="18">
        <v>0</v>
      </c>
      <c r="J34" s="19">
        <v>0</v>
      </c>
      <c r="K34" s="20">
        <v>0</v>
      </c>
      <c r="L34" s="21">
        <v>0</v>
      </c>
      <c r="M34" s="18">
        <f t="shared" si="16"/>
        <v>0</v>
      </c>
      <c r="N34" s="19">
        <v>0</v>
      </c>
      <c r="O34" s="20">
        <f t="shared" si="17"/>
        <v>0</v>
      </c>
      <c r="P34" s="441"/>
    </row>
    <row r="35" spans="1:17" ht="20.100000000000001" customHeight="1" x14ac:dyDescent="0.2">
      <c r="A35" s="951"/>
      <c r="B35" s="33"/>
      <c r="C35" s="63"/>
      <c r="D35" s="17">
        <f t="shared" si="12"/>
        <v>0</v>
      </c>
      <c r="E35" s="18">
        <f t="shared" si="13"/>
        <v>0</v>
      </c>
      <c r="F35" s="19">
        <f t="shared" si="14"/>
        <v>0</v>
      </c>
      <c r="G35" s="20">
        <f t="shared" si="15"/>
        <v>0</v>
      </c>
      <c r="H35" s="21">
        <v>0</v>
      </c>
      <c r="I35" s="18">
        <v>0</v>
      </c>
      <c r="J35" s="19">
        <v>0</v>
      </c>
      <c r="K35" s="20">
        <v>0</v>
      </c>
      <c r="L35" s="21">
        <v>0</v>
      </c>
      <c r="M35" s="18">
        <f t="shared" si="16"/>
        <v>0</v>
      </c>
      <c r="N35" s="19">
        <v>0</v>
      </c>
      <c r="O35" s="20">
        <f t="shared" si="17"/>
        <v>0</v>
      </c>
      <c r="P35" s="441"/>
    </row>
    <row r="36" spans="1:17" ht="20.100000000000001" customHeight="1" x14ac:dyDescent="0.2">
      <c r="A36" s="951"/>
      <c r="B36" s="33"/>
      <c r="C36" s="63"/>
      <c r="D36" s="17">
        <f t="shared" si="12"/>
        <v>0</v>
      </c>
      <c r="E36" s="18">
        <f t="shared" si="13"/>
        <v>0</v>
      </c>
      <c r="F36" s="19">
        <f t="shared" si="14"/>
        <v>0</v>
      </c>
      <c r="G36" s="20">
        <f t="shared" si="15"/>
        <v>0</v>
      </c>
      <c r="H36" s="21">
        <v>0</v>
      </c>
      <c r="I36" s="18">
        <v>0</v>
      </c>
      <c r="J36" s="19">
        <v>0</v>
      </c>
      <c r="K36" s="20">
        <v>0</v>
      </c>
      <c r="L36" s="21">
        <v>0</v>
      </c>
      <c r="M36" s="18">
        <f t="shared" si="16"/>
        <v>0</v>
      </c>
      <c r="N36" s="19">
        <v>0</v>
      </c>
      <c r="O36" s="20">
        <f t="shared" si="17"/>
        <v>0</v>
      </c>
      <c r="P36" s="441"/>
    </row>
    <row r="37" spans="1:17" ht="20.100000000000001" customHeight="1" x14ac:dyDescent="0.2">
      <c r="A37" s="394"/>
      <c r="B37" s="395" t="s">
        <v>115</v>
      </c>
      <c r="C37" s="396">
        <f>SUM(C27:C36)</f>
        <v>0</v>
      </c>
      <c r="D37" s="397" t="e">
        <f>E37/C37</f>
        <v>#DIV/0!</v>
      </c>
      <c r="E37" s="404">
        <f>SUM(E27:E36)</f>
        <v>0</v>
      </c>
      <c r="F37" s="404">
        <f>SUM(F27:F36)</f>
        <v>0</v>
      </c>
      <c r="G37" s="399">
        <f>E37-F37</f>
        <v>0</v>
      </c>
      <c r="H37" s="397" t="e">
        <f>I37/C37</f>
        <v>#DIV/0!</v>
      </c>
      <c r="I37" s="404">
        <f>SUM(I27:I36)</f>
        <v>0</v>
      </c>
      <c r="J37" s="404">
        <f>SUM(J27:J36)</f>
        <v>0</v>
      </c>
      <c r="K37" s="399">
        <f>I37-J37</f>
        <v>0</v>
      </c>
      <c r="L37" s="397" t="e">
        <f>M37/C37</f>
        <v>#DIV/0!</v>
      </c>
      <c r="M37" s="404">
        <f>SUM(M27:M36)</f>
        <v>0</v>
      </c>
      <c r="N37" s="404">
        <f>SUM(N27:N36)</f>
        <v>0</v>
      </c>
      <c r="O37" s="399">
        <f>M37-N37</f>
        <v>0</v>
      </c>
      <c r="P37" s="441"/>
    </row>
    <row r="38" spans="1:17" s="443" customFormat="1" ht="20.100000000000001" customHeight="1" x14ac:dyDescent="0.2">
      <c r="A38" s="951"/>
      <c r="B38" s="33"/>
      <c r="C38" s="63"/>
      <c r="D38" s="17">
        <f t="shared" ref="D38:D43" si="18">L38+H38</f>
        <v>0</v>
      </c>
      <c r="E38" s="18">
        <f t="shared" ref="E38:E43" si="19">D38*C38</f>
        <v>0</v>
      </c>
      <c r="F38" s="19">
        <f t="shared" ref="F38:F43" si="20">N38+J38</f>
        <v>0</v>
      </c>
      <c r="G38" s="20">
        <f t="shared" ref="G38:G43" si="21">E38-F38</f>
        <v>0</v>
      </c>
      <c r="H38" s="21">
        <v>0</v>
      </c>
      <c r="I38" s="18">
        <v>0</v>
      </c>
      <c r="J38" s="19">
        <v>0</v>
      </c>
      <c r="K38" s="20">
        <v>0</v>
      </c>
      <c r="L38" s="21">
        <v>0</v>
      </c>
      <c r="M38" s="18">
        <f t="shared" ref="M38:M43" si="22">L38*C38</f>
        <v>0</v>
      </c>
      <c r="N38" s="19">
        <v>0</v>
      </c>
      <c r="O38" s="20">
        <f t="shared" ref="O38:O43" si="23">M38-N38</f>
        <v>0</v>
      </c>
      <c r="P38" s="442"/>
      <c r="Q38" s="445"/>
    </row>
    <row r="39" spans="1:17" ht="20.100000000000001" customHeight="1" x14ac:dyDescent="0.2">
      <c r="A39" s="951"/>
      <c r="B39" s="33"/>
      <c r="C39" s="63"/>
      <c r="D39" s="17">
        <f t="shared" si="18"/>
        <v>0</v>
      </c>
      <c r="E39" s="18">
        <f t="shared" si="19"/>
        <v>0</v>
      </c>
      <c r="F39" s="19">
        <f t="shared" si="20"/>
        <v>0</v>
      </c>
      <c r="G39" s="20">
        <f t="shared" si="21"/>
        <v>0</v>
      </c>
      <c r="H39" s="21">
        <v>0</v>
      </c>
      <c r="I39" s="18">
        <v>0</v>
      </c>
      <c r="J39" s="19">
        <v>0</v>
      </c>
      <c r="K39" s="20">
        <v>0</v>
      </c>
      <c r="L39" s="21">
        <v>0</v>
      </c>
      <c r="M39" s="18">
        <f t="shared" si="22"/>
        <v>0</v>
      </c>
      <c r="N39" s="19">
        <v>0</v>
      </c>
      <c r="O39" s="20">
        <f t="shared" si="23"/>
        <v>0</v>
      </c>
      <c r="P39" s="446"/>
    </row>
    <row r="40" spans="1:17" s="441" customFormat="1" ht="20.100000000000001" customHeight="1" x14ac:dyDescent="0.2">
      <c r="A40" s="951"/>
      <c r="B40" s="33"/>
      <c r="C40" s="63"/>
      <c r="D40" s="17">
        <f t="shared" si="18"/>
        <v>0</v>
      </c>
      <c r="E40" s="18">
        <f t="shared" si="19"/>
        <v>0</v>
      </c>
      <c r="F40" s="19">
        <f t="shared" si="20"/>
        <v>0</v>
      </c>
      <c r="G40" s="20">
        <f t="shared" si="21"/>
        <v>0</v>
      </c>
      <c r="H40" s="21">
        <v>0</v>
      </c>
      <c r="I40" s="18">
        <v>0</v>
      </c>
      <c r="J40" s="19">
        <v>0</v>
      </c>
      <c r="K40" s="20">
        <v>0</v>
      </c>
      <c r="L40" s="21">
        <v>0</v>
      </c>
      <c r="M40" s="18">
        <f t="shared" si="22"/>
        <v>0</v>
      </c>
      <c r="N40" s="19">
        <v>0</v>
      </c>
      <c r="O40" s="20">
        <f t="shared" si="23"/>
        <v>0</v>
      </c>
    </row>
    <row r="41" spans="1:17" ht="20.100000000000001" customHeight="1" x14ac:dyDescent="0.2">
      <c r="A41" s="951"/>
      <c r="B41" s="33"/>
      <c r="C41" s="63"/>
      <c r="D41" s="17">
        <f t="shared" si="18"/>
        <v>0</v>
      </c>
      <c r="E41" s="18">
        <f t="shared" si="19"/>
        <v>0</v>
      </c>
      <c r="F41" s="19">
        <f t="shared" si="20"/>
        <v>0</v>
      </c>
      <c r="G41" s="20">
        <f t="shared" si="21"/>
        <v>0</v>
      </c>
      <c r="H41" s="21">
        <v>0</v>
      </c>
      <c r="I41" s="18">
        <v>0</v>
      </c>
      <c r="J41" s="19">
        <v>0</v>
      </c>
      <c r="K41" s="20">
        <v>0</v>
      </c>
      <c r="L41" s="21">
        <v>0</v>
      </c>
      <c r="M41" s="18">
        <f t="shared" si="22"/>
        <v>0</v>
      </c>
      <c r="N41" s="19">
        <v>0</v>
      </c>
      <c r="O41" s="20">
        <f t="shared" si="23"/>
        <v>0</v>
      </c>
    </row>
    <row r="42" spans="1:17" ht="20.100000000000001" customHeight="1" x14ac:dyDescent="0.2">
      <c r="A42" s="951"/>
      <c r="B42" s="33"/>
      <c r="C42" s="63"/>
      <c r="D42" s="17">
        <f t="shared" si="18"/>
        <v>0</v>
      </c>
      <c r="E42" s="18">
        <f t="shared" si="19"/>
        <v>0</v>
      </c>
      <c r="F42" s="19">
        <f t="shared" si="20"/>
        <v>0</v>
      </c>
      <c r="G42" s="20">
        <f t="shared" si="21"/>
        <v>0</v>
      </c>
      <c r="H42" s="21">
        <v>0</v>
      </c>
      <c r="I42" s="18">
        <v>0</v>
      </c>
      <c r="J42" s="19">
        <v>0</v>
      </c>
      <c r="K42" s="20">
        <v>0</v>
      </c>
      <c r="L42" s="21">
        <v>0</v>
      </c>
      <c r="M42" s="18">
        <f t="shared" si="22"/>
        <v>0</v>
      </c>
      <c r="N42" s="19">
        <v>0</v>
      </c>
      <c r="O42" s="20">
        <f t="shared" si="23"/>
        <v>0</v>
      </c>
    </row>
    <row r="43" spans="1:17" ht="20.100000000000001" customHeight="1" x14ac:dyDescent="0.2">
      <c r="A43" s="951"/>
      <c r="B43" s="33"/>
      <c r="C43" s="63"/>
      <c r="D43" s="17">
        <f t="shared" si="18"/>
        <v>0</v>
      </c>
      <c r="E43" s="18">
        <f t="shared" si="19"/>
        <v>0</v>
      </c>
      <c r="F43" s="19">
        <f t="shared" si="20"/>
        <v>0</v>
      </c>
      <c r="G43" s="20">
        <f t="shared" si="21"/>
        <v>0</v>
      </c>
      <c r="H43" s="21">
        <v>0</v>
      </c>
      <c r="I43" s="18">
        <v>0</v>
      </c>
      <c r="J43" s="19">
        <v>0</v>
      </c>
      <c r="K43" s="20">
        <v>0</v>
      </c>
      <c r="L43" s="21">
        <v>0</v>
      </c>
      <c r="M43" s="18">
        <f t="shared" si="22"/>
        <v>0</v>
      </c>
      <c r="N43" s="19">
        <v>0</v>
      </c>
      <c r="O43" s="20">
        <f t="shared" si="23"/>
        <v>0</v>
      </c>
    </row>
    <row r="44" spans="1:17" ht="20.100000000000001" customHeight="1" x14ac:dyDescent="0.2">
      <c r="A44" s="394"/>
      <c r="B44" s="395" t="s">
        <v>116</v>
      </c>
      <c r="C44" s="396">
        <f>SUM(C38:C43)</f>
        <v>0</v>
      </c>
      <c r="D44" s="397" t="e">
        <f>E44/C44</f>
        <v>#DIV/0!</v>
      </c>
      <c r="E44" s="404">
        <f>SUM(E38:E43)</f>
        <v>0</v>
      </c>
      <c r="F44" s="404">
        <f>SUM(F38:F43)</f>
        <v>0</v>
      </c>
      <c r="G44" s="399">
        <f>E44-F44</f>
        <v>0</v>
      </c>
      <c r="H44" s="397" t="e">
        <f>I44/C44</f>
        <v>#DIV/0!</v>
      </c>
      <c r="I44" s="404">
        <f>SUM(I38:I43)</f>
        <v>0</v>
      </c>
      <c r="J44" s="404">
        <f>SUM(J38:J43)</f>
        <v>0</v>
      </c>
      <c r="K44" s="399">
        <f>I44-J44</f>
        <v>0</v>
      </c>
      <c r="L44" s="397" t="e">
        <f>M44/C44</f>
        <v>#DIV/0!</v>
      </c>
      <c r="M44" s="404">
        <f>SUM(M38:M43)</f>
        <v>0</v>
      </c>
      <c r="N44" s="404">
        <f>SUM(N38:N43)</f>
        <v>0</v>
      </c>
      <c r="O44" s="399">
        <f>M44-N44</f>
        <v>0</v>
      </c>
    </row>
    <row r="45" spans="1:17" s="6" customFormat="1" ht="20.100000000000001" customHeight="1" x14ac:dyDescent="0.2">
      <c r="A45" s="951"/>
      <c r="B45" s="33"/>
      <c r="C45" s="63"/>
      <c r="D45" s="17">
        <f t="shared" ref="D45:D51" si="24">L45+H45</f>
        <v>0</v>
      </c>
      <c r="E45" s="18">
        <f t="shared" ref="E45:E51" si="25">D45*C45</f>
        <v>0</v>
      </c>
      <c r="F45" s="19">
        <f t="shared" ref="F45:F51" si="26">N45+J45</f>
        <v>0</v>
      </c>
      <c r="G45" s="20">
        <f t="shared" ref="G45:G51" si="27">E45-F45</f>
        <v>0</v>
      </c>
      <c r="H45" s="21">
        <v>0</v>
      </c>
      <c r="I45" s="18">
        <v>0</v>
      </c>
      <c r="J45" s="19">
        <v>0</v>
      </c>
      <c r="K45" s="20">
        <v>0</v>
      </c>
      <c r="L45" s="21">
        <v>0</v>
      </c>
      <c r="M45" s="18">
        <f t="shared" ref="M45:M51" si="28">L45*C45</f>
        <v>0</v>
      </c>
      <c r="N45" s="19">
        <v>0</v>
      </c>
      <c r="O45" s="20">
        <f t="shared" ref="O45:O51" si="29">M45-N45</f>
        <v>0</v>
      </c>
    </row>
    <row r="46" spans="1:17" s="6" customFormat="1" ht="20.100000000000001" customHeight="1" x14ac:dyDescent="0.2">
      <c r="A46" s="951"/>
      <c r="B46" s="33"/>
      <c r="C46" s="63"/>
      <c r="D46" s="17">
        <f t="shared" si="24"/>
        <v>0</v>
      </c>
      <c r="E46" s="18">
        <f t="shared" si="25"/>
        <v>0</v>
      </c>
      <c r="F46" s="19">
        <f t="shared" si="26"/>
        <v>0</v>
      </c>
      <c r="G46" s="20">
        <f t="shared" si="27"/>
        <v>0</v>
      </c>
      <c r="H46" s="21">
        <v>0</v>
      </c>
      <c r="I46" s="18">
        <v>0</v>
      </c>
      <c r="J46" s="19">
        <v>0</v>
      </c>
      <c r="K46" s="20">
        <v>0</v>
      </c>
      <c r="L46" s="21">
        <v>0</v>
      </c>
      <c r="M46" s="18">
        <f t="shared" si="28"/>
        <v>0</v>
      </c>
      <c r="N46" s="19">
        <v>0</v>
      </c>
      <c r="O46" s="20">
        <f t="shared" si="29"/>
        <v>0</v>
      </c>
    </row>
    <row r="47" spans="1:17" s="447" customFormat="1" ht="20.100000000000001" customHeight="1" x14ac:dyDescent="0.2">
      <c r="A47" s="951"/>
      <c r="B47" s="33"/>
      <c r="C47" s="63"/>
      <c r="D47" s="17">
        <f t="shared" si="24"/>
        <v>0</v>
      </c>
      <c r="E47" s="18">
        <f t="shared" si="25"/>
        <v>0</v>
      </c>
      <c r="F47" s="19">
        <f t="shared" si="26"/>
        <v>0</v>
      </c>
      <c r="G47" s="20">
        <f t="shared" si="27"/>
        <v>0</v>
      </c>
      <c r="H47" s="21">
        <v>0</v>
      </c>
      <c r="I47" s="18">
        <v>0</v>
      </c>
      <c r="J47" s="19">
        <v>0</v>
      </c>
      <c r="K47" s="20">
        <v>0</v>
      </c>
      <c r="L47" s="21">
        <v>0</v>
      </c>
      <c r="M47" s="18">
        <f t="shared" si="28"/>
        <v>0</v>
      </c>
      <c r="N47" s="19">
        <v>0</v>
      </c>
      <c r="O47" s="20">
        <f t="shared" si="29"/>
        <v>0</v>
      </c>
    </row>
    <row r="48" spans="1:17" ht="20.100000000000001" customHeight="1" x14ac:dyDescent="0.2">
      <c r="A48" s="951"/>
      <c r="B48" s="33"/>
      <c r="C48" s="63"/>
      <c r="D48" s="17">
        <f t="shared" si="24"/>
        <v>0</v>
      </c>
      <c r="E48" s="18">
        <f t="shared" si="25"/>
        <v>0</v>
      </c>
      <c r="F48" s="19">
        <f t="shared" si="26"/>
        <v>0</v>
      </c>
      <c r="G48" s="20">
        <f t="shared" si="27"/>
        <v>0</v>
      </c>
      <c r="H48" s="21">
        <v>0</v>
      </c>
      <c r="I48" s="18">
        <v>0</v>
      </c>
      <c r="J48" s="19">
        <v>0</v>
      </c>
      <c r="K48" s="20">
        <v>0</v>
      </c>
      <c r="L48" s="21">
        <v>0</v>
      </c>
      <c r="M48" s="18">
        <f t="shared" si="28"/>
        <v>0</v>
      </c>
      <c r="N48" s="19">
        <v>0</v>
      </c>
      <c r="O48" s="20">
        <f t="shared" si="29"/>
        <v>0</v>
      </c>
    </row>
    <row r="49" spans="1:15" ht="20.100000000000001" customHeight="1" x14ac:dyDescent="0.2">
      <c r="A49" s="951"/>
      <c r="B49" s="33"/>
      <c r="C49" s="63"/>
      <c r="D49" s="17">
        <f t="shared" si="24"/>
        <v>0</v>
      </c>
      <c r="E49" s="18">
        <f t="shared" si="25"/>
        <v>0</v>
      </c>
      <c r="F49" s="19">
        <f t="shared" si="26"/>
        <v>0</v>
      </c>
      <c r="G49" s="20">
        <f t="shared" si="27"/>
        <v>0</v>
      </c>
      <c r="H49" s="21">
        <v>0</v>
      </c>
      <c r="I49" s="18">
        <v>0</v>
      </c>
      <c r="J49" s="19">
        <v>0</v>
      </c>
      <c r="K49" s="20">
        <v>0</v>
      </c>
      <c r="L49" s="21">
        <v>0</v>
      </c>
      <c r="M49" s="18">
        <f t="shared" si="28"/>
        <v>0</v>
      </c>
      <c r="N49" s="19">
        <v>0</v>
      </c>
      <c r="O49" s="20">
        <f t="shared" si="29"/>
        <v>0</v>
      </c>
    </row>
    <row r="50" spans="1:15" ht="20.100000000000001" customHeight="1" x14ac:dyDescent="0.2">
      <c r="A50" s="951"/>
      <c r="B50" s="33"/>
      <c r="C50" s="63"/>
      <c r="D50" s="17">
        <f t="shared" si="24"/>
        <v>0</v>
      </c>
      <c r="E50" s="18">
        <f t="shared" si="25"/>
        <v>0</v>
      </c>
      <c r="F50" s="19">
        <f t="shared" si="26"/>
        <v>0</v>
      </c>
      <c r="G50" s="20">
        <f t="shared" si="27"/>
        <v>0</v>
      </c>
      <c r="H50" s="21">
        <v>0</v>
      </c>
      <c r="I50" s="18">
        <v>0</v>
      </c>
      <c r="J50" s="19">
        <v>0</v>
      </c>
      <c r="K50" s="20">
        <v>0</v>
      </c>
      <c r="L50" s="21">
        <v>0</v>
      </c>
      <c r="M50" s="18">
        <f t="shared" si="28"/>
        <v>0</v>
      </c>
      <c r="N50" s="19">
        <v>0</v>
      </c>
      <c r="O50" s="20">
        <f t="shared" si="29"/>
        <v>0</v>
      </c>
    </row>
    <row r="51" spans="1:15" ht="20.100000000000001" customHeight="1" x14ac:dyDescent="0.2">
      <c r="A51" s="951"/>
      <c r="B51" s="33"/>
      <c r="C51" s="63"/>
      <c r="D51" s="17">
        <f t="shared" si="24"/>
        <v>0</v>
      </c>
      <c r="E51" s="18">
        <f t="shared" si="25"/>
        <v>0</v>
      </c>
      <c r="F51" s="19">
        <f t="shared" si="26"/>
        <v>0</v>
      </c>
      <c r="G51" s="20">
        <f t="shared" si="27"/>
        <v>0</v>
      </c>
      <c r="H51" s="21">
        <v>0</v>
      </c>
      <c r="I51" s="18">
        <v>0</v>
      </c>
      <c r="J51" s="19">
        <v>0</v>
      </c>
      <c r="K51" s="20">
        <v>0</v>
      </c>
      <c r="L51" s="21">
        <v>0</v>
      </c>
      <c r="M51" s="18">
        <f t="shared" si="28"/>
        <v>0</v>
      </c>
      <c r="N51" s="19">
        <v>0</v>
      </c>
      <c r="O51" s="20">
        <f t="shared" si="29"/>
        <v>0</v>
      </c>
    </row>
    <row r="52" spans="1:15" ht="20.100000000000001" customHeight="1" x14ac:dyDescent="0.2">
      <c r="A52" s="394"/>
      <c r="B52" s="395" t="s">
        <v>117</v>
      </c>
      <c r="C52" s="396">
        <f>SUM(C45:C51)</f>
        <v>0</v>
      </c>
      <c r="D52" s="397" t="e">
        <f>E52/C52</f>
        <v>#DIV/0!</v>
      </c>
      <c r="E52" s="404">
        <f>SUM(E45:E51)</f>
        <v>0</v>
      </c>
      <c r="F52" s="404">
        <f>SUM(F45:F51)</f>
        <v>0</v>
      </c>
      <c r="G52" s="399">
        <f>E52-F52</f>
        <v>0</v>
      </c>
      <c r="H52" s="397" t="e">
        <f>I52/C52</f>
        <v>#DIV/0!</v>
      </c>
      <c r="I52" s="404">
        <f>SUM(I45:I51)</f>
        <v>0</v>
      </c>
      <c r="J52" s="404">
        <f>SUM(J45:J51)</f>
        <v>0</v>
      </c>
      <c r="K52" s="399">
        <f>I52-J52</f>
        <v>0</v>
      </c>
      <c r="L52" s="397" t="e">
        <f>M52/C52</f>
        <v>#DIV/0!</v>
      </c>
      <c r="M52" s="404">
        <f>SUM(M45:M51)</f>
        <v>0</v>
      </c>
      <c r="N52" s="404">
        <f>SUM(N45:N51)</f>
        <v>0</v>
      </c>
      <c r="O52" s="399">
        <f>M52-N52</f>
        <v>0</v>
      </c>
    </row>
    <row r="53" spans="1:15" ht="20.100000000000001" customHeight="1" x14ac:dyDescent="0.2">
      <c r="A53" s="36"/>
      <c r="B53" s="32"/>
      <c r="C53" s="64"/>
      <c r="D53" s="37"/>
      <c r="E53" s="38"/>
      <c r="F53" s="38"/>
      <c r="G53" s="39"/>
      <c r="H53" s="40"/>
      <c r="I53" s="38"/>
      <c r="J53" s="38"/>
      <c r="K53" s="39"/>
      <c r="L53" s="40"/>
      <c r="M53" s="38"/>
      <c r="N53" s="38"/>
      <c r="O53" s="39"/>
    </row>
    <row r="54" spans="1:15" ht="20.100000000000001" customHeight="1" x14ac:dyDescent="0.2">
      <c r="A54" s="937" t="s">
        <v>4</v>
      </c>
      <c r="B54" s="938" t="s">
        <v>5</v>
      </c>
      <c r="C54" s="941" t="s">
        <v>76</v>
      </c>
      <c r="D54" s="944" t="s">
        <v>6</v>
      </c>
      <c r="E54" s="919"/>
      <c r="F54" s="919"/>
      <c r="G54" s="920"/>
      <c r="H54" s="944" t="s">
        <v>6</v>
      </c>
      <c r="I54" s="919"/>
      <c r="J54" s="919"/>
      <c r="K54" s="920"/>
      <c r="L54" s="944" t="s">
        <v>6</v>
      </c>
      <c r="M54" s="919"/>
      <c r="N54" s="919"/>
      <c r="O54" s="920"/>
    </row>
    <row r="55" spans="1:15" ht="20.100000000000001" customHeight="1" x14ac:dyDescent="0.2">
      <c r="A55" s="937"/>
      <c r="B55" s="939"/>
      <c r="C55" s="942"/>
      <c r="D55" s="921" t="s">
        <v>9</v>
      </c>
      <c r="E55" s="922"/>
      <c r="F55" s="922"/>
      <c r="G55" s="923"/>
      <c r="H55" s="921" t="s">
        <v>77</v>
      </c>
      <c r="I55" s="922"/>
      <c r="J55" s="922"/>
      <c r="K55" s="923"/>
      <c r="L55" s="921" t="s">
        <v>10</v>
      </c>
      <c r="M55" s="922"/>
      <c r="N55" s="922"/>
      <c r="O55" s="923"/>
    </row>
    <row r="56" spans="1:15" ht="20.100000000000001" customHeight="1" x14ac:dyDescent="0.2">
      <c r="A56" s="937"/>
      <c r="B56" s="940"/>
      <c r="C56" s="943"/>
      <c r="D56" s="423" t="s">
        <v>17</v>
      </c>
      <c r="E56" s="424" t="s">
        <v>108</v>
      </c>
      <c r="F56" s="424" t="s">
        <v>107</v>
      </c>
      <c r="G56" s="425" t="s">
        <v>12</v>
      </c>
      <c r="H56" s="426" t="s">
        <v>17</v>
      </c>
      <c r="I56" s="424" t="s">
        <v>108</v>
      </c>
      <c r="J56" s="424" t="s">
        <v>107</v>
      </c>
      <c r="K56" s="425" t="s">
        <v>12</v>
      </c>
      <c r="L56" s="426" t="s">
        <v>17</v>
      </c>
      <c r="M56" s="424" t="s">
        <v>108</v>
      </c>
      <c r="N56" s="424" t="s">
        <v>107</v>
      </c>
      <c r="O56" s="425" t="s">
        <v>12</v>
      </c>
    </row>
    <row r="57" spans="1:15" ht="20.100000000000001" customHeight="1" x14ac:dyDescent="0.2">
      <c r="A57" s="429"/>
      <c r="B57" s="468" t="s">
        <v>0</v>
      </c>
      <c r="C57" s="431">
        <f>+SUM(C6:C52)/2</f>
        <v>0</v>
      </c>
      <c r="D57" s="432" t="e">
        <f>E57/C57</f>
        <v>#DIV/0!</v>
      </c>
      <c r="E57" s="431">
        <f>+SUM(E6:E52)/2</f>
        <v>0</v>
      </c>
      <c r="F57" s="431">
        <f>+SUM(F6:F52)/2</f>
        <v>0</v>
      </c>
      <c r="G57" s="431">
        <f>+SUM(G6:G52)/2</f>
        <v>0</v>
      </c>
      <c r="H57" s="432" t="e">
        <f>I57/C57</f>
        <v>#DIV/0!</v>
      </c>
      <c r="I57" s="431">
        <f>+SUM(I6:I52)/2</f>
        <v>0</v>
      </c>
      <c r="J57" s="431">
        <f>+SUM(J6:J52)/2</f>
        <v>0</v>
      </c>
      <c r="K57" s="431">
        <f>+SUM(K6:K52)/2</f>
        <v>0</v>
      </c>
      <c r="L57" s="432" t="e">
        <f>M57/C57</f>
        <v>#DIV/0!</v>
      </c>
      <c r="M57" s="431">
        <f>+SUM(M6:M52)/2</f>
        <v>0</v>
      </c>
      <c r="N57" s="431">
        <f>+SUM(N6:N52)/2</f>
        <v>0</v>
      </c>
      <c r="O57" s="431">
        <f>+SUM(O6:O52)/2</f>
        <v>0</v>
      </c>
    </row>
    <row r="58" spans="1:15" ht="20.100000000000001" customHeight="1" x14ac:dyDescent="0.2"/>
    <row r="59" spans="1:15" ht="20.100000000000001" customHeight="1" x14ac:dyDescent="0.2">
      <c r="B59" s="469" t="s">
        <v>585</v>
      </c>
      <c r="C59" s="470">
        <f>+C57-G57</f>
        <v>0</v>
      </c>
    </row>
    <row r="60" spans="1:15" ht="20.100000000000001" customHeight="1" x14ac:dyDescent="0.2"/>
    <row r="61" spans="1:15" ht="20.100000000000001" customHeight="1" x14ac:dyDescent="0.2">
      <c r="A61" s="973" t="s">
        <v>124</v>
      </c>
      <c r="B61" s="973"/>
      <c r="C61" s="435"/>
    </row>
  </sheetData>
  <sheetProtection formatCells="0" formatColumns="0" formatRows="0" insertColumns="0" insertRows="0" insertHyperlinks="0" deleteColumns="0" deleteRows="0" sort="0" autoFilter="0" pivotTables="0"/>
  <mergeCells count="25">
    <mergeCell ref="L54:O54"/>
    <mergeCell ref="D55:G55"/>
    <mergeCell ref="H55:K55"/>
    <mergeCell ref="L55:O55"/>
    <mergeCell ref="A61:B61"/>
    <mergeCell ref="D54:G54"/>
    <mergeCell ref="H54:K54"/>
    <mergeCell ref="A8:A13"/>
    <mergeCell ref="A15:A25"/>
    <mergeCell ref="A27:A36"/>
    <mergeCell ref="A1:M1"/>
    <mergeCell ref="L4:O4"/>
    <mergeCell ref="L3:O3"/>
    <mergeCell ref="A3:A5"/>
    <mergeCell ref="B3:B5"/>
    <mergeCell ref="C3:C5"/>
    <mergeCell ref="D3:G3"/>
    <mergeCell ref="H3:K3"/>
    <mergeCell ref="D4:G4"/>
    <mergeCell ref="H4:K4"/>
    <mergeCell ref="A38:A43"/>
    <mergeCell ref="A45:A51"/>
    <mergeCell ref="A54:A56"/>
    <mergeCell ref="B54:B56"/>
    <mergeCell ref="C54:C56"/>
  </mergeCells>
  <printOptions horizontalCentered="1" verticalCentered="1"/>
  <pageMargins left="0" right="0" top="0.39370078740157483" bottom="0.39370078740157483" header="0" footer="0"/>
  <pageSetup paperSize="8" scale="67" orientation="portrait" r:id="rId1"/>
  <headerFooter alignWithMargins="0">
    <oddHeader>&amp;R&amp;T;&amp;D</oddHeader>
    <oddFooter>&amp;L&amp;Z&amp;F&amp;R&amp;P/&amp;N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8">
    <tabColor rgb="FF7030A0"/>
    <pageSetUpPr fitToPage="1"/>
  </sheetPr>
  <dimension ref="A1:Q61"/>
  <sheetViews>
    <sheetView zoomScale="85" zoomScaleNormal="85" workbookViewId="0">
      <selection activeCell="L29" sqref="L29:M29"/>
    </sheetView>
  </sheetViews>
  <sheetFormatPr baseColWidth="10" defaultColWidth="11.42578125" defaultRowHeight="15" x14ac:dyDescent="0.2"/>
  <cols>
    <col min="1" max="1" width="14.28515625" style="442" bestFit="1" customWidth="1"/>
    <col min="2" max="2" width="27.85546875" style="442" bestFit="1" customWidth="1"/>
    <col min="3" max="3" width="9.42578125" style="442" bestFit="1" customWidth="1"/>
    <col min="4" max="4" width="14.5703125" style="442" customWidth="1"/>
    <col min="5" max="7" width="11.7109375" style="442" customWidth="1"/>
    <col min="8" max="8" width="14.5703125" style="450" customWidth="1"/>
    <col min="9" max="11" width="11.7109375" style="442" customWidth="1"/>
    <col min="12" max="12" width="14.5703125" style="450" customWidth="1"/>
    <col min="13" max="15" width="11.7109375" style="442" customWidth="1"/>
    <col min="16" max="16384" width="11.42578125" style="442"/>
  </cols>
  <sheetData>
    <row r="1" spans="1:16" s="439" customFormat="1" ht="26.25" customHeight="1" thickBot="1" x14ac:dyDescent="0.25">
      <c r="A1" s="931" t="s">
        <v>106</v>
      </c>
      <c r="B1" s="932"/>
      <c r="C1" s="932"/>
      <c r="D1" s="932"/>
      <c r="E1" s="932"/>
      <c r="F1" s="932"/>
      <c r="G1" s="932"/>
      <c r="H1" s="932"/>
      <c r="I1" s="932"/>
      <c r="J1" s="932"/>
      <c r="K1" s="932"/>
      <c r="L1" s="932"/>
      <c r="M1" s="933"/>
      <c r="N1" s="418" t="s">
        <v>3</v>
      </c>
      <c r="O1" s="438"/>
    </row>
    <row r="2" spans="1:16" s="440" customFormat="1" x14ac:dyDescent="0.2">
      <c r="A2" s="13"/>
      <c r="B2" s="13"/>
      <c r="C2" s="13"/>
      <c r="D2" s="13"/>
      <c r="E2" s="13"/>
      <c r="F2" s="13"/>
      <c r="G2" s="13"/>
      <c r="H2" s="14"/>
      <c r="I2" s="13"/>
      <c r="J2" s="13"/>
      <c r="K2" s="13"/>
      <c r="L2" s="14"/>
      <c r="M2" s="13"/>
      <c r="N2" s="13"/>
      <c r="O2" s="13"/>
    </row>
    <row r="3" spans="1:16" s="6" customFormat="1" ht="15.75" customHeight="1" x14ac:dyDescent="0.2">
      <c r="A3" s="937" t="s">
        <v>4</v>
      </c>
      <c r="B3" s="938" t="s">
        <v>5</v>
      </c>
      <c r="C3" s="941" t="s">
        <v>76</v>
      </c>
      <c r="D3" s="944" t="s">
        <v>6</v>
      </c>
      <c r="E3" s="919"/>
      <c r="F3" s="919"/>
      <c r="G3" s="920"/>
      <c r="H3" s="944" t="s">
        <v>6</v>
      </c>
      <c r="I3" s="919"/>
      <c r="J3" s="919"/>
      <c r="K3" s="920"/>
      <c r="L3" s="944" t="s">
        <v>6</v>
      </c>
      <c r="M3" s="919"/>
      <c r="N3" s="919"/>
      <c r="O3" s="920"/>
    </row>
    <row r="4" spans="1:16" s="6" customFormat="1" x14ac:dyDescent="0.2">
      <c r="A4" s="937"/>
      <c r="B4" s="939"/>
      <c r="C4" s="942"/>
      <c r="D4" s="921" t="s">
        <v>9</v>
      </c>
      <c r="E4" s="922"/>
      <c r="F4" s="922"/>
      <c r="G4" s="923"/>
      <c r="H4" s="921" t="s">
        <v>77</v>
      </c>
      <c r="I4" s="922"/>
      <c r="J4" s="922"/>
      <c r="K4" s="923"/>
      <c r="L4" s="921" t="s">
        <v>10</v>
      </c>
      <c r="M4" s="922"/>
      <c r="N4" s="922"/>
      <c r="O4" s="923"/>
    </row>
    <row r="5" spans="1:16" s="6" customFormat="1" ht="30" x14ac:dyDescent="0.2">
      <c r="A5" s="937"/>
      <c r="B5" s="940"/>
      <c r="C5" s="943"/>
      <c r="D5" s="423" t="s">
        <v>17</v>
      </c>
      <c r="E5" s="424" t="s">
        <v>108</v>
      </c>
      <c r="F5" s="424" t="s">
        <v>107</v>
      </c>
      <c r="G5" s="425" t="s">
        <v>12</v>
      </c>
      <c r="H5" s="426" t="s">
        <v>17</v>
      </c>
      <c r="I5" s="424" t="s">
        <v>108</v>
      </c>
      <c r="J5" s="424" t="s">
        <v>107</v>
      </c>
      <c r="K5" s="425" t="s">
        <v>12</v>
      </c>
      <c r="L5" s="426" t="s">
        <v>17</v>
      </c>
      <c r="M5" s="424" t="s">
        <v>108</v>
      </c>
      <c r="N5" s="424" t="s">
        <v>107</v>
      </c>
      <c r="O5" s="425" t="s">
        <v>12</v>
      </c>
    </row>
    <row r="6" spans="1:16" s="440" customFormat="1" ht="20.100000000000001" customHeight="1" x14ac:dyDescent="0.2">
      <c r="A6" s="66"/>
      <c r="B6" s="16"/>
      <c r="C6" s="62"/>
      <c r="D6" s="17">
        <f>L6+H6</f>
        <v>0</v>
      </c>
      <c r="E6" s="18">
        <f>D6*C6</f>
        <v>0</v>
      </c>
      <c r="F6" s="19">
        <f>N6+J6</f>
        <v>0</v>
      </c>
      <c r="G6" s="20">
        <f>E6-F6</f>
        <v>0</v>
      </c>
      <c r="H6" s="21">
        <v>0</v>
      </c>
      <c r="I6" s="18">
        <v>0</v>
      </c>
      <c r="J6" s="19">
        <v>0</v>
      </c>
      <c r="K6" s="20">
        <v>0</v>
      </c>
      <c r="L6" s="21">
        <v>0</v>
      </c>
      <c r="M6" s="18">
        <f>L6*C6</f>
        <v>0</v>
      </c>
      <c r="N6" s="19">
        <v>0</v>
      </c>
      <c r="O6" s="20">
        <f>M6-N6</f>
        <v>0</v>
      </c>
    </row>
    <row r="7" spans="1:16" s="441" customFormat="1" ht="20.100000000000001" customHeight="1" x14ac:dyDescent="0.2">
      <c r="A7" s="394"/>
      <c r="B7" s="395" t="s">
        <v>80</v>
      </c>
      <c r="C7" s="396">
        <f>SUM(C6:C6)</f>
        <v>0</v>
      </c>
      <c r="D7" s="397" t="e">
        <f>E7/C7</f>
        <v>#DIV/0!</v>
      </c>
      <c r="E7" s="398">
        <f>SUM(E6:E6)</f>
        <v>0</v>
      </c>
      <c r="F7" s="398">
        <f>SUM(F6:F6)</f>
        <v>0</v>
      </c>
      <c r="G7" s="399">
        <f>E7-F7</f>
        <v>0</v>
      </c>
      <c r="H7" s="397" t="e">
        <f>I7/C7</f>
        <v>#DIV/0!</v>
      </c>
      <c r="I7" s="398">
        <f>SUM(I6:I6)</f>
        <v>0</v>
      </c>
      <c r="J7" s="398">
        <f>SUM(J6:J6)</f>
        <v>0</v>
      </c>
      <c r="K7" s="399">
        <f>I7-J7</f>
        <v>0</v>
      </c>
      <c r="L7" s="397" t="e">
        <f>M7/C7</f>
        <v>#DIV/0!</v>
      </c>
      <c r="M7" s="398">
        <f>SUM(M6:M6)</f>
        <v>0</v>
      </c>
      <c r="N7" s="398">
        <f>SUM(N6:N6)</f>
        <v>0</v>
      </c>
      <c r="O7" s="399">
        <f>M7-N7</f>
        <v>0</v>
      </c>
    </row>
    <row r="8" spans="1:16" ht="20.100000000000001" customHeight="1" x14ac:dyDescent="0.2">
      <c r="A8" s="951"/>
      <c r="B8" s="33"/>
      <c r="C8" s="63"/>
      <c r="D8" s="17">
        <f t="shared" ref="D8:D13" si="0">L8+H8</f>
        <v>0</v>
      </c>
      <c r="E8" s="18">
        <f t="shared" ref="E8:E13" si="1">D8*C8</f>
        <v>0</v>
      </c>
      <c r="F8" s="19">
        <f t="shared" ref="F8:F13" si="2">N8+J8</f>
        <v>0</v>
      </c>
      <c r="G8" s="20">
        <f t="shared" ref="G8:G13" si="3">E8-F8</f>
        <v>0</v>
      </c>
      <c r="H8" s="21">
        <v>0</v>
      </c>
      <c r="I8" s="18">
        <v>0</v>
      </c>
      <c r="J8" s="19">
        <v>0</v>
      </c>
      <c r="K8" s="20">
        <v>0</v>
      </c>
      <c r="L8" s="21">
        <v>0</v>
      </c>
      <c r="M8" s="18">
        <f t="shared" ref="M8:M13" si="4">L8*C8</f>
        <v>0</v>
      </c>
      <c r="N8" s="19">
        <v>0</v>
      </c>
      <c r="O8" s="20">
        <f t="shared" ref="O8:O13" si="5">M8-N8</f>
        <v>0</v>
      </c>
      <c r="P8" s="441"/>
    </row>
    <row r="9" spans="1:16" ht="20.100000000000001" customHeight="1" x14ac:dyDescent="0.2">
      <c r="A9" s="951"/>
      <c r="B9" s="33"/>
      <c r="C9" s="63"/>
      <c r="D9" s="17">
        <f t="shared" si="0"/>
        <v>0</v>
      </c>
      <c r="E9" s="18">
        <f t="shared" si="1"/>
        <v>0</v>
      </c>
      <c r="F9" s="19">
        <f t="shared" si="2"/>
        <v>0</v>
      </c>
      <c r="G9" s="20">
        <f t="shared" si="3"/>
        <v>0</v>
      </c>
      <c r="H9" s="21">
        <v>0</v>
      </c>
      <c r="I9" s="18">
        <v>0</v>
      </c>
      <c r="J9" s="19">
        <v>0</v>
      </c>
      <c r="K9" s="20">
        <v>0</v>
      </c>
      <c r="L9" s="21">
        <v>0</v>
      </c>
      <c r="M9" s="18">
        <f t="shared" si="4"/>
        <v>0</v>
      </c>
      <c r="N9" s="19">
        <v>0</v>
      </c>
      <c r="O9" s="20">
        <f t="shared" si="5"/>
        <v>0</v>
      </c>
      <c r="P9" s="441"/>
    </row>
    <row r="10" spans="1:16" ht="20.100000000000001" customHeight="1" x14ac:dyDescent="0.2">
      <c r="A10" s="951"/>
      <c r="B10" s="33"/>
      <c r="C10" s="63"/>
      <c r="D10" s="17">
        <f t="shared" si="0"/>
        <v>0</v>
      </c>
      <c r="E10" s="18">
        <f t="shared" si="1"/>
        <v>0</v>
      </c>
      <c r="F10" s="19">
        <f t="shared" si="2"/>
        <v>0</v>
      </c>
      <c r="G10" s="20">
        <f t="shared" si="3"/>
        <v>0</v>
      </c>
      <c r="H10" s="21">
        <v>0</v>
      </c>
      <c r="I10" s="18">
        <v>0</v>
      </c>
      <c r="J10" s="19">
        <v>0</v>
      </c>
      <c r="K10" s="20">
        <v>0</v>
      </c>
      <c r="L10" s="21">
        <v>0</v>
      </c>
      <c r="M10" s="18">
        <f t="shared" si="4"/>
        <v>0</v>
      </c>
      <c r="N10" s="19">
        <v>0</v>
      </c>
      <c r="O10" s="20">
        <f t="shared" si="5"/>
        <v>0</v>
      </c>
      <c r="P10" s="441"/>
    </row>
    <row r="11" spans="1:16" ht="20.100000000000001" customHeight="1" x14ac:dyDescent="0.2">
      <c r="A11" s="951"/>
      <c r="B11" s="33"/>
      <c r="C11" s="63"/>
      <c r="D11" s="17">
        <f t="shared" si="0"/>
        <v>0</v>
      </c>
      <c r="E11" s="18">
        <f t="shared" si="1"/>
        <v>0</v>
      </c>
      <c r="F11" s="19">
        <f t="shared" si="2"/>
        <v>0</v>
      </c>
      <c r="G11" s="20">
        <f t="shared" si="3"/>
        <v>0</v>
      </c>
      <c r="H11" s="21">
        <v>0</v>
      </c>
      <c r="I11" s="18">
        <v>0</v>
      </c>
      <c r="J11" s="19">
        <v>0</v>
      </c>
      <c r="K11" s="20">
        <v>0</v>
      </c>
      <c r="L11" s="21">
        <v>0</v>
      </c>
      <c r="M11" s="18">
        <f t="shared" si="4"/>
        <v>0</v>
      </c>
      <c r="N11" s="19">
        <v>0</v>
      </c>
      <c r="O11" s="20">
        <f t="shared" si="5"/>
        <v>0</v>
      </c>
      <c r="P11" s="441"/>
    </row>
    <row r="12" spans="1:16" ht="20.100000000000001" customHeight="1" x14ac:dyDescent="0.2">
      <c r="A12" s="951"/>
      <c r="B12" s="33"/>
      <c r="C12" s="63"/>
      <c r="D12" s="17">
        <f t="shared" si="0"/>
        <v>0</v>
      </c>
      <c r="E12" s="18">
        <f t="shared" si="1"/>
        <v>0</v>
      </c>
      <c r="F12" s="19">
        <f t="shared" si="2"/>
        <v>0</v>
      </c>
      <c r="G12" s="20">
        <f t="shared" si="3"/>
        <v>0</v>
      </c>
      <c r="H12" s="21">
        <v>0</v>
      </c>
      <c r="I12" s="18">
        <v>0</v>
      </c>
      <c r="J12" s="19">
        <v>0</v>
      </c>
      <c r="K12" s="20">
        <v>0</v>
      </c>
      <c r="L12" s="21">
        <v>0</v>
      </c>
      <c r="M12" s="18">
        <f t="shared" si="4"/>
        <v>0</v>
      </c>
      <c r="N12" s="19">
        <v>0</v>
      </c>
      <c r="O12" s="20">
        <f t="shared" si="5"/>
        <v>0</v>
      </c>
      <c r="P12" s="441"/>
    </row>
    <row r="13" spans="1:16" ht="20.100000000000001" customHeight="1" x14ac:dyDescent="0.2">
      <c r="A13" s="951"/>
      <c r="B13" s="33"/>
      <c r="C13" s="63"/>
      <c r="D13" s="17">
        <f t="shared" si="0"/>
        <v>0</v>
      </c>
      <c r="E13" s="18">
        <f t="shared" si="1"/>
        <v>0</v>
      </c>
      <c r="F13" s="19">
        <f t="shared" si="2"/>
        <v>0</v>
      </c>
      <c r="G13" s="20">
        <f t="shared" si="3"/>
        <v>0</v>
      </c>
      <c r="H13" s="21">
        <v>0</v>
      </c>
      <c r="I13" s="18">
        <v>0</v>
      </c>
      <c r="J13" s="19">
        <v>0</v>
      </c>
      <c r="K13" s="20">
        <v>0</v>
      </c>
      <c r="L13" s="21">
        <v>0</v>
      </c>
      <c r="M13" s="18">
        <f t="shared" si="4"/>
        <v>0</v>
      </c>
      <c r="N13" s="19">
        <v>0</v>
      </c>
      <c r="O13" s="20">
        <f t="shared" si="5"/>
        <v>0</v>
      </c>
      <c r="P13" s="441"/>
    </row>
    <row r="14" spans="1:16" s="441" customFormat="1" ht="20.100000000000001" customHeight="1" x14ac:dyDescent="0.2">
      <c r="A14" s="394"/>
      <c r="B14" s="395" t="s">
        <v>113</v>
      </c>
      <c r="C14" s="396">
        <f>SUM(C8:C13)</f>
        <v>0</v>
      </c>
      <c r="D14" s="397" t="e">
        <f>E14/C14</f>
        <v>#DIV/0!</v>
      </c>
      <c r="E14" s="398">
        <f>SUM(E8:E13)</f>
        <v>0</v>
      </c>
      <c r="F14" s="398">
        <f>SUM(F8:F13)</f>
        <v>0</v>
      </c>
      <c r="G14" s="399">
        <f>E14-F14</f>
        <v>0</v>
      </c>
      <c r="H14" s="397" t="e">
        <f>I14/C14</f>
        <v>#DIV/0!</v>
      </c>
      <c r="I14" s="398">
        <f>SUM(I8:I13)</f>
        <v>0</v>
      </c>
      <c r="J14" s="398">
        <f>SUM(J8:J13)</f>
        <v>0</v>
      </c>
      <c r="K14" s="399">
        <f>I14-J14</f>
        <v>0</v>
      </c>
      <c r="L14" s="397" t="e">
        <f>M14/C14</f>
        <v>#DIV/0!</v>
      </c>
      <c r="M14" s="398">
        <f>SUM(M8:M13)</f>
        <v>0</v>
      </c>
      <c r="N14" s="398">
        <f>SUM(N8:N13)</f>
        <v>0</v>
      </c>
      <c r="O14" s="399">
        <f>M14-N14</f>
        <v>0</v>
      </c>
    </row>
    <row r="15" spans="1:16" ht="20.100000000000001" customHeight="1" x14ac:dyDescent="0.2">
      <c r="A15" s="951"/>
      <c r="B15" s="35"/>
      <c r="C15" s="63"/>
      <c r="D15" s="17">
        <f t="shared" ref="D15:D25" si="6">L15+H15</f>
        <v>0</v>
      </c>
      <c r="E15" s="18">
        <f t="shared" ref="E15:E25" si="7">D15*C15</f>
        <v>0</v>
      </c>
      <c r="F15" s="19">
        <f t="shared" ref="F15:F25" si="8">N15+J15</f>
        <v>0</v>
      </c>
      <c r="G15" s="20">
        <f t="shared" ref="G15:G25" si="9">E15-F15</f>
        <v>0</v>
      </c>
      <c r="H15" s="21">
        <v>0</v>
      </c>
      <c r="I15" s="18">
        <v>0</v>
      </c>
      <c r="J15" s="19">
        <v>0</v>
      </c>
      <c r="K15" s="20">
        <v>0</v>
      </c>
      <c r="L15" s="21">
        <v>0</v>
      </c>
      <c r="M15" s="18">
        <f t="shared" ref="M15:M25" si="10">L15*C15</f>
        <v>0</v>
      </c>
      <c r="N15" s="19">
        <v>0</v>
      </c>
      <c r="O15" s="20">
        <f t="shared" ref="O15:O25" si="11">M15-N15</f>
        <v>0</v>
      </c>
      <c r="P15" s="441"/>
    </row>
    <row r="16" spans="1:16" ht="20.100000000000001" customHeight="1" x14ac:dyDescent="0.2">
      <c r="A16" s="951"/>
      <c r="B16" s="35"/>
      <c r="C16" s="63"/>
      <c r="D16" s="17">
        <f t="shared" si="6"/>
        <v>0</v>
      </c>
      <c r="E16" s="18">
        <f t="shared" si="7"/>
        <v>0</v>
      </c>
      <c r="F16" s="19">
        <f t="shared" si="8"/>
        <v>0</v>
      </c>
      <c r="G16" s="20">
        <f t="shared" si="9"/>
        <v>0</v>
      </c>
      <c r="H16" s="21">
        <v>0</v>
      </c>
      <c r="I16" s="18">
        <v>0</v>
      </c>
      <c r="J16" s="19">
        <v>0</v>
      </c>
      <c r="K16" s="20">
        <v>0</v>
      </c>
      <c r="L16" s="21">
        <v>0</v>
      </c>
      <c r="M16" s="18">
        <f t="shared" si="10"/>
        <v>0</v>
      </c>
      <c r="N16" s="19">
        <v>0</v>
      </c>
      <c r="O16" s="20">
        <f t="shared" si="11"/>
        <v>0</v>
      </c>
      <c r="P16" s="441"/>
    </row>
    <row r="17" spans="1:16" ht="20.100000000000001" customHeight="1" x14ac:dyDescent="0.2">
      <c r="A17" s="951"/>
      <c r="B17" s="35"/>
      <c r="C17" s="63"/>
      <c r="D17" s="17">
        <f t="shared" si="6"/>
        <v>0</v>
      </c>
      <c r="E17" s="18">
        <f t="shared" si="7"/>
        <v>0</v>
      </c>
      <c r="F17" s="19">
        <f t="shared" si="8"/>
        <v>0</v>
      </c>
      <c r="G17" s="20">
        <f t="shared" si="9"/>
        <v>0</v>
      </c>
      <c r="H17" s="21">
        <v>0</v>
      </c>
      <c r="I17" s="18">
        <v>0</v>
      </c>
      <c r="J17" s="19">
        <v>0</v>
      </c>
      <c r="K17" s="20">
        <v>0</v>
      </c>
      <c r="L17" s="21">
        <v>0</v>
      </c>
      <c r="M17" s="18">
        <f t="shared" si="10"/>
        <v>0</v>
      </c>
      <c r="N17" s="19">
        <v>0</v>
      </c>
      <c r="O17" s="20">
        <f t="shared" si="11"/>
        <v>0</v>
      </c>
      <c r="P17" s="441"/>
    </row>
    <row r="18" spans="1:16" ht="20.100000000000001" customHeight="1" x14ac:dyDescent="0.2">
      <c r="A18" s="951"/>
      <c r="B18" s="35"/>
      <c r="C18" s="63"/>
      <c r="D18" s="17">
        <f t="shared" si="6"/>
        <v>0</v>
      </c>
      <c r="E18" s="18">
        <f t="shared" si="7"/>
        <v>0</v>
      </c>
      <c r="F18" s="19">
        <f t="shared" si="8"/>
        <v>0</v>
      </c>
      <c r="G18" s="20">
        <f t="shared" si="9"/>
        <v>0</v>
      </c>
      <c r="H18" s="21">
        <v>0</v>
      </c>
      <c r="I18" s="18">
        <v>0</v>
      </c>
      <c r="J18" s="19">
        <v>0</v>
      </c>
      <c r="K18" s="20">
        <v>0</v>
      </c>
      <c r="L18" s="21">
        <v>0</v>
      </c>
      <c r="M18" s="18">
        <f t="shared" si="10"/>
        <v>0</v>
      </c>
      <c r="N18" s="19">
        <v>0</v>
      </c>
      <c r="O18" s="20">
        <f t="shared" si="11"/>
        <v>0</v>
      </c>
      <c r="P18" s="441"/>
    </row>
    <row r="19" spans="1:16" ht="20.100000000000001" customHeight="1" x14ac:dyDescent="0.2">
      <c r="A19" s="951"/>
      <c r="B19" s="35"/>
      <c r="C19" s="63"/>
      <c r="D19" s="17">
        <f t="shared" si="6"/>
        <v>0</v>
      </c>
      <c r="E19" s="18">
        <f t="shared" si="7"/>
        <v>0</v>
      </c>
      <c r="F19" s="19">
        <f t="shared" si="8"/>
        <v>0</v>
      </c>
      <c r="G19" s="20">
        <f t="shared" si="9"/>
        <v>0</v>
      </c>
      <c r="H19" s="21">
        <v>0</v>
      </c>
      <c r="I19" s="18">
        <v>0</v>
      </c>
      <c r="J19" s="19">
        <v>0</v>
      </c>
      <c r="K19" s="20">
        <v>0</v>
      </c>
      <c r="L19" s="21">
        <v>0</v>
      </c>
      <c r="M19" s="18">
        <f t="shared" si="10"/>
        <v>0</v>
      </c>
      <c r="N19" s="19">
        <v>0</v>
      </c>
      <c r="O19" s="20">
        <f t="shared" si="11"/>
        <v>0</v>
      </c>
      <c r="P19" s="441"/>
    </row>
    <row r="20" spans="1:16" ht="20.100000000000001" customHeight="1" x14ac:dyDescent="0.2">
      <c r="A20" s="951"/>
      <c r="B20" s="33"/>
      <c r="C20" s="63"/>
      <c r="D20" s="17">
        <f t="shared" si="6"/>
        <v>0</v>
      </c>
      <c r="E20" s="18">
        <f t="shared" si="7"/>
        <v>0</v>
      </c>
      <c r="F20" s="19">
        <f t="shared" si="8"/>
        <v>0</v>
      </c>
      <c r="G20" s="20">
        <f t="shared" si="9"/>
        <v>0</v>
      </c>
      <c r="H20" s="21">
        <v>0</v>
      </c>
      <c r="I20" s="18">
        <v>0</v>
      </c>
      <c r="J20" s="19">
        <v>0</v>
      </c>
      <c r="K20" s="20">
        <v>0</v>
      </c>
      <c r="L20" s="21">
        <v>0</v>
      </c>
      <c r="M20" s="18">
        <f t="shared" si="10"/>
        <v>0</v>
      </c>
      <c r="N20" s="19">
        <v>0</v>
      </c>
      <c r="O20" s="20">
        <f t="shared" si="11"/>
        <v>0</v>
      </c>
      <c r="P20" s="441"/>
    </row>
    <row r="21" spans="1:16" ht="20.100000000000001" customHeight="1" x14ac:dyDescent="0.2">
      <c r="A21" s="951"/>
      <c r="B21" s="33"/>
      <c r="C21" s="63"/>
      <c r="D21" s="17">
        <f t="shared" si="6"/>
        <v>0</v>
      </c>
      <c r="E21" s="18">
        <f t="shared" si="7"/>
        <v>0</v>
      </c>
      <c r="F21" s="19">
        <f t="shared" si="8"/>
        <v>0</v>
      </c>
      <c r="G21" s="20">
        <f t="shared" si="9"/>
        <v>0</v>
      </c>
      <c r="H21" s="21">
        <v>0</v>
      </c>
      <c r="I21" s="18">
        <v>0</v>
      </c>
      <c r="J21" s="19">
        <v>0</v>
      </c>
      <c r="K21" s="20">
        <v>0</v>
      </c>
      <c r="L21" s="21">
        <v>0</v>
      </c>
      <c r="M21" s="18">
        <f t="shared" si="10"/>
        <v>0</v>
      </c>
      <c r="N21" s="19">
        <v>0</v>
      </c>
      <c r="O21" s="20">
        <f t="shared" si="11"/>
        <v>0</v>
      </c>
      <c r="P21" s="441"/>
    </row>
    <row r="22" spans="1:16" s="443" customFormat="1" ht="20.100000000000001" customHeight="1" x14ac:dyDescent="0.2">
      <c r="A22" s="951"/>
      <c r="B22" s="33"/>
      <c r="C22" s="63"/>
      <c r="D22" s="17">
        <f t="shared" si="6"/>
        <v>0</v>
      </c>
      <c r="E22" s="18">
        <f t="shared" si="7"/>
        <v>0</v>
      </c>
      <c r="F22" s="19">
        <f t="shared" si="8"/>
        <v>0</v>
      </c>
      <c r="G22" s="20">
        <f t="shared" si="9"/>
        <v>0</v>
      </c>
      <c r="H22" s="21">
        <v>0</v>
      </c>
      <c r="I22" s="18">
        <v>0</v>
      </c>
      <c r="J22" s="19">
        <v>0</v>
      </c>
      <c r="K22" s="20">
        <v>0</v>
      </c>
      <c r="L22" s="21">
        <v>0</v>
      </c>
      <c r="M22" s="18">
        <f t="shared" si="10"/>
        <v>0</v>
      </c>
      <c r="N22" s="19">
        <v>0</v>
      </c>
      <c r="O22" s="20">
        <f t="shared" si="11"/>
        <v>0</v>
      </c>
      <c r="P22" s="441"/>
    </row>
    <row r="23" spans="1:16" ht="20.100000000000001" customHeight="1" x14ac:dyDescent="0.2">
      <c r="A23" s="951"/>
      <c r="B23" s="33"/>
      <c r="C23" s="63"/>
      <c r="D23" s="17">
        <f t="shared" si="6"/>
        <v>0</v>
      </c>
      <c r="E23" s="18">
        <f t="shared" si="7"/>
        <v>0</v>
      </c>
      <c r="F23" s="19">
        <f t="shared" si="8"/>
        <v>0</v>
      </c>
      <c r="G23" s="20">
        <f t="shared" si="9"/>
        <v>0</v>
      </c>
      <c r="H23" s="21">
        <v>0</v>
      </c>
      <c r="I23" s="18">
        <v>0</v>
      </c>
      <c r="J23" s="19">
        <v>0</v>
      </c>
      <c r="K23" s="20">
        <v>0</v>
      </c>
      <c r="L23" s="21">
        <v>0</v>
      </c>
      <c r="M23" s="18">
        <f t="shared" si="10"/>
        <v>0</v>
      </c>
      <c r="N23" s="19">
        <v>0</v>
      </c>
      <c r="O23" s="20">
        <f t="shared" si="11"/>
        <v>0</v>
      </c>
      <c r="P23" s="441"/>
    </row>
    <row r="24" spans="1:16" ht="20.100000000000001" customHeight="1" x14ac:dyDescent="0.2">
      <c r="A24" s="951"/>
      <c r="B24" s="33"/>
      <c r="C24" s="63"/>
      <c r="D24" s="17">
        <f t="shared" si="6"/>
        <v>0</v>
      </c>
      <c r="E24" s="18">
        <f t="shared" si="7"/>
        <v>0</v>
      </c>
      <c r="F24" s="19">
        <f t="shared" si="8"/>
        <v>0</v>
      </c>
      <c r="G24" s="20">
        <f t="shared" si="9"/>
        <v>0</v>
      </c>
      <c r="H24" s="21">
        <v>0</v>
      </c>
      <c r="I24" s="18">
        <v>0</v>
      </c>
      <c r="J24" s="19">
        <v>0</v>
      </c>
      <c r="K24" s="20">
        <v>0</v>
      </c>
      <c r="L24" s="21">
        <v>0</v>
      </c>
      <c r="M24" s="18">
        <f t="shared" si="10"/>
        <v>0</v>
      </c>
      <c r="N24" s="19">
        <v>0</v>
      </c>
      <c r="O24" s="20">
        <f t="shared" si="11"/>
        <v>0</v>
      </c>
      <c r="P24" s="441"/>
    </row>
    <row r="25" spans="1:16" ht="20.100000000000001" customHeight="1" x14ac:dyDescent="0.2">
      <c r="A25" s="951"/>
      <c r="B25" s="33"/>
      <c r="C25" s="63"/>
      <c r="D25" s="17">
        <f t="shared" si="6"/>
        <v>0</v>
      </c>
      <c r="E25" s="18">
        <f t="shared" si="7"/>
        <v>0</v>
      </c>
      <c r="F25" s="19">
        <f t="shared" si="8"/>
        <v>0</v>
      </c>
      <c r="G25" s="20">
        <f t="shared" si="9"/>
        <v>0</v>
      </c>
      <c r="H25" s="21">
        <v>0</v>
      </c>
      <c r="I25" s="18">
        <v>0</v>
      </c>
      <c r="J25" s="19">
        <v>0</v>
      </c>
      <c r="K25" s="20">
        <v>0</v>
      </c>
      <c r="L25" s="21">
        <v>0</v>
      </c>
      <c r="M25" s="18">
        <f t="shared" si="10"/>
        <v>0</v>
      </c>
      <c r="N25" s="19">
        <v>0</v>
      </c>
      <c r="O25" s="20">
        <f t="shared" si="11"/>
        <v>0</v>
      </c>
      <c r="P25" s="441"/>
    </row>
    <row r="26" spans="1:16" ht="20.100000000000001" customHeight="1" x14ac:dyDescent="0.2">
      <c r="A26" s="394"/>
      <c r="B26" s="395" t="s">
        <v>114</v>
      </c>
      <c r="C26" s="396">
        <f>SUM(C15:C25)</f>
        <v>0</v>
      </c>
      <c r="D26" s="397" t="e">
        <f>E26/C26</f>
        <v>#DIV/0!</v>
      </c>
      <c r="E26" s="404">
        <f>SUM(E15:E25)</f>
        <v>0</v>
      </c>
      <c r="F26" s="404">
        <f>SUM(F15:F25)</f>
        <v>0</v>
      </c>
      <c r="G26" s="399">
        <f>E26-F26</f>
        <v>0</v>
      </c>
      <c r="H26" s="397" t="e">
        <f>I26/C26</f>
        <v>#DIV/0!</v>
      </c>
      <c r="I26" s="404">
        <f>SUM(I15:I25)</f>
        <v>0</v>
      </c>
      <c r="J26" s="404">
        <f>SUM(J15:J25)</f>
        <v>0</v>
      </c>
      <c r="K26" s="399">
        <f>I26-J26</f>
        <v>0</v>
      </c>
      <c r="L26" s="397" t="e">
        <f>M26/C26</f>
        <v>#DIV/0!</v>
      </c>
      <c r="M26" s="404">
        <f>SUM(M15:M25)</f>
        <v>0</v>
      </c>
      <c r="N26" s="404">
        <f>SUM(N15:N25)</f>
        <v>0</v>
      </c>
      <c r="O26" s="399">
        <f>M26-N26</f>
        <v>0</v>
      </c>
      <c r="P26" s="441"/>
    </row>
    <row r="27" spans="1:16" ht="20.100000000000001" customHeight="1" x14ac:dyDescent="0.2">
      <c r="A27" s="951"/>
      <c r="B27" s="33"/>
      <c r="C27" s="63"/>
      <c r="D27" s="17">
        <f t="shared" ref="D27:D36" si="12">L27+H27</f>
        <v>0</v>
      </c>
      <c r="E27" s="18">
        <f t="shared" ref="E27:E36" si="13">D27*C27</f>
        <v>0</v>
      </c>
      <c r="F27" s="19">
        <f t="shared" ref="F27:F36" si="14">N27+J27</f>
        <v>0</v>
      </c>
      <c r="G27" s="20">
        <f t="shared" ref="G27:G36" si="15">E27-F27</f>
        <v>0</v>
      </c>
      <c r="H27" s="21">
        <v>0</v>
      </c>
      <c r="I27" s="18">
        <v>0</v>
      </c>
      <c r="J27" s="19">
        <v>0</v>
      </c>
      <c r="K27" s="20">
        <v>0</v>
      </c>
      <c r="L27" s="21">
        <v>0</v>
      </c>
      <c r="M27" s="18">
        <f t="shared" ref="M27:M36" si="16">L27*C27</f>
        <v>0</v>
      </c>
      <c r="N27" s="19">
        <v>0</v>
      </c>
      <c r="O27" s="20">
        <f t="shared" ref="O27:O36" si="17">M27-N27</f>
        <v>0</v>
      </c>
      <c r="P27" s="441"/>
    </row>
    <row r="28" spans="1:16" ht="20.100000000000001" customHeight="1" x14ac:dyDescent="0.2">
      <c r="A28" s="951"/>
      <c r="B28" s="33"/>
      <c r="C28" s="63"/>
      <c r="D28" s="17">
        <f t="shared" si="12"/>
        <v>0</v>
      </c>
      <c r="E28" s="18">
        <f t="shared" si="13"/>
        <v>0</v>
      </c>
      <c r="F28" s="19">
        <f t="shared" si="14"/>
        <v>0</v>
      </c>
      <c r="G28" s="20">
        <f t="shared" si="15"/>
        <v>0</v>
      </c>
      <c r="H28" s="21">
        <v>0</v>
      </c>
      <c r="I28" s="18">
        <v>0</v>
      </c>
      <c r="J28" s="19">
        <v>0</v>
      </c>
      <c r="K28" s="20">
        <v>0</v>
      </c>
      <c r="L28" s="21">
        <v>0</v>
      </c>
      <c r="M28" s="18">
        <f t="shared" si="16"/>
        <v>0</v>
      </c>
      <c r="N28" s="19">
        <v>0</v>
      </c>
      <c r="O28" s="20">
        <f t="shared" si="17"/>
        <v>0</v>
      </c>
      <c r="P28" s="441"/>
    </row>
    <row r="29" spans="1:16" ht="20.100000000000001" customHeight="1" x14ac:dyDescent="0.2">
      <c r="A29" s="951"/>
      <c r="B29" s="33"/>
      <c r="C29" s="63"/>
      <c r="D29" s="17">
        <f t="shared" si="12"/>
        <v>0</v>
      </c>
      <c r="E29" s="18">
        <f t="shared" si="13"/>
        <v>0</v>
      </c>
      <c r="F29" s="19">
        <f t="shared" si="14"/>
        <v>0</v>
      </c>
      <c r="G29" s="20">
        <f t="shared" si="15"/>
        <v>0</v>
      </c>
      <c r="H29" s="21">
        <v>0</v>
      </c>
      <c r="I29" s="18">
        <v>0</v>
      </c>
      <c r="J29" s="19">
        <v>0</v>
      </c>
      <c r="K29" s="20">
        <v>0</v>
      </c>
      <c r="L29" s="21">
        <v>0</v>
      </c>
      <c r="M29" s="18">
        <f t="shared" si="16"/>
        <v>0</v>
      </c>
      <c r="N29" s="19">
        <v>0</v>
      </c>
      <c r="O29" s="20">
        <f t="shared" si="17"/>
        <v>0</v>
      </c>
      <c r="P29" s="441"/>
    </row>
    <row r="30" spans="1:16" s="443" customFormat="1" ht="20.100000000000001" customHeight="1" x14ac:dyDescent="0.2">
      <c r="A30" s="951"/>
      <c r="B30" s="35"/>
      <c r="C30" s="63"/>
      <c r="D30" s="17">
        <f t="shared" si="12"/>
        <v>0</v>
      </c>
      <c r="E30" s="18">
        <f t="shared" si="13"/>
        <v>0</v>
      </c>
      <c r="F30" s="19">
        <f t="shared" si="14"/>
        <v>0</v>
      </c>
      <c r="G30" s="20">
        <f t="shared" si="15"/>
        <v>0</v>
      </c>
      <c r="H30" s="21">
        <v>0</v>
      </c>
      <c r="I30" s="18">
        <v>0</v>
      </c>
      <c r="J30" s="19">
        <v>0</v>
      </c>
      <c r="K30" s="20">
        <v>0</v>
      </c>
      <c r="L30" s="21">
        <v>0</v>
      </c>
      <c r="M30" s="18">
        <f t="shared" si="16"/>
        <v>0</v>
      </c>
      <c r="N30" s="19">
        <v>0</v>
      </c>
      <c r="O30" s="20">
        <f t="shared" si="17"/>
        <v>0</v>
      </c>
      <c r="P30" s="441"/>
    </row>
    <row r="31" spans="1:16" ht="20.100000000000001" customHeight="1" x14ac:dyDescent="0.2">
      <c r="A31" s="951"/>
      <c r="B31" s="33"/>
      <c r="C31" s="63"/>
      <c r="D31" s="17">
        <f t="shared" si="12"/>
        <v>0</v>
      </c>
      <c r="E31" s="18">
        <f t="shared" si="13"/>
        <v>0</v>
      </c>
      <c r="F31" s="19">
        <f t="shared" si="14"/>
        <v>0</v>
      </c>
      <c r="G31" s="20">
        <f t="shared" si="15"/>
        <v>0</v>
      </c>
      <c r="H31" s="21">
        <v>0</v>
      </c>
      <c r="I31" s="18">
        <v>0</v>
      </c>
      <c r="J31" s="19">
        <v>0</v>
      </c>
      <c r="K31" s="20">
        <v>0</v>
      </c>
      <c r="L31" s="21">
        <v>0</v>
      </c>
      <c r="M31" s="18">
        <f t="shared" si="16"/>
        <v>0</v>
      </c>
      <c r="N31" s="19">
        <v>0</v>
      </c>
      <c r="O31" s="20">
        <f t="shared" si="17"/>
        <v>0</v>
      </c>
      <c r="P31" s="441"/>
    </row>
    <row r="32" spans="1:16" ht="20.100000000000001" customHeight="1" x14ac:dyDescent="0.2">
      <c r="A32" s="951"/>
      <c r="B32" s="33"/>
      <c r="C32" s="63"/>
      <c r="D32" s="17">
        <f t="shared" si="12"/>
        <v>0</v>
      </c>
      <c r="E32" s="18">
        <f t="shared" si="13"/>
        <v>0</v>
      </c>
      <c r="F32" s="19">
        <f t="shared" si="14"/>
        <v>0</v>
      </c>
      <c r="G32" s="20">
        <f t="shared" si="15"/>
        <v>0</v>
      </c>
      <c r="H32" s="21">
        <v>0</v>
      </c>
      <c r="I32" s="18">
        <v>0</v>
      </c>
      <c r="J32" s="19">
        <v>0</v>
      </c>
      <c r="K32" s="20">
        <v>0</v>
      </c>
      <c r="L32" s="21">
        <v>0</v>
      </c>
      <c r="M32" s="18">
        <f t="shared" si="16"/>
        <v>0</v>
      </c>
      <c r="N32" s="19">
        <v>0</v>
      </c>
      <c r="O32" s="20">
        <f t="shared" si="17"/>
        <v>0</v>
      </c>
      <c r="P32" s="441"/>
    </row>
    <row r="33" spans="1:17" ht="20.100000000000001" customHeight="1" x14ac:dyDescent="0.2">
      <c r="A33" s="951"/>
      <c r="B33" s="33"/>
      <c r="C33" s="63"/>
      <c r="D33" s="17">
        <f t="shared" si="12"/>
        <v>0</v>
      </c>
      <c r="E33" s="18">
        <f t="shared" si="13"/>
        <v>0</v>
      </c>
      <c r="F33" s="19">
        <f t="shared" si="14"/>
        <v>0</v>
      </c>
      <c r="G33" s="20">
        <f t="shared" si="15"/>
        <v>0</v>
      </c>
      <c r="H33" s="21">
        <v>0</v>
      </c>
      <c r="I33" s="18">
        <v>0</v>
      </c>
      <c r="J33" s="19">
        <v>0</v>
      </c>
      <c r="K33" s="20">
        <v>0</v>
      </c>
      <c r="L33" s="21">
        <v>0</v>
      </c>
      <c r="M33" s="18">
        <f t="shared" si="16"/>
        <v>0</v>
      </c>
      <c r="N33" s="19">
        <v>0</v>
      </c>
      <c r="O33" s="20">
        <f t="shared" si="17"/>
        <v>0</v>
      </c>
      <c r="P33" s="441"/>
    </row>
    <row r="34" spans="1:17" ht="20.100000000000001" customHeight="1" x14ac:dyDescent="0.2">
      <c r="A34" s="951"/>
      <c r="B34" s="33"/>
      <c r="C34" s="63"/>
      <c r="D34" s="17">
        <f t="shared" si="12"/>
        <v>0</v>
      </c>
      <c r="E34" s="18">
        <f t="shared" si="13"/>
        <v>0</v>
      </c>
      <c r="F34" s="19">
        <f t="shared" si="14"/>
        <v>0</v>
      </c>
      <c r="G34" s="20">
        <f t="shared" si="15"/>
        <v>0</v>
      </c>
      <c r="H34" s="21">
        <v>0</v>
      </c>
      <c r="I34" s="18">
        <v>0</v>
      </c>
      <c r="J34" s="19">
        <v>0</v>
      </c>
      <c r="K34" s="20">
        <v>0</v>
      </c>
      <c r="L34" s="21">
        <v>0</v>
      </c>
      <c r="M34" s="18">
        <f t="shared" si="16"/>
        <v>0</v>
      </c>
      <c r="N34" s="19">
        <v>0</v>
      </c>
      <c r="O34" s="20">
        <f t="shared" si="17"/>
        <v>0</v>
      </c>
      <c r="P34" s="441"/>
    </row>
    <row r="35" spans="1:17" ht="20.100000000000001" customHeight="1" x14ac:dyDescent="0.2">
      <c r="A35" s="951"/>
      <c r="B35" s="33"/>
      <c r="C35" s="63"/>
      <c r="D35" s="17">
        <f t="shared" si="12"/>
        <v>0</v>
      </c>
      <c r="E35" s="18">
        <f t="shared" si="13"/>
        <v>0</v>
      </c>
      <c r="F35" s="19">
        <f t="shared" si="14"/>
        <v>0</v>
      </c>
      <c r="G35" s="20">
        <f t="shared" si="15"/>
        <v>0</v>
      </c>
      <c r="H35" s="21">
        <v>0</v>
      </c>
      <c r="I35" s="18">
        <v>0</v>
      </c>
      <c r="J35" s="19">
        <v>0</v>
      </c>
      <c r="K35" s="20">
        <v>0</v>
      </c>
      <c r="L35" s="21">
        <v>0</v>
      </c>
      <c r="M35" s="18">
        <f t="shared" si="16"/>
        <v>0</v>
      </c>
      <c r="N35" s="19">
        <v>0</v>
      </c>
      <c r="O35" s="20">
        <f t="shared" si="17"/>
        <v>0</v>
      </c>
      <c r="P35" s="441"/>
    </row>
    <row r="36" spans="1:17" ht="20.100000000000001" customHeight="1" x14ac:dyDescent="0.2">
      <c r="A36" s="951"/>
      <c r="B36" s="33"/>
      <c r="C36" s="63"/>
      <c r="D36" s="17">
        <f t="shared" si="12"/>
        <v>0</v>
      </c>
      <c r="E36" s="18">
        <f t="shared" si="13"/>
        <v>0</v>
      </c>
      <c r="F36" s="19">
        <f t="shared" si="14"/>
        <v>0</v>
      </c>
      <c r="G36" s="20">
        <f t="shared" si="15"/>
        <v>0</v>
      </c>
      <c r="H36" s="21">
        <v>0</v>
      </c>
      <c r="I36" s="18">
        <v>0</v>
      </c>
      <c r="J36" s="19">
        <v>0</v>
      </c>
      <c r="K36" s="20">
        <v>0</v>
      </c>
      <c r="L36" s="21">
        <v>0</v>
      </c>
      <c r="M36" s="18">
        <f t="shared" si="16"/>
        <v>0</v>
      </c>
      <c r="N36" s="19">
        <v>0</v>
      </c>
      <c r="O36" s="20">
        <f t="shared" si="17"/>
        <v>0</v>
      </c>
      <c r="P36" s="441"/>
    </row>
    <row r="37" spans="1:17" ht="20.100000000000001" customHeight="1" x14ac:dyDescent="0.2">
      <c r="A37" s="394"/>
      <c r="B37" s="395" t="s">
        <v>115</v>
      </c>
      <c r="C37" s="396">
        <f>SUM(C27:C36)</f>
        <v>0</v>
      </c>
      <c r="D37" s="397" t="e">
        <f>E37/C37</f>
        <v>#DIV/0!</v>
      </c>
      <c r="E37" s="404">
        <f>SUM(E27:E36)</f>
        <v>0</v>
      </c>
      <c r="F37" s="404">
        <f>SUM(F27:F36)</f>
        <v>0</v>
      </c>
      <c r="G37" s="399">
        <f>E37-F37</f>
        <v>0</v>
      </c>
      <c r="H37" s="397" t="e">
        <f>I37/C37</f>
        <v>#DIV/0!</v>
      </c>
      <c r="I37" s="404">
        <f>SUM(I27:I36)</f>
        <v>0</v>
      </c>
      <c r="J37" s="404">
        <f>SUM(J27:J36)</f>
        <v>0</v>
      </c>
      <c r="K37" s="399">
        <f>I37-J37</f>
        <v>0</v>
      </c>
      <c r="L37" s="397" t="e">
        <f>M37/C37</f>
        <v>#DIV/0!</v>
      </c>
      <c r="M37" s="404">
        <f>SUM(M27:M36)</f>
        <v>0</v>
      </c>
      <c r="N37" s="404">
        <f>SUM(N27:N36)</f>
        <v>0</v>
      </c>
      <c r="O37" s="399">
        <f>M37-N37</f>
        <v>0</v>
      </c>
      <c r="P37" s="441"/>
    </row>
    <row r="38" spans="1:17" s="443" customFormat="1" ht="20.100000000000001" customHeight="1" x14ac:dyDescent="0.2">
      <c r="A38" s="951"/>
      <c r="B38" s="33"/>
      <c r="C38" s="63"/>
      <c r="D38" s="17">
        <f t="shared" ref="D38:D43" si="18">L38+H38</f>
        <v>0</v>
      </c>
      <c r="E38" s="18">
        <f t="shared" ref="E38:E43" si="19">D38*C38</f>
        <v>0</v>
      </c>
      <c r="F38" s="19">
        <f t="shared" ref="F38:F43" si="20">N38+J38</f>
        <v>0</v>
      </c>
      <c r="G38" s="20">
        <f t="shared" ref="G38:G43" si="21">E38-F38</f>
        <v>0</v>
      </c>
      <c r="H38" s="21">
        <v>0</v>
      </c>
      <c r="I38" s="18">
        <v>0</v>
      </c>
      <c r="J38" s="19">
        <v>0</v>
      </c>
      <c r="K38" s="20">
        <v>0</v>
      </c>
      <c r="L38" s="21">
        <v>0</v>
      </c>
      <c r="M38" s="18">
        <f t="shared" ref="M38:M43" si="22">L38*C38</f>
        <v>0</v>
      </c>
      <c r="N38" s="19">
        <v>0</v>
      </c>
      <c r="O38" s="20">
        <f t="shared" ref="O38:O43" si="23">M38-N38</f>
        <v>0</v>
      </c>
      <c r="P38" s="442"/>
      <c r="Q38" s="445"/>
    </row>
    <row r="39" spans="1:17" ht="20.100000000000001" customHeight="1" x14ac:dyDescent="0.2">
      <c r="A39" s="951"/>
      <c r="B39" s="33"/>
      <c r="C39" s="63"/>
      <c r="D39" s="17">
        <f t="shared" si="18"/>
        <v>0</v>
      </c>
      <c r="E39" s="18">
        <f t="shared" si="19"/>
        <v>0</v>
      </c>
      <c r="F39" s="19">
        <f t="shared" si="20"/>
        <v>0</v>
      </c>
      <c r="G39" s="20">
        <f t="shared" si="21"/>
        <v>0</v>
      </c>
      <c r="H39" s="21">
        <v>0</v>
      </c>
      <c r="I39" s="18">
        <v>0</v>
      </c>
      <c r="J39" s="19">
        <v>0</v>
      </c>
      <c r="K39" s="20">
        <v>0</v>
      </c>
      <c r="L39" s="21">
        <v>0</v>
      </c>
      <c r="M39" s="18">
        <f t="shared" si="22"/>
        <v>0</v>
      </c>
      <c r="N39" s="19">
        <v>0</v>
      </c>
      <c r="O39" s="20">
        <f t="shared" si="23"/>
        <v>0</v>
      </c>
      <c r="P39" s="446"/>
    </row>
    <row r="40" spans="1:17" s="441" customFormat="1" ht="20.100000000000001" customHeight="1" x14ac:dyDescent="0.2">
      <c r="A40" s="951"/>
      <c r="B40" s="33"/>
      <c r="C40" s="63"/>
      <c r="D40" s="17">
        <f t="shared" si="18"/>
        <v>0</v>
      </c>
      <c r="E40" s="18">
        <f t="shared" si="19"/>
        <v>0</v>
      </c>
      <c r="F40" s="19">
        <f t="shared" si="20"/>
        <v>0</v>
      </c>
      <c r="G40" s="20">
        <f t="shared" si="21"/>
        <v>0</v>
      </c>
      <c r="H40" s="21">
        <v>0</v>
      </c>
      <c r="I40" s="18">
        <v>0</v>
      </c>
      <c r="J40" s="19">
        <v>0</v>
      </c>
      <c r="K40" s="20">
        <v>0</v>
      </c>
      <c r="L40" s="21">
        <v>0</v>
      </c>
      <c r="M40" s="18">
        <f t="shared" si="22"/>
        <v>0</v>
      </c>
      <c r="N40" s="19">
        <v>0</v>
      </c>
      <c r="O40" s="20">
        <f t="shared" si="23"/>
        <v>0</v>
      </c>
    </row>
    <row r="41" spans="1:17" ht="20.100000000000001" customHeight="1" x14ac:dyDescent="0.2">
      <c r="A41" s="951"/>
      <c r="B41" s="33"/>
      <c r="C41" s="63"/>
      <c r="D41" s="17">
        <f t="shared" si="18"/>
        <v>0</v>
      </c>
      <c r="E41" s="18">
        <f t="shared" si="19"/>
        <v>0</v>
      </c>
      <c r="F41" s="19">
        <f t="shared" si="20"/>
        <v>0</v>
      </c>
      <c r="G41" s="20">
        <f t="shared" si="21"/>
        <v>0</v>
      </c>
      <c r="H41" s="21">
        <v>0</v>
      </c>
      <c r="I41" s="18">
        <v>0</v>
      </c>
      <c r="J41" s="19">
        <v>0</v>
      </c>
      <c r="K41" s="20">
        <v>0</v>
      </c>
      <c r="L41" s="21">
        <v>0</v>
      </c>
      <c r="M41" s="18">
        <f t="shared" si="22"/>
        <v>0</v>
      </c>
      <c r="N41" s="19">
        <v>0</v>
      </c>
      <c r="O41" s="20">
        <f t="shared" si="23"/>
        <v>0</v>
      </c>
    </row>
    <row r="42" spans="1:17" ht="20.100000000000001" customHeight="1" x14ac:dyDescent="0.2">
      <c r="A42" s="951"/>
      <c r="B42" s="33"/>
      <c r="C42" s="63"/>
      <c r="D42" s="17">
        <f t="shared" si="18"/>
        <v>0</v>
      </c>
      <c r="E42" s="18">
        <f t="shared" si="19"/>
        <v>0</v>
      </c>
      <c r="F42" s="19">
        <f t="shared" si="20"/>
        <v>0</v>
      </c>
      <c r="G42" s="20">
        <f t="shared" si="21"/>
        <v>0</v>
      </c>
      <c r="H42" s="21">
        <v>0</v>
      </c>
      <c r="I42" s="18">
        <v>0</v>
      </c>
      <c r="J42" s="19">
        <v>0</v>
      </c>
      <c r="K42" s="20">
        <v>0</v>
      </c>
      <c r="L42" s="21">
        <v>0</v>
      </c>
      <c r="M42" s="18">
        <f t="shared" si="22"/>
        <v>0</v>
      </c>
      <c r="N42" s="19">
        <v>0</v>
      </c>
      <c r="O42" s="20">
        <f t="shared" si="23"/>
        <v>0</v>
      </c>
    </row>
    <row r="43" spans="1:17" ht="20.100000000000001" customHeight="1" x14ac:dyDescent="0.2">
      <c r="A43" s="951"/>
      <c r="B43" s="33"/>
      <c r="C43" s="63"/>
      <c r="D43" s="17">
        <f t="shared" si="18"/>
        <v>0</v>
      </c>
      <c r="E43" s="18">
        <f t="shared" si="19"/>
        <v>0</v>
      </c>
      <c r="F43" s="19">
        <f t="shared" si="20"/>
        <v>0</v>
      </c>
      <c r="G43" s="20">
        <f t="shared" si="21"/>
        <v>0</v>
      </c>
      <c r="H43" s="21">
        <v>0</v>
      </c>
      <c r="I43" s="18">
        <v>0</v>
      </c>
      <c r="J43" s="19">
        <v>0</v>
      </c>
      <c r="K43" s="20">
        <v>0</v>
      </c>
      <c r="L43" s="21">
        <v>0</v>
      </c>
      <c r="M43" s="18">
        <f t="shared" si="22"/>
        <v>0</v>
      </c>
      <c r="N43" s="19">
        <v>0</v>
      </c>
      <c r="O43" s="20">
        <f t="shared" si="23"/>
        <v>0</v>
      </c>
    </row>
    <row r="44" spans="1:17" ht="20.100000000000001" customHeight="1" x14ac:dyDescent="0.2">
      <c r="A44" s="394"/>
      <c r="B44" s="395" t="s">
        <v>116</v>
      </c>
      <c r="C44" s="396">
        <f>SUM(C38:C43)</f>
        <v>0</v>
      </c>
      <c r="D44" s="397" t="e">
        <f>E44/C44</f>
        <v>#DIV/0!</v>
      </c>
      <c r="E44" s="404">
        <f>SUM(E38:E43)</f>
        <v>0</v>
      </c>
      <c r="F44" s="404">
        <f>SUM(F38:F43)</f>
        <v>0</v>
      </c>
      <c r="G44" s="399">
        <f>E44-F44</f>
        <v>0</v>
      </c>
      <c r="H44" s="397" t="e">
        <f>I44/C44</f>
        <v>#DIV/0!</v>
      </c>
      <c r="I44" s="404">
        <f>SUM(I38:I43)</f>
        <v>0</v>
      </c>
      <c r="J44" s="404">
        <f>SUM(J38:J43)</f>
        <v>0</v>
      </c>
      <c r="K44" s="399">
        <f>I44-J44</f>
        <v>0</v>
      </c>
      <c r="L44" s="397" t="e">
        <f>M44/C44</f>
        <v>#DIV/0!</v>
      </c>
      <c r="M44" s="404">
        <f>SUM(M38:M43)</f>
        <v>0</v>
      </c>
      <c r="N44" s="404">
        <f>SUM(N38:N43)</f>
        <v>0</v>
      </c>
      <c r="O44" s="399">
        <f>M44-N44</f>
        <v>0</v>
      </c>
    </row>
    <row r="45" spans="1:17" s="6" customFormat="1" ht="20.100000000000001" customHeight="1" x14ac:dyDescent="0.2">
      <c r="A45" s="951"/>
      <c r="B45" s="33"/>
      <c r="C45" s="63"/>
      <c r="D45" s="17">
        <f t="shared" ref="D45:D51" si="24">L45+H45</f>
        <v>0</v>
      </c>
      <c r="E45" s="18">
        <f t="shared" ref="E45:E51" si="25">D45*C45</f>
        <v>0</v>
      </c>
      <c r="F45" s="19">
        <f t="shared" ref="F45:F51" si="26">N45+J45</f>
        <v>0</v>
      </c>
      <c r="G45" s="20">
        <f t="shared" ref="G45:G51" si="27">E45-F45</f>
        <v>0</v>
      </c>
      <c r="H45" s="21">
        <v>0</v>
      </c>
      <c r="I45" s="18">
        <v>0</v>
      </c>
      <c r="J45" s="19">
        <v>0</v>
      </c>
      <c r="K45" s="20">
        <v>0</v>
      </c>
      <c r="L45" s="21">
        <v>0</v>
      </c>
      <c r="M45" s="18">
        <f t="shared" ref="M45:M51" si="28">L45*C45</f>
        <v>0</v>
      </c>
      <c r="N45" s="19">
        <v>0</v>
      </c>
      <c r="O45" s="20">
        <f t="shared" ref="O45:O51" si="29">M45-N45</f>
        <v>0</v>
      </c>
    </row>
    <row r="46" spans="1:17" s="6" customFormat="1" ht="20.100000000000001" customHeight="1" x14ac:dyDescent="0.2">
      <c r="A46" s="951"/>
      <c r="B46" s="33"/>
      <c r="C46" s="63"/>
      <c r="D46" s="17">
        <f t="shared" si="24"/>
        <v>0</v>
      </c>
      <c r="E46" s="18">
        <f t="shared" si="25"/>
        <v>0</v>
      </c>
      <c r="F46" s="19">
        <f t="shared" si="26"/>
        <v>0</v>
      </c>
      <c r="G46" s="20">
        <f t="shared" si="27"/>
        <v>0</v>
      </c>
      <c r="H46" s="21">
        <v>0</v>
      </c>
      <c r="I46" s="18">
        <v>0</v>
      </c>
      <c r="J46" s="19">
        <v>0</v>
      </c>
      <c r="K46" s="20">
        <v>0</v>
      </c>
      <c r="L46" s="21">
        <v>0</v>
      </c>
      <c r="M46" s="18">
        <f t="shared" si="28"/>
        <v>0</v>
      </c>
      <c r="N46" s="19">
        <v>0</v>
      </c>
      <c r="O46" s="20">
        <f t="shared" si="29"/>
        <v>0</v>
      </c>
    </row>
    <row r="47" spans="1:17" s="447" customFormat="1" ht="20.100000000000001" customHeight="1" x14ac:dyDescent="0.2">
      <c r="A47" s="951"/>
      <c r="B47" s="33"/>
      <c r="C47" s="63"/>
      <c r="D47" s="17">
        <f t="shared" si="24"/>
        <v>0</v>
      </c>
      <c r="E47" s="18">
        <f t="shared" si="25"/>
        <v>0</v>
      </c>
      <c r="F47" s="19">
        <f t="shared" si="26"/>
        <v>0</v>
      </c>
      <c r="G47" s="20">
        <f t="shared" si="27"/>
        <v>0</v>
      </c>
      <c r="H47" s="21">
        <v>0</v>
      </c>
      <c r="I47" s="18">
        <v>0</v>
      </c>
      <c r="J47" s="19">
        <v>0</v>
      </c>
      <c r="K47" s="20">
        <v>0</v>
      </c>
      <c r="L47" s="21">
        <v>0</v>
      </c>
      <c r="M47" s="18">
        <f t="shared" si="28"/>
        <v>0</v>
      </c>
      <c r="N47" s="19">
        <v>0</v>
      </c>
      <c r="O47" s="20">
        <f t="shared" si="29"/>
        <v>0</v>
      </c>
    </row>
    <row r="48" spans="1:17" ht="20.100000000000001" customHeight="1" x14ac:dyDescent="0.2">
      <c r="A48" s="951"/>
      <c r="B48" s="33"/>
      <c r="C48" s="63"/>
      <c r="D48" s="17">
        <f t="shared" si="24"/>
        <v>0</v>
      </c>
      <c r="E48" s="18">
        <f t="shared" si="25"/>
        <v>0</v>
      </c>
      <c r="F48" s="19">
        <f t="shared" si="26"/>
        <v>0</v>
      </c>
      <c r="G48" s="20">
        <f t="shared" si="27"/>
        <v>0</v>
      </c>
      <c r="H48" s="21">
        <v>0</v>
      </c>
      <c r="I48" s="18">
        <v>0</v>
      </c>
      <c r="J48" s="19">
        <v>0</v>
      </c>
      <c r="K48" s="20">
        <v>0</v>
      </c>
      <c r="L48" s="21">
        <v>0</v>
      </c>
      <c r="M48" s="18">
        <f t="shared" si="28"/>
        <v>0</v>
      </c>
      <c r="N48" s="19">
        <v>0</v>
      </c>
      <c r="O48" s="20">
        <f t="shared" si="29"/>
        <v>0</v>
      </c>
    </row>
    <row r="49" spans="1:15" ht="20.100000000000001" customHeight="1" x14ac:dyDescent="0.2">
      <c r="A49" s="951"/>
      <c r="B49" s="33"/>
      <c r="C49" s="63"/>
      <c r="D49" s="17">
        <f t="shared" si="24"/>
        <v>0</v>
      </c>
      <c r="E49" s="18">
        <f t="shared" si="25"/>
        <v>0</v>
      </c>
      <c r="F49" s="19">
        <f t="shared" si="26"/>
        <v>0</v>
      </c>
      <c r="G49" s="20">
        <f t="shared" si="27"/>
        <v>0</v>
      </c>
      <c r="H49" s="21">
        <v>0</v>
      </c>
      <c r="I49" s="18">
        <v>0</v>
      </c>
      <c r="J49" s="19">
        <v>0</v>
      </c>
      <c r="K49" s="20">
        <v>0</v>
      </c>
      <c r="L49" s="21">
        <v>0</v>
      </c>
      <c r="M49" s="18">
        <f t="shared" si="28"/>
        <v>0</v>
      </c>
      <c r="N49" s="19">
        <v>0</v>
      </c>
      <c r="O49" s="20">
        <f t="shared" si="29"/>
        <v>0</v>
      </c>
    </row>
    <row r="50" spans="1:15" ht="20.100000000000001" customHeight="1" x14ac:dyDescent="0.2">
      <c r="A50" s="951"/>
      <c r="B50" s="33"/>
      <c r="C50" s="63"/>
      <c r="D50" s="17">
        <f t="shared" si="24"/>
        <v>0</v>
      </c>
      <c r="E50" s="18">
        <f t="shared" si="25"/>
        <v>0</v>
      </c>
      <c r="F50" s="19">
        <f t="shared" si="26"/>
        <v>0</v>
      </c>
      <c r="G50" s="20">
        <f t="shared" si="27"/>
        <v>0</v>
      </c>
      <c r="H50" s="21">
        <v>0</v>
      </c>
      <c r="I50" s="18">
        <v>0</v>
      </c>
      <c r="J50" s="19">
        <v>0</v>
      </c>
      <c r="K50" s="20">
        <v>0</v>
      </c>
      <c r="L50" s="21">
        <v>0</v>
      </c>
      <c r="M50" s="18">
        <f t="shared" si="28"/>
        <v>0</v>
      </c>
      <c r="N50" s="19">
        <v>0</v>
      </c>
      <c r="O50" s="20">
        <f t="shared" si="29"/>
        <v>0</v>
      </c>
    </row>
    <row r="51" spans="1:15" ht="20.100000000000001" customHeight="1" x14ac:dyDescent="0.2">
      <c r="A51" s="951"/>
      <c r="B51" s="33"/>
      <c r="C51" s="63"/>
      <c r="D51" s="17">
        <f t="shared" si="24"/>
        <v>0</v>
      </c>
      <c r="E51" s="18">
        <f t="shared" si="25"/>
        <v>0</v>
      </c>
      <c r="F51" s="19">
        <f t="shared" si="26"/>
        <v>0</v>
      </c>
      <c r="G51" s="20">
        <f t="shared" si="27"/>
        <v>0</v>
      </c>
      <c r="H51" s="21">
        <v>0</v>
      </c>
      <c r="I51" s="18">
        <v>0</v>
      </c>
      <c r="J51" s="19">
        <v>0</v>
      </c>
      <c r="K51" s="20">
        <v>0</v>
      </c>
      <c r="L51" s="21">
        <v>0</v>
      </c>
      <c r="M51" s="18">
        <f t="shared" si="28"/>
        <v>0</v>
      </c>
      <c r="N51" s="19">
        <v>0</v>
      </c>
      <c r="O51" s="20">
        <f t="shared" si="29"/>
        <v>0</v>
      </c>
    </row>
    <row r="52" spans="1:15" ht="20.100000000000001" customHeight="1" x14ac:dyDescent="0.2">
      <c r="A52" s="394"/>
      <c r="B52" s="395" t="s">
        <v>117</v>
      </c>
      <c r="C52" s="396">
        <f>SUM(C45:C51)</f>
        <v>0</v>
      </c>
      <c r="D52" s="397" t="e">
        <f>E52/C52</f>
        <v>#DIV/0!</v>
      </c>
      <c r="E52" s="404">
        <f>SUM(E45:E51)</f>
        <v>0</v>
      </c>
      <c r="F52" s="404">
        <f>SUM(F45:F51)</f>
        <v>0</v>
      </c>
      <c r="G52" s="399">
        <f>E52-F52</f>
        <v>0</v>
      </c>
      <c r="H52" s="397" t="e">
        <f>I52/C52</f>
        <v>#DIV/0!</v>
      </c>
      <c r="I52" s="404">
        <f>SUM(I45:I51)</f>
        <v>0</v>
      </c>
      <c r="J52" s="404">
        <f>SUM(J45:J51)</f>
        <v>0</v>
      </c>
      <c r="K52" s="399">
        <f>I52-J52</f>
        <v>0</v>
      </c>
      <c r="L52" s="397" t="e">
        <f>M52/C52</f>
        <v>#DIV/0!</v>
      </c>
      <c r="M52" s="404">
        <f>SUM(M45:M51)</f>
        <v>0</v>
      </c>
      <c r="N52" s="404">
        <f>SUM(N45:N51)</f>
        <v>0</v>
      </c>
      <c r="O52" s="399">
        <f>M52-N52</f>
        <v>0</v>
      </c>
    </row>
    <row r="53" spans="1:15" ht="20.100000000000001" customHeight="1" x14ac:dyDescent="0.2">
      <c r="A53" s="36"/>
      <c r="B53" s="32"/>
      <c r="C53" s="64"/>
      <c r="D53" s="37"/>
      <c r="E53" s="38"/>
      <c r="F53" s="38"/>
      <c r="G53" s="39"/>
      <c r="H53" s="40"/>
      <c r="I53" s="38"/>
      <c r="J53" s="38"/>
      <c r="K53" s="39"/>
      <c r="L53" s="40"/>
      <c r="M53" s="38"/>
      <c r="N53" s="38"/>
      <c r="O53" s="39"/>
    </row>
    <row r="54" spans="1:15" ht="20.100000000000001" customHeight="1" x14ac:dyDescent="0.2">
      <c r="A54" s="937" t="s">
        <v>4</v>
      </c>
      <c r="B54" s="938" t="s">
        <v>5</v>
      </c>
      <c r="C54" s="941" t="s">
        <v>76</v>
      </c>
      <c r="D54" s="944" t="s">
        <v>6</v>
      </c>
      <c r="E54" s="919"/>
      <c r="F54" s="919"/>
      <c r="G54" s="920"/>
      <c r="H54" s="944" t="s">
        <v>6</v>
      </c>
      <c r="I54" s="919"/>
      <c r="J54" s="919"/>
      <c r="K54" s="920"/>
      <c r="L54" s="944" t="s">
        <v>6</v>
      </c>
      <c r="M54" s="919"/>
      <c r="N54" s="919"/>
      <c r="O54" s="920"/>
    </row>
    <row r="55" spans="1:15" ht="20.100000000000001" customHeight="1" x14ac:dyDescent="0.2">
      <c r="A55" s="937"/>
      <c r="B55" s="939"/>
      <c r="C55" s="942"/>
      <c r="D55" s="921" t="s">
        <v>9</v>
      </c>
      <c r="E55" s="922"/>
      <c r="F55" s="922"/>
      <c r="G55" s="923"/>
      <c r="H55" s="921" t="s">
        <v>77</v>
      </c>
      <c r="I55" s="922"/>
      <c r="J55" s="922"/>
      <c r="K55" s="923"/>
      <c r="L55" s="921" t="s">
        <v>10</v>
      </c>
      <c r="M55" s="922"/>
      <c r="N55" s="922"/>
      <c r="O55" s="923"/>
    </row>
    <row r="56" spans="1:15" ht="34.5" customHeight="1" x14ac:dyDescent="0.2">
      <c r="A56" s="937"/>
      <c r="B56" s="940"/>
      <c r="C56" s="943"/>
      <c r="D56" s="423" t="s">
        <v>17</v>
      </c>
      <c r="E56" s="424" t="s">
        <v>108</v>
      </c>
      <c r="F56" s="424" t="s">
        <v>107</v>
      </c>
      <c r="G56" s="425" t="s">
        <v>12</v>
      </c>
      <c r="H56" s="426" t="s">
        <v>17</v>
      </c>
      <c r="I56" s="424" t="s">
        <v>108</v>
      </c>
      <c r="J56" s="424" t="s">
        <v>107</v>
      </c>
      <c r="K56" s="425" t="s">
        <v>12</v>
      </c>
      <c r="L56" s="426" t="s">
        <v>17</v>
      </c>
      <c r="M56" s="424" t="s">
        <v>108</v>
      </c>
      <c r="N56" s="424" t="s">
        <v>107</v>
      </c>
      <c r="O56" s="425" t="s">
        <v>12</v>
      </c>
    </row>
    <row r="57" spans="1:15" ht="20.100000000000001" customHeight="1" x14ac:dyDescent="0.2">
      <c r="A57" s="429"/>
      <c r="B57" s="468" t="s">
        <v>0</v>
      </c>
      <c r="C57" s="431">
        <f>+SUM(C6:C52)/2</f>
        <v>0</v>
      </c>
      <c r="D57" s="432" t="e">
        <f>E57/C57</f>
        <v>#DIV/0!</v>
      </c>
      <c r="E57" s="431">
        <f>+SUM(E6:E52)/2</f>
        <v>0</v>
      </c>
      <c r="F57" s="431">
        <f>+SUM(F6:F52)/2</f>
        <v>0</v>
      </c>
      <c r="G57" s="431">
        <f>+SUM(G6:G52)/2</f>
        <v>0</v>
      </c>
      <c r="H57" s="432" t="e">
        <f>I57/C57</f>
        <v>#DIV/0!</v>
      </c>
      <c r="I57" s="431">
        <f>+SUM(I6:I52)/2</f>
        <v>0</v>
      </c>
      <c r="J57" s="431">
        <f>+SUM(J6:J52)/2</f>
        <v>0</v>
      </c>
      <c r="K57" s="431">
        <f>+SUM(K6:K52)/2</f>
        <v>0</v>
      </c>
      <c r="L57" s="432" t="e">
        <f>M57/C57</f>
        <v>#DIV/0!</v>
      </c>
      <c r="M57" s="431">
        <f>+SUM(M6:M52)/2</f>
        <v>0</v>
      </c>
      <c r="N57" s="431">
        <f>+SUM(N6:N52)/2</f>
        <v>0</v>
      </c>
      <c r="O57" s="431">
        <f>+SUM(O6:O52)/2</f>
        <v>0</v>
      </c>
    </row>
    <row r="58" spans="1:15" ht="20.100000000000001" customHeight="1" x14ac:dyDescent="0.2"/>
    <row r="59" spans="1:15" ht="20.100000000000001" customHeight="1" x14ac:dyDescent="0.2">
      <c r="B59" s="469" t="s">
        <v>585</v>
      </c>
      <c r="C59" s="470">
        <f>+C57-G57</f>
        <v>0</v>
      </c>
    </row>
    <row r="60" spans="1:15" ht="20.100000000000001" customHeight="1" x14ac:dyDescent="0.2"/>
    <row r="61" spans="1:15" ht="20.100000000000001" customHeight="1" x14ac:dyDescent="0.2">
      <c r="A61" s="973" t="s">
        <v>125</v>
      </c>
      <c r="B61" s="973"/>
      <c r="C61" s="435"/>
    </row>
  </sheetData>
  <sheetProtection formatCells="0" formatColumns="0" formatRows="0" insertColumns="0" insertRows="0" insertHyperlinks="0" deleteColumns="0" deleteRows="0" sort="0" autoFilter="0" pivotTables="0"/>
  <mergeCells count="25">
    <mergeCell ref="A61:B61"/>
    <mergeCell ref="C54:C56"/>
    <mergeCell ref="D54:G54"/>
    <mergeCell ref="H54:K54"/>
    <mergeCell ref="L54:O54"/>
    <mergeCell ref="D55:G55"/>
    <mergeCell ref="H55:K55"/>
    <mergeCell ref="L55:O55"/>
    <mergeCell ref="A54:A56"/>
    <mergeCell ref="B54:B56"/>
    <mergeCell ref="A1:M1"/>
    <mergeCell ref="A3:A5"/>
    <mergeCell ref="B3:B5"/>
    <mergeCell ref="C3:C5"/>
    <mergeCell ref="D3:G3"/>
    <mergeCell ref="H3:K3"/>
    <mergeCell ref="L3:O3"/>
    <mergeCell ref="D4:G4"/>
    <mergeCell ref="H4:K4"/>
    <mergeCell ref="L4:O4"/>
    <mergeCell ref="A8:A13"/>
    <mergeCell ref="A15:A25"/>
    <mergeCell ref="A27:A36"/>
    <mergeCell ref="A38:A43"/>
    <mergeCell ref="A45:A51"/>
  </mergeCells>
  <printOptions horizontalCentered="1" verticalCentered="1"/>
  <pageMargins left="0" right="0" top="0.39370078740157483" bottom="0.39370078740157483" header="0" footer="0"/>
  <pageSetup paperSize="8" scale="72" orientation="portrait" r:id="rId1"/>
  <headerFooter alignWithMargins="0">
    <oddHeader>&amp;R&amp;T;&amp;D</oddHeader>
    <oddFooter>&amp;L&amp;Z&amp;F&amp;R&amp;P/&amp;N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9">
    <tabColor rgb="FF7030A0"/>
    <pageSetUpPr fitToPage="1"/>
  </sheetPr>
  <dimension ref="A1:AB51"/>
  <sheetViews>
    <sheetView topLeftCell="A2" zoomScale="85" zoomScaleNormal="85" workbookViewId="0">
      <selection activeCell="E14" sqref="E14"/>
    </sheetView>
  </sheetViews>
  <sheetFormatPr baseColWidth="10" defaultColWidth="11.42578125" defaultRowHeight="15" x14ac:dyDescent="0.2"/>
  <cols>
    <col min="1" max="1" width="13.7109375" style="7" customWidth="1"/>
    <col min="2" max="2" width="8.5703125" style="7" bestFit="1" customWidth="1"/>
    <col min="3" max="6" width="13.7109375" style="7" customWidth="1"/>
    <col min="7" max="7" width="23.7109375" style="86" bestFit="1" customWidth="1"/>
    <col min="8" max="8" width="3.28515625" style="7" customWidth="1"/>
    <col min="9" max="9" width="13.7109375" style="7" customWidth="1"/>
    <col min="10" max="10" width="8.5703125" style="7" bestFit="1" customWidth="1"/>
    <col min="11" max="14" width="13.7109375" style="7" customWidth="1"/>
    <col min="15" max="15" width="33.85546875" style="7" bestFit="1" customWidth="1"/>
    <col min="16" max="16384" width="11.42578125" style="7"/>
  </cols>
  <sheetData>
    <row r="1" spans="1:28" s="8" customFormat="1" ht="25.15" customHeight="1" thickBot="1" x14ac:dyDescent="0.25">
      <c r="A1" s="841" t="s">
        <v>111</v>
      </c>
      <c r="B1" s="842"/>
      <c r="C1" s="842"/>
      <c r="D1" s="842"/>
      <c r="E1" s="842"/>
      <c r="F1" s="842"/>
      <c r="G1" s="843"/>
      <c r="H1" s="71"/>
      <c r="I1" s="841" t="s">
        <v>112</v>
      </c>
      <c r="J1" s="842"/>
      <c r="K1" s="842"/>
      <c r="L1" s="842"/>
      <c r="M1" s="842"/>
      <c r="N1" s="842"/>
      <c r="O1" s="843"/>
    </row>
    <row r="2" spans="1:28" s="8" customFormat="1" ht="25.15" customHeight="1" x14ac:dyDescent="0.2">
      <c r="G2" s="75"/>
      <c r="O2" s="75"/>
    </row>
    <row r="3" spans="1:28" s="8" customFormat="1" ht="25.15" customHeight="1" x14ac:dyDescent="0.2">
      <c r="A3" s="955" t="s">
        <v>126</v>
      </c>
      <c r="B3" s="956"/>
      <c r="C3" s="56" t="s">
        <v>60</v>
      </c>
      <c r="D3" s="57">
        <v>45504</v>
      </c>
      <c r="E3" s="58"/>
      <c r="F3" s="59" t="s">
        <v>61</v>
      </c>
      <c r="G3" s="76" t="s">
        <v>989</v>
      </c>
      <c r="I3" s="955" t="s">
        <v>127</v>
      </c>
      <c r="J3" s="956"/>
      <c r="K3" s="56" t="s">
        <v>60</v>
      </c>
      <c r="L3" s="57"/>
      <c r="M3" s="58"/>
      <c r="N3" s="59" t="s">
        <v>61</v>
      </c>
      <c r="O3" s="76"/>
    </row>
    <row r="4" spans="1:28" s="8" customFormat="1" ht="25.15" customHeight="1" x14ac:dyDescent="0.2">
      <c r="G4" s="75"/>
      <c r="O4" s="75"/>
    </row>
    <row r="5" spans="1:28" s="77" customFormat="1" ht="25.15" customHeight="1" x14ac:dyDescent="0.2">
      <c r="A5" s="451" t="s">
        <v>62</v>
      </c>
      <c r="B5" s="961" t="s">
        <v>72</v>
      </c>
      <c r="C5" s="959" t="s">
        <v>991</v>
      </c>
      <c r="D5" s="960"/>
      <c r="E5" s="451" t="s">
        <v>63</v>
      </c>
      <c r="F5" s="452" t="s">
        <v>64</v>
      </c>
      <c r="G5" s="957" t="s">
        <v>65</v>
      </c>
      <c r="I5" s="451" t="s">
        <v>62</v>
      </c>
      <c r="J5" s="961" t="s">
        <v>72</v>
      </c>
      <c r="K5" s="959" t="s">
        <v>992</v>
      </c>
      <c r="L5" s="960"/>
      <c r="M5" s="451" t="s">
        <v>63</v>
      </c>
      <c r="N5" s="452" t="s">
        <v>64</v>
      </c>
      <c r="O5" s="957" t="s">
        <v>65</v>
      </c>
      <c r="Q5" s="8"/>
      <c r="R5" s="8"/>
      <c r="S5" s="8"/>
      <c r="T5" s="8"/>
      <c r="U5" s="8"/>
    </row>
    <row r="6" spans="1:28" s="77" customFormat="1" ht="25.15" customHeight="1" x14ac:dyDescent="0.2">
      <c r="A6" s="453" t="s">
        <v>66</v>
      </c>
      <c r="B6" s="962"/>
      <c r="C6" s="454" t="s">
        <v>10</v>
      </c>
      <c r="D6" s="455" t="s">
        <v>16</v>
      </c>
      <c r="E6" s="453" t="s">
        <v>67</v>
      </c>
      <c r="F6" s="456" t="s">
        <v>67</v>
      </c>
      <c r="G6" s="958"/>
      <c r="I6" s="453" t="s">
        <v>66</v>
      </c>
      <c r="J6" s="962"/>
      <c r="K6" s="454" t="s">
        <v>10</v>
      </c>
      <c r="L6" s="455" t="s">
        <v>16</v>
      </c>
      <c r="M6" s="453" t="s">
        <v>67</v>
      </c>
      <c r="N6" s="456" t="s">
        <v>67</v>
      </c>
      <c r="O6" s="95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78">
        <v>2407707</v>
      </c>
      <c r="B7" s="83">
        <v>45504</v>
      </c>
      <c r="C7" s="80">
        <v>0.61</v>
      </c>
      <c r="D7" s="4">
        <f>+C7</f>
        <v>0.61</v>
      </c>
      <c r="E7" s="766">
        <v>659.63</v>
      </c>
      <c r="F7" s="539">
        <f t="shared" ref="F7:F14" si="0">E7/C7</f>
        <v>1081.360655737705</v>
      </c>
      <c r="G7" s="84" t="s">
        <v>993</v>
      </c>
      <c r="I7" s="78">
        <v>2407707</v>
      </c>
      <c r="J7" s="83">
        <v>45504</v>
      </c>
      <c r="K7" s="80">
        <v>1.605</v>
      </c>
      <c r="L7" s="4">
        <f>+K7</f>
        <v>1.605</v>
      </c>
      <c r="M7" s="766">
        <v>1444.26</v>
      </c>
      <c r="N7" s="539">
        <f t="shared" ref="N7:N16" si="1">M7/K7</f>
        <v>899.85046728971963</v>
      </c>
      <c r="O7" s="84" t="s">
        <v>990</v>
      </c>
    </row>
    <row r="8" spans="1:28" x14ac:dyDescent="0.2">
      <c r="A8" s="82">
        <v>2408168</v>
      </c>
      <c r="B8" s="83">
        <v>45505</v>
      </c>
      <c r="C8" s="3">
        <f>0.83272+0.63014+0.687+0.17513</f>
        <v>2.3249900000000006</v>
      </c>
      <c r="D8" s="5">
        <f>+C7+C8</f>
        <v>2.9349900000000004</v>
      </c>
      <c r="E8" s="766">
        <v>2671.52</v>
      </c>
      <c r="F8" s="540">
        <f t="shared" si="0"/>
        <v>1149.0458023475367</v>
      </c>
      <c r="G8" s="84" t="s">
        <v>993</v>
      </c>
      <c r="I8" s="82" t="s">
        <v>1032</v>
      </c>
      <c r="J8" s="83">
        <v>45566</v>
      </c>
      <c r="K8" s="3">
        <v>11.968999999999999</v>
      </c>
      <c r="L8" s="5">
        <f>+K7+K8</f>
        <v>13.574</v>
      </c>
      <c r="M8" s="766">
        <v>9309</v>
      </c>
      <c r="N8" s="540">
        <f>M8/K8</f>
        <v>777.75921129584765</v>
      </c>
      <c r="O8" s="84"/>
    </row>
    <row r="9" spans="1:28" x14ac:dyDescent="0.2">
      <c r="A9" s="82">
        <v>2409375</v>
      </c>
      <c r="B9" s="83">
        <v>45536</v>
      </c>
      <c r="C9" s="3">
        <f>0.81557+0.77266+0.66182+0.68531+0.03624+0.04519+0.07972+0.05861</f>
        <v>3.1551199999999993</v>
      </c>
      <c r="D9" s="5">
        <f>+D8+C9</f>
        <v>6.0901099999999992</v>
      </c>
      <c r="E9" s="792">
        <v>3381.25</v>
      </c>
      <c r="F9" s="540">
        <f t="shared" si="0"/>
        <v>1071.6708080833696</v>
      </c>
      <c r="G9" s="84" t="s">
        <v>1023</v>
      </c>
      <c r="I9" s="82"/>
      <c r="J9" s="83"/>
      <c r="K9" s="3"/>
      <c r="L9" s="5">
        <f>+L8+K9</f>
        <v>13.574</v>
      </c>
      <c r="M9" s="538"/>
      <c r="N9" s="540" t="e">
        <f t="shared" si="1"/>
        <v>#DIV/0!</v>
      </c>
      <c r="O9" s="84"/>
    </row>
    <row r="10" spans="1:28" x14ac:dyDescent="0.2">
      <c r="A10" s="82" t="s">
        <v>1031</v>
      </c>
      <c r="B10" s="83">
        <v>45597</v>
      </c>
      <c r="C10" s="3"/>
      <c r="D10" s="5">
        <f t="shared" ref="D10:D26" si="2">+D9+C10</f>
        <v>6.0901099999999992</v>
      </c>
      <c r="E10" s="538">
        <v>611.79</v>
      </c>
      <c r="F10" s="540" t="e">
        <f t="shared" si="0"/>
        <v>#DIV/0!</v>
      </c>
      <c r="G10" s="84"/>
      <c r="I10" s="82"/>
      <c r="J10" s="83"/>
      <c r="K10" s="3"/>
      <c r="L10" s="5">
        <f t="shared" ref="L10:L26" si="3">+L9+K10</f>
        <v>13.574</v>
      </c>
      <c r="M10" s="538"/>
      <c r="N10" s="540" t="e">
        <f t="shared" si="1"/>
        <v>#DIV/0!</v>
      </c>
      <c r="O10" s="84"/>
    </row>
    <row r="11" spans="1:28" x14ac:dyDescent="0.2">
      <c r="A11" s="82">
        <v>2410276</v>
      </c>
      <c r="B11" s="83">
        <v>45566</v>
      </c>
      <c r="C11" s="3">
        <f>0.5789+0.01233+0.65397+0.6477+0.55766+0.56866+0.90074+0.23963+0.15304+0.1749+0.1749025918+0.27646+0.28511+0.00804+0.48613</f>
        <v>5.7181725918000001</v>
      </c>
      <c r="D11" s="5">
        <f t="shared" si="2"/>
        <v>11.808282591799999</v>
      </c>
      <c r="E11" s="766">
        <v>6994.81</v>
      </c>
      <c r="F11" s="540">
        <f t="shared" si="0"/>
        <v>1223.2596844017492</v>
      </c>
      <c r="G11" s="84" t="s">
        <v>1023</v>
      </c>
      <c r="I11" s="82"/>
      <c r="J11" s="83"/>
      <c r="K11" s="3"/>
      <c r="L11" s="5">
        <f t="shared" si="3"/>
        <v>13.574</v>
      </c>
      <c r="M11" s="538"/>
      <c r="N11" s="540" t="e">
        <f t="shared" si="1"/>
        <v>#DIV/0!</v>
      </c>
      <c r="O11" s="84"/>
      <c r="Q11" s="780"/>
    </row>
    <row r="12" spans="1:28" x14ac:dyDescent="0.2">
      <c r="A12" s="82">
        <v>2411356</v>
      </c>
      <c r="B12" s="83">
        <v>45597</v>
      </c>
      <c r="C12" s="3">
        <v>3.88</v>
      </c>
      <c r="D12" s="5">
        <f t="shared" si="2"/>
        <v>15.6882825918</v>
      </c>
      <c r="E12" s="766">
        <v>3149.21</v>
      </c>
      <c r="F12" s="540">
        <f t="shared" si="0"/>
        <v>811.65206185567013</v>
      </c>
      <c r="G12" s="84" t="s">
        <v>1044</v>
      </c>
      <c r="I12" s="82"/>
      <c r="J12" s="83"/>
      <c r="K12" s="3"/>
      <c r="L12" s="5">
        <f t="shared" si="3"/>
        <v>13.574</v>
      </c>
      <c r="M12" s="538"/>
      <c r="N12" s="540" t="e">
        <f t="shared" si="1"/>
        <v>#DIV/0!</v>
      </c>
      <c r="O12" s="84"/>
    </row>
    <row r="13" spans="1:28" x14ac:dyDescent="0.2">
      <c r="A13" s="82">
        <v>2411357</v>
      </c>
      <c r="B13" s="83">
        <v>45597</v>
      </c>
      <c r="C13" s="3">
        <v>2.68</v>
      </c>
      <c r="D13" s="5">
        <f t="shared" si="2"/>
        <v>18.3682825918</v>
      </c>
      <c r="E13" s="766">
        <v>3146.37</v>
      </c>
      <c r="F13" s="540">
        <f t="shared" si="0"/>
        <v>1174.0186567164178</v>
      </c>
      <c r="G13" s="84" t="s">
        <v>1045</v>
      </c>
      <c r="I13" s="82"/>
      <c r="J13" s="83"/>
      <c r="K13" s="3"/>
      <c r="L13" s="5">
        <f t="shared" si="3"/>
        <v>13.574</v>
      </c>
      <c r="M13" s="538"/>
      <c r="N13" s="540" t="e">
        <f t="shared" si="1"/>
        <v>#DIV/0!</v>
      </c>
      <c r="O13" s="84"/>
    </row>
    <row r="14" spans="1:28" x14ac:dyDescent="0.2">
      <c r="A14" s="82" t="s">
        <v>1031</v>
      </c>
      <c r="B14" s="83" t="s">
        <v>1063</v>
      </c>
      <c r="C14" s="3"/>
      <c r="D14" s="5">
        <f t="shared" si="2"/>
        <v>18.3682825918</v>
      </c>
      <c r="E14" s="538">
        <v>49.56</v>
      </c>
      <c r="F14" s="540" t="e">
        <f t="shared" si="0"/>
        <v>#DIV/0!</v>
      </c>
      <c r="G14" s="84"/>
      <c r="I14" s="82"/>
      <c r="J14" s="83"/>
      <c r="K14" s="3"/>
      <c r="L14" s="5">
        <f t="shared" si="3"/>
        <v>13.574</v>
      </c>
      <c r="M14" s="538"/>
      <c r="N14" s="540" t="e">
        <f t="shared" si="1"/>
        <v>#DIV/0!</v>
      </c>
      <c r="O14" s="84"/>
    </row>
    <row r="15" spans="1:28" x14ac:dyDescent="0.2">
      <c r="A15" s="82"/>
      <c r="B15" s="83"/>
      <c r="C15" s="3"/>
      <c r="D15" s="5">
        <f t="shared" si="2"/>
        <v>18.3682825918</v>
      </c>
      <c r="F15" s="540" t="e">
        <f>E16/C15</f>
        <v>#DIV/0!</v>
      </c>
      <c r="G15" s="84"/>
      <c r="I15" s="82"/>
      <c r="J15" s="83"/>
      <c r="K15" s="3"/>
      <c r="L15" s="5">
        <f t="shared" si="3"/>
        <v>13.574</v>
      </c>
      <c r="M15" s="538"/>
      <c r="N15" s="540" t="e">
        <f t="shared" si="1"/>
        <v>#DIV/0!</v>
      </c>
      <c r="O15" s="84"/>
    </row>
    <row r="16" spans="1:28" x14ac:dyDescent="0.2">
      <c r="A16" s="82"/>
      <c r="B16" s="83"/>
      <c r="C16" s="3"/>
      <c r="D16" s="5">
        <f t="shared" si="2"/>
        <v>18.3682825918</v>
      </c>
      <c r="E16" s="538"/>
      <c r="F16" s="540" t="e">
        <f>#REF!/C16</f>
        <v>#REF!</v>
      </c>
      <c r="G16" s="84"/>
      <c r="I16" s="82"/>
      <c r="J16" s="83"/>
      <c r="K16" s="3"/>
      <c r="L16" s="5">
        <f t="shared" si="3"/>
        <v>13.574</v>
      </c>
      <c r="M16" s="538"/>
      <c r="N16" s="540" t="e">
        <f t="shared" si="1"/>
        <v>#DIV/0!</v>
      </c>
      <c r="O16" s="84"/>
    </row>
    <row r="17" spans="1:15" x14ac:dyDescent="0.2">
      <c r="A17" s="82"/>
      <c r="B17" s="83"/>
      <c r="C17" s="3"/>
      <c r="D17" s="5">
        <f t="shared" si="2"/>
        <v>18.3682825918</v>
      </c>
      <c r="E17" s="538"/>
      <c r="F17" s="540" t="e">
        <f>E17/C17</f>
        <v>#DIV/0!</v>
      </c>
      <c r="G17" s="84"/>
      <c r="I17" s="82"/>
      <c r="J17" s="83"/>
      <c r="K17" s="3"/>
      <c r="L17" s="5">
        <f t="shared" si="3"/>
        <v>13.574</v>
      </c>
      <c r="M17" s="538"/>
      <c r="N17" s="540" t="e">
        <f>M17/K17</f>
        <v>#DIV/0!</v>
      </c>
      <c r="O17" s="84"/>
    </row>
    <row r="18" spans="1:15" x14ac:dyDescent="0.2">
      <c r="A18" s="82"/>
      <c r="B18" s="83"/>
      <c r="C18" s="3"/>
      <c r="D18" s="5">
        <f t="shared" si="2"/>
        <v>18.3682825918</v>
      </c>
      <c r="E18" s="538"/>
      <c r="F18" s="540" t="e">
        <f t="shared" ref="F18:F25" si="4">E18/C18</f>
        <v>#DIV/0!</v>
      </c>
      <c r="G18" s="84"/>
      <c r="I18" s="82"/>
      <c r="J18" s="83"/>
      <c r="K18" s="3"/>
      <c r="L18" s="5">
        <f t="shared" si="3"/>
        <v>13.574</v>
      </c>
      <c r="M18" s="538"/>
      <c r="N18" s="540" t="e">
        <f t="shared" ref="N18:N25" si="5">M18/K18</f>
        <v>#DIV/0!</v>
      </c>
      <c r="O18" s="84"/>
    </row>
    <row r="19" spans="1:15" x14ac:dyDescent="0.2">
      <c r="A19" s="82"/>
      <c r="B19" s="83"/>
      <c r="C19" s="3"/>
      <c r="D19" s="5">
        <f t="shared" si="2"/>
        <v>18.3682825918</v>
      </c>
      <c r="E19" s="538"/>
      <c r="F19" s="540" t="e">
        <f t="shared" si="4"/>
        <v>#DIV/0!</v>
      </c>
      <c r="G19" s="84"/>
      <c r="I19" s="82"/>
      <c r="J19" s="83"/>
      <c r="K19" s="3"/>
      <c r="L19" s="5">
        <f t="shared" si="3"/>
        <v>13.574</v>
      </c>
      <c r="M19" s="538"/>
      <c r="N19" s="540" t="e">
        <f t="shared" si="5"/>
        <v>#DIV/0!</v>
      </c>
      <c r="O19" s="84"/>
    </row>
    <row r="20" spans="1:15" x14ac:dyDescent="0.2">
      <c r="A20" s="82"/>
      <c r="B20" s="83"/>
      <c r="C20" s="3"/>
      <c r="D20" s="5">
        <f t="shared" si="2"/>
        <v>18.3682825918</v>
      </c>
      <c r="E20" s="538"/>
      <c r="F20" s="540" t="e">
        <f t="shared" si="4"/>
        <v>#DIV/0!</v>
      </c>
      <c r="G20" s="84"/>
      <c r="I20" s="82"/>
      <c r="J20" s="83"/>
      <c r="K20" s="3"/>
      <c r="L20" s="5">
        <f t="shared" si="3"/>
        <v>13.574</v>
      </c>
      <c r="M20" s="538"/>
      <c r="N20" s="540" t="e">
        <f t="shared" si="5"/>
        <v>#DIV/0!</v>
      </c>
      <c r="O20" s="84"/>
    </row>
    <row r="21" spans="1:15" x14ac:dyDescent="0.2">
      <c r="A21" s="82"/>
      <c r="B21" s="83"/>
      <c r="C21" s="3"/>
      <c r="D21" s="5">
        <f t="shared" si="2"/>
        <v>18.3682825918</v>
      </c>
      <c r="E21" s="538"/>
      <c r="F21" s="540" t="e">
        <f t="shared" si="4"/>
        <v>#DIV/0!</v>
      </c>
      <c r="G21" s="84"/>
      <c r="I21" s="82"/>
      <c r="J21" s="83"/>
      <c r="K21" s="3"/>
      <c r="L21" s="5">
        <f t="shared" si="3"/>
        <v>13.574</v>
      </c>
      <c r="M21" s="538"/>
      <c r="N21" s="540" t="e">
        <f t="shared" si="5"/>
        <v>#DIV/0!</v>
      </c>
      <c r="O21" s="84"/>
    </row>
    <row r="22" spans="1:15" x14ac:dyDescent="0.2">
      <c r="A22" s="82"/>
      <c r="B22" s="83"/>
      <c r="C22" s="3"/>
      <c r="D22" s="5">
        <f t="shared" si="2"/>
        <v>18.3682825918</v>
      </c>
      <c r="E22" s="538"/>
      <c r="F22" s="540" t="e">
        <f t="shared" si="4"/>
        <v>#DIV/0!</v>
      </c>
      <c r="G22" s="84"/>
      <c r="I22" s="82"/>
      <c r="J22" s="83"/>
      <c r="K22" s="3"/>
      <c r="L22" s="5">
        <f t="shared" si="3"/>
        <v>13.574</v>
      </c>
      <c r="M22" s="538"/>
      <c r="N22" s="540" t="e">
        <f t="shared" si="5"/>
        <v>#DIV/0!</v>
      </c>
      <c r="O22" s="84"/>
    </row>
    <row r="23" spans="1:15" x14ac:dyDescent="0.2">
      <c r="A23" s="82"/>
      <c r="B23" s="83"/>
      <c r="C23" s="3"/>
      <c r="D23" s="5">
        <f t="shared" si="2"/>
        <v>18.3682825918</v>
      </c>
      <c r="E23" s="538"/>
      <c r="F23" s="540" t="e">
        <f t="shared" si="4"/>
        <v>#DIV/0!</v>
      </c>
      <c r="G23" s="84"/>
      <c r="I23" s="82"/>
      <c r="J23" s="83"/>
      <c r="K23" s="3"/>
      <c r="L23" s="5">
        <f t="shared" si="3"/>
        <v>13.574</v>
      </c>
      <c r="M23" s="538"/>
      <c r="N23" s="540" t="e">
        <f t="shared" si="5"/>
        <v>#DIV/0!</v>
      </c>
      <c r="O23" s="84"/>
    </row>
    <row r="24" spans="1:15" x14ac:dyDescent="0.2">
      <c r="A24" s="82"/>
      <c r="B24" s="83"/>
      <c r="C24" s="3"/>
      <c r="D24" s="5">
        <f t="shared" si="2"/>
        <v>18.3682825918</v>
      </c>
      <c r="E24" s="538"/>
      <c r="F24" s="540" t="e">
        <f t="shared" si="4"/>
        <v>#DIV/0!</v>
      </c>
      <c r="G24" s="84"/>
      <c r="I24" s="82"/>
      <c r="J24" s="83"/>
      <c r="K24" s="3"/>
      <c r="L24" s="5">
        <f t="shared" si="3"/>
        <v>13.574</v>
      </c>
      <c r="M24" s="538"/>
      <c r="N24" s="540" t="e">
        <f t="shared" si="5"/>
        <v>#DIV/0!</v>
      </c>
      <c r="O24" s="84"/>
    </row>
    <row r="25" spans="1:15" x14ac:dyDescent="0.2">
      <c r="A25" s="82"/>
      <c r="B25" s="83"/>
      <c r="C25" s="3"/>
      <c r="D25" s="5">
        <f t="shared" si="2"/>
        <v>18.3682825918</v>
      </c>
      <c r="E25" s="538"/>
      <c r="F25" s="540" t="e">
        <f t="shared" si="4"/>
        <v>#DIV/0!</v>
      </c>
      <c r="G25" s="84"/>
      <c r="I25" s="82"/>
      <c r="J25" s="83"/>
      <c r="K25" s="3"/>
      <c r="L25" s="5">
        <f t="shared" si="3"/>
        <v>13.574</v>
      </c>
      <c r="M25" s="538"/>
      <c r="N25" s="540" t="e">
        <f t="shared" si="5"/>
        <v>#DIV/0!</v>
      </c>
      <c r="O25" s="84"/>
    </row>
    <row r="26" spans="1:15" x14ac:dyDescent="0.2">
      <c r="A26" s="72"/>
      <c r="B26" s="73"/>
      <c r="C26" s="74"/>
      <c r="D26" s="5">
        <f t="shared" si="2"/>
        <v>18.3682825918</v>
      </c>
      <c r="E26" s="560"/>
      <c r="F26" s="540" t="e">
        <f>E26/C26</f>
        <v>#DIV/0!</v>
      </c>
      <c r="G26" s="471"/>
      <c r="I26" s="72"/>
      <c r="J26" s="73"/>
      <c r="K26" s="74"/>
      <c r="L26" s="5">
        <f t="shared" si="3"/>
        <v>13.574</v>
      </c>
      <c r="M26" s="560"/>
      <c r="N26" s="540" t="e">
        <f>M26/K26</f>
        <v>#DIV/0!</v>
      </c>
      <c r="O26" s="471"/>
    </row>
    <row r="27" spans="1:15" s="53" customFormat="1" ht="25.15" customHeight="1" x14ac:dyDescent="0.2">
      <c r="A27" s="457"/>
      <c r="B27" s="457" t="s">
        <v>0</v>
      </c>
      <c r="C27" s="458">
        <f>SUM(C7:C26)</f>
        <v>18.3682825918</v>
      </c>
      <c r="D27" s="459">
        <f>D26</f>
        <v>18.3682825918</v>
      </c>
      <c r="E27" s="541">
        <f>SUM(E7:E26)</f>
        <v>20664.14</v>
      </c>
      <c r="F27" s="542">
        <f>E27/C27</f>
        <v>1124.9903139678895</v>
      </c>
      <c r="G27" s="460"/>
      <c r="I27" s="457"/>
      <c r="J27" s="457" t="s">
        <v>0</v>
      </c>
      <c r="K27" s="458">
        <f>SUM(K7:K26)</f>
        <v>13.574</v>
      </c>
      <c r="L27" s="459">
        <f>L26</f>
        <v>13.574</v>
      </c>
      <c r="M27" s="541">
        <f>SUM(M7:M26)</f>
        <v>10753.26</v>
      </c>
      <c r="N27" s="542">
        <f>M27/K27</f>
        <v>792.19537350817745</v>
      </c>
      <c r="O27" s="460"/>
    </row>
    <row r="28" spans="1:15" ht="25.15" customHeight="1" x14ac:dyDescent="0.2">
      <c r="D28" s="85"/>
      <c r="F28" s="85"/>
    </row>
    <row r="29" spans="1:15" ht="25.15" customHeight="1" x14ac:dyDescent="0.2">
      <c r="D29" s="948" t="s">
        <v>121</v>
      </c>
      <c r="E29" s="948"/>
      <c r="F29" s="472">
        <v>1.175</v>
      </c>
      <c r="L29" s="948" t="s">
        <v>121</v>
      </c>
      <c r="M29" s="948"/>
      <c r="N29" s="472">
        <v>0.95</v>
      </c>
    </row>
    <row r="30" spans="1:15" ht="25.15" customHeight="1" x14ac:dyDescent="0.2">
      <c r="D30" s="948" t="s">
        <v>736</v>
      </c>
      <c r="E30" s="948"/>
      <c r="F30" s="679">
        <f>39219*1.15</f>
        <v>45101.85</v>
      </c>
      <c r="L30" s="948" t="s">
        <v>736</v>
      </c>
      <c r="M30" s="948"/>
      <c r="N30" s="679">
        <f>32450*1.2</f>
        <v>38940</v>
      </c>
    </row>
    <row r="43" spans="7:7" x14ac:dyDescent="0.2">
      <c r="G43" s="87"/>
    </row>
    <row r="45" spans="7:7" x14ac:dyDescent="0.2">
      <c r="G45" s="87"/>
    </row>
    <row r="47" spans="7:7" x14ac:dyDescent="0.2">
      <c r="G47" s="87"/>
    </row>
    <row r="49" spans="7:7" x14ac:dyDescent="0.2">
      <c r="G49" s="87"/>
    </row>
    <row r="51" spans="7:7" x14ac:dyDescent="0.2">
      <c r="G51" s="87"/>
    </row>
  </sheetData>
  <sheetProtection formatCells="0" formatColumns="0" formatRows="0" insertColumns="0" insertRows="0" insertHyperlinks="0" deleteColumns="0" deleteRows="0" sort="0" autoFilter="0" pivotTables="0"/>
  <mergeCells count="14">
    <mergeCell ref="D30:E30"/>
    <mergeCell ref="L30:M30"/>
    <mergeCell ref="D29:E29"/>
    <mergeCell ref="L29:M29"/>
    <mergeCell ref="J5:J6"/>
    <mergeCell ref="A1:G1"/>
    <mergeCell ref="A3:B3"/>
    <mergeCell ref="C5:D5"/>
    <mergeCell ref="G5:G6"/>
    <mergeCell ref="I1:O1"/>
    <mergeCell ref="I3:J3"/>
    <mergeCell ref="K5:L5"/>
    <mergeCell ref="O5:O6"/>
    <mergeCell ref="B5:B6"/>
  </mergeCells>
  <printOptions horizontalCentered="1" verticalCentered="1"/>
  <pageMargins left="0" right="0" top="0.39370078740157483" bottom="0.39370078740157483" header="0" footer="0"/>
  <pageSetup paperSize="8" orientation="landscape" r:id="rId1"/>
  <headerFooter alignWithMargins="0">
    <oddHeader>&amp;R&amp;T;&amp;D</oddHeader>
    <oddFooter>&amp;L&amp;Z&amp;F&amp;R&amp;P/&amp;N</oddFooter>
  </headerFooter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0">
    <tabColor rgb="FF00B050"/>
    <pageSetUpPr fitToPage="1"/>
  </sheetPr>
  <dimension ref="A1:K64"/>
  <sheetViews>
    <sheetView zoomScale="85" zoomScaleNormal="85" workbookViewId="0">
      <selection activeCell="D12" sqref="D12"/>
    </sheetView>
  </sheetViews>
  <sheetFormatPr baseColWidth="10" defaultColWidth="11.42578125" defaultRowHeight="12.75" x14ac:dyDescent="0.2"/>
  <cols>
    <col min="1" max="1" width="32.42578125" style="96" customWidth="1"/>
    <col min="2" max="3" width="12" style="96" customWidth="1"/>
    <col min="4" max="4" width="14.85546875" style="96" bestFit="1" customWidth="1"/>
    <col min="5" max="6" width="19.140625" style="96" customWidth="1"/>
    <col min="7" max="7" width="21.85546875" style="96" bestFit="1" customWidth="1"/>
    <col min="8" max="8" width="15.7109375" style="96" customWidth="1"/>
    <col min="9" max="9" width="22" style="96" bestFit="1" customWidth="1"/>
    <col min="10" max="16384" width="11.42578125" style="96"/>
  </cols>
  <sheetData>
    <row r="1" spans="1:11" s="89" customFormat="1" ht="19.5" thickBot="1" x14ac:dyDescent="0.35">
      <c r="A1" s="966" t="s">
        <v>598</v>
      </c>
      <c r="B1" s="967"/>
      <c r="C1" s="967"/>
      <c r="D1" s="968"/>
      <c r="E1" s="476" t="s">
        <v>3</v>
      </c>
      <c r="F1" s="477"/>
      <c r="G1" s="10"/>
      <c r="H1" s="90"/>
      <c r="I1" s="90"/>
      <c r="J1" s="90"/>
    </row>
    <row r="2" spans="1:11" s="90" customFormat="1" ht="15" x14ac:dyDescent="0.25">
      <c r="A2" s="10"/>
      <c r="B2" s="10"/>
      <c r="C2" s="10"/>
      <c r="D2" s="10"/>
      <c r="E2" s="10"/>
      <c r="F2" s="10"/>
      <c r="G2" s="10"/>
      <c r="H2" s="10"/>
      <c r="I2" s="10"/>
    </row>
    <row r="3" spans="1:11" s="90" customFormat="1" ht="15" x14ac:dyDescent="0.25">
      <c r="A3" s="91"/>
      <c r="B3" s="91"/>
      <c r="C3" s="91"/>
      <c r="D3" s="91"/>
      <c r="E3" s="91"/>
      <c r="F3" s="91"/>
      <c r="G3" s="91"/>
    </row>
    <row r="4" spans="1:11" s="90" customFormat="1" ht="15" x14ac:dyDescent="0.25">
      <c r="A4" s="478" t="s">
        <v>599</v>
      </c>
      <c r="B4" s="969" t="s">
        <v>130</v>
      </c>
      <c r="C4" s="969"/>
      <c r="D4" s="479" t="s">
        <v>78</v>
      </c>
      <c r="E4" s="480" t="s">
        <v>131</v>
      </c>
      <c r="F4" s="479" t="s">
        <v>132</v>
      </c>
    </row>
    <row r="5" spans="1:11" s="90" customFormat="1" ht="15" x14ac:dyDescent="0.25">
      <c r="A5" s="92" t="s">
        <v>798</v>
      </c>
      <c r="B5" s="93"/>
      <c r="C5" s="12" t="s">
        <v>22</v>
      </c>
      <c r="D5" s="568"/>
      <c r="E5" s="569"/>
      <c r="F5" s="963">
        <f>+SUM(D5:D9)/SUM(B5:B9)</f>
        <v>27.676908314361516</v>
      </c>
      <c r="G5" s="166"/>
      <c r="H5" s="166"/>
      <c r="I5" s="166"/>
      <c r="J5" s="167"/>
    </row>
    <row r="6" spans="1:11" s="90" customFormat="1" ht="15" x14ac:dyDescent="0.25">
      <c r="A6" s="168"/>
      <c r="B6" s="94">
        <f>564.22+187.48+23.59+12.96+83.3+66.2+528.53+192.46+26.95+111.05+44.45+15.82+34.73+47.24+533.28+520.75+26.25+27.86+124.58+41.81+46.44+537.16+192.46+520.75+26.25+27.86+124.6+41.81+46.44+537.62</f>
        <v>5314.9</v>
      </c>
      <c r="C6" s="95" t="s">
        <v>22</v>
      </c>
      <c r="D6" s="570">
        <v>147100</v>
      </c>
      <c r="E6" s="571"/>
      <c r="F6" s="964"/>
      <c r="G6" s="169"/>
      <c r="H6" s="169"/>
      <c r="I6" s="169"/>
      <c r="J6" s="170"/>
    </row>
    <row r="7" spans="1:11" s="90" customFormat="1" ht="15" x14ac:dyDescent="0.25">
      <c r="A7" s="168"/>
      <c r="B7" s="94"/>
      <c r="C7" s="95" t="s">
        <v>22</v>
      </c>
      <c r="D7" s="572"/>
      <c r="E7" s="571"/>
      <c r="F7" s="964"/>
      <c r="G7" s="169"/>
      <c r="H7" s="169"/>
      <c r="I7" s="169"/>
      <c r="J7" s="170"/>
    </row>
    <row r="8" spans="1:11" s="90" customFormat="1" ht="15" x14ac:dyDescent="0.25">
      <c r="A8" s="168"/>
      <c r="B8" s="94"/>
      <c r="C8" s="95" t="s">
        <v>22</v>
      </c>
      <c r="D8" s="570"/>
      <c r="E8" s="571"/>
      <c r="F8" s="964"/>
      <c r="G8" s="483" t="s">
        <v>128</v>
      </c>
      <c r="H8" s="565">
        <v>5314.9</v>
      </c>
      <c r="I8" s="169"/>
      <c r="J8" s="170"/>
    </row>
    <row r="9" spans="1:11" s="90" customFormat="1" ht="15" customHeight="1" x14ac:dyDescent="0.25">
      <c r="A9" s="171"/>
      <c r="B9" s="172"/>
      <c r="C9" s="173" t="s">
        <v>22</v>
      </c>
      <c r="D9" s="573"/>
      <c r="E9" s="574"/>
      <c r="F9" s="965"/>
      <c r="G9" s="473"/>
      <c r="H9" s="566"/>
      <c r="I9" s="484" t="s">
        <v>121</v>
      </c>
      <c r="J9" s="561">
        <v>27.68</v>
      </c>
      <c r="K9" s="90">
        <f>+J9*H8</f>
        <v>147116.432</v>
      </c>
    </row>
    <row r="10" spans="1:11" s="90" customFormat="1" ht="15" x14ac:dyDescent="0.25">
      <c r="A10" s="92" t="s">
        <v>1072</v>
      </c>
      <c r="B10" s="93"/>
      <c r="C10" s="12" t="s">
        <v>22</v>
      </c>
      <c r="D10" s="575"/>
      <c r="E10" s="569"/>
      <c r="F10" s="963" t="e">
        <f>+SUM(D10:D14)/SUM(B10:B14)</f>
        <v>#DIV/0!</v>
      </c>
      <c r="G10" s="166"/>
      <c r="H10" s="567"/>
      <c r="I10" s="166"/>
      <c r="J10" s="562"/>
    </row>
    <row r="11" spans="1:11" s="90" customFormat="1" ht="15" x14ac:dyDescent="0.25">
      <c r="A11" s="168" t="s">
        <v>804</v>
      </c>
      <c r="B11" s="94"/>
      <c r="C11" s="95" t="s">
        <v>22</v>
      </c>
      <c r="D11" s="572"/>
      <c r="E11" s="571">
        <v>119000</v>
      </c>
      <c r="F11" s="964"/>
      <c r="G11" s="169"/>
      <c r="H11" s="564"/>
      <c r="I11" s="169"/>
      <c r="J11" s="563"/>
    </row>
    <row r="12" spans="1:11" s="90" customFormat="1" ht="15" x14ac:dyDescent="0.25">
      <c r="A12" s="168" t="s">
        <v>805</v>
      </c>
      <c r="B12" s="94"/>
      <c r="C12" s="95" t="s">
        <v>587</v>
      </c>
      <c r="D12" s="572"/>
      <c r="E12" s="571"/>
      <c r="F12" s="964"/>
      <c r="G12" s="169"/>
      <c r="H12" s="564"/>
      <c r="I12" s="169"/>
      <c r="J12" s="563"/>
    </row>
    <row r="13" spans="1:11" s="90" customFormat="1" ht="15" x14ac:dyDescent="0.25">
      <c r="A13" s="168"/>
      <c r="B13" s="94"/>
      <c r="C13" s="95" t="s">
        <v>22</v>
      </c>
      <c r="D13" s="572"/>
      <c r="E13" s="571"/>
      <c r="F13" s="964"/>
      <c r="G13" s="483" t="s">
        <v>128</v>
      </c>
      <c r="H13" s="565">
        <v>1025</v>
      </c>
      <c r="I13" s="169"/>
      <c r="J13" s="563"/>
    </row>
    <row r="14" spans="1:11" s="90" customFormat="1" ht="15" customHeight="1" x14ac:dyDescent="0.25">
      <c r="A14" s="171"/>
      <c r="B14" s="172"/>
      <c r="C14" s="173" t="s">
        <v>22</v>
      </c>
      <c r="D14" s="573"/>
      <c r="E14" s="574"/>
      <c r="F14" s="965"/>
      <c r="G14" s="473"/>
      <c r="H14" s="566"/>
      <c r="I14" s="484" t="s">
        <v>121</v>
      </c>
      <c r="J14" s="561">
        <f>+(E11+E12)/H13</f>
        <v>116.09756097560975</v>
      </c>
      <c r="K14" s="90">
        <f>+J14*H13</f>
        <v>119000</v>
      </c>
    </row>
    <row r="15" spans="1:11" s="90" customFormat="1" ht="15" x14ac:dyDescent="0.25">
      <c r="A15" s="92" t="s">
        <v>799</v>
      </c>
      <c r="B15" s="93"/>
      <c r="C15" s="12" t="s">
        <v>22</v>
      </c>
      <c r="D15" s="757" t="s">
        <v>1014</v>
      </c>
      <c r="E15" s="569"/>
      <c r="F15" s="963" t="e">
        <f>+SUM(D15:D19)/SUM(B15:B19)</f>
        <v>#DIV/0!</v>
      </c>
      <c r="G15" s="166"/>
      <c r="H15" s="567"/>
      <c r="I15" s="166"/>
      <c r="J15" s="562"/>
    </row>
    <row r="16" spans="1:11" s="90" customFormat="1" ht="15" x14ac:dyDescent="0.25">
      <c r="A16" s="168" t="s">
        <v>1016</v>
      </c>
      <c r="B16" s="94"/>
      <c r="C16" s="95" t="s">
        <v>22</v>
      </c>
      <c r="D16" s="572">
        <v>28598</v>
      </c>
      <c r="E16" s="571"/>
      <c r="F16" s="964"/>
      <c r="G16" s="169"/>
      <c r="H16" s="564"/>
      <c r="I16" s="169"/>
      <c r="J16" s="563"/>
    </row>
    <row r="17" spans="1:10" s="90" customFormat="1" ht="15" x14ac:dyDescent="0.25">
      <c r="A17" s="168" t="s">
        <v>1015</v>
      </c>
      <c r="B17" s="94"/>
      <c r="C17" s="95" t="s">
        <v>22</v>
      </c>
      <c r="D17" s="572">
        <v>73438.5</v>
      </c>
      <c r="E17" s="571"/>
      <c r="F17" s="964"/>
      <c r="G17" s="169"/>
      <c r="H17" s="564"/>
      <c r="I17" s="169"/>
      <c r="J17" s="563"/>
    </row>
    <row r="18" spans="1:10" s="90" customFormat="1" ht="15" x14ac:dyDescent="0.25">
      <c r="A18" s="168" t="s">
        <v>1017</v>
      </c>
      <c r="B18" s="94"/>
      <c r="C18" s="95" t="s">
        <v>22</v>
      </c>
      <c r="D18" s="572">
        <v>8000</v>
      </c>
      <c r="E18" s="571"/>
      <c r="F18" s="964"/>
      <c r="G18" s="483" t="s">
        <v>128</v>
      </c>
      <c r="H18" s="565">
        <v>7100</v>
      </c>
      <c r="I18" s="169"/>
      <c r="J18" s="563"/>
    </row>
    <row r="19" spans="1:10" s="90" customFormat="1" ht="15" customHeight="1" x14ac:dyDescent="0.25">
      <c r="A19" s="171"/>
      <c r="B19" s="172"/>
      <c r="C19" s="173" t="s">
        <v>22</v>
      </c>
      <c r="D19" s="573"/>
      <c r="E19" s="574"/>
      <c r="F19" s="965"/>
      <c r="G19" s="473"/>
      <c r="H19" s="566"/>
      <c r="I19" s="484" t="s">
        <v>121</v>
      </c>
      <c r="J19" s="561">
        <f>+(D16+D17+D18)/H18</f>
        <v>15.498098591549295</v>
      </c>
    </row>
    <row r="20" spans="1:10" s="90" customFormat="1" ht="15" x14ac:dyDescent="0.25">
      <c r="A20" s="92" t="s">
        <v>643</v>
      </c>
      <c r="B20" s="93"/>
      <c r="C20" s="12" t="s">
        <v>21</v>
      </c>
      <c r="D20" s="575"/>
      <c r="E20" s="569"/>
      <c r="F20" s="963" t="e">
        <f>+SUM(D20:D24)/SUM(B20:B24)</f>
        <v>#DIV/0!</v>
      </c>
      <c r="G20" s="166"/>
      <c r="H20" s="567"/>
      <c r="I20" s="166"/>
      <c r="J20" s="562"/>
    </row>
    <row r="21" spans="1:10" s="90" customFormat="1" ht="15" x14ac:dyDescent="0.25">
      <c r="A21" s="168"/>
      <c r="B21" s="94"/>
      <c r="C21" s="95" t="s">
        <v>21</v>
      </c>
      <c r="D21" s="572"/>
      <c r="E21" s="571"/>
      <c r="F21" s="964"/>
      <c r="G21" s="169"/>
      <c r="H21" s="564"/>
      <c r="I21" s="169"/>
      <c r="J21" s="563"/>
    </row>
    <row r="22" spans="1:10" s="90" customFormat="1" ht="15" x14ac:dyDescent="0.25">
      <c r="A22" s="168"/>
      <c r="B22" s="94"/>
      <c r="C22" s="95" t="s">
        <v>21</v>
      </c>
      <c r="D22" s="572"/>
      <c r="E22" s="571"/>
      <c r="F22" s="964"/>
      <c r="G22" s="169"/>
      <c r="H22" s="564"/>
      <c r="I22" s="169"/>
      <c r="J22" s="563"/>
    </row>
    <row r="23" spans="1:10" s="90" customFormat="1" ht="15" x14ac:dyDescent="0.25">
      <c r="A23" s="168"/>
      <c r="B23" s="94"/>
      <c r="C23" s="95" t="s">
        <v>21</v>
      </c>
      <c r="D23" s="572"/>
      <c r="E23" s="571"/>
      <c r="F23" s="964"/>
      <c r="G23" s="483" t="s">
        <v>128</v>
      </c>
      <c r="H23" s="565"/>
      <c r="I23" s="169"/>
      <c r="J23" s="563"/>
    </row>
    <row r="24" spans="1:10" s="90" customFormat="1" ht="15" customHeight="1" x14ac:dyDescent="0.25">
      <c r="A24" s="171"/>
      <c r="B24" s="172"/>
      <c r="C24" s="173" t="s">
        <v>21</v>
      </c>
      <c r="D24" s="573"/>
      <c r="E24" s="574"/>
      <c r="F24" s="965"/>
      <c r="G24" s="473"/>
      <c r="H24" s="566"/>
      <c r="I24" s="484" t="s">
        <v>121</v>
      </c>
      <c r="J24" s="561"/>
    </row>
    <row r="25" spans="1:10" s="90" customFormat="1" ht="15" x14ac:dyDescent="0.25">
      <c r="A25" s="92" t="s">
        <v>644</v>
      </c>
      <c r="B25" s="93"/>
      <c r="C25" s="12" t="s">
        <v>22</v>
      </c>
      <c r="D25" s="575"/>
      <c r="E25" s="569"/>
      <c r="F25" s="963" t="e">
        <f>+SUM(D25:D29)/SUM(B25:B29)</f>
        <v>#DIV/0!</v>
      </c>
      <c r="G25" s="166"/>
      <c r="H25" s="567"/>
      <c r="I25" s="166"/>
      <c r="J25" s="562"/>
    </row>
    <row r="26" spans="1:10" s="90" customFormat="1" ht="15" x14ac:dyDescent="0.25">
      <c r="A26" s="168"/>
      <c r="B26" s="94"/>
      <c r="C26" s="95" t="s">
        <v>22</v>
      </c>
      <c r="D26" s="572"/>
      <c r="E26" s="571"/>
      <c r="F26" s="964"/>
      <c r="G26" s="169"/>
      <c r="H26" s="564"/>
      <c r="I26" s="169"/>
      <c r="J26" s="563"/>
    </row>
    <row r="27" spans="1:10" s="90" customFormat="1" ht="15" x14ac:dyDescent="0.25">
      <c r="A27" s="168"/>
      <c r="B27" s="94"/>
      <c r="C27" s="95" t="s">
        <v>22</v>
      </c>
      <c r="D27" s="572"/>
      <c r="E27" s="571"/>
      <c r="F27" s="964"/>
      <c r="G27" s="169"/>
      <c r="H27" s="564"/>
      <c r="I27" s="169"/>
      <c r="J27" s="563"/>
    </row>
    <row r="28" spans="1:10" s="90" customFormat="1" ht="15" x14ac:dyDescent="0.25">
      <c r="A28" s="168"/>
      <c r="B28" s="94"/>
      <c r="C28" s="95" t="s">
        <v>22</v>
      </c>
      <c r="D28" s="572"/>
      <c r="E28" s="571"/>
      <c r="F28" s="964"/>
      <c r="G28" s="483" t="s">
        <v>128</v>
      </c>
      <c r="H28" s="565"/>
      <c r="I28" s="169"/>
      <c r="J28" s="563"/>
    </row>
    <row r="29" spans="1:10" s="90" customFormat="1" ht="15" customHeight="1" x14ac:dyDescent="0.25">
      <c r="A29" s="171"/>
      <c r="B29" s="172"/>
      <c r="C29" s="173" t="s">
        <v>22</v>
      </c>
      <c r="D29" s="573"/>
      <c r="E29" s="574"/>
      <c r="F29" s="965"/>
      <c r="G29" s="473"/>
      <c r="H29" s="566"/>
      <c r="I29" s="484" t="s">
        <v>121</v>
      </c>
      <c r="J29" s="561"/>
    </row>
    <row r="30" spans="1:10" s="90" customFormat="1" ht="15" x14ac:dyDescent="0.25">
      <c r="A30" s="92" t="s">
        <v>645</v>
      </c>
      <c r="B30" s="93"/>
      <c r="C30" s="12" t="s">
        <v>22</v>
      </c>
      <c r="D30" s="575"/>
      <c r="E30" s="569"/>
      <c r="F30" s="963" t="e">
        <f>+SUM(D30:D34)/SUM(B30:B34)</f>
        <v>#DIV/0!</v>
      </c>
      <c r="G30" s="166"/>
      <c r="H30" s="567"/>
      <c r="I30" s="166"/>
      <c r="J30" s="562"/>
    </row>
    <row r="31" spans="1:10" s="90" customFormat="1" ht="15" x14ac:dyDescent="0.25">
      <c r="A31" s="168"/>
      <c r="B31" s="94"/>
      <c r="C31" s="95" t="s">
        <v>22</v>
      </c>
      <c r="D31" s="572"/>
      <c r="E31" s="571"/>
      <c r="F31" s="964"/>
      <c r="G31" s="169"/>
      <c r="H31" s="564"/>
      <c r="I31" s="169"/>
      <c r="J31" s="563"/>
    </row>
    <row r="32" spans="1:10" s="90" customFormat="1" ht="15" x14ac:dyDescent="0.25">
      <c r="A32" s="168"/>
      <c r="B32" s="94"/>
      <c r="C32" s="95" t="s">
        <v>22</v>
      </c>
      <c r="D32" s="572"/>
      <c r="E32" s="571"/>
      <c r="F32" s="964"/>
      <c r="G32" s="169"/>
      <c r="H32" s="564"/>
      <c r="I32" s="169"/>
      <c r="J32" s="563"/>
    </row>
    <row r="33" spans="1:10" s="90" customFormat="1" ht="15" x14ac:dyDescent="0.25">
      <c r="A33" s="168"/>
      <c r="B33" s="94"/>
      <c r="C33" s="95" t="s">
        <v>22</v>
      </c>
      <c r="D33" s="572"/>
      <c r="E33" s="571"/>
      <c r="F33" s="964"/>
      <c r="G33" s="483" t="s">
        <v>128</v>
      </c>
      <c r="H33" s="565"/>
      <c r="I33" s="169"/>
      <c r="J33" s="563"/>
    </row>
    <row r="34" spans="1:10" s="90" customFormat="1" ht="15" customHeight="1" x14ac:dyDescent="0.25">
      <c r="A34" s="171"/>
      <c r="B34" s="172"/>
      <c r="C34" s="173" t="s">
        <v>22</v>
      </c>
      <c r="D34" s="573"/>
      <c r="E34" s="574"/>
      <c r="F34" s="965"/>
      <c r="G34" s="473"/>
      <c r="H34" s="566"/>
      <c r="I34" s="484" t="s">
        <v>121</v>
      </c>
      <c r="J34" s="561"/>
    </row>
    <row r="35" spans="1:10" s="90" customFormat="1" ht="15" x14ac:dyDescent="0.25">
      <c r="A35" s="92" t="s">
        <v>646</v>
      </c>
      <c r="B35" s="93"/>
      <c r="C35" s="12" t="s">
        <v>22</v>
      </c>
      <c r="D35" s="575"/>
      <c r="E35" s="569"/>
      <c r="F35" s="963" t="e">
        <f>+SUM(D35:D39)/SUM(B35:B39)</f>
        <v>#DIV/0!</v>
      </c>
      <c r="G35" s="166"/>
      <c r="H35" s="567"/>
      <c r="I35" s="166"/>
      <c r="J35" s="562"/>
    </row>
    <row r="36" spans="1:10" s="90" customFormat="1" ht="15" x14ac:dyDescent="0.25">
      <c r="A36" s="168"/>
      <c r="B36" s="94"/>
      <c r="C36" s="95" t="s">
        <v>22</v>
      </c>
      <c r="D36" s="572"/>
      <c r="E36" s="571"/>
      <c r="F36" s="964"/>
      <c r="G36" s="169"/>
      <c r="H36" s="564"/>
      <c r="I36" s="169"/>
      <c r="J36" s="563"/>
    </row>
    <row r="37" spans="1:10" s="90" customFormat="1" ht="15" x14ac:dyDescent="0.25">
      <c r="A37" s="168"/>
      <c r="B37" s="94"/>
      <c r="C37" s="95" t="s">
        <v>22</v>
      </c>
      <c r="D37" s="572"/>
      <c r="E37" s="571"/>
      <c r="F37" s="964"/>
      <c r="G37" s="169"/>
      <c r="H37" s="564"/>
      <c r="I37" s="169"/>
      <c r="J37" s="563"/>
    </row>
    <row r="38" spans="1:10" s="90" customFormat="1" ht="15" x14ac:dyDescent="0.25">
      <c r="A38" s="168"/>
      <c r="B38" s="94"/>
      <c r="C38" s="95" t="s">
        <v>22</v>
      </c>
      <c r="D38" s="572"/>
      <c r="E38" s="571"/>
      <c r="F38" s="964"/>
      <c r="G38" s="483" t="s">
        <v>128</v>
      </c>
      <c r="H38" s="565"/>
      <c r="I38" s="169"/>
      <c r="J38" s="563"/>
    </row>
    <row r="39" spans="1:10" s="90" customFormat="1" ht="15" customHeight="1" x14ac:dyDescent="0.25">
      <c r="A39" s="171"/>
      <c r="B39" s="172"/>
      <c r="C39" s="173" t="s">
        <v>22</v>
      </c>
      <c r="D39" s="573"/>
      <c r="E39" s="574"/>
      <c r="F39" s="965"/>
      <c r="G39" s="473"/>
      <c r="H39" s="566"/>
      <c r="I39" s="484" t="s">
        <v>121</v>
      </c>
      <c r="J39" s="561"/>
    </row>
    <row r="40" spans="1:10" s="90" customFormat="1" ht="15" x14ac:dyDescent="0.25">
      <c r="A40" s="481" t="s">
        <v>0</v>
      </c>
      <c r="B40" s="482"/>
      <c r="C40" s="482"/>
      <c r="D40" s="576">
        <f>+SUM(D5:D39)</f>
        <v>257136.5</v>
      </c>
      <c r="E40" s="576"/>
      <c r="F40" s="577"/>
    </row>
    <row r="41" spans="1:10" s="90" customFormat="1" ht="15" x14ac:dyDescent="0.25">
      <c r="A41" s="91"/>
      <c r="B41" s="91"/>
      <c r="C41" s="91"/>
      <c r="D41" s="60"/>
      <c r="E41" s="91"/>
      <c r="F41" s="60"/>
      <c r="G41" s="91"/>
    </row>
    <row r="42" spans="1:10" x14ac:dyDescent="0.2">
      <c r="D42" s="97"/>
      <c r="F42" s="97"/>
    </row>
    <row r="43" spans="1:10" x14ac:dyDescent="0.2">
      <c r="D43" s="97"/>
      <c r="F43" s="97"/>
    </row>
    <row r="47" spans="1:10" ht="14.25" customHeight="1" x14ac:dyDescent="0.2"/>
    <row r="48" spans="1:10" ht="14.25" customHeight="1" x14ac:dyDescent="0.2"/>
    <row r="58" spans="7:7" ht="15.75" x14ac:dyDescent="0.25">
      <c r="G58" s="98"/>
    </row>
    <row r="60" spans="7:7" x14ac:dyDescent="0.2">
      <c r="G60" s="99"/>
    </row>
    <row r="61" spans="7:7" x14ac:dyDescent="0.2">
      <c r="G61" s="99"/>
    </row>
    <row r="62" spans="7:7" x14ac:dyDescent="0.2">
      <c r="G62" s="99"/>
    </row>
    <row r="63" spans="7:7" x14ac:dyDescent="0.2">
      <c r="G63" s="100"/>
    </row>
    <row r="64" spans="7:7" x14ac:dyDescent="0.2">
      <c r="G64" s="99"/>
    </row>
  </sheetData>
  <mergeCells count="9">
    <mergeCell ref="F25:F29"/>
    <mergeCell ref="F30:F34"/>
    <mergeCell ref="F35:F39"/>
    <mergeCell ref="A1:D1"/>
    <mergeCell ref="B4:C4"/>
    <mergeCell ref="F5:F9"/>
    <mergeCell ref="F10:F14"/>
    <mergeCell ref="F15:F19"/>
    <mergeCell ref="F20:F24"/>
  </mergeCells>
  <phoneticPr fontId="57" type="noConversion"/>
  <printOptions horizontalCentered="1" verticalCentered="1"/>
  <pageMargins left="0" right="0" top="0.39370078740157483" bottom="0.39370078740157483" header="0" footer="0"/>
  <pageSetup paperSize="9" scale="83" orientation="landscape" r:id="rId1"/>
  <headerFooter alignWithMargins="0">
    <oddHeader>&amp;R&amp;T;&amp;D</oddHeader>
    <oddFooter>&amp;L&amp;Z&amp;F&amp;R&amp;P/&amp;N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1"/>
  <dimension ref="A1:F195"/>
  <sheetViews>
    <sheetView topLeftCell="A21" workbookViewId="0">
      <selection activeCell="E32" sqref="E32"/>
    </sheetView>
  </sheetViews>
  <sheetFormatPr baseColWidth="10" defaultRowHeight="12.75" x14ac:dyDescent="0.2"/>
  <cols>
    <col min="1" max="1" width="11.42578125" style="1"/>
    <col min="2" max="2" width="14.7109375" style="1" customWidth="1"/>
    <col min="3" max="3" width="16.85546875" style="1" customWidth="1"/>
    <col min="4" max="4" width="41.5703125" style="101" customWidth="1"/>
    <col min="5" max="5" width="12.5703125" style="1" customWidth="1"/>
    <col min="6" max="6" width="34.85546875" style="1" customWidth="1"/>
    <col min="7" max="257" width="11.42578125" style="1"/>
    <col min="258" max="258" width="14.7109375" style="1" customWidth="1"/>
    <col min="259" max="259" width="16.85546875" style="1" customWidth="1"/>
    <col min="260" max="260" width="41.5703125" style="1" customWidth="1"/>
    <col min="261" max="261" width="12.5703125" style="1" customWidth="1"/>
    <col min="262" max="262" width="34.85546875" style="1" customWidth="1"/>
    <col min="263" max="513" width="11.42578125" style="1"/>
    <col min="514" max="514" width="14.7109375" style="1" customWidth="1"/>
    <col min="515" max="515" width="16.85546875" style="1" customWidth="1"/>
    <col min="516" max="516" width="41.5703125" style="1" customWidth="1"/>
    <col min="517" max="517" width="12.5703125" style="1" customWidth="1"/>
    <col min="518" max="518" width="34.85546875" style="1" customWidth="1"/>
    <col min="519" max="769" width="11.42578125" style="1"/>
    <col min="770" max="770" width="14.7109375" style="1" customWidth="1"/>
    <col min="771" max="771" width="16.85546875" style="1" customWidth="1"/>
    <col min="772" max="772" width="41.5703125" style="1" customWidth="1"/>
    <col min="773" max="773" width="12.5703125" style="1" customWidth="1"/>
    <col min="774" max="774" width="34.85546875" style="1" customWidth="1"/>
    <col min="775" max="1025" width="11.42578125" style="1"/>
    <col min="1026" max="1026" width="14.7109375" style="1" customWidth="1"/>
    <col min="1027" max="1027" width="16.85546875" style="1" customWidth="1"/>
    <col min="1028" max="1028" width="41.5703125" style="1" customWidth="1"/>
    <col min="1029" max="1029" width="12.5703125" style="1" customWidth="1"/>
    <col min="1030" max="1030" width="34.85546875" style="1" customWidth="1"/>
    <col min="1031" max="1281" width="11.42578125" style="1"/>
    <col min="1282" max="1282" width="14.7109375" style="1" customWidth="1"/>
    <col min="1283" max="1283" width="16.85546875" style="1" customWidth="1"/>
    <col min="1284" max="1284" width="41.5703125" style="1" customWidth="1"/>
    <col min="1285" max="1285" width="12.5703125" style="1" customWidth="1"/>
    <col min="1286" max="1286" width="34.85546875" style="1" customWidth="1"/>
    <col min="1287" max="1537" width="11.42578125" style="1"/>
    <col min="1538" max="1538" width="14.7109375" style="1" customWidth="1"/>
    <col min="1539" max="1539" width="16.85546875" style="1" customWidth="1"/>
    <col min="1540" max="1540" width="41.5703125" style="1" customWidth="1"/>
    <col min="1541" max="1541" width="12.5703125" style="1" customWidth="1"/>
    <col min="1542" max="1542" width="34.85546875" style="1" customWidth="1"/>
    <col min="1543" max="1793" width="11.42578125" style="1"/>
    <col min="1794" max="1794" width="14.7109375" style="1" customWidth="1"/>
    <col min="1795" max="1795" width="16.85546875" style="1" customWidth="1"/>
    <col min="1796" max="1796" width="41.5703125" style="1" customWidth="1"/>
    <col min="1797" max="1797" width="12.5703125" style="1" customWidth="1"/>
    <col min="1798" max="1798" width="34.85546875" style="1" customWidth="1"/>
    <col min="1799" max="2049" width="11.42578125" style="1"/>
    <col min="2050" max="2050" width="14.7109375" style="1" customWidth="1"/>
    <col min="2051" max="2051" width="16.85546875" style="1" customWidth="1"/>
    <col min="2052" max="2052" width="41.5703125" style="1" customWidth="1"/>
    <col min="2053" max="2053" width="12.5703125" style="1" customWidth="1"/>
    <col min="2054" max="2054" width="34.85546875" style="1" customWidth="1"/>
    <col min="2055" max="2305" width="11.42578125" style="1"/>
    <col min="2306" max="2306" width="14.7109375" style="1" customWidth="1"/>
    <col min="2307" max="2307" width="16.85546875" style="1" customWidth="1"/>
    <col min="2308" max="2308" width="41.5703125" style="1" customWidth="1"/>
    <col min="2309" max="2309" width="12.5703125" style="1" customWidth="1"/>
    <col min="2310" max="2310" width="34.85546875" style="1" customWidth="1"/>
    <col min="2311" max="2561" width="11.42578125" style="1"/>
    <col min="2562" max="2562" width="14.7109375" style="1" customWidth="1"/>
    <col min="2563" max="2563" width="16.85546875" style="1" customWidth="1"/>
    <col min="2564" max="2564" width="41.5703125" style="1" customWidth="1"/>
    <col min="2565" max="2565" width="12.5703125" style="1" customWidth="1"/>
    <col min="2566" max="2566" width="34.85546875" style="1" customWidth="1"/>
    <col min="2567" max="2817" width="11.42578125" style="1"/>
    <col min="2818" max="2818" width="14.7109375" style="1" customWidth="1"/>
    <col min="2819" max="2819" width="16.85546875" style="1" customWidth="1"/>
    <col min="2820" max="2820" width="41.5703125" style="1" customWidth="1"/>
    <col min="2821" max="2821" width="12.5703125" style="1" customWidth="1"/>
    <col min="2822" max="2822" width="34.85546875" style="1" customWidth="1"/>
    <col min="2823" max="3073" width="11.42578125" style="1"/>
    <col min="3074" max="3074" width="14.7109375" style="1" customWidth="1"/>
    <col min="3075" max="3075" width="16.85546875" style="1" customWidth="1"/>
    <col min="3076" max="3076" width="41.5703125" style="1" customWidth="1"/>
    <col min="3077" max="3077" width="12.5703125" style="1" customWidth="1"/>
    <col min="3078" max="3078" width="34.85546875" style="1" customWidth="1"/>
    <col min="3079" max="3329" width="11.42578125" style="1"/>
    <col min="3330" max="3330" width="14.7109375" style="1" customWidth="1"/>
    <col min="3331" max="3331" width="16.85546875" style="1" customWidth="1"/>
    <col min="3332" max="3332" width="41.5703125" style="1" customWidth="1"/>
    <col min="3333" max="3333" width="12.5703125" style="1" customWidth="1"/>
    <col min="3334" max="3334" width="34.85546875" style="1" customWidth="1"/>
    <col min="3335" max="3585" width="11.42578125" style="1"/>
    <col min="3586" max="3586" width="14.7109375" style="1" customWidth="1"/>
    <col min="3587" max="3587" width="16.85546875" style="1" customWidth="1"/>
    <col min="3588" max="3588" width="41.5703125" style="1" customWidth="1"/>
    <col min="3589" max="3589" width="12.5703125" style="1" customWidth="1"/>
    <col min="3590" max="3590" width="34.85546875" style="1" customWidth="1"/>
    <col min="3591" max="3841" width="11.42578125" style="1"/>
    <col min="3842" max="3842" width="14.7109375" style="1" customWidth="1"/>
    <col min="3843" max="3843" width="16.85546875" style="1" customWidth="1"/>
    <col min="3844" max="3844" width="41.5703125" style="1" customWidth="1"/>
    <col min="3845" max="3845" width="12.5703125" style="1" customWidth="1"/>
    <col min="3846" max="3846" width="34.85546875" style="1" customWidth="1"/>
    <col min="3847" max="4097" width="11.42578125" style="1"/>
    <col min="4098" max="4098" width="14.7109375" style="1" customWidth="1"/>
    <col min="4099" max="4099" width="16.85546875" style="1" customWidth="1"/>
    <col min="4100" max="4100" width="41.5703125" style="1" customWidth="1"/>
    <col min="4101" max="4101" width="12.5703125" style="1" customWidth="1"/>
    <col min="4102" max="4102" width="34.85546875" style="1" customWidth="1"/>
    <col min="4103" max="4353" width="11.42578125" style="1"/>
    <col min="4354" max="4354" width="14.7109375" style="1" customWidth="1"/>
    <col min="4355" max="4355" width="16.85546875" style="1" customWidth="1"/>
    <col min="4356" max="4356" width="41.5703125" style="1" customWidth="1"/>
    <col min="4357" max="4357" width="12.5703125" style="1" customWidth="1"/>
    <col min="4358" max="4358" width="34.85546875" style="1" customWidth="1"/>
    <col min="4359" max="4609" width="11.42578125" style="1"/>
    <col min="4610" max="4610" width="14.7109375" style="1" customWidth="1"/>
    <col min="4611" max="4611" width="16.85546875" style="1" customWidth="1"/>
    <col min="4612" max="4612" width="41.5703125" style="1" customWidth="1"/>
    <col min="4613" max="4613" width="12.5703125" style="1" customWidth="1"/>
    <col min="4614" max="4614" width="34.85546875" style="1" customWidth="1"/>
    <col min="4615" max="4865" width="11.42578125" style="1"/>
    <col min="4866" max="4866" width="14.7109375" style="1" customWidth="1"/>
    <col min="4867" max="4867" width="16.85546875" style="1" customWidth="1"/>
    <col min="4868" max="4868" width="41.5703125" style="1" customWidth="1"/>
    <col min="4869" max="4869" width="12.5703125" style="1" customWidth="1"/>
    <col min="4870" max="4870" width="34.85546875" style="1" customWidth="1"/>
    <col min="4871" max="5121" width="11.42578125" style="1"/>
    <col min="5122" max="5122" width="14.7109375" style="1" customWidth="1"/>
    <col min="5123" max="5123" width="16.85546875" style="1" customWidth="1"/>
    <col min="5124" max="5124" width="41.5703125" style="1" customWidth="1"/>
    <col min="5125" max="5125" width="12.5703125" style="1" customWidth="1"/>
    <col min="5126" max="5126" width="34.85546875" style="1" customWidth="1"/>
    <col min="5127" max="5377" width="11.42578125" style="1"/>
    <col min="5378" max="5378" width="14.7109375" style="1" customWidth="1"/>
    <col min="5379" max="5379" width="16.85546875" style="1" customWidth="1"/>
    <col min="5380" max="5380" width="41.5703125" style="1" customWidth="1"/>
    <col min="5381" max="5381" width="12.5703125" style="1" customWidth="1"/>
    <col min="5382" max="5382" width="34.85546875" style="1" customWidth="1"/>
    <col min="5383" max="5633" width="11.42578125" style="1"/>
    <col min="5634" max="5634" width="14.7109375" style="1" customWidth="1"/>
    <col min="5635" max="5635" width="16.85546875" style="1" customWidth="1"/>
    <col min="5636" max="5636" width="41.5703125" style="1" customWidth="1"/>
    <col min="5637" max="5637" width="12.5703125" style="1" customWidth="1"/>
    <col min="5638" max="5638" width="34.85546875" style="1" customWidth="1"/>
    <col min="5639" max="5889" width="11.42578125" style="1"/>
    <col min="5890" max="5890" width="14.7109375" style="1" customWidth="1"/>
    <col min="5891" max="5891" width="16.85546875" style="1" customWidth="1"/>
    <col min="5892" max="5892" width="41.5703125" style="1" customWidth="1"/>
    <col min="5893" max="5893" width="12.5703125" style="1" customWidth="1"/>
    <col min="5894" max="5894" width="34.85546875" style="1" customWidth="1"/>
    <col min="5895" max="6145" width="11.42578125" style="1"/>
    <col min="6146" max="6146" width="14.7109375" style="1" customWidth="1"/>
    <col min="6147" max="6147" width="16.85546875" style="1" customWidth="1"/>
    <col min="6148" max="6148" width="41.5703125" style="1" customWidth="1"/>
    <col min="6149" max="6149" width="12.5703125" style="1" customWidth="1"/>
    <col min="6150" max="6150" width="34.85546875" style="1" customWidth="1"/>
    <col min="6151" max="6401" width="11.42578125" style="1"/>
    <col min="6402" max="6402" width="14.7109375" style="1" customWidth="1"/>
    <col min="6403" max="6403" width="16.85546875" style="1" customWidth="1"/>
    <col min="6404" max="6404" width="41.5703125" style="1" customWidth="1"/>
    <col min="6405" max="6405" width="12.5703125" style="1" customWidth="1"/>
    <col min="6406" max="6406" width="34.85546875" style="1" customWidth="1"/>
    <col min="6407" max="6657" width="11.42578125" style="1"/>
    <col min="6658" max="6658" width="14.7109375" style="1" customWidth="1"/>
    <col min="6659" max="6659" width="16.85546875" style="1" customWidth="1"/>
    <col min="6660" max="6660" width="41.5703125" style="1" customWidth="1"/>
    <col min="6661" max="6661" width="12.5703125" style="1" customWidth="1"/>
    <col min="6662" max="6662" width="34.85546875" style="1" customWidth="1"/>
    <col min="6663" max="6913" width="11.42578125" style="1"/>
    <col min="6914" max="6914" width="14.7109375" style="1" customWidth="1"/>
    <col min="6915" max="6915" width="16.85546875" style="1" customWidth="1"/>
    <col min="6916" max="6916" width="41.5703125" style="1" customWidth="1"/>
    <col min="6917" max="6917" width="12.5703125" style="1" customWidth="1"/>
    <col min="6918" max="6918" width="34.85546875" style="1" customWidth="1"/>
    <col min="6919" max="7169" width="11.42578125" style="1"/>
    <col min="7170" max="7170" width="14.7109375" style="1" customWidth="1"/>
    <col min="7171" max="7171" width="16.85546875" style="1" customWidth="1"/>
    <col min="7172" max="7172" width="41.5703125" style="1" customWidth="1"/>
    <col min="7173" max="7173" width="12.5703125" style="1" customWidth="1"/>
    <col min="7174" max="7174" width="34.85546875" style="1" customWidth="1"/>
    <col min="7175" max="7425" width="11.42578125" style="1"/>
    <col min="7426" max="7426" width="14.7109375" style="1" customWidth="1"/>
    <col min="7427" max="7427" width="16.85546875" style="1" customWidth="1"/>
    <col min="7428" max="7428" width="41.5703125" style="1" customWidth="1"/>
    <col min="7429" max="7429" width="12.5703125" style="1" customWidth="1"/>
    <col min="7430" max="7430" width="34.85546875" style="1" customWidth="1"/>
    <col min="7431" max="7681" width="11.42578125" style="1"/>
    <col min="7682" max="7682" width="14.7109375" style="1" customWidth="1"/>
    <col min="7683" max="7683" width="16.85546875" style="1" customWidth="1"/>
    <col min="7684" max="7684" width="41.5703125" style="1" customWidth="1"/>
    <col min="7685" max="7685" width="12.5703125" style="1" customWidth="1"/>
    <col min="7686" max="7686" width="34.85546875" style="1" customWidth="1"/>
    <col min="7687" max="7937" width="11.42578125" style="1"/>
    <col min="7938" max="7938" width="14.7109375" style="1" customWidth="1"/>
    <col min="7939" max="7939" width="16.85546875" style="1" customWidth="1"/>
    <col min="7940" max="7940" width="41.5703125" style="1" customWidth="1"/>
    <col min="7941" max="7941" width="12.5703125" style="1" customWidth="1"/>
    <col min="7942" max="7942" width="34.85546875" style="1" customWidth="1"/>
    <col min="7943" max="8193" width="11.42578125" style="1"/>
    <col min="8194" max="8194" width="14.7109375" style="1" customWidth="1"/>
    <col min="8195" max="8195" width="16.85546875" style="1" customWidth="1"/>
    <col min="8196" max="8196" width="41.5703125" style="1" customWidth="1"/>
    <col min="8197" max="8197" width="12.5703125" style="1" customWidth="1"/>
    <col min="8198" max="8198" width="34.85546875" style="1" customWidth="1"/>
    <col min="8199" max="8449" width="11.42578125" style="1"/>
    <col min="8450" max="8450" width="14.7109375" style="1" customWidth="1"/>
    <col min="8451" max="8451" width="16.85546875" style="1" customWidth="1"/>
    <col min="8452" max="8452" width="41.5703125" style="1" customWidth="1"/>
    <col min="8453" max="8453" width="12.5703125" style="1" customWidth="1"/>
    <col min="8454" max="8454" width="34.85546875" style="1" customWidth="1"/>
    <col min="8455" max="8705" width="11.42578125" style="1"/>
    <col min="8706" max="8706" width="14.7109375" style="1" customWidth="1"/>
    <col min="8707" max="8707" width="16.85546875" style="1" customWidth="1"/>
    <col min="8708" max="8708" width="41.5703125" style="1" customWidth="1"/>
    <col min="8709" max="8709" width="12.5703125" style="1" customWidth="1"/>
    <col min="8710" max="8710" width="34.85546875" style="1" customWidth="1"/>
    <col min="8711" max="8961" width="11.42578125" style="1"/>
    <col min="8962" max="8962" width="14.7109375" style="1" customWidth="1"/>
    <col min="8963" max="8963" width="16.85546875" style="1" customWidth="1"/>
    <col min="8964" max="8964" width="41.5703125" style="1" customWidth="1"/>
    <col min="8965" max="8965" width="12.5703125" style="1" customWidth="1"/>
    <col min="8966" max="8966" width="34.85546875" style="1" customWidth="1"/>
    <col min="8967" max="9217" width="11.42578125" style="1"/>
    <col min="9218" max="9218" width="14.7109375" style="1" customWidth="1"/>
    <col min="9219" max="9219" width="16.85546875" style="1" customWidth="1"/>
    <col min="9220" max="9220" width="41.5703125" style="1" customWidth="1"/>
    <col min="9221" max="9221" width="12.5703125" style="1" customWidth="1"/>
    <col min="9222" max="9222" width="34.85546875" style="1" customWidth="1"/>
    <col min="9223" max="9473" width="11.42578125" style="1"/>
    <col min="9474" max="9474" width="14.7109375" style="1" customWidth="1"/>
    <col min="9475" max="9475" width="16.85546875" style="1" customWidth="1"/>
    <col min="9476" max="9476" width="41.5703125" style="1" customWidth="1"/>
    <col min="9477" max="9477" width="12.5703125" style="1" customWidth="1"/>
    <col min="9478" max="9478" width="34.85546875" style="1" customWidth="1"/>
    <col min="9479" max="9729" width="11.42578125" style="1"/>
    <col min="9730" max="9730" width="14.7109375" style="1" customWidth="1"/>
    <col min="9731" max="9731" width="16.85546875" style="1" customWidth="1"/>
    <col min="9732" max="9732" width="41.5703125" style="1" customWidth="1"/>
    <col min="9733" max="9733" width="12.5703125" style="1" customWidth="1"/>
    <col min="9734" max="9734" width="34.85546875" style="1" customWidth="1"/>
    <col min="9735" max="9985" width="11.42578125" style="1"/>
    <col min="9986" max="9986" width="14.7109375" style="1" customWidth="1"/>
    <col min="9987" max="9987" width="16.85546875" style="1" customWidth="1"/>
    <col min="9988" max="9988" width="41.5703125" style="1" customWidth="1"/>
    <col min="9989" max="9989" width="12.5703125" style="1" customWidth="1"/>
    <col min="9990" max="9990" width="34.85546875" style="1" customWidth="1"/>
    <col min="9991" max="10241" width="11.42578125" style="1"/>
    <col min="10242" max="10242" width="14.7109375" style="1" customWidth="1"/>
    <col min="10243" max="10243" width="16.85546875" style="1" customWidth="1"/>
    <col min="10244" max="10244" width="41.5703125" style="1" customWidth="1"/>
    <col min="10245" max="10245" width="12.5703125" style="1" customWidth="1"/>
    <col min="10246" max="10246" width="34.85546875" style="1" customWidth="1"/>
    <col min="10247" max="10497" width="11.42578125" style="1"/>
    <col min="10498" max="10498" width="14.7109375" style="1" customWidth="1"/>
    <col min="10499" max="10499" width="16.85546875" style="1" customWidth="1"/>
    <col min="10500" max="10500" width="41.5703125" style="1" customWidth="1"/>
    <col min="10501" max="10501" width="12.5703125" style="1" customWidth="1"/>
    <col min="10502" max="10502" width="34.85546875" style="1" customWidth="1"/>
    <col min="10503" max="10753" width="11.42578125" style="1"/>
    <col min="10754" max="10754" width="14.7109375" style="1" customWidth="1"/>
    <col min="10755" max="10755" width="16.85546875" style="1" customWidth="1"/>
    <col min="10756" max="10756" width="41.5703125" style="1" customWidth="1"/>
    <col min="10757" max="10757" width="12.5703125" style="1" customWidth="1"/>
    <col min="10758" max="10758" width="34.85546875" style="1" customWidth="1"/>
    <col min="10759" max="11009" width="11.42578125" style="1"/>
    <col min="11010" max="11010" width="14.7109375" style="1" customWidth="1"/>
    <col min="11011" max="11011" width="16.85546875" style="1" customWidth="1"/>
    <col min="11012" max="11012" width="41.5703125" style="1" customWidth="1"/>
    <col min="11013" max="11013" width="12.5703125" style="1" customWidth="1"/>
    <col min="11014" max="11014" width="34.85546875" style="1" customWidth="1"/>
    <col min="11015" max="11265" width="11.42578125" style="1"/>
    <col min="11266" max="11266" width="14.7109375" style="1" customWidth="1"/>
    <col min="11267" max="11267" width="16.85546875" style="1" customWidth="1"/>
    <col min="11268" max="11268" width="41.5703125" style="1" customWidth="1"/>
    <col min="11269" max="11269" width="12.5703125" style="1" customWidth="1"/>
    <col min="11270" max="11270" width="34.85546875" style="1" customWidth="1"/>
    <col min="11271" max="11521" width="11.42578125" style="1"/>
    <col min="11522" max="11522" width="14.7109375" style="1" customWidth="1"/>
    <col min="11523" max="11523" width="16.85546875" style="1" customWidth="1"/>
    <col min="11524" max="11524" width="41.5703125" style="1" customWidth="1"/>
    <col min="11525" max="11525" width="12.5703125" style="1" customWidth="1"/>
    <col min="11526" max="11526" width="34.85546875" style="1" customWidth="1"/>
    <col min="11527" max="11777" width="11.42578125" style="1"/>
    <col min="11778" max="11778" width="14.7109375" style="1" customWidth="1"/>
    <col min="11779" max="11779" width="16.85546875" style="1" customWidth="1"/>
    <col min="11780" max="11780" width="41.5703125" style="1" customWidth="1"/>
    <col min="11781" max="11781" width="12.5703125" style="1" customWidth="1"/>
    <col min="11782" max="11782" width="34.85546875" style="1" customWidth="1"/>
    <col min="11783" max="12033" width="11.42578125" style="1"/>
    <col min="12034" max="12034" width="14.7109375" style="1" customWidth="1"/>
    <col min="12035" max="12035" width="16.85546875" style="1" customWidth="1"/>
    <col min="12036" max="12036" width="41.5703125" style="1" customWidth="1"/>
    <col min="12037" max="12037" width="12.5703125" style="1" customWidth="1"/>
    <col min="12038" max="12038" width="34.85546875" style="1" customWidth="1"/>
    <col min="12039" max="12289" width="11.42578125" style="1"/>
    <col min="12290" max="12290" width="14.7109375" style="1" customWidth="1"/>
    <col min="12291" max="12291" width="16.85546875" style="1" customWidth="1"/>
    <col min="12292" max="12292" width="41.5703125" style="1" customWidth="1"/>
    <col min="12293" max="12293" width="12.5703125" style="1" customWidth="1"/>
    <col min="12294" max="12294" width="34.85546875" style="1" customWidth="1"/>
    <col min="12295" max="12545" width="11.42578125" style="1"/>
    <col min="12546" max="12546" width="14.7109375" style="1" customWidth="1"/>
    <col min="12547" max="12547" width="16.85546875" style="1" customWidth="1"/>
    <col min="12548" max="12548" width="41.5703125" style="1" customWidth="1"/>
    <col min="12549" max="12549" width="12.5703125" style="1" customWidth="1"/>
    <col min="12550" max="12550" width="34.85546875" style="1" customWidth="1"/>
    <col min="12551" max="12801" width="11.42578125" style="1"/>
    <col min="12802" max="12802" width="14.7109375" style="1" customWidth="1"/>
    <col min="12803" max="12803" width="16.85546875" style="1" customWidth="1"/>
    <col min="12804" max="12804" width="41.5703125" style="1" customWidth="1"/>
    <col min="12805" max="12805" width="12.5703125" style="1" customWidth="1"/>
    <col min="12806" max="12806" width="34.85546875" style="1" customWidth="1"/>
    <col min="12807" max="13057" width="11.42578125" style="1"/>
    <col min="13058" max="13058" width="14.7109375" style="1" customWidth="1"/>
    <col min="13059" max="13059" width="16.85546875" style="1" customWidth="1"/>
    <col min="13060" max="13060" width="41.5703125" style="1" customWidth="1"/>
    <col min="13061" max="13061" width="12.5703125" style="1" customWidth="1"/>
    <col min="13062" max="13062" width="34.85546875" style="1" customWidth="1"/>
    <col min="13063" max="13313" width="11.42578125" style="1"/>
    <col min="13314" max="13314" width="14.7109375" style="1" customWidth="1"/>
    <col min="13315" max="13315" width="16.85546875" style="1" customWidth="1"/>
    <col min="13316" max="13316" width="41.5703125" style="1" customWidth="1"/>
    <col min="13317" max="13317" width="12.5703125" style="1" customWidth="1"/>
    <col min="13318" max="13318" width="34.85546875" style="1" customWidth="1"/>
    <col min="13319" max="13569" width="11.42578125" style="1"/>
    <col min="13570" max="13570" width="14.7109375" style="1" customWidth="1"/>
    <col min="13571" max="13571" width="16.85546875" style="1" customWidth="1"/>
    <col min="13572" max="13572" width="41.5703125" style="1" customWidth="1"/>
    <col min="13573" max="13573" width="12.5703125" style="1" customWidth="1"/>
    <col min="13574" max="13574" width="34.85546875" style="1" customWidth="1"/>
    <col min="13575" max="13825" width="11.42578125" style="1"/>
    <col min="13826" max="13826" width="14.7109375" style="1" customWidth="1"/>
    <col min="13827" max="13827" width="16.85546875" style="1" customWidth="1"/>
    <col min="13828" max="13828" width="41.5703125" style="1" customWidth="1"/>
    <col min="13829" max="13829" width="12.5703125" style="1" customWidth="1"/>
    <col min="13830" max="13830" width="34.85546875" style="1" customWidth="1"/>
    <col min="13831" max="14081" width="11.42578125" style="1"/>
    <col min="14082" max="14082" width="14.7109375" style="1" customWidth="1"/>
    <col min="14083" max="14083" width="16.85546875" style="1" customWidth="1"/>
    <col min="14084" max="14084" width="41.5703125" style="1" customWidth="1"/>
    <col min="14085" max="14085" width="12.5703125" style="1" customWidth="1"/>
    <col min="14086" max="14086" width="34.85546875" style="1" customWidth="1"/>
    <col min="14087" max="14337" width="11.42578125" style="1"/>
    <col min="14338" max="14338" width="14.7109375" style="1" customWidth="1"/>
    <col min="14339" max="14339" width="16.85546875" style="1" customWidth="1"/>
    <col min="14340" max="14340" width="41.5703125" style="1" customWidth="1"/>
    <col min="14341" max="14341" width="12.5703125" style="1" customWidth="1"/>
    <col min="14342" max="14342" width="34.85546875" style="1" customWidth="1"/>
    <col min="14343" max="14593" width="11.42578125" style="1"/>
    <col min="14594" max="14594" width="14.7109375" style="1" customWidth="1"/>
    <col min="14595" max="14595" width="16.85546875" style="1" customWidth="1"/>
    <col min="14596" max="14596" width="41.5703125" style="1" customWidth="1"/>
    <col min="14597" max="14597" width="12.5703125" style="1" customWidth="1"/>
    <col min="14598" max="14598" width="34.85546875" style="1" customWidth="1"/>
    <col min="14599" max="14849" width="11.42578125" style="1"/>
    <col min="14850" max="14850" width="14.7109375" style="1" customWidth="1"/>
    <col min="14851" max="14851" width="16.85546875" style="1" customWidth="1"/>
    <col min="14852" max="14852" width="41.5703125" style="1" customWidth="1"/>
    <col min="14853" max="14853" width="12.5703125" style="1" customWidth="1"/>
    <col min="14854" max="14854" width="34.85546875" style="1" customWidth="1"/>
    <col min="14855" max="15105" width="11.42578125" style="1"/>
    <col min="15106" max="15106" width="14.7109375" style="1" customWidth="1"/>
    <col min="15107" max="15107" width="16.85546875" style="1" customWidth="1"/>
    <col min="15108" max="15108" width="41.5703125" style="1" customWidth="1"/>
    <col min="15109" max="15109" width="12.5703125" style="1" customWidth="1"/>
    <col min="15110" max="15110" width="34.85546875" style="1" customWidth="1"/>
    <col min="15111" max="15361" width="11.42578125" style="1"/>
    <col min="15362" max="15362" width="14.7109375" style="1" customWidth="1"/>
    <col min="15363" max="15363" width="16.85546875" style="1" customWidth="1"/>
    <col min="15364" max="15364" width="41.5703125" style="1" customWidth="1"/>
    <col min="15365" max="15365" width="12.5703125" style="1" customWidth="1"/>
    <col min="15366" max="15366" width="34.85546875" style="1" customWidth="1"/>
    <col min="15367" max="15617" width="11.42578125" style="1"/>
    <col min="15618" max="15618" width="14.7109375" style="1" customWidth="1"/>
    <col min="15619" max="15619" width="16.85546875" style="1" customWidth="1"/>
    <col min="15620" max="15620" width="41.5703125" style="1" customWidth="1"/>
    <col min="15621" max="15621" width="12.5703125" style="1" customWidth="1"/>
    <col min="15622" max="15622" width="34.85546875" style="1" customWidth="1"/>
    <col min="15623" max="15873" width="11.42578125" style="1"/>
    <col min="15874" max="15874" width="14.7109375" style="1" customWidth="1"/>
    <col min="15875" max="15875" width="16.85546875" style="1" customWidth="1"/>
    <col min="15876" max="15876" width="41.5703125" style="1" customWidth="1"/>
    <col min="15877" max="15877" width="12.5703125" style="1" customWidth="1"/>
    <col min="15878" max="15878" width="34.85546875" style="1" customWidth="1"/>
    <col min="15879" max="16129" width="11.42578125" style="1"/>
    <col min="16130" max="16130" width="14.7109375" style="1" customWidth="1"/>
    <col min="16131" max="16131" width="16.85546875" style="1" customWidth="1"/>
    <col min="16132" max="16132" width="41.5703125" style="1" customWidth="1"/>
    <col min="16133" max="16133" width="12.5703125" style="1" customWidth="1"/>
    <col min="16134" max="16134" width="34.85546875" style="1" customWidth="1"/>
    <col min="16135" max="16384" width="11.42578125" style="1"/>
  </cols>
  <sheetData>
    <row r="1" spans="1:6" ht="13.5" thickBot="1" x14ac:dyDescent="0.25"/>
    <row r="2" spans="1:6" ht="33" customHeight="1" thickBot="1" x14ac:dyDescent="0.25">
      <c r="A2" s="980" t="s">
        <v>233</v>
      </c>
      <c r="B2" s="981"/>
      <c r="C2" s="981"/>
      <c r="D2" s="981"/>
      <c r="E2" s="981"/>
      <c r="F2" s="982"/>
    </row>
    <row r="3" spans="1:6" ht="13.5" thickBot="1" x14ac:dyDescent="0.25"/>
    <row r="4" spans="1:6" s="106" customFormat="1" ht="24.75" customHeight="1" thickBot="1" x14ac:dyDescent="0.25">
      <c r="A4" s="102" t="s">
        <v>234</v>
      </c>
      <c r="B4" s="103" t="s">
        <v>235</v>
      </c>
      <c r="C4" s="103" t="s">
        <v>236</v>
      </c>
      <c r="D4" s="104" t="s">
        <v>237</v>
      </c>
      <c r="E4" s="103" t="s">
        <v>238</v>
      </c>
      <c r="F4" s="105" t="s">
        <v>239</v>
      </c>
    </row>
    <row r="5" spans="1:6" s="113" customFormat="1" ht="28.5" customHeight="1" thickBot="1" x14ac:dyDescent="0.25">
      <c r="A5" s="107">
        <v>11</v>
      </c>
      <c r="B5" s="108" t="s">
        <v>240</v>
      </c>
      <c r="C5" s="109"/>
      <c r="D5" s="110"/>
      <c r="E5" s="111"/>
      <c r="F5" s="112"/>
    </row>
    <row r="6" spans="1:6" ht="19.5" thickBot="1" x14ac:dyDescent="0.3">
      <c r="A6" s="114"/>
      <c r="B6" s="115"/>
      <c r="C6" s="116">
        <v>1100000</v>
      </c>
      <c r="D6" s="117" t="s">
        <v>43</v>
      </c>
      <c r="E6" s="118" t="s">
        <v>241</v>
      </c>
      <c r="F6" s="112"/>
    </row>
    <row r="7" spans="1:6" ht="19.5" thickBot="1" x14ac:dyDescent="0.25">
      <c r="A7" s="114"/>
      <c r="B7" s="119"/>
      <c r="C7" s="120">
        <v>1110000</v>
      </c>
      <c r="D7" s="121" t="s">
        <v>44</v>
      </c>
      <c r="E7" s="122" t="s">
        <v>242</v>
      </c>
      <c r="F7" s="123" t="s">
        <v>243</v>
      </c>
    </row>
    <row r="8" spans="1:6" ht="15.75" x14ac:dyDescent="0.2">
      <c r="A8" s="114"/>
      <c r="B8" s="119"/>
      <c r="C8" s="974">
        <v>1150000</v>
      </c>
      <c r="D8" s="983" t="s">
        <v>45</v>
      </c>
      <c r="E8" s="124" t="s">
        <v>244</v>
      </c>
      <c r="F8" s="125" t="s">
        <v>245</v>
      </c>
    </row>
    <row r="9" spans="1:6" ht="16.5" thickBot="1" x14ac:dyDescent="0.25">
      <c r="A9" s="114"/>
      <c r="B9" s="119"/>
      <c r="C9" s="976"/>
      <c r="D9" s="984"/>
      <c r="E9" s="118" t="s">
        <v>246</v>
      </c>
      <c r="F9" s="126" t="s">
        <v>247</v>
      </c>
    </row>
    <row r="10" spans="1:6" ht="15.75" x14ac:dyDescent="0.2">
      <c r="A10" s="114"/>
      <c r="B10" s="119"/>
      <c r="C10" s="974">
        <v>1160000</v>
      </c>
      <c r="D10" s="985" t="s">
        <v>46</v>
      </c>
      <c r="E10" s="124" t="s">
        <v>248</v>
      </c>
      <c r="F10" s="125" t="s">
        <v>46</v>
      </c>
    </row>
    <row r="11" spans="1:6" ht="15.75" x14ac:dyDescent="0.2">
      <c r="A11" s="114"/>
      <c r="B11" s="119"/>
      <c r="C11" s="975"/>
      <c r="D11" s="986"/>
      <c r="E11" s="127" t="s">
        <v>249</v>
      </c>
      <c r="F11" s="128" t="s">
        <v>250</v>
      </c>
    </row>
    <row r="12" spans="1:6" ht="15.75" x14ac:dyDescent="0.2">
      <c r="A12" s="114"/>
      <c r="B12" s="119"/>
      <c r="C12" s="975"/>
      <c r="D12" s="986"/>
      <c r="E12" s="127" t="s">
        <v>251</v>
      </c>
      <c r="F12" s="128" t="s">
        <v>252</v>
      </c>
    </row>
    <row r="13" spans="1:6" ht="15.75" x14ac:dyDescent="0.2">
      <c r="A13" s="114"/>
      <c r="B13" s="119"/>
      <c r="C13" s="975"/>
      <c r="D13" s="986"/>
      <c r="E13" s="127" t="s">
        <v>253</v>
      </c>
      <c r="F13" s="128" t="s">
        <v>254</v>
      </c>
    </row>
    <row r="14" spans="1:6" ht="15.75" x14ac:dyDescent="0.2">
      <c r="A14" s="114"/>
      <c r="B14" s="119"/>
      <c r="C14" s="975"/>
      <c r="D14" s="986"/>
      <c r="E14" s="127" t="s">
        <v>255</v>
      </c>
      <c r="F14" s="128" t="s">
        <v>256</v>
      </c>
    </row>
    <row r="15" spans="1:6" ht="15.75" x14ac:dyDescent="0.2">
      <c r="A15" s="114"/>
      <c r="B15" s="119"/>
      <c r="C15" s="975"/>
      <c r="D15" s="986"/>
      <c r="E15" s="127" t="s">
        <v>257</v>
      </c>
      <c r="F15" s="128" t="s">
        <v>258</v>
      </c>
    </row>
    <row r="16" spans="1:6" ht="15.75" x14ac:dyDescent="0.2">
      <c r="A16" s="114"/>
      <c r="B16" s="119"/>
      <c r="C16" s="975"/>
      <c r="D16" s="986"/>
      <c r="E16" s="127" t="s">
        <v>259</v>
      </c>
      <c r="F16" s="128" t="s">
        <v>260</v>
      </c>
    </row>
    <row r="17" spans="1:6" ht="15.75" x14ac:dyDescent="0.2">
      <c r="A17" s="114"/>
      <c r="B17" s="119"/>
      <c r="C17" s="975"/>
      <c r="D17" s="986"/>
      <c r="E17" s="127" t="s">
        <v>261</v>
      </c>
      <c r="F17" s="128" t="s">
        <v>262</v>
      </c>
    </row>
    <row r="18" spans="1:6" ht="15.75" x14ac:dyDescent="0.2">
      <c r="A18" s="114"/>
      <c r="B18" s="119"/>
      <c r="C18" s="975"/>
      <c r="D18" s="986"/>
      <c r="E18" s="127" t="s">
        <v>263</v>
      </c>
      <c r="F18" s="128" t="s">
        <v>264</v>
      </c>
    </row>
    <row r="19" spans="1:6" ht="15.75" x14ac:dyDescent="0.2">
      <c r="A19" s="114"/>
      <c r="B19" s="119"/>
      <c r="C19" s="975"/>
      <c r="D19" s="986"/>
      <c r="E19" s="127" t="s">
        <v>265</v>
      </c>
      <c r="F19" s="128" t="s">
        <v>266</v>
      </c>
    </row>
    <row r="20" spans="1:6" ht="15.75" x14ac:dyDescent="0.2">
      <c r="A20" s="114"/>
      <c r="B20" s="119"/>
      <c r="C20" s="975"/>
      <c r="D20" s="986"/>
      <c r="E20" s="127" t="s">
        <v>267</v>
      </c>
      <c r="F20" s="128" t="s">
        <v>268</v>
      </c>
    </row>
    <row r="21" spans="1:6" ht="15.75" x14ac:dyDescent="0.2">
      <c r="A21" s="114"/>
      <c r="B21" s="119"/>
      <c r="C21" s="975"/>
      <c r="D21" s="986"/>
      <c r="E21" s="127" t="s">
        <v>269</v>
      </c>
      <c r="F21" s="128" t="s">
        <v>270</v>
      </c>
    </row>
    <row r="22" spans="1:6" ht="15.75" x14ac:dyDescent="0.2">
      <c r="A22" s="114"/>
      <c r="B22" s="119"/>
      <c r="C22" s="975"/>
      <c r="D22" s="986"/>
      <c r="E22" s="127" t="s">
        <v>271</v>
      </c>
      <c r="F22" s="128" t="s">
        <v>272</v>
      </c>
    </row>
    <row r="23" spans="1:6" ht="15.75" x14ac:dyDescent="0.2">
      <c r="A23" s="114"/>
      <c r="B23" s="119"/>
      <c r="C23" s="975"/>
      <c r="D23" s="986"/>
      <c r="E23" s="127" t="s">
        <v>273</v>
      </c>
      <c r="F23" s="128" t="s">
        <v>274</v>
      </c>
    </row>
    <row r="24" spans="1:6" ht="15.75" x14ac:dyDescent="0.2">
      <c r="A24" s="114"/>
      <c r="B24" s="119"/>
      <c r="C24" s="975"/>
      <c r="D24" s="986"/>
      <c r="E24" s="127" t="s">
        <v>275</v>
      </c>
      <c r="F24" s="128" t="s">
        <v>276</v>
      </c>
    </row>
    <row r="25" spans="1:6" ht="15.75" x14ac:dyDescent="0.2">
      <c r="A25" s="114"/>
      <c r="B25" s="119"/>
      <c r="C25" s="975"/>
      <c r="D25" s="986"/>
      <c r="E25" s="127" t="s">
        <v>277</v>
      </c>
      <c r="F25" s="128" t="s">
        <v>278</v>
      </c>
    </row>
    <row r="26" spans="1:6" ht="15.75" x14ac:dyDescent="0.2">
      <c r="A26" s="114"/>
      <c r="B26" s="119"/>
      <c r="C26" s="975"/>
      <c r="D26" s="986"/>
      <c r="E26" s="127" t="s">
        <v>279</v>
      </c>
      <c r="F26" s="128" t="s">
        <v>280</v>
      </c>
    </row>
    <row r="27" spans="1:6" ht="16.5" thickBot="1" x14ac:dyDescent="0.25">
      <c r="A27" s="114"/>
      <c r="B27" s="119"/>
      <c r="C27" s="976"/>
      <c r="D27" s="987"/>
      <c r="E27" s="118" t="s">
        <v>281</v>
      </c>
      <c r="F27" s="126" t="s">
        <v>282</v>
      </c>
    </row>
    <row r="28" spans="1:6" ht="15.75" x14ac:dyDescent="0.2">
      <c r="A28" s="114"/>
      <c r="B28" s="119"/>
      <c r="C28" s="974">
        <v>1170000</v>
      </c>
      <c r="D28" s="985" t="s">
        <v>47</v>
      </c>
      <c r="E28" s="124" t="s">
        <v>283</v>
      </c>
      <c r="F28" s="125" t="s">
        <v>284</v>
      </c>
    </row>
    <row r="29" spans="1:6" ht="15.75" x14ac:dyDescent="0.2">
      <c r="A29" s="114"/>
      <c r="B29" s="119"/>
      <c r="C29" s="975"/>
      <c r="D29" s="986"/>
      <c r="E29" s="127" t="s">
        <v>285</v>
      </c>
      <c r="F29" s="128" t="s">
        <v>286</v>
      </c>
    </row>
    <row r="30" spans="1:6" ht="16.5" thickBot="1" x14ac:dyDescent="0.25">
      <c r="A30" s="114"/>
      <c r="B30" s="119"/>
      <c r="C30" s="976"/>
      <c r="D30" s="987"/>
      <c r="E30" s="118" t="s">
        <v>287</v>
      </c>
      <c r="F30" s="126" t="s">
        <v>288</v>
      </c>
    </row>
    <row r="31" spans="1:6" ht="19.5" thickBot="1" x14ac:dyDescent="0.25">
      <c r="A31" s="114"/>
      <c r="B31" s="119"/>
      <c r="C31" s="120">
        <v>1180000</v>
      </c>
      <c r="D31" s="129" t="s">
        <v>48</v>
      </c>
      <c r="E31" s="122" t="s">
        <v>289</v>
      </c>
      <c r="F31" s="123" t="s">
        <v>290</v>
      </c>
    </row>
    <row r="32" spans="1:6" ht="15.75" x14ac:dyDescent="0.2">
      <c r="A32" s="114"/>
      <c r="B32" s="119"/>
      <c r="C32" s="974">
        <v>1190000</v>
      </c>
      <c r="D32" s="977" t="s">
        <v>146</v>
      </c>
      <c r="E32" s="124" t="s">
        <v>291</v>
      </c>
      <c r="F32" s="125" t="s">
        <v>292</v>
      </c>
    </row>
    <row r="33" spans="1:6" ht="15.75" x14ac:dyDescent="0.2">
      <c r="A33" s="114"/>
      <c r="B33" s="119"/>
      <c r="C33" s="975"/>
      <c r="D33" s="978"/>
      <c r="E33" s="127" t="s">
        <v>293</v>
      </c>
      <c r="F33" s="128" t="s">
        <v>294</v>
      </c>
    </row>
    <row r="34" spans="1:6" ht="16.5" thickBot="1" x14ac:dyDescent="0.25">
      <c r="A34" s="130"/>
      <c r="B34" s="131"/>
      <c r="C34" s="976"/>
      <c r="D34" s="979"/>
      <c r="E34" s="118" t="s">
        <v>295</v>
      </c>
      <c r="F34" s="126" t="s">
        <v>296</v>
      </c>
    </row>
    <row r="35" spans="1:6" s="113" customFormat="1" ht="27" customHeight="1" thickBot="1" x14ac:dyDescent="0.25">
      <c r="A35" s="132">
        <v>15</v>
      </c>
      <c r="B35" s="133" t="s">
        <v>152</v>
      </c>
      <c r="C35" s="134"/>
      <c r="D35" s="129"/>
      <c r="E35" s="135"/>
      <c r="F35" s="136"/>
    </row>
    <row r="36" spans="1:6" ht="19.5" thickBot="1" x14ac:dyDescent="0.25">
      <c r="A36" s="114"/>
      <c r="B36" s="119"/>
      <c r="C36" s="116">
        <v>1510000</v>
      </c>
      <c r="D36" s="137" t="s">
        <v>148</v>
      </c>
      <c r="E36" s="118" t="s">
        <v>297</v>
      </c>
      <c r="F36" s="126" t="s">
        <v>298</v>
      </c>
    </row>
    <row r="37" spans="1:6" ht="17.25" customHeight="1" thickBot="1" x14ac:dyDescent="0.25">
      <c r="A37" s="114"/>
      <c r="B37" s="119"/>
      <c r="C37" s="120">
        <v>1520000</v>
      </c>
      <c r="D37" s="129" t="s">
        <v>149</v>
      </c>
      <c r="E37" s="122" t="s">
        <v>299</v>
      </c>
      <c r="F37" s="123" t="s">
        <v>300</v>
      </c>
    </row>
    <row r="38" spans="1:6" ht="15.75" x14ac:dyDescent="0.2">
      <c r="A38" s="114"/>
      <c r="B38" s="119"/>
      <c r="C38" s="138">
        <v>1530000</v>
      </c>
      <c r="D38" s="977" t="s">
        <v>301</v>
      </c>
      <c r="E38" s="124" t="s">
        <v>302</v>
      </c>
      <c r="F38" s="125" t="s">
        <v>303</v>
      </c>
    </row>
    <row r="39" spans="1:6" ht="15.75" x14ac:dyDescent="0.2">
      <c r="A39" s="114"/>
      <c r="B39" s="119"/>
      <c r="C39" s="139">
        <v>1530000</v>
      </c>
      <c r="D39" s="978"/>
      <c r="E39" s="127" t="s">
        <v>304</v>
      </c>
      <c r="F39" s="128" t="s">
        <v>305</v>
      </c>
    </row>
    <row r="40" spans="1:6" ht="15.75" x14ac:dyDescent="0.2">
      <c r="A40" s="114"/>
      <c r="B40" s="119"/>
      <c r="C40" s="139">
        <v>1530000</v>
      </c>
      <c r="D40" s="978"/>
      <c r="E40" s="127" t="s">
        <v>306</v>
      </c>
      <c r="F40" s="128" t="s">
        <v>307</v>
      </c>
    </row>
    <row r="41" spans="1:6" ht="16.5" thickBot="1" x14ac:dyDescent="0.25">
      <c r="A41" s="114"/>
      <c r="B41" s="119"/>
      <c r="C41" s="116">
        <v>1530000</v>
      </c>
      <c r="D41" s="979"/>
      <c r="E41" s="118" t="s">
        <v>308</v>
      </c>
      <c r="F41" s="126" t="s">
        <v>309</v>
      </c>
    </row>
    <row r="42" spans="1:6" ht="21.75" thickBot="1" x14ac:dyDescent="0.25">
      <c r="A42" s="132">
        <v>21</v>
      </c>
      <c r="B42" s="133" t="s">
        <v>177</v>
      </c>
      <c r="C42" s="134"/>
      <c r="D42" s="129"/>
      <c r="E42" s="135"/>
      <c r="F42" s="136"/>
    </row>
    <row r="43" spans="1:6" ht="19.5" thickBot="1" x14ac:dyDescent="0.25">
      <c r="A43" s="114"/>
      <c r="B43" s="119"/>
      <c r="C43" s="120">
        <v>2102000</v>
      </c>
      <c r="D43" s="129" t="s">
        <v>310</v>
      </c>
      <c r="E43" s="122" t="s">
        <v>311</v>
      </c>
      <c r="F43" s="123" t="s">
        <v>312</v>
      </c>
    </row>
    <row r="44" spans="1:6" ht="19.5" thickBot="1" x14ac:dyDescent="0.25">
      <c r="A44" s="114"/>
      <c r="B44" s="119"/>
      <c r="C44" s="120">
        <v>2103000</v>
      </c>
      <c r="D44" s="129" t="s">
        <v>313</v>
      </c>
      <c r="E44" s="122" t="s">
        <v>314</v>
      </c>
      <c r="F44" s="136"/>
    </row>
    <row r="45" spans="1:6" ht="19.5" thickBot="1" x14ac:dyDescent="0.25">
      <c r="A45" s="114"/>
      <c r="B45" s="119"/>
      <c r="C45" s="120">
        <v>2104000</v>
      </c>
      <c r="D45" s="129" t="s">
        <v>315</v>
      </c>
      <c r="E45" s="122" t="s">
        <v>316</v>
      </c>
      <c r="F45" s="136"/>
    </row>
    <row r="46" spans="1:6" ht="19.5" thickBot="1" x14ac:dyDescent="0.25">
      <c r="A46" s="114"/>
      <c r="B46" s="119"/>
      <c r="C46" s="120">
        <v>2105000</v>
      </c>
      <c r="D46" s="129" t="s">
        <v>164</v>
      </c>
      <c r="E46" s="122" t="s">
        <v>317</v>
      </c>
      <c r="F46" s="123"/>
    </row>
    <row r="47" spans="1:6" ht="15.75" x14ac:dyDescent="0.2">
      <c r="A47" s="114"/>
      <c r="B47" s="119"/>
      <c r="C47" s="974">
        <v>2150000</v>
      </c>
      <c r="D47" s="977" t="s">
        <v>318</v>
      </c>
      <c r="E47" s="124" t="s">
        <v>319</v>
      </c>
      <c r="F47" s="125" t="s">
        <v>320</v>
      </c>
    </row>
    <row r="48" spans="1:6" ht="16.5" thickBot="1" x14ac:dyDescent="0.25">
      <c r="A48" s="140"/>
      <c r="C48" s="976"/>
      <c r="D48" s="979"/>
      <c r="E48" s="118" t="s">
        <v>321</v>
      </c>
      <c r="F48" s="126" t="s">
        <v>322</v>
      </c>
    </row>
    <row r="49" spans="1:6" ht="19.5" thickBot="1" x14ac:dyDescent="0.25">
      <c r="A49" s="140"/>
      <c r="C49" s="120">
        <v>2152000</v>
      </c>
      <c r="D49" s="129" t="s">
        <v>323</v>
      </c>
      <c r="E49" s="122" t="s">
        <v>324</v>
      </c>
      <c r="F49" s="123"/>
    </row>
    <row r="50" spans="1:6" ht="15.75" x14ac:dyDescent="0.2">
      <c r="A50" s="140"/>
      <c r="C50" s="974">
        <v>2160000</v>
      </c>
      <c r="D50" s="977" t="s">
        <v>172</v>
      </c>
      <c r="E50" s="124" t="s">
        <v>325</v>
      </c>
      <c r="F50" s="125" t="s">
        <v>173</v>
      </c>
    </row>
    <row r="51" spans="1:6" ht="15.75" x14ac:dyDescent="0.2">
      <c r="A51" s="140"/>
      <c r="C51" s="975"/>
      <c r="D51" s="978"/>
      <c r="E51" s="127" t="s">
        <v>326</v>
      </c>
      <c r="F51" s="128" t="s">
        <v>174</v>
      </c>
    </row>
    <row r="52" spans="1:6" ht="16.5" thickBot="1" x14ac:dyDescent="0.25">
      <c r="A52" s="140"/>
      <c r="C52" s="976"/>
      <c r="D52" s="979"/>
      <c r="E52" s="118" t="s">
        <v>327</v>
      </c>
      <c r="F52" s="126" t="s">
        <v>328</v>
      </c>
    </row>
    <row r="53" spans="1:6" ht="19.5" thickBot="1" x14ac:dyDescent="0.25">
      <c r="A53" s="140"/>
      <c r="C53" s="120">
        <v>2175000</v>
      </c>
      <c r="D53" s="129" t="s">
        <v>175</v>
      </c>
      <c r="E53" s="122" t="s">
        <v>329</v>
      </c>
      <c r="F53" s="123"/>
    </row>
    <row r="54" spans="1:6" ht="19.5" thickBot="1" x14ac:dyDescent="0.25">
      <c r="A54" s="140"/>
      <c r="C54" s="120">
        <v>2176000</v>
      </c>
      <c r="D54" s="129" t="s">
        <v>330</v>
      </c>
      <c r="E54" s="122" t="s">
        <v>331</v>
      </c>
      <c r="F54" s="123"/>
    </row>
    <row r="55" spans="1:6" ht="21.75" thickBot="1" x14ac:dyDescent="0.25">
      <c r="A55" s="132">
        <v>22</v>
      </c>
      <c r="B55" s="133" t="s">
        <v>180</v>
      </c>
      <c r="C55" s="134"/>
      <c r="D55" s="129"/>
      <c r="E55" s="135"/>
      <c r="F55" s="136"/>
    </row>
    <row r="56" spans="1:6" ht="19.5" thickBot="1" x14ac:dyDescent="0.25">
      <c r="A56" s="140"/>
      <c r="C56" s="120">
        <v>2200000</v>
      </c>
      <c r="D56" s="129" t="s">
        <v>178</v>
      </c>
      <c r="E56" s="122" t="s">
        <v>332</v>
      </c>
      <c r="F56" s="136"/>
    </row>
    <row r="57" spans="1:6" ht="19.5" thickBot="1" x14ac:dyDescent="0.25">
      <c r="A57" s="140"/>
      <c r="C57" s="120">
        <v>2210000</v>
      </c>
      <c r="D57" s="129" t="s">
        <v>333</v>
      </c>
      <c r="E57" s="122" t="s">
        <v>334</v>
      </c>
      <c r="F57" s="123" t="s">
        <v>335</v>
      </c>
    </row>
    <row r="58" spans="1:6" ht="19.5" thickBot="1" x14ac:dyDescent="0.25">
      <c r="A58" s="140"/>
      <c r="C58" s="120">
        <v>2220000</v>
      </c>
      <c r="D58" s="129" t="s">
        <v>179</v>
      </c>
      <c r="E58" s="122" t="s">
        <v>336</v>
      </c>
      <c r="F58" s="136"/>
    </row>
    <row r="59" spans="1:6" ht="21.75" thickBot="1" x14ac:dyDescent="0.25">
      <c r="A59" s="132">
        <v>23</v>
      </c>
      <c r="B59" s="133" t="s">
        <v>192</v>
      </c>
      <c r="C59" s="134"/>
      <c r="D59" s="129"/>
      <c r="E59" s="135"/>
      <c r="F59" s="136"/>
    </row>
    <row r="60" spans="1:6" ht="19.5" thickBot="1" x14ac:dyDescent="0.25">
      <c r="A60" s="140"/>
      <c r="C60" s="120">
        <v>2350000</v>
      </c>
      <c r="D60" s="129" t="s">
        <v>337</v>
      </c>
      <c r="E60" s="122" t="s">
        <v>338</v>
      </c>
      <c r="F60" s="136"/>
    </row>
    <row r="61" spans="1:6" ht="15.75" x14ac:dyDescent="0.2">
      <c r="A61" s="140"/>
      <c r="C61" s="974">
        <v>2360000</v>
      </c>
      <c r="D61" s="977" t="s">
        <v>339</v>
      </c>
      <c r="E61" s="124" t="s">
        <v>340</v>
      </c>
      <c r="F61" s="125" t="s">
        <v>341</v>
      </c>
    </row>
    <row r="62" spans="1:6" ht="16.5" thickBot="1" x14ac:dyDescent="0.25">
      <c r="A62" s="140"/>
      <c r="C62" s="976"/>
      <c r="D62" s="979"/>
      <c r="E62" s="118" t="s">
        <v>342</v>
      </c>
      <c r="F62" s="126" t="s">
        <v>186</v>
      </c>
    </row>
    <row r="63" spans="1:6" ht="19.5" thickBot="1" x14ac:dyDescent="0.25">
      <c r="A63" s="140"/>
      <c r="C63" s="120">
        <v>2365000</v>
      </c>
      <c r="D63" s="129" t="s">
        <v>343</v>
      </c>
      <c r="E63" s="122" t="s">
        <v>344</v>
      </c>
      <c r="F63" s="136"/>
    </row>
    <row r="64" spans="1:6" ht="19.5" customHeight="1" thickBot="1" x14ac:dyDescent="0.25">
      <c r="A64" s="140"/>
      <c r="C64" s="141">
        <v>2370000</v>
      </c>
      <c r="D64" s="129" t="s">
        <v>188</v>
      </c>
      <c r="E64" s="142" t="s">
        <v>345</v>
      </c>
      <c r="F64" s="136"/>
    </row>
    <row r="65" spans="1:6" ht="19.5" customHeight="1" thickBot="1" x14ac:dyDescent="0.25">
      <c r="A65" s="140"/>
      <c r="C65" s="120">
        <v>2375000</v>
      </c>
      <c r="D65" s="129" t="s">
        <v>346</v>
      </c>
      <c r="E65" s="142" t="s">
        <v>347</v>
      </c>
      <c r="F65" s="136"/>
    </row>
    <row r="66" spans="1:6" ht="18.75" x14ac:dyDescent="0.2">
      <c r="A66" s="140"/>
      <c r="C66" s="974">
        <v>2380000</v>
      </c>
      <c r="D66" s="143" t="s">
        <v>348</v>
      </c>
      <c r="E66" s="144" t="s">
        <v>349</v>
      </c>
      <c r="F66" s="145"/>
    </row>
    <row r="67" spans="1:6" ht="19.5" thickBot="1" x14ac:dyDescent="0.25">
      <c r="A67" s="140"/>
      <c r="C67" s="976"/>
      <c r="D67" s="146" t="s">
        <v>350</v>
      </c>
      <c r="E67" s="147" t="s">
        <v>351</v>
      </c>
      <c r="F67" s="112"/>
    </row>
    <row r="68" spans="1:6" ht="18.75" x14ac:dyDescent="0.3">
      <c r="A68" s="140"/>
      <c r="C68" s="974">
        <v>2390000</v>
      </c>
      <c r="D68" s="148" t="s">
        <v>190</v>
      </c>
      <c r="E68" s="144" t="s">
        <v>352</v>
      </c>
      <c r="F68" s="145"/>
    </row>
    <row r="69" spans="1:6" ht="19.5" thickBot="1" x14ac:dyDescent="0.35">
      <c r="A69" s="140"/>
      <c r="C69" s="976"/>
      <c r="D69" s="149" t="s">
        <v>191</v>
      </c>
      <c r="E69" s="150" t="s">
        <v>353</v>
      </c>
      <c r="F69" s="112"/>
    </row>
    <row r="70" spans="1:6" ht="21.75" thickBot="1" x14ac:dyDescent="0.25">
      <c r="A70" s="132">
        <v>31</v>
      </c>
      <c r="B70" s="133" t="s">
        <v>208</v>
      </c>
      <c r="C70" s="134"/>
      <c r="D70" s="129"/>
      <c r="E70" s="135"/>
      <c r="F70" s="136"/>
    </row>
    <row r="71" spans="1:6" ht="15.75" x14ac:dyDescent="0.2">
      <c r="A71" s="140"/>
      <c r="C71" s="974">
        <v>3100000</v>
      </c>
      <c r="D71" s="977" t="s">
        <v>83</v>
      </c>
      <c r="E71" s="144" t="s">
        <v>354</v>
      </c>
      <c r="F71" s="125" t="s">
        <v>355</v>
      </c>
    </row>
    <row r="72" spans="1:6" ht="15.75" x14ac:dyDescent="0.2">
      <c r="A72" s="140"/>
      <c r="C72" s="975"/>
      <c r="D72" s="978"/>
      <c r="E72" s="151" t="s">
        <v>356</v>
      </c>
      <c r="F72" s="128" t="s">
        <v>69</v>
      </c>
    </row>
    <row r="73" spans="1:6" ht="15.75" x14ac:dyDescent="0.2">
      <c r="A73" s="140"/>
      <c r="C73" s="975"/>
      <c r="D73" s="978"/>
      <c r="E73" s="151" t="s">
        <v>357</v>
      </c>
      <c r="F73" s="128" t="s">
        <v>193</v>
      </c>
    </row>
    <row r="74" spans="1:6" ht="16.5" thickBot="1" x14ac:dyDescent="0.25">
      <c r="A74" s="140"/>
      <c r="C74" s="976"/>
      <c r="D74" s="979"/>
      <c r="E74" s="150" t="s">
        <v>358</v>
      </c>
      <c r="F74" s="126" t="s">
        <v>194</v>
      </c>
    </row>
    <row r="75" spans="1:6" ht="19.5" thickBot="1" x14ac:dyDescent="0.25">
      <c r="A75" s="140"/>
      <c r="C75" s="141">
        <v>3110000</v>
      </c>
      <c r="D75" s="129" t="s">
        <v>359</v>
      </c>
      <c r="E75" s="142" t="s">
        <v>360</v>
      </c>
      <c r="F75" s="123" t="s">
        <v>361</v>
      </c>
    </row>
    <row r="76" spans="1:6" ht="15.75" x14ac:dyDescent="0.2">
      <c r="A76" s="140"/>
      <c r="C76" s="974">
        <v>3115000</v>
      </c>
      <c r="D76" s="977" t="s">
        <v>134</v>
      </c>
      <c r="E76" s="144" t="s">
        <v>362</v>
      </c>
      <c r="F76" s="125" t="s">
        <v>363</v>
      </c>
    </row>
    <row r="77" spans="1:6" ht="16.5" thickBot="1" x14ac:dyDescent="0.25">
      <c r="A77" s="140"/>
      <c r="C77" s="976"/>
      <c r="D77" s="979"/>
      <c r="E77" s="150" t="s">
        <v>364</v>
      </c>
      <c r="F77" s="126" t="s">
        <v>195</v>
      </c>
    </row>
    <row r="78" spans="1:6" ht="19.5" thickBot="1" x14ac:dyDescent="0.25">
      <c r="A78" s="140"/>
      <c r="C78" s="141">
        <v>3116000</v>
      </c>
      <c r="D78" s="129" t="s">
        <v>365</v>
      </c>
      <c r="E78" s="142" t="s">
        <v>366</v>
      </c>
      <c r="F78" s="123" t="s">
        <v>367</v>
      </c>
    </row>
    <row r="79" spans="1:6" ht="15.75" x14ac:dyDescent="0.2">
      <c r="A79" s="140"/>
      <c r="C79" s="974">
        <v>3116500</v>
      </c>
      <c r="D79" s="977" t="s">
        <v>196</v>
      </c>
      <c r="E79" s="144" t="s">
        <v>368</v>
      </c>
      <c r="F79" s="125" t="s">
        <v>369</v>
      </c>
    </row>
    <row r="80" spans="1:6" ht="15.75" x14ac:dyDescent="0.2">
      <c r="A80" s="140"/>
      <c r="C80" s="975"/>
      <c r="D80" s="978"/>
      <c r="E80" s="151" t="s">
        <v>370</v>
      </c>
      <c r="F80" s="128" t="s">
        <v>371</v>
      </c>
    </row>
    <row r="81" spans="1:6" ht="15.75" x14ac:dyDescent="0.2">
      <c r="A81" s="140"/>
      <c r="C81" s="975"/>
      <c r="D81" s="978"/>
      <c r="E81" s="151" t="s">
        <v>372</v>
      </c>
      <c r="F81" s="128" t="s">
        <v>373</v>
      </c>
    </row>
    <row r="82" spans="1:6" ht="15.75" x14ac:dyDescent="0.2">
      <c r="A82" s="140"/>
      <c r="C82" s="975"/>
      <c r="D82" s="978"/>
      <c r="E82" s="151" t="s">
        <v>374</v>
      </c>
      <c r="F82" s="128" t="s">
        <v>375</v>
      </c>
    </row>
    <row r="83" spans="1:6" ht="15.75" x14ac:dyDescent="0.2">
      <c r="A83" s="140"/>
      <c r="C83" s="975"/>
      <c r="D83" s="978"/>
      <c r="E83" s="151" t="s">
        <v>376</v>
      </c>
      <c r="F83" s="128" t="s">
        <v>377</v>
      </c>
    </row>
    <row r="84" spans="1:6" ht="16.5" thickBot="1" x14ac:dyDescent="0.25">
      <c r="A84" s="140"/>
      <c r="C84" s="976"/>
      <c r="D84" s="979"/>
      <c r="E84" s="150" t="s">
        <v>378</v>
      </c>
      <c r="F84" s="126" t="s">
        <v>379</v>
      </c>
    </row>
    <row r="85" spans="1:6" ht="15.75" x14ac:dyDescent="0.2">
      <c r="A85" s="140"/>
      <c r="C85" s="974">
        <v>3120000</v>
      </c>
      <c r="D85" s="977" t="s">
        <v>197</v>
      </c>
      <c r="E85" s="144" t="s">
        <v>380</v>
      </c>
      <c r="F85" s="125" t="s">
        <v>381</v>
      </c>
    </row>
    <row r="86" spans="1:6" ht="15.75" x14ac:dyDescent="0.2">
      <c r="A86" s="140"/>
      <c r="C86" s="975"/>
      <c r="D86" s="978"/>
      <c r="E86" s="151" t="s">
        <v>382</v>
      </c>
      <c r="F86" s="128" t="s">
        <v>383</v>
      </c>
    </row>
    <row r="87" spans="1:6" ht="15.75" x14ac:dyDescent="0.2">
      <c r="A87" s="140"/>
      <c r="C87" s="975"/>
      <c r="D87" s="978"/>
      <c r="E87" s="151" t="s">
        <v>384</v>
      </c>
      <c r="F87" s="128" t="s">
        <v>385</v>
      </c>
    </row>
    <row r="88" spans="1:6" ht="15.75" x14ac:dyDescent="0.2">
      <c r="A88" s="140"/>
      <c r="C88" s="975"/>
      <c r="D88" s="978"/>
      <c r="E88" s="151" t="s">
        <v>386</v>
      </c>
      <c r="F88" s="128" t="s">
        <v>387</v>
      </c>
    </row>
    <row r="89" spans="1:6" ht="15.75" x14ac:dyDescent="0.2">
      <c r="A89" s="140"/>
      <c r="C89" s="975"/>
      <c r="D89" s="978"/>
      <c r="E89" s="151" t="s">
        <v>388</v>
      </c>
      <c r="F89" s="128" t="s">
        <v>70</v>
      </c>
    </row>
    <row r="90" spans="1:6" ht="15.75" x14ac:dyDescent="0.2">
      <c r="A90" s="140"/>
      <c r="C90" s="975"/>
      <c r="D90" s="978"/>
      <c r="E90" s="151" t="s">
        <v>389</v>
      </c>
      <c r="F90" s="128" t="s">
        <v>390</v>
      </c>
    </row>
    <row r="91" spans="1:6" ht="15.75" x14ac:dyDescent="0.2">
      <c r="A91" s="140"/>
      <c r="C91" s="975"/>
      <c r="D91" s="978"/>
      <c r="E91" s="151" t="s">
        <v>391</v>
      </c>
      <c r="F91" s="128" t="s">
        <v>392</v>
      </c>
    </row>
    <row r="92" spans="1:6" ht="15.75" x14ac:dyDescent="0.2">
      <c r="A92" s="140"/>
      <c r="C92" s="975"/>
      <c r="D92" s="978"/>
      <c r="E92" s="151" t="s">
        <v>393</v>
      </c>
      <c r="F92" s="128" t="s">
        <v>71</v>
      </c>
    </row>
    <row r="93" spans="1:6" ht="15.75" x14ac:dyDescent="0.2">
      <c r="A93" s="140"/>
      <c r="C93" s="975"/>
      <c r="D93" s="978"/>
      <c r="E93" s="151" t="s">
        <v>394</v>
      </c>
      <c r="F93" s="128" t="s">
        <v>395</v>
      </c>
    </row>
    <row r="94" spans="1:6" ht="15.75" x14ac:dyDescent="0.2">
      <c r="A94" s="140"/>
      <c r="C94" s="975"/>
      <c r="D94" s="978"/>
      <c r="E94" s="151" t="s">
        <v>396</v>
      </c>
      <c r="F94" s="128" t="s">
        <v>397</v>
      </c>
    </row>
    <row r="95" spans="1:6" ht="16.5" thickBot="1" x14ac:dyDescent="0.25">
      <c r="A95" s="140"/>
      <c r="C95" s="976"/>
      <c r="D95" s="979"/>
      <c r="E95" s="150" t="s">
        <v>398</v>
      </c>
      <c r="F95" s="126" t="s">
        <v>399</v>
      </c>
    </row>
    <row r="96" spans="1:6" ht="19.5" thickBot="1" x14ac:dyDescent="0.35">
      <c r="A96" s="140"/>
      <c r="C96" s="141">
        <v>3135000</v>
      </c>
      <c r="D96" s="152" t="s">
        <v>400</v>
      </c>
      <c r="E96" s="142" t="s">
        <v>401</v>
      </c>
      <c r="F96" s="136"/>
    </row>
    <row r="97" spans="1:6" ht="19.5" thickBot="1" x14ac:dyDescent="0.35">
      <c r="A97" s="140"/>
      <c r="C97" s="141">
        <v>3190000</v>
      </c>
      <c r="D97" s="152" t="s">
        <v>402</v>
      </c>
      <c r="E97" s="142" t="s">
        <v>403</v>
      </c>
      <c r="F97" s="123"/>
    </row>
    <row r="98" spans="1:6" ht="19.5" thickBot="1" x14ac:dyDescent="0.35">
      <c r="A98" s="140"/>
      <c r="C98" s="141">
        <v>3191000</v>
      </c>
      <c r="D98" s="152" t="s">
        <v>404</v>
      </c>
      <c r="E98" s="142" t="s">
        <v>405</v>
      </c>
      <c r="F98" s="136"/>
    </row>
    <row r="99" spans="1:6" ht="21.75" thickBot="1" x14ac:dyDescent="0.25">
      <c r="A99" s="132">
        <v>41</v>
      </c>
      <c r="B99" s="133" t="s">
        <v>218</v>
      </c>
      <c r="C99" s="134"/>
      <c r="D99" s="129"/>
      <c r="E99" s="135"/>
      <c r="F99" s="136"/>
    </row>
    <row r="100" spans="1:6" ht="15.75" x14ac:dyDescent="0.2">
      <c r="A100" s="140"/>
      <c r="C100" s="974">
        <v>4100000</v>
      </c>
      <c r="D100" s="977" t="s">
        <v>209</v>
      </c>
      <c r="E100" s="144" t="s">
        <v>406</v>
      </c>
      <c r="F100" s="125" t="s">
        <v>407</v>
      </c>
    </row>
    <row r="101" spans="1:6" ht="16.5" thickBot="1" x14ac:dyDescent="0.25">
      <c r="A101" s="140"/>
      <c r="C101" s="976"/>
      <c r="D101" s="979"/>
      <c r="E101" s="150" t="s">
        <v>408</v>
      </c>
      <c r="F101" s="126" t="s">
        <v>95</v>
      </c>
    </row>
    <row r="102" spans="1:6" ht="19.5" thickBot="1" x14ac:dyDescent="0.25">
      <c r="A102" s="140"/>
      <c r="C102" s="141">
        <v>4120000</v>
      </c>
      <c r="D102" s="129" t="s">
        <v>210</v>
      </c>
      <c r="E102" s="142" t="s">
        <v>409</v>
      </c>
      <c r="F102" s="123" t="s">
        <v>410</v>
      </c>
    </row>
    <row r="103" spans="1:6" ht="19.5" thickBot="1" x14ac:dyDescent="0.25">
      <c r="A103" s="140"/>
      <c r="C103" s="141">
        <v>4130000</v>
      </c>
      <c r="D103" s="129" t="s">
        <v>73</v>
      </c>
      <c r="E103" s="142" t="s">
        <v>411</v>
      </c>
      <c r="F103" s="136"/>
    </row>
    <row r="104" spans="1:6" ht="19.5" thickBot="1" x14ac:dyDescent="0.25">
      <c r="A104" s="140"/>
      <c r="C104" s="141">
        <v>4150000</v>
      </c>
      <c r="D104" s="129" t="s">
        <v>211</v>
      </c>
      <c r="E104" s="142" t="s">
        <v>412</v>
      </c>
      <c r="F104" s="136"/>
    </row>
    <row r="105" spans="1:6" ht="15.75" x14ac:dyDescent="0.2">
      <c r="A105" s="140"/>
      <c r="C105" s="974">
        <v>4160000</v>
      </c>
      <c r="D105" s="977" t="s">
        <v>413</v>
      </c>
      <c r="E105" s="144" t="s">
        <v>414</v>
      </c>
      <c r="F105" s="125" t="s">
        <v>213</v>
      </c>
    </row>
    <row r="106" spans="1:6" ht="16.5" thickBot="1" x14ac:dyDescent="0.25">
      <c r="A106" s="140"/>
      <c r="C106" s="976"/>
      <c r="D106" s="979"/>
      <c r="E106" s="150" t="s">
        <v>415</v>
      </c>
      <c r="F106" s="126" t="s">
        <v>214</v>
      </c>
    </row>
    <row r="107" spans="1:6" ht="38.25" thickBot="1" x14ac:dyDescent="0.25">
      <c r="A107" s="140"/>
      <c r="C107" s="120">
        <v>4170000</v>
      </c>
      <c r="D107" s="129" t="s">
        <v>215</v>
      </c>
      <c r="E107" s="122" t="s">
        <v>416</v>
      </c>
      <c r="F107" s="136"/>
    </row>
    <row r="108" spans="1:6" ht="19.5" thickBot="1" x14ac:dyDescent="0.25">
      <c r="A108" s="140"/>
      <c r="C108" s="141">
        <v>4180000</v>
      </c>
      <c r="D108" s="129" t="s">
        <v>216</v>
      </c>
      <c r="E108" s="142" t="s">
        <v>417</v>
      </c>
      <c r="F108" s="136"/>
    </row>
    <row r="109" spans="1:6" ht="19.5" thickBot="1" x14ac:dyDescent="0.25">
      <c r="A109" s="140"/>
      <c r="C109" s="141">
        <v>4190000</v>
      </c>
      <c r="D109" s="129" t="s">
        <v>217</v>
      </c>
      <c r="E109" s="142" t="s">
        <v>418</v>
      </c>
      <c r="F109" s="136"/>
    </row>
    <row r="110" spans="1:6" ht="21.75" thickBot="1" x14ac:dyDescent="0.25">
      <c r="A110" s="132">
        <v>42</v>
      </c>
      <c r="B110" s="133" t="s">
        <v>220</v>
      </c>
      <c r="C110" s="134"/>
      <c r="D110" s="129"/>
      <c r="E110" s="135"/>
      <c r="F110" s="136"/>
    </row>
    <row r="111" spans="1:6" ht="19.5" thickBot="1" x14ac:dyDescent="0.25">
      <c r="A111" s="140"/>
      <c r="C111" s="141">
        <v>4200000</v>
      </c>
      <c r="D111" s="129" t="s">
        <v>219</v>
      </c>
      <c r="E111" s="142" t="s">
        <v>419</v>
      </c>
      <c r="F111" s="153" t="s">
        <v>420</v>
      </c>
    </row>
    <row r="112" spans="1:6" ht="21.75" thickBot="1" x14ac:dyDescent="0.25">
      <c r="A112" s="132">
        <v>51</v>
      </c>
      <c r="B112" s="133" t="s">
        <v>232</v>
      </c>
      <c r="C112" s="134"/>
      <c r="D112" s="129"/>
      <c r="E112" s="135"/>
      <c r="F112" s="136"/>
    </row>
    <row r="113" spans="1:6" s="155" customFormat="1" ht="19.5" thickBot="1" x14ac:dyDescent="0.35">
      <c r="A113" s="154"/>
      <c r="C113" s="141">
        <v>5100000</v>
      </c>
      <c r="D113" s="156" t="s">
        <v>421</v>
      </c>
      <c r="E113" s="142" t="s">
        <v>422</v>
      </c>
      <c r="F113" s="157"/>
    </row>
    <row r="114" spans="1:6" ht="15.75" x14ac:dyDescent="0.2">
      <c r="A114" s="140"/>
      <c r="C114" s="974">
        <v>5130000</v>
      </c>
      <c r="D114" s="988" t="s">
        <v>423</v>
      </c>
      <c r="E114" s="144" t="s">
        <v>424</v>
      </c>
      <c r="F114" s="125" t="s">
        <v>425</v>
      </c>
    </row>
    <row r="115" spans="1:6" ht="15.75" x14ac:dyDescent="0.2">
      <c r="A115" s="140"/>
      <c r="C115" s="975"/>
      <c r="D115" s="989"/>
      <c r="E115" s="151" t="s">
        <v>426</v>
      </c>
      <c r="F115" s="128" t="s">
        <v>427</v>
      </c>
    </row>
    <row r="116" spans="1:6" ht="15.75" x14ac:dyDescent="0.2">
      <c r="A116" s="140"/>
      <c r="C116" s="975"/>
      <c r="D116" s="989"/>
      <c r="E116" s="151" t="s">
        <v>428</v>
      </c>
      <c r="F116" s="128" t="s">
        <v>429</v>
      </c>
    </row>
    <row r="117" spans="1:6" ht="16.5" thickBot="1" x14ac:dyDescent="0.25">
      <c r="A117" s="140"/>
      <c r="C117" s="976"/>
      <c r="D117" s="990"/>
      <c r="E117" s="150" t="s">
        <v>430</v>
      </c>
      <c r="F117" s="126" t="s">
        <v>431</v>
      </c>
    </row>
    <row r="118" spans="1:6" ht="15.75" x14ac:dyDescent="0.2">
      <c r="A118" s="140"/>
      <c r="C118" s="974">
        <v>5160000</v>
      </c>
      <c r="D118" s="991" t="s">
        <v>222</v>
      </c>
      <c r="E118" s="144" t="s">
        <v>432</v>
      </c>
      <c r="F118" s="125" t="s">
        <v>223</v>
      </c>
    </row>
    <row r="119" spans="1:6" ht="15.75" x14ac:dyDescent="0.2">
      <c r="A119" s="140"/>
      <c r="C119" s="975"/>
      <c r="D119" s="992"/>
      <c r="E119" s="151" t="s">
        <v>433</v>
      </c>
      <c r="F119" s="128" t="s">
        <v>224</v>
      </c>
    </row>
    <row r="120" spans="1:6" ht="15.75" x14ac:dyDescent="0.2">
      <c r="A120" s="140"/>
      <c r="C120" s="975"/>
      <c r="D120" s="992"/>
      <c r="E120" s="151" t="s">
        <v>434</v>
      </c>
      <c r="F120" s="128" t="s">
        <v>225</v>
      </c>
    </row>
    <row r="121" spans="1:6" ht="16.5" thickBot="1" x14ac:dyDescent="0.25">
      <c r="A121" s="140"/>
      <c r="C121" s="976"/>
      <c r="D121" s="993"/>
      <c r="E121" s="150" t="s">
        <v>435</v>
      </c>
      <c r="F121" s="126" t="s">
        <v>436</v>
      </c>
    </row>
    <row r="122" spans="1:6" ht="15.75" x14ac:dyDescent="0.2">
      <c r="A122" s="140"/>
      <c r="C122" s="974">
        <v>5170000</v>
      </c>
      <c r="D122" s="991" t="s">
        <v>437</v>
      </c>
      <c r="E122" s="144" t="s">
        <v>438</v>
      </c>
      <c r="F122" s="125" t="s">
        <v>439</v>
      </c>
    </row>
    <row r="123" spans="1:6" ht="15.75" x14ac:dyDescent="0.2">
      <c r="A123" s="140"/>
      <c r="C123" s="975"/>
      <c r="D123" s="992"/>
      <c r="E123" s="151" t="s">
        <v>440</v>
      </c>
      <c r="F123" s="128" t="s">
        <v>441</v>
      </c>
    </row>
    <row r="124" spans="1:6" ht="15.75" x14ac:dyDescent="0.2">
      <c r="A124" s="140"/>
      <c r="C124" s="975"/>
      <c r="D124" s="992"/>
      <c r="E124" s="151" t="s">
        <v>442</v>
      </c>
      <c r="F124" s="128" t="s">
        <v>443</v>
      </c>
    </row>
    <row r="125" spans="1:6" ht="15.75" x14ac:dyDescent="0.2">
      <c r="A125" s="140"/>
      <c r="C125" s="975"/>
      <c r="D125" s="992"/>
      <c r="E125" s="151" t="s">
        <v>444</v>
      </c>
      <c r="F125" s="128" t="s">
        <v>445</v>
      </c>
    </row>
    <row r="126" spans="1:6" ht="15.75" x14ac:dyDescent="0.2">
      <c r="A126" s="140"/>
      <c r="C126" s="975"/>
      <c r="D126" s="992"/>
      <c r="E126" s="151" t="s">
        <v>446</v>
      </c>
      <c r="F126" s="128" t="s">
        <v>447</v>
      </c>
    </row>
    <row r="127" spans="1:6" ht="15.75" x14ac:dyDescent="0.2">
      <c r="A127" s="140"/>
      <c r="C127" s="975"/>
      <c r="D127" s="992"/>
      <c r="E127" s="151" t="s">
        <v>448</v>
      </c>
      <c r="F127" s="128" t="s">
        <v>449</v>
      </c>
    </row>
    <row r="128" spans="1:6" ht="15.75" x14ac:dyDescent="0.2">
      <c r="A128" s="140"/>
      <c r="C128" s="975"/>
      <c r="D128" s="992"/>
      <c r="E128" s="151" t="s">
        <v>450</v>
      </c>
      <c r="F128" s="128" t="s">
        <v>451</v>
      </c>
    </row>
    <row r="129" spans="1:6" ht="15.75" x14ac:dyDescent="0.2">
      <c r="A129" s="140"/>
      <c r="C129" s="975"/>
      <c r="D129" s="992"/>
      <c r="E129" s="151" t="s">
        <v>452</v>
      </c>
      <c r="F129" s="128" t="s">
        <v>453</v>
      </c>
    </row>
    <row r="130" spans="1:6" ht="15.75" x14ac:dyDescent="0.2">
      <c r="A130" s="140"/>
      <c r="C130" s="975"/>
      <c r="D130" s="992"/>
      <c r="E130" s="151" t="s">
        <v>454</v>
      </c>
      <c r="F130" s="128" t="s">
        <v>455</v>
      </c>
    </row>
    <row r="131" spans="1:6" ht="15.75" x14ac:dyDescent="0.2">
      <c r="A131" s="140"/>
      <c r="C131" s="975"/>
      <c r="D131" s="992"/>
      <c r="E131" s="151" t="s">
        <v>456</v>
      </c>
      <c r="F131" s="128" t="s">
        <v>457</v>
      </c>
    </row>
    <row r="132" spans="1:6" ht="15.75" x14ac:dyDescent="0.2">
      <c r="A132" s="140"/>
      <c r="C132" s="975"/>
      <c r="D132" s="992"/>
      <c r="E132" s="151" t="s">
        <v>458</v>
      </c>
      <c r="F132" s="128" t="s">
        <v>459</v>
      </c>
    </row>
    <row r="133" spans="1:6" ht="15.75" x14ac:dyDescent="0.2">
      <c r="A133" s="140"/>
      <c r="C133" s="975"/>
      <c r="D133" s="992"/>
      <c r="E133" s="151" t="s">
        <v>460</v>
      </c>
      <c r="F133" s="128" t="s">
        <v>461</v>
      </c>
    </row>
    <row r="134" spans="1:6" ht="15.75" x14ac:dyDescent="0.2">
      <c r="A134" s="140"/>
      <c r="C134" s="975"/>
      <c r="D134" s="992"/>
      <c r="E134" s="151" t="s">
        <v>462</v>
      </c>
      <c r="F134" s="128" t="s">
        <v>445</v>
      </c>
    </row>
    <row r="135" spans="1:6" ht="15.75" x14ac:dyDescent="0.2">
      <c r="A135" s="140"/>
      <c r="C135" s="975"/>
      <c r="D135" s="992"/>
      <c r="E135" s="151" t="s">
        <v>463</v>
      </c>
      <c r="F135" s="128" t="s">
        <v>464</v>
      </c>
    </row>
    <row r="136" spans="1:6" ht="15.75" x14ac:dyDescent="0.2">
      <c r="A136" s="140"/>
      <c r="C136" s="975"/>
      <c r="D136" s="992"/>
      <c r="E136" s="151" t="s">
        <v>465</v>
      </c>
      <c r="F136" s="128" t="s">
        <v>466</v>
      </c>
    </row>
    <row r="137" spans="1:6" ht="16.5" thickBot="1" x14ac:dyDescent="0.25">
      <c r="A137" s="140"/>
      <c r="C137" s="976"/>
      <c r="D137" s="993"/>
      <c r="E137" s="150" t="s">
        <v>467</v>
      </c>
      <c r="F137" s="126" t="s">
        <v>468</v>
      </c>
    </row>
    <row r="138" spans="1:6" ht="15.75" x14ac:dyDescent="0.2">
      <c r="A138" s="140"/>
      <c r="C138" s="974">
        <v>5171000</v>
      </c>
      <c r="D138" s="988" t="s">
        <v>423</v>
      </c>
      <c r="E138" s="144" t="s">
        <v>469</v>
      </c>
      <c r="F138" s="125" t="s">
        <v>470</v>
      </c>
    </row>
    <row r="139" spans="1:6" ht="15.75" x14ac:dyDescent="0.2">
      <c r="A139" s="140"/>
      <c r="C139" s="975"/>
      <c r="D139" s="989"/>
      <c r="E139" s="151" t="s">
        <v>471</v>
      </c>
      <c r="F139" s="128" t="s">
        <v>472</v>
      </c>
    </row>
    <row r="140" spans="1:6" ht="15.75" x14ac:dyDescent="0.2">
      <c r="A140" s="140"/>
      <c r="C140" s="975"/>
      <c r="D140" s="989"/>
      <c r="E140" s="151" t="s">
        <v>473</v>
      </c>
      <c r="F140" s="128" t="s">
        <v>474</v>
      </c>
    </row>
    <row r="141" spans="1:6" ht="15.75" x14ac:dyDescent="0.2">
      <c r="A141" s="140"/>
      <c r="C141" s="975"/>
      <c r="D141" s="989"/>
      <c r="E141" s="151" t="s">
        <v>475</v>
      </c>
      <c r="F141" s="128" t="s">
        <v>476</v>
      </c>
    </row>
    <row r="142" spans="1:6" ht="15.75" x14ac:dyDescent="0.2">
      <c r="A142" s="140"/>
      <c r="C142" s="975"/>
      <c r="D142" s="989"/>
      <c r="E142" s="151" t="s">
        <v>477</v>
      </c>
      <c r="F142" s="128" t="s">
        <v>478</v>
      </c>
    </row>
    <row r="143" spans="1:6" ht="16.5" thickBot="1" x14ac:dyDescent="0.25">
      <c r="A143" s="140"/>
      <c r="C143" s="976"/>
      <c r="D143" s="990"/>
      <c r="E143" s="150" t="s">
        <v>479</v>
      </c>
      <c r="F143" s="126" t="s">
        <v>480</v>
      </c>
    </row>
    <row r="144" spans="1:6" ht="15.75" x14ac:dyDescent="0.2">
      <c r="A144" s="140"/>
      <c r="C144" s="974">
        <v>5172000</v>
      </c>
      <c r="D144" s="988" t="s">
        <v>423</v>
      </c>
      <c r="E144" s="144" t="s">
        <v>481</v>
      </c>
      <c r="F144" s="125" t="s">
        <v>482</v>
      </c>
    </row>
    <row r="145" spans="1:6" ht="15.75" x14ac:dyDescent="0.2">
      <c r="A145" s="140"/>
      <c r="C145" s="975"/>
      <c r="D145" s="989"/>
      <c r="E145" s="151" t="s">
        <v>483</v>
      </c>
      <c r="F145" s="128" t="s">
        <v>484</v>
      </c>
    </row>
    <row r="146" spans="1:6" ht="15.75" x14ac:dyDescent="0.2">
      <c r="A146" s="140"/>
      <c r="C146" s="975"/>
      <c r="D146" s="989"/>
      <c r="E146" s="151" t="s">
        <v>485</v>
      </c>
      <c r="F146" s="128" t="s">
        <v>486</v>
      </c>
    </row>
    <row r="147" spans="1:6" ht="15.75" x14ac:dyDescent="0.2">
      <c r="A147" s="140"/>
      <c r="C147" s="975"/>
      <c r="D147" s="989"/>
      <c r="E147" s="151" t="s">
        <v>487</v>
      </c>
      <c r="F147" s="128" t="s">
        <v>488</v>
      </c>
    </row>
    <row r="148" spans="1:6" ht="15.75" x14ac:dyDescent="0.2">
      <c r="A148" s="140"/>
      <c r="C148" s="975"/>
      <c r="D148" s="989"/>
      <c r="E148" s="151" t="s">
        <v>489</v>
      </c>
      <c r="F148" s="128" t="s">
        <v>490</v>
      </c>
    </row>
    <row r="149" spans="1:6" ht="15.75" x14ac:dyDescent="0.2">
      <c r="A149" s="140"/>
      <c r="C149" s="975"/>
      <c r="D149" s="989"/>
      <c r="E149" s="151" t="s">
        <v>491</v>
      </c>
      <c r="F149" s="128" t="s">
        <v>492</v>
      </c>
    </row>
    <row r="150" spans="1:6" ht="15.75" x14ac:dyDescent="0.2">
      <c r="A150" s="140"/>
      <c r="C150" s="975"/>
      <c r="D150" s="989"/>
      <c r="E150" s="151" t="s">
        <v>493</v>
      </c>
      <c r="F150" s="128" t="s">
        <v>494</v>
      </c>
    </row>
    <row r="151" spans="1:6" ht="15.75" x14ac:dyDescent="0.2">
      <c r="A151" s="140"/>
      <c r="C151" s="975"/>
      <c r="D151" s="989"/>
      <c r="E151" s="151" t="s">
        <v>495</v>
      </c>
      <c r="F151" s="128" t="s">
        <v>496</v>
      </c>
    </row>
    <row r="152" spans="1:6" ht="15.75" x14ac:dyDescent="0.2">
      <c r="A152" s="140"/>
      <c r="C152" s="975"/>
      <c r="D152" s="989"/>
      <c r="E152" s="151" t="s">
        <v>497</v>
      </c>
      <c r="F152" s="128" t="s">
        <v>498</v>
      </c>
    </row>
    <row r="153" spans="1:6" ht="15.75" x14ac:dyDescent="0.2">
      <c r="A153" s="140"/>
      <c r="C153" s="975"/>
      <c r="D153" s="989"/>
      <c r="E153" s="151" t="s">
        <v>499</v>
      </c>
      <c r="F153" s="128" t="s">
        <v>500</v>
      </c>
    </row>
    <row r="154" spans="1:6" ht="16.5" thickBot="1" x14ac:dyDescent="0.25">
      <c r="A154" s="140"/>
      <c r="C154" s="976"/>
      <c r="D154" s="990"/>
      <c r="E154" s="150" t="s">
        <v>501</v>
      </c>
      <c r="F154" s="126" t="s">
        <v>502</v>
      </c>
    </row>
    <row r="155" spans="1:6" ht="15.75" x14ac:dyDescent="0.2">
      <c r="A155" s="140"/>
      <c r="C155" s="994">
        <v>5180000</v>
      </c>
      <c r="D155" s="977" t="s">
        <v>503</v>
      </c>
      <c r="E155" s="144" t="s">
        <v>504</v>
      </c>
      <c r="F155" s="125" t="s">
        <v>229</v>
      </c>
    </row>
    <row r="156" spans="1:6" ht="15.75" x14ac:dyDescent="0.2">
      <c r="A156" s="140"/>
      <c r="C156" s="995"/>
      <c r="D156" s="978"/>
      <c r="E156" s="151" t="s">
        <v>505</v>
      </c>
      <c r="F156" s="128" t="s">
        <v>506</v>
      </c>
    </row>
    <row r="157" spans="1:6" ht="15.75" x14ac:dyDescent="0.2">
      <c r="A157" s="140"/>
      <c r="C157" s="995"/>
      <c r="D157" s="978"/>
      <c r="E157" s="151" t="s">
        <v>507</v>
      </c>
      <c r="F157" s="128" t="s">
        <v>508</v>
      </c>
    </row>
    <row r="158" spans="1:6" ht="15.75" x14ac:dyDescent="0.2">
      <c r="A158" s="140"/>
      <c r="C158" s="995"/>
      <c r="D158" s="978"/>
      <c r="E158" s="151" t="s">
        <v>509</v>
      </c>
      <c r="F158" s="128" t="s">
        <v>510</v>
      </c>
    </row>
    <row r="159" spans="1:6" ht="15.75" x14ac:dyDescent="0.2">
      <c r="A159" s="140"/>
      <c r="C159" s="995"/>
      <c r="D159" s="978"/>
      <c r="E159" s="151" t="s">
        <v>511</v>
      </c>
      <c r="F159" s="128" t="s">
        <v>512</v>
      </c>
    </row>
    <row r="160" spans="1:6" ht="15.75" x14ac:dyDescent="0.2">
      <c r="A160" s="140"/>
      <c r="C160" s="995"/>
      <c r="D160" s="978"/>
      <c r="E160" s="151" t="s">
        <v>513</v>
      </c>
      <c r="F160" s="128" t="s">
        <v>230</v>
      </c>
    </row>
    <row r="161" spans="1:6" ht="15.75" x14ac:dyDescent="0.2">
      <c r="A161" s="140"/>
      <c r="C161" s="995"/>
      <c r="D161" s="978"/>
      <c r="E161" s="151" t="s">
        <v>514</v>
      </c>
      <c r="F161" s="128" t="s">
        <v>515</v>
      </c>
    </row>
    <row r="162" spans="1:6" ht="15.75" x14ac:dyDescent="0.2">
      <c r="A162" s="140"/>
      <c r="C162" s="995"/>
      <c r="D162" s="978"/>
      <c r="E162" s="151" t="s">
        <v>516</v>
      </c>
      <c r="F162" s="128" t="s">
        <v>517</v>
      </c>
    </row>
    <row r="163" spans="1:6" ht="15.75" x14ac:dyDescent="0.2">
      <c r="A163" s="140"/>
      <c r="C163" s="995"/>
      <c r="D163" s="978"/>
      <c r="E163" s="151" t="s">
        <v>518</v>
      </c>
      <c r="F163" s="128" t="s">
        <v>519</v>
      </c>
    </row>
    <row r="164" spans="1:6" ht="15.75" x14ac:dyDescent="0.2">
      <c r="A164" s="140"/>
      <c r="C164" s="995"/>
      <c r="D164" s="978"/>
      <c r="E164" s="151" t="s">
        <v>520</v>
      </c>
      <c r="F164" s="128" t="s">
        <v>521</v>
      </c>
    </row>
    <row r="165" spans="1:6" ht="15.75" x14ac:dyDescent="0.2">
      <c r="A165" s="140"/>
      <c r="C165" s="995"/>
      <c r="D165" s="978"/>
      <c r="E165" s="151" t="s">
        <v>522</v>
      </c>
      <c r="F165" s="128" t="s">
        <v>523</v>
      </c>
    </row>
    <row r="166" spans="1:6" ht="15.75" x14ac:dyDescent="0.2">
      <c r="A166" s="140"/>
      <c r="C166" s="995"/>
      <c r="D166" s="978"/>
      <c r="E166" s="151" t="s">
        <v>524</v>
      </c>
      <c r="F166" s="128" t="s">
        <v>525</v>
      </c>
    </row>
    <row r="167" spans="1:6" ht="15.75" x14ac:dyDescent="0.2">
      <c r="A167" s="140"/>
      <c r="C167" s="995"/>
      <c r="D167" s="978"/>
      <c r="E167" s="151" t="s">
        <v>526</v>
      </c>
      <c r="F167" s="128" t="s">
        <v>527</v>
      </c>
    </row>
    <row r="168" spans="1:6" ht="16.5" thickBot="1" x14ac:dyDescent="0.25">
      <c r="A168" s="140"/>
      <c r="C168" s="996"/>
      <c r="D168" s="979"/>
      <c r="E168" s="150" t="s">
        <v>528</v>
      </c>
      <c r="F168" s="126" t="s">
        <v>529</v>
      </c>
    </row>
    <row r="169" spans="1:6" ht="15.75" x14ac:dyDescent="0.2">
      <c r="A169" s="140"/>
      <c r="C169" s="974">
        <v>5190000</v>
      </c>
      <c r="D169" s="988" t="s">
        <v>423</v>
      </c>
      <c r="E169" s="144" t="s">
        <v>530</v>
      </c>
      <c r="F169" s="125" t="s">
        <v>531</v>
      </c>
    </row>
    <row r="170" spans="1:6" ht="15.75" x14ac:dyDescent="0.2">
      <c r="A170" s="140"/>
      <c r="C170" s="975"/>
      <c r="D170" s="989"/>
      <c r="E170" s="151" t="s">
        <v>532</v>
      </c>
      <c r="F170" s="128" t="s">
        <v>533</v>
      </c>
    </row>
    <row r="171" spans="1:6" ht="15.75" x14ac:dyDescent="0.2">
      <c r="A171" s="140"/>
      <c r="C171" s="975"/>
      <c r="D171" s="989"/>
      <c r="E171" s="151" t="s">
        <v>534</v>
      </c>
      <c r="F171" s="128" t="s">
        <v>535</v>
      </c>
    </row>
    <row r="172" spans="1:6" ht="15.75" x14ac:dyDescent="0.2">
      <c r="A172" s="140"/>
      <c r="C172" s="975"/>
      <c r="D172" s="989"/>
      <c r="E172" s="151" t="s">
        <v>536</v>
      </c>
      <c r="F172" s="128" t="s">
        <v>537</v>
      </c>
    </row>
    <row r="173" spans="1:6" ht="15.75" x14ac:dyDescent="0.2">
      <c r="A173" s="140"/>
      <c r="C173" s="975"/>
      <c r="D173" s="989"/>
      <c r="E173" s="151" t="s">
        <v>538</v>
      </c>
      <c r="F173" s="128" t="s">
        <v>539</v>
      </c>
    </row>
    <row r="174" spans="1:6" ht="15.75" x14ac:dyDescent="0.2">
      <c r="A174" s="140"/>
      <c r="C174" s="975"/>
      <c r="D174" s="989"/>
      <c r="E174" s="151" t="s">
        <v>540</v>
      </c>
      <c r="F174" s="128" t="s">
        <v>541</v>
      </c>
    </row>
    <row r="175" spans="1:6" ht="15.75" x14ac:dyDescent="0.2">
      <c r="A175" s="140"/>
      <c r="C175" s="975"/>
      <c r="D175" s="989"/>
      <c r="E175" s="151" t="s">
        <v>542</v>
      </c>
      <c r="F175" s="128" t="s">
        <v>543</v>
      </c>
    </row>
    <row r="176" spans="1:6" ht="16.5" thickBot="1" x14ac:dyDescent="0.25">
      <c r="A176" s="140"/>
      <c r="C176" s="976"/>
      <c r="D176" s="990"/>
      <c r="E176" s="150" t="s">
        <v>544</v>
      </c>
      <c r="F176" s="126" t="s">
        <v>545</v>
      </c>
    </row>
    <row r="177" spans="1:6" ht="19.5" thickBot="1" x14ac:dyDescent="0.25">
      <c r="A177" s="140"/>
      <c r="C177" s="141">
        <v>5191000</v>
      </c>
      <c r="D177" s="158" t="s">
        <v>423</v>
      </c>
      <c r="E177" s="142" t="s">
        <v>546</v>
      </c>
      <c r="F177" s="123" t="s">
        <v>547</v>
      </c>
    </row>
    <row r="178" spans="1:6" ht="15.75" x14ac:dyDescent="0.2">
      <c r="A178" s="140"/>
      <c r="C178" s="974">
        <v>5195000</v>
      </c>
      <c r="D178" s="997" t="s">
        <v>423</v>
      </c>
      <c r="E178" s="144" t="s">
        <v>548</v>
      </c>
      <c r="F178" s="125" t="s">
        <v>549</v>
      </c>
    </row>
    <row r="179" spans="1:6" ht="15.75" x14ac:dyDescent="0.2">
      <c r="A179" s="140"/>
      <c r="C179" s="975"/>
      <c r="D179" s="998"/>
      <c r="E179" s="151" t="s">
        <v>550</v>
      </c>
      <c r="F179" s="128" t="s">
        <v>551</v>
      </c>
    </row>
    <row r="180" spans="1:6" ht="15.75" x14ac:dyDescent="0.2">
      <c r="A180" s="140"/>
      <c r="C180" s="975"/>
      <c r="D180" s="998"/>
      <c r="E180" s="151" t="s">
        <v>552</v>
      </c>
      <c r="F180" s="128" t="s">
        <v>553</v>
      </c>
    </row>
    <row r="181" spans="1:6" ht="15.75" x14ac:dyDescent="0.2">
      <c r="A181" s="140"/>
      <c r="C181" s="975"/>
      <c r="D181" s="998"/>
      <c r="E181" s="151" t="s">
        <v>554</v>
      </c>
      <c r="F181" s="128" t="s">
        <v>555</v>
      </c>
    </row>
    <row r="182" spans="1:6" ht="15.75" x14ac:dyDescent="0.2">
      <c r="A182" s="140"/>
      <c r="C182" s="975"/>
      <c r="D182" s="998"/>
      <c r="E182" s="151" t="s">
        <v>556</v>
      </c>
      <c r="F182" s="128" t="s">
        <v>557</v>
      </c>
    </row>
    <row r="183" spans="1:6" ht="15.75" x14ac:dyDescent="0.2">
      <c r="A183" s="140"/>
      <c r="C183" s="975"/>
      <c r="D183" s="998"/>
      <c r="E183" s="151" t="s">
        <v>558</v>
      </c>
      <c r="F183" s="128" t="s">
        <v>559</v>
      </c>
    </row>
    <row r="184" spans="1:6" ht="15.75" x14ac:dyDescent="0.2">
      <c r="A184" s="140"/>
      <c r="C184" s="975"/>
      <c r="D184" s="998"/>
      <c r="E184" s="151" t="s">
        <v>560</v>
      </c>
      <c r="F184" s="128" t="s">
        <v>561</v>
      </c>
    </row>
    <row r="185" spans="1:6" ht="15.75" x14ac:dyDescent="0.2">
      <c r="A185" s="140"/>
      <c r="C185" s="975"/>
      <c r="D185" s="998"/>
      <c r="E185" s="151" t="s">
        <v>562</v>
      </c>
      <c r="F185" s="128" t="s">
        <v>563</v>
      </c>
    </row>
    <row r="186" spans="1:6" ht="15.75" x14ac:dyDescent="0.2">
      <c r="A186" s="140"/>
      <c r="C186" s="975"/>
      <c r="D186" s="998"/>
      <c r="E186" s="151" t="s">
        <v>564</v>
      </c>
      <c r="F186" s="128" t="s">
        <v>565</v>
      </c>
    </row>
    <row r="187" spans="1:6" ht="16.5" thickBot="1" x14ac:dyDescent="0.25">
      <c r="A187" s="140"/>
      <c r="C187" s="976"/>
      <c r="D187" s="999"/>
      <c r="E187" s="150" t="s">
        <v>566</v>
      </c>
      <c r="F187" s="126" t="s">
        <v>567</v>
      </c>
    </row>
    <row r="188" spans="1:6" ht="21.75" thickBot="1" x14ac:dyDescent="0.25">
      <c r="A188" s="132">
        <v>61</v>
      </c>
      <c r="B188" s="133" t="s">
        <v>568</v>
      </c>
      <c r="C188" s="134"/>
      <c r="D188" s="129"/>
      <c r="E188" s="135"/>
      <c r="F188" s="136"/>
    </row>
    <row r="189" spans="1:6" ht="18.75" x14ac:dyDescent="0.3">
      <c r="A189" s="140"/>
      <c r="C189" s="994">
        <v>6100000</v>
      </c>
      <c r="D189" s="148" t="s">
        <v>569</v>
      </c>
      <c r="E189" s="144" t="s">
        <v>570</v>
      </c>
      <c r="F189" s="145"/>
    </row>
    <row r="190" spans="1:6" ht="19.5" thickBot="1" x14ac:dyDescent="0.35">
      <c r="A190" s="140"/>
      <c r="C190" s="996"/>
      <c r="D190" s="149" t="s">
        <v>571</v>
      </c>
      <c r="E190" s="150" t="s">
        <v>572</v>
      </c>
      <c r="F190" s="112"/>
    </row>
    <row r="191" spans="1:6" ht="18.75" x14ac:dyDescent="0.3">
      <c r="A191" s="140"/>
      <c r="C191" s="994">
        <v>6105000</v>
      </c>
      <c r="D191" s="148" t="s">
        <v>573</v>
      </c>
      <c r="E191" s="144" t="s">
        <v>574</v>
      </c>
      <c r="F191" s="145"/>
    </row>
    <row r="192" spans="1:6" ht="19.5" thickBot="1" x14ac:dyDescent="0.35">
      <c r="A192" s="140"/>
      <c r="C192" s="996"/>
      <c r="D192" s="149" t="s">
        <v>575</v>
      </c>
      <c r="E192" s="150" t="s">
        <v>576</v>
      </c>
      <c r="F192" s="112"/>
    </row>
    <row r="193" spans="1:6" ht="21.75" thickBot="1" x14ac:dyDescent="0.25">
      <c r="A193" s="132">
        <v>71</v>
      </c>
      <c r="B193" s="133" t="s">
        <v>577</v>
      </c>
      <c r="C193" s="134"/>
      <c r="D193" s="129"/>
      <c r="E193" s="135"/>
      <c r="F193" s="136"/>
    </row>
    <row r="194" spans="1:6" ht="18.75" x14ac:dyDescent="0.3">
      <c r="A194" s="140"/>
      <c r="C194" s="994">
        <v>7150000</v>
      </c>
      <c r="D194" s="148" t="s">
        <v>578</v>
      </c>
      <c r="E194" s="144" t="s">
        <v>579</v>
      </c>
      <c r="F194" s="145"/>
    </row>
    <row r="195" spans="1:6" ht="19.5" thickBot="1" x14ac:dyDescent="0.35">
      <c r="A195" s="159"/>
      <c r="B195" s="160"/>
      <c r="C195" s="996"/>
      <c r="D195" s="149" t="s">
        <v>580</v>
      </c>
      <c r="E195" s="150" t="s">
        <v>581</v>
      </c>
      <c r="F195" s="112"/>
    </row>
  </sheetData>
  <mergeCells count="49">
    <mergeCell ref="C178:C187"/>
    <mergeCell ref="D178:D187"/>
    <mergeCell ref="C189:C190"/>
    <mergeCell ref="C191:C192"/>
    <mergeCell ref="C194:C195"/>
    <mergeCell ref="C144:C154"/>
    <mergeCell ref="D144:D154"/>
    <mergeCell ref="C155:C168"/>
    <mergeCell ref="D155:D168"/>
    <mergeCell ref="C169:C176"/>
    <mergeCell ref="D169:D176"/>
    <mergeCell ref="C118:C121"/>
    <mergeCell ref="D118:D121"/>
    <mergeCell ref="C122:C137"/>
    <mergeCell ref="D122:D137"/>
    <mergeCell ref="C138:C143"/>
    <mergeCell ref="D138:D143"/>
    <mergeCell ref="C100:C101"/>
    <mergeCell ref="D100:D101"/>
    <mergeCell ref="C105:C106"/>
    <mergeCell ref="D105:D106"/>
    <mergeCell ref="C114:C117"/>
    <mergeCell ref="D114:D117"/>
    <mergeCell ref="C76:C77"/>
    <mergeCell ref="D76:D77"/>
    <mergeCell ref="C79:C84"/>
    <mergeCell ref="D79:D84"/>
    <mergeCell ref="C85:C95"/>
    <mergeCell ref="D85:D95"/>
    <mergeCell ref="C61:C62"/>
    <mergeCell ref="D61:D62"/>
    <mergeCell ref="C66:C67"/>
    <mergeCell ref="C68:C69"/>
    <mergeCell ref="C71:C74"/>
    <mergeCell ref="D71:D74"/>
    <mergeCell ref="C50:C52"/>
    <mergeCell ref="D50:D52"/>
    <mergeCell ref="A2:F2"/>
    <mergeCell ref="C8:C9"/>
    <mergeCell ref="D8:D9"/>
    <mergeCell ref="C10:C27"/>
    <mergeCell ref="D10:D27"/>
    <mergeCell ref="C28:C30"/>
    <mergeCell ref="D28:D30"/>
    <mergeCell ref="C32:C34"/>
    <mergeCell ref="D32:D34"/>
    <mergeCell ref="D38:D41"/>
    <mergeCell ref="C47:C48"/>
    <mergeCell ref="D47:D48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AFBD0-3C34-4577-92C9-56E0044ECE9D}">
  <sheetPr codeName="Feuil22">
    <tabColor rgb="FFFFC000"/>
    <pageSetUpPr fitToPage="1"/>
  </sheetPr>
  <dimension ref="A1:J85"/>
  <sheetViews>
    <sheetView topLeftCell="A3" zoomScale="85" zoomScaleNormal="85" workbookViewId="0">
      <selection activeCell="A26" sqref="A26"/>
    </sheetView>
  </sheetViews>
  <sheetFormatPr baseColWidth="10" defaultColWidth="11.42578125" defaultRowHeight="12.75" x14ac:dyDescent="0.2"/>
  <cols>
    <col min="1" max="1" width="32.42578125" style="96" customWidth="1"/>
    <col min="2" max="3" width="12" style="96" customWidth="1"/>
    <col min="4" max="4" width="17.7109375" style="96" customWidth="1"/>
    <col min="5" max="6" width="19.140625" style="96" customWidth="1"/>
    <col min="7" max="7" width="21.85546875" style="96" bestFit="1" customWidth="1"/>
    <col min="8" max="8" width="15.7109375" style="96" customWidth="1"/>
    <col min="9" max="9" width="22" style="96" bestFit="1" customWidth="1"/>
    <col min="10" max="10" width="11.7109375" style="96" bestFit="1" customWidth="1"/>
    <col min="11" max="16384" width="11.42578125" style="96"/>
  </cols>
  <sheetData>
    <row r="1" spans="1:10" s="89" customFormat="1" ht="19.5" thickBot="1" x14ac:dyDescent="0.35">
      <c r="A1" s="966" t="s">
        <v>622</v>
      </c>
      <c r="B1" s="967"/>
      <c r="C1" s="967"/>
      <c r="D1" s="968"/>
      <c r="E1" s="476" t="s">
        <v>3</v>
      </c>
      <c r="F1" s="477"/>
      <c r="G1" s="10"/>
      <c r="H1" s="90"/>
      <c r="I1" s="90"/>
      <c r="J1" s="90"/>
    </row>
    <row r="2" spans="1:10" s="90" customFormat="1" ht="15" x14ac:dyDescent="0.25">
      <c r="A2" s="10"/>
      <c r="B2" s="10"/>
      <c r="C2" s="10"/>
      <c r="D2" s="10"/>
      <c r="E2" s="10"/>
      <c r="F2" s="10"/>
      <c r="G2" s="10"/>
      <c r="H2" s="10"/>
      <c r="I2" s="10"/>
    </row>
    <row r="3" spans="1:10" s="90" customFormat="1" ht="15" x14ac:dyDescent="0.25">
      <c r="A3" s="91"/>
      <c r="B3" s="91"/>
      <c r="C3" s="91"/>
      <c r="D3" s="91"/>
      <c r="E3" s="91"/>
      <c r="F3" s="91"/>
      <c r="G3" s="91"/>
    </row>
    <row r="4" spans="1:10" s="90" customFormat="1" ht="15" x14ac:dyDescent="0.25">
      <c r="A4" s="478" t="s">
        <v>129</v>
      </c>
      <c r="B4" s="969" t="s">
        <v>130</v>
      </c>
      <c r="C4" s="969"/>
      <c r="D4" s="479" t="s">
        <v>78</v>
      </c>
      <c r="E4" s="480" t="s">
        <v>131</v>
      </c>
      <c r="F4" s="479" t="s">
        <v>132</v>
      </c>
    </row>
    <row r="5" spans="1:10" s="90" customFormat="1" ht="15" x14ac:dyDescent="0.25">
      <c r="A5" s="92" t="s">
        <v>737</v>
      </c>
      <c r="B5" s="93"/>
      <c r="C5" s="12" t="s">
        <v>22</v>
      </c>
      <c r="D5" s="568"/>
      <c r="E5" s="569" t="e">
        <f t="shared" ref="E5:E60" si="0">+D5/B5</f>
        <v>#DIV/0!</v>
      </c>
      <c r="F5" s="963">
        <f>+SUM(D5:D10)/SUM(B5:B10)</f>
        <v>28</v>
      </c>
      <c r="G5" s="166"/>
      <c r="H5" s="166"/>
      <c r="I5" s="166"/>
      <c r="J5" s="167"/>
    </row>
    <row r="6" spans="1:10" s="90" customFormat="1" ht="15" x14ac:dyDescent="0.25">
      <c r="A6" s="168"/>
      <c r="B6" s="94">
        <v>6157</v>
      </c>
      <c r="C6" s="95" t="s">
        <v>22</v>
      </c>
      <c r="D6" s="570">
        <f>+E6*B6</f>
        <v>172396</v>
      </c>
      <c r="E6" s="571">
        <v>28</v>
      </c>
      <c r="F6" s="964"/>
      <c r="G6" s="169"/>
      <c r="H6" s="169"/>
      <c r="I6" s="169"/>
      <c r="J6" s="170"/>
    </row>
    <row r="7" spans="1:10" s="90" customFormat="1" ht="15" x14ac:dyDescent="0.25">
      <c r="A7" s="168"/>
      <c r="B7" s="94"/>
      <c r="C7" s="95" t="s">
        <v>22</v>
      </c>
      <c r="D7" s="570"/>
      <c r="E7" s="571" t="e">
        <f t="shared" si="0"/>
        <v>#DIV/0!</v>
      </c>
      <c r="F7" s="964"/>
      <c r="G7" s="169"/>
      <c r="H7" s="169"/>
      <c r="I7" s="169"/>
      <c r="J7" s="170"/>
    </row>
    <row r="8" spans="1:10" s="90" customFormat="1" ht="15" x14ac:dyDescent="0.25">
      <c r="A8" s="168"/>
      <c r="B8" s="94"/>
      <c r="C8" s="95" t="s">
        <v>22</v>
      </c>
      <c r="D8" s="572"/>
      <c r="E8" s="571" t="e">
        <f t="shared" si="0"/>
        <v>#DIV/0!</v>
      </c>
      <c r="F8" s="964"/>
      <c r="G8" s="169"/>
      <c r="H8" s="564"/>
      <c r="I8" s="169"/>
      <c r="J8" s="170"/>
    </row>
    <row r="9" spans="1:10" s="90" customFormat="1" ht="15" x14ac:dyDescent="0.25">
      <c r="A9" s="168"/>
      <c r="B9" s="94"/>
      <c r="C9" s="95" t="s">
        <v>22</v>
      </c>
      <c r="D9" s="570"/>
      <c r="E9" s="571" t="e">
        <f t="shared" si="0"/>
        <v>#DIV/0!</v>
      </c>
      <c r="F9" s="964"/>
      <c r="G9" s="483" t="s">
        <v>128</v>
      </c>
      <c r="H9" s="565">
        <v>6157</v>
      </c>
      <c r="I9" s="169"/>
      <c r="J9" s="170"/>
    </row>
    <row r="10" spans="1:10" s="90" customFormat="1" ht="15" customHeight="1" x14ac:dyDescent="0.25">
      <c r="A10" s="171"/>
      <c r="B10" s="172"/>
      <c r="C10" s="173" t="s">
        <v>22</v>
      </c>
      <c r="D10" s="573"/>
      <c r="E10" s="574" t="e">
        <f t="shared" si="0"/>
        <v>#DIV/0!</v>
      </c>
      <c r="F10" s="965"/>
      <c r="G10" s="473"/>
      <c r="H10" s="566"/>
      <c r="I10" s="484" t="s">
        <v>121</v>
      </c>
      <c r="J10" s="561">
        <v>28</v>
      </c>
    </row>
    <row r="11" spans="1:10" s="90" customFormat="1" ht="15" x14ac:dyDescent="0.25">
      <c r="A11" s="92" t="s">
        <v>738</v>
      </c>
      <c r="B11" s="93"/>
      <c r="C11" s="12" t="s">
        <v>22</v>
      </c>
      <c r="D11" s="575"/>
      <c r="E11" s="569" t="e">
        <f t="shared" si="0"/>
        <v>#DIV/0!</v>
      </c>
      <c r="F11" s="963" t="e">
        <f>+SUM(D11:D15)/SUM(B11:B15)</f>
        <v>#DIV/0!</v>
      </c>
      <c r="G11" s="166"/>
      <c r="H11" s="567"/>
      <c r="I11" s="166"/>
      <c r="J11" s="562"/>
    </row>
    <row r="12" spans="1:10" s="90" customFormat="1" ht="15" x14ac:dyDescent="0.25">
      <c r="A12" s="168"/>
      <c r="B12" s="94"/>
      <c r="C12" s="95" t="s">
        <v>22</v>
      </c>
      <c r="D12" s="572"/>
      <c r="E12" s="571" t="e">
        <f t="shared" si="0"/>
        <v>#DIV/0!</v>
      </c>
      <c r="F12" s="964"/>
      <c r="G12" s="169"/>
      <c r="H12" s="564"/>
      <c r="I12" s="169"/>
      <c r="J12" s="563"/>
    </row>
    <row r="13" spans="1:10" s="90" customFormat="1" ht="15" x14ac:dyDescent="0.25">
      <c r="A13" s="168"/>
      <c r="B13" s="94"/>
      <c r="C13" s="95" t="s">
        <v>22</v>
      </c>
      <c r="D13" s="572"/>
      <c r="E13" s="571" t="e">
        <f t="shared" si="0"/>
        <v>#DIV/0!</v>
      </c>
      <c r="F13" s="964"/>
      <c r="G13" s="169"/>
      <c r="H13" s="564"/>
      <c r="I13" s="169"/>
      <c r="J13" s="563"/>
    </row>
    <row r="14" spans="1:10" s="90" customFormat="1" ht="15" x14ac:dyDescent="0.25">
      <c r="A14" s="168"/>
      <c r="B14" s="94"/>
      <c r="C14" s="95" t="s">
        <v>22</v>
      </c>
      <c r="D14" s="572"/>
      <c r="E14" s="571" t="e">
        <f t="shared" si="0"/>
        <v>#DIV/0!</v>
      </c>
      <c r="F14" s="964"/>
      <c r="G14" s="483" t="s">
        <v>128</v>
      </c>
      <c r="H14" s="565">
        <f>142+1985</f>
        <v>2127</v>
      </c>
      <c r="I14" s="169"/>
      <c r="J14" s="563"/>
    </row>
    <row r="15" spans="1:10" s="90" customFormat="1" ht="15" customHeight="1" x14ac:dyDescent="0.25">
      <c r="A15" s="171"/>
      <c r="B15" s="172"/>
      <c r="C15" s="173" t="s">
        <v>22</v>
      </c>
      <c r="D15" s="573"/>
      <c r="E15" s="574" t="e">
        <f t="shared" si="0"/>
        <v>#DIV/0!</v>
      </c>
      <c r="F15" s="965"/>
      <c r="G15" s="473"/>
      <c r="H15" s="566"/>
      <c r="I15" s="484" t="s">
        <v>121</v>
      </c>
      <c r="J15" s="561">
        <v>72.5</v>
      </c>
    </row>
    <row r="16" spans="1:10" s="90" customFormat="1" ht="15" x14ac:dyDescent="0.25">
      <c r="A16" s="92" t="s">
        <v>739</v>
      </c>
      <c r="B16" s="93"/>
      <c r="C16" s="12" t="s">
        <v>741</v>
      </c>
      <c r="D16" s="575"/>
      <c r="E16" s="569" t="e">
        <f t="shared" si="0"/>
        <v>#DIV/0!</v>
      </c>
      <c r="F16" s="970">
        <f>+SUM(D16:D20)/SUM(B16:B20)</f>
        <v>569.4466666666666</v>
      </c>
      <c r="G16" s="166"/>
      <c r="H16" s="567"/>
      <c r="I16" s="166"/>
      <c r="J16" s="562"/>
    </row>
    <row r="17" spans="1:10" s="90" customFormat="1" ht="15" x14ac:dyDescent="0.25">
      <c r="A17" s="168" t="s">
        <v>743</v>
      </c>
      <c r="B17" s="94"/>
      <c r="C17" s="95" t="s">
        <v>741</v>
      </c>
      <c r="D17" s="572"/>
      <c r="E17" s="571" t="e">
        <f t="shared" si="0"/>
        <v>#DIV/0!</v>
      </c>
      <c r="F17" s="971"/>
      <c r="G17" s="169"/>
      <c r="H17" s="564"/>
      <c r="I17" s="169"/>
      <c r="J17" s="563"/>
    </row>
    <row r="18" spans="1:10" s="90" customFormat="1" ht="45" x14ac:dyDescent="0.25">
      <c r="A18" s="781" t="s">
        <v>1036</v>
      </c>
      <c r="B18" s="94">
        <v>6</v>
      </c>
      <c r="C18" s="95" t="s">
        <v>741</v>
      </c>
      <c r="D18" s="572">
        <v>3416.68</v>
      </c>
      <c r="E18" s="571">
        <f t="shared" si="0"/>
        <v>569.4466666666666</v>
      </c>
      <c r="F18" s="971"/>
      <c r="G18" s="169"/>
      <c r="H18" s="564"/>
      <c r="I18" s="169"/>
      <c r="J18" s="563"/>
    </row>
    <row r="19" spans="1:10" s="90" customFormat="1" ht="15" x14ac:dyDescent="0.25">
      <c r="A19" s="168"/>
      <c r="B19" s="94"/>
      <c r="C19" s="95" t="s">
        <v>741</v>
      </c>
      <c r="D19" s="572"/>
      <c r="E19" s="571" t="e">
        <f t="shared" si="0"/>
        <v>#DIV/0!</v>
      </c>
      <c r="F19" s="971"/>
      <c r="G19" s="483" t="s">
        <v>742</v>
      </c>
      <c r="H19" s="565">
        <v>20</v>
      </c>
      <c r="I19" s="169"/>
      <c r="J19" s="563"/>
    </row>
    <row r="20" spans="1:10" s="90" customFormat="1" ht="15" customHeight="1" x14ac:dyDescent="0.25">
      <c r="A20" s="171"/>
      <c r="B20" s="172"/>
      <c r="C20" s="173" t="s">
        <v>741</v>
      </c>
      <c r="D20" s="573"/>
      <c r="E20" s="574" t="e">
        <f t="shared" si="0"/>
        <v>#DIV/0!</v>
      </c>
      <c r="F20" s="972"/>
      <c r="G20" s="473"/>
      <c r="H20" s="566"/>
      <c r="I20" s="484" t="s">
        <v>121</v>
      </c>
      <c r="J20" s="561">
        <f>(10905.87+382)/20</f>
        <v>564.39350000000002</v>
      </c>
    </row>
    <row r="21" spans="1:10" s="90" customFormat="1" ht="15" x14ac:dyDescent="0.25">
      <c r="A21" s="92" t="s">
        <v>740</v>
      </c>
      <c r="B21" s="93"/>
      <c r="C21" s="12" t="s">
        <v>15</v>
      </c>
      <c r="D21" s="575"/>
      <c r="E21" s="569" t="e">
        <f t="shared" si="0"/>
        <v>#DIV/0!</v>
      </c>
      <c r="F21" s="970"/>
      <c r="G21" s="166"/>
      <c r="H21" s="567"/>
      <c r="I21" s="166"/>
      <c r="J21" s="562"/>
    </row>
    <row r="22" spans="1:10" s="90" customFormat="1" ht="15" x14ac:dyDescent="0.25">
      <c r="A22" s="168" t="s">
        <v>881</v>
      </c>
      <c r="B22" s="94">
        <f>188+1055</f>
        <v>1243</v>
      </c>
      <c r="C22" s="95" t="s">
        <v>587</v>
      </c>
      <c r="D22" s="572">
        <v>133483.29999999999</v>
      </c>
      <c r="E22" s="571">
        <f t="shared" si="0"/>
        <v>107.38801287208366</v>
      </c>
      <c r="F22" s="971"/>
      <c r="G22" s="169"/>
      <c r="H22" s="564"/>
      <c r="I22" s="169"/>
      <c r="J22" s="563"/>
    </row>
    <row r="23" spans="1:10" s="90" customFormat="1" ht="15" x14ac:dyDescent="0.25">
      <c r="A23" s="168"/>
      <c r="B23" s="94">
        <f>38.84+139.74</f>
        <v>178.58</v>
      </c>
      <c r="C23" s="95" t="s">
        <v>666</v>
      </c>
      <c r="D23" s="572">
        <f>+D22</f>
        <v>133483.29999999999</v>
      </c>
      <c r="E23" s="571">
        <f t="shared" si="0"/>
        <v>747.47060141113218</v>
      </c>
      <c r="F23" s="971"/>
      <c r="G23" s="169"/>
      <c r="H23" s="564"/>
      <c r="I23" s="169"/>
      <c r="J23" s="563"/>
    </row>
    <row r="24" spans="1:10" s="90" customFormat="1" ht="15" x14ac:dyDescent="0.25">
      <c r="A24" s="168"/>
      <c r="B24" s="94"/>
      <c r="C24" s="95" t="s">
        <v>15</v>
      </c>
      <c r="D24" s="572"/>
      <c r="E24" s="571" t="e">
        <f t="shared" si="0"/>
        <v>#DIV/0!</v>
      </c>
      <c r="F24" s="971"/>
      <c r="G24" s="483" t="s">
        <v>128</v>
      </c>
      <c r="H24" s="565">
        <f>+B22</f>
        <v>1243</v>
      </c>
      <c r="I24" s="169"/>
      <c r="J24" s="563"/>
    </row>
    <row r="25" spans="1:10" s="90" customFormat="1" ht="15" customHeight="1" x14ac:dyDescent="0.25">
      <c r="A25" s="171"/>
      <c r="B25" s="172"/>
      <c r="C25" s="173" t="s">
        <v>15</v>
      </c>
      <c r="D25" s="573"/>
      <c r="E25" s="574" t="e">
        <f t="shared" si="0"/>
        <v>#DIV/0!</v>
      </c>
      <c r="F25" s="972"/>
      <c r="G25" s="473"/>
      <c r="H25" s="566"/>
      <c r="I25" s="484" t="s">
        <v>121</v>
      </c>
      <c r="J25" s="561">
        <f>+E22</f>
        <v>107.38801287208366</v>
      </c>
    </row>
    <row r="26" spans="1:10" s="90" customFormat="1" ht="15" x14ac:dyDescent="0.25">
      <c r="A26" s="92" t="s">
        <v>744</v>
      </c>
      <c r="B26" s="93"/>
      <c r="C26" s="12" t="s">
        <v>587</v>
      </c>
      <c r="D26" s="575"/>
      <c r="E26" s="569" t="e">
        <f t="shared" si="0"/>
        <v>#DIV/0!</v>
      </c>
      <c r="F26" s="970">
        <f>+SUM(D26:D30)/SUM(B26:B30)</f>
        <v>37.614736180904522</v>
      </c>
      <c r="G26" s="166"/>
      <c r="H26" s="567"/>
      <c r="I26" s="166"/>
      <c r="J26" s="562"/>
    </row>
    <row r="27" spans="1:10" s="90" customFormat="1" ht="15" x14ac:dyDescent="0.25">
      <c r="A27" s="168"/>
      <c r="B27" s="94">
        <f>665+115+8+8</f>
        <v>796</v>
      </c>
      <c r="C27" s="95" t="s">
        <v>587</v>
      </c>
      <c r="D27" s="572">
        <v>29941.33</v>
      </c>
      <c r="E27" s="571">
        <f t="shared" si="0"/>
        <v>37.614736180904522</v>
      </c>
      <c r="F27" s="971"/>
      <c r="G27" s="169"/>
      <c r="H27" s="564"/>
      <c r="I27" s="169"/>
      <c r="J27" s="563"/>
    </row>
    <row r="28" spans="1:10" s="90" customFormat="1" ht="15" x14ac:dyDescent="0.25">
      <c r="A28" s="168"/>
      <c r="B28" s="94"/>
      <c r="C28" s="95" t="s">
        <v>587</v>
      </c>
      <c r="D28" s="572"/>
      <c r="E28" s="571" t="e">
        <f t="shared" si="0"/>
        <v>#DIV/0!</v>
      </c>
      <c r="F28" s="971"/>
      <c r="G28" s="169"/>
      <c r="H28" s="564"/>
      <c r="I28" s="169"/>
      <c r="J28" s="563"/>
    </row>
    <row r="29" spans="1:10" s="90" customFormat="1" ht="15" x14ac:dyDescent="0.25">
      <c r="A29" s="168"/>
      <c r="B29" s="94"/>
      <c r="C29" s="95" t="s">
        <v>587</v>
      </c>
      <c r="D29" s="572"/>
      <c r="E29" s="571" t="e">
        <f t="shared" si="0"/>
        <v>#DIV/0!</v>
      </c>
      <c r="F29" s="971"/>
      <c r="G29" s="483" t="s">
        <v>745</v>
      </c>
      <c r="H29" s="565">
        <v>796</v>
      </c>
      <c r="I29" s="169"/>
      <c r="J29" s="563"/>
    </row>
    <row r="30" spans="1:10" s="90" customFormat="1" ht="15" customHeight="1" x14ac:dyDescent="0.25">
      <c r="A30" s="171"/>
      <c r="B30" s="172"/>
      <c r="C30" s="173" t="s">
        <v>587</v>
      </c>
      <c r="D30" s="573"/>
      <c r="E30" s="574" t="e">
        <f t="shared" si="0"/>
        <v>#DIV/0!</v>
      </c>
      <c r="F30" s="972"/>
      <c r="G30" s="473"/>
      <c r="H30" s="566"/>
      <c r="I30" s="484" t="s">
        <v>121</v>
      </c>
      <c r="J30" s="561">
        <v>37.61</v>
      </c>
    </row>
    <row r="31" spans="1:10" s="90" customFormat="1" ht="15" x14ac:dyDescent="0.25">
      <c r="A31" s="92" t="s">
        <v>746</v>
      </c>
      <c r="B31" s="93">
        <v>510</v>
      </c>
      <c r="C31" s="12" t="s">
        <v>22</v>
      </c>
      <c r="D31" s="575">
        <v>18</v>
      </c>
      <c r="E31" s="569">
        <f>+B31*D31</f>
        <v>9180</v>
      </c>
      <c r="F31" s="970">
        <f>+SUM(D31:D35)/SUM(B31:B35)</f>
        <v>0.11130742049469965</v>
      </c>
      <c r="G31" s="166"/>
      <c r="H31" s="567"/>
      <c r="I31" s="166"/>
      <c r="J31" s="562"/>
    </row>
    <row r="32" spans="1:10" s="90" customFormat="1" ht="15" x14ac:dyDescent="0.25">
      <c r="A32" s="168" t="s">
        <v>801</v>
      </c>
      <c r="B32" s="94">
        <v>56</v>
      </c>
      <c r="C32" s="95" t="s">
        <v>22</v>
      </c>
      <c r="D32" s="572">
        <v>45</v>
      </c>
      <c r="E32" s="571">
        <f>+B32*D32</f>
        <v>2520</v>
      </c>
      <c r="F32" s="971"/>
      <c r="G32" s="169"/>
      <c r="H32" s="564"/>
      <c r="I32" s="169"/>
      <c r="J32" s="563"/>
    </row>
    <row r="33" spans="1:10" s="90" customFormat="1" ht="15" x14ac:dyDescent="0.25">
      <c r="A33" s="168"/>
      <c r="B33" s="94"/>
      <c r="C33" s="95" t="s">
        <v>587</v>
      </c>
      <c r="D33" s="572"/>
      <c r="E33" s="571" t="e">
        <f t="shared" si="0"/>
        <v>#DIV/0!</v>
      </c>
      <c r="F33" s="971"/>
      <c r="G33" s="169"/>
      <c r="H33" s="564"/>
      <c r="I33" s="169"/>
      <c r="J33" s="563"/>
    </row>
    <row r="34" spans="1:10" s="90" customFormat="1" ht="15" x14ac:dyDescent="0.25">
      <c r="A34" s="168"/>
      <c r="B34" s="94"/>
      <c r="C34" s="95" t="s">
        <v>587</v>
      </c>
      <c r="D34" s="572"/>
      <c r="E34" s="571" t="e">
        <f t="shared" si="0"/>
        <v>#DIV/0!</v>
      </c>
      <c r="F34" s="971"/>
      <c r="G34" s="483" t="s">
        <v>128</v>
      </c>
      <c r="H34" s="565">
        <f>+B31+B32</f>
        <v>566</v>
      </c>
      <c r="I34" s="169"/>
      <c r="J34" s="563"/>
    </row>
    <row r="35" spans="1:10" s="90" customFormat="1" ht="15" customHeight="1" x14ac:dyDescent="0.25">
      <c r="A35" s="171"/>
      <c r="B35" s="172"/>
      <c r="C35" s="173" t="s">
        <v>587</v>
      </c>
      <c r="D35" s="573"/>
      <c r="E35" s="574" t="e">
        <f t="shared" si="0"/>
        <v>#DIV/0!</v>
      </c>
      <c r="F35" s="972"/>
      <c r="G35" s="473"/>
      <c r="H35" s="566"/>
      <c r="I35" s="484" t="s">
        <v>121</v>
      </c>
      <c r="J35" s="561">
        <f>+(E31+E32)/H34</f>
        <v>20.671378091872793</v>
      </c>
    </row>
    <row r="36" spans="1:10" s="90" customFormat="1" ht="15" x14ac:dyDescent="0.25">
      <c r="A36" s="92" t="s">
        <v>807</v>
      </c>
      <c r="B36" s="93"/>
      <c r="C36" s="12" t="s">
        <v>587</v>
      </c>
      <c r="D36" s="575"/>
      <c r="E36" s="569" t="e">
        <f t="shared" si="0"/>
        <v>#DIV/0!</v>
      </c>
      <c r="F36" s="970">
        <f>+SUM(D36:D40)/SUM(B36:B40)</f>
        <v>0.14778325123152711</v>
      </c>
      <c r="G36" s="166"/>
      <c r="H36" s="567"/>
      <c r="I36" s="166"/>
      <c r="J36" s="562"/>
    </row>
    <row r="37" spans="1:10" s="90" customFormat="1" ht="15" x14ac:dyDescent="0.25">
      <c r="A37" s="168"/>
      <c r="B37" s="94">
        <v>203</v>
      </c>
      <c r="C37" s="95" t="s">
        <v>666</v>
      </c>
      <c r="D37" s="572">
        <v>30</v>
      </c>
      <c r="E37" s="571">
        <f>+D37*B37</f>
        <v>6090</v>
      </c>
      <c r="F37" s="971"/>
      <c r="G37" s="169"/>
      <c r="H37" s="564"/>
      <c r="I37" s="169"/>
      <c r="J37" s="563"/>
    </row>
    <row r="38" spans="1:10" s="90" customFormat="1" ht="15" x14ac:dyDescent="0.25">
      <c r="A38" s="168"/>
      <c r="B38" s="94"/>
      <c r="C38" s="95" t="s">
        <v>587</v>
      </c>
      <c r="D38" s="572"/>
      <c r="E38" s="571" t="e">
        <f t="shared" si="0"/>
        <v>#DIV/0!</v>
      </c>
      <c r="F38" s="971"/>
      <c r="G38" s="169"/>
      <c r="H38" s="564"/>
      <c r="I38" s="169"/>
      <c r="J38" s="563"/>
    </row>
    <row r="39" spans="1:10" s="90" customFormat="1" ht="15" x14ac:dyDescent="0.25">
      <c r="A39" s="168"/>
      <c r="B39" s="94"/>
      <c r="C39" s="95" t="s">
        <v>587</v>
      </c>
      <c r="D39" s="572"/>
      <c r="E39" s="571" t="e">
        <f t="shared" si="0"/>
        <v>#DIV/0!</v>
      </c>
      <c r="F39" s="971"/>
      <c r="G39" s="483" t="s">
        <v>128</v>
      </c>
      <c r="H39" s="565">
        <v>203</v>
      </c>
      <c r="I39" s="169"/>
      <c r="J39" s="563"/>
    </row>
    <row r="40" spans="1:10" s="90" customFormat="1" ht="15" customHeight="1" x14ac:dyDescent="0.25">
      <c r="A40" s="171"/>
      <c r="B40" s="172"/>
      <c r="C40" s="173" t="s">
        <v>587</v>
      </c>
      <c r="D40" s="573"/>
      <c r="E40" s="574" t="e">
        <f t="shared" si="0"/>
        <v>#DIV/0!</v>
      </c>
      <c r="F40" s="972"/>
      <c r="G40" s="473"/>
      <c r="H40" s="566"/>
      <c r="I40" s="484" t="s">
        <v>121</v>
      </c>
      <c r="J40" s="561">
        <v>30</v>
      </c>
    </row>
    <row r="41" spans="1:10" s="90" customFormat="1" ht="15" x14ac:dyDescent="0.25">
      <c r="A41" s="92" t="s">
        <v>808</v>
      </c>
      <c r="B41" s="93"/>
      <c r="C41" s="12" t="s">
        <v>587</v>
      </c>
      <c r="D41" s="575"/>
      <c r="E41" s="569" t="e">
        <f t="shared" si="0"/>
        <v>#DIV/0!</v>
      </c>
      <c r="F41" s="970">
        <f>+SUM(D41:D45)/SUM(B41:B45)</f>
        <v>0.75</v>
      </c>
      <c r="G41" s="166"/>
      <c r="H41" s="567"/>
      <c r="I41" s="166"/>
      <c r="J41" s="562"/>
    </row>
    <row r="42" spans="1:10" s="90" customFormat="1" ht="15" x14ac:dyDescent="0.25">
      <c r="A42" s="168"/>
      <c r="B42" s="94">
        <v>60</v>
      </c>
      <c r="C42" s="95" t="s">
        <v>666</v>
      </c>
      <c r="D42" s="572">
        <v>45</v>
      </c>
      <c r="E42" s="571">
        <f>+D42*B42</f>
        <v>2700</v>
      </c>
      <c r="F42" s="971"/>
      <c r="G42" s="169"/>
      <c r="H42" s="564"/>
      <c r="I42" s="169"/>
      <c r="J42" s="563"/>
    </row>
    <row r="43" spans="1:10" s="90" customFormat="1" ht="15" x14ac:dyDescent="0.25">
      <c r="A43" s="168"/>
      <c r="B43" s="94"/>
      <c r="C43" s="95" t="s">
        <v>587</v>
      </c>
      <c r="D43" s="572"/>
      <c r="E43" s="571" t="e">
        <f t="shared" ref="E43:E45" si="1">+D43/B43</f>
        <v>#DIV/0!</v>
      </c>
      <c r="F43" s="971"/>
      <c r="G43" s="169"/>
      <c r="H43" s="564"/>
      <c r="I43" s="169"/>
      <c r="J43" s="563"/>
    </row>
    <row r="44" spans="1:10" s="90" customFormat="1" ht="15" x14ac:dyDescent="0.25">
      <c r="A44" s="168"/>
      <c r="B44" s="94"/>
      <c r="C44" s="95" t="s">
        <v>587</v>
      </c>
      <c r="D44" s="572"/>
      <c r="E44" s="571" t="e">
        <f t="shared" si="1"/>
        <v>#DIV/0!</v>
      </c>
      <c r="F44" s="971"/>
      <c r="G44" s="483" t="s">
        <v>128</v>
      </c>
      <c r="H44" s="565">
        <v>60</v>
      </c>
      <c r="I44" s="169"/>
      <c r="J44" s="563"/>
    </row>
    <row r="45" spans="1:10" s="90" customFormat="1" ht="15" customHeight="1" x14ac:dyDescent="0.25">
      <c r="A45" s="171"/>
      <c r="B45" s="172"/>
      <c r="C45" s="173" t="s">
        <v>587</v>
      </c>
      <c r="D45" s="573"/>
      <c r="E45" s="574" t="e">
        <f t="shared" si="1"/>
        <v>#DIV/0!</v>
      </c>
      <c r="F45" s="972"/>
      <c r="G45" s="473"/>
      <c r="H45" s="566"/>
      <c r="I45" s="484" t="s">
        <v>121</v>
      </c>
      <c r="J45" s="561">
        <v>45</v>
      </c>
    </row>
    <row r="46" spans="1:10" s="90" customFormat="1" ht="15" x14ac:dyDescent="0.25">
      <c r="A46" s="92" t="s">
        <v>747</v>
      </c>
      <c r="B46" s="93"/>
      <c r="C46" s="12" t="s">
        <v>22</v>
      </c>
      <c r="D46" s="575"/>
      <c r="E46" s="569" t="e">
        <f t="shared" si="0"/>
        <v>#DIV/0!</v>
      </c>
      <c r="F46" s="970">
        <f>+SUM(D46:D50)/SUM(B46:B50)</f>
        <v>27.979274611398964</v>
      </c>
      <c r="G46" s="166"/>
      <c r="H46" s="567"/>
      <c r="I46" s="166"/>
      <c r="J46" s="562"/>
    </row>
    <row r="47" spans="1:10" s="90" customFormat="1" ht="15" x14ac:dyDescent="0.25">
      <c r="A47" s="168"/>
      <c r="B47" s="94"/>
      <c r="C47" s="95" t="s">
        <v>22</v>
      </c>
      <c r="D47" s="572"/>
      <c r="E47" s="571" t="e">
        <f t="shared" si="0"/>
        <v>#DIV/0!</v>
      </c>
      <c r="F47" s="971"/>
      <c r="G47" s="169"/>
      <c r="H47" s="564"/>
      <c r="I47" s="169"/>
      <c r="J47" s="563"/>
    </row>
    <row r="48" spans="1:10" s="90" customFormat="1" ht="15" x14ac:dyDescent="0.25">
      <c r="A48" s="168"/>
      <c r="B48" s="94">
        <v>1343</v>
      </c>
      <c r="C48" s="95" t="s">
        <v>22</v>
      </c>
      <c r="D48" s="572">
        <v>33000</v>
      </c>
      <c r="E48" s="571">
        <f t="shared" si="0"/>
        <v>24.571854058078927</v>
      </c>
      <c r="F48" s="971"/>
      <c r="G48" s="169"/>
      <c r="H48" s="564"/>
      <c r="I48" s="169"/>
      <c r="J48" s="563"/>
    </row>
    <row r="49" spans="1:10" s="90" customFormat="1" ht="15" x14ac:dyDescent="0.25">
      <c r="A49" s="168"/>
      <c r="B49" s="94">
        <v>587</v>
      </c>
      <c r="C49" s="95" t="s">
        <v>22</v>
      </c>
      <c r="D49" s="572">
        <v>21000</v>
      </c>
      <c r="E49" s="571">
        <f t="shared" si="0"/>
        <v>35.77512776831346</v>
      </c>
      <c r="F49" s="971"/>
      <c r="G49" s="483" t="s">
        <v>128</v>
      </c>
      <c r="H49" s="565">
        <f>+B48+B49</f>
        <v>1930</v>
      </c>
      <c r="I49" s="169"/>
      <c r="J49" s="563"/>
    </row>
    <row r="50" spans="1:10" s="90" customFormat="1" ht="15" customHeight="1" x14ac:dyDescent="0.25">
      <c r="A50" s="171"/>
      <c r="B50" s="172"/>
      <c r="C50" s="173" t="s">
        <v>22</v>
      </c>
      <c r="D50" s="573"/>
      <c r="E50" s="574" t="e">
        <f t="shared" si="0"/>
        <v>#DIV/0!</v>
      </c>
      <c r="F50" s="972"/>
      <c r="G50" s="473"/>
      <c r="H50" s="566"/>
      <c r="I50" s="484" t="s">
        <v>121</v>
      </c>
      <c r="J50" s="561">
        <f>+F46</f>
        <v>27.979274611398964</v>
      </c>
    </row>
    <row r="51" spans="1:10" s="90" customFormat="1" ht="15" x14ac:dyDescent="0.25">
      <c r="A51" s="92" t="s">
        <v>824</v>
      </c>
      <c r="B51" s="93"/>
      <c r="C51" s="12" t="s">
        <v>22</v>
      </c>
      <c r="D51" s="575"/>
      <c r="E51" s="569" t="e">
        <f t="shared" si="0"/>
        <v>#DIV/0!</v>
      </c>
      <c r="F51" s="970">
        <f>+SUM(D51:D55)/SUM(B51:B55)</f>
        <v>875</v>
      </c>
      <c r="G51" s="166"/>
      <c r="H51" s="567"/>
      <c r="I51" s="166"/>
      <c r="J51" s="562"/>
    </row>
    <row r="52" spans="1:10" s="90" customFormat="1" ht="15" x14ac:dyDescent="0.25">
      <c r="A52" s="168"/>
      <c r="B52" s="94">
        <v>4</v>
      </c>
      <c r="C52" s="95" t="s">
        <v>741</v>
      </c>
      <c r="D52" s="572">
        <v>3500</v>
      </c>
      <c r="E52" s="571">
        <f>+B52*D52</f>
        <v>14000</v>
      </c>
      <c r="F52" s="971"/>
      <c r="G52" s="169"/>
      <c r="H52" s="564"/>
      <c r="I52" s="169"/>
      <c r="J52" s="563"/>
    </row>
    <row r="53" spans="1:10" s="90" customFormat="1" ht="15" x14ac:dyDescent="0.25">
      <c r="A53" s="168"/>
      <c r="B53" s="94"/>
      <c r="C53" s="95" t="s">
        <v>22</v>
      </c>
      <c r="D53" s="572"/>
      <c r="E53" s="571" t="e">
        <f t="shared" si="0"/>
        <v>#DIV/0!</v>
      </c>
      <c r="F53" s="971"/>
      <c r="G53" s="169"/>
      <c r="H53" s="564"/>
      <c r="I53" s="169"/>
      <c r="J53" s="563"/>
    </row>
    <row r="54" spans="1:10" s="90" customFormat="1" ht="15" x14ac:dyDescent="0.25">
      <c r="A54" s="168"/>
      <c r="B54" s="94"/>
      <c r="C54" s="95" t="s">
        <v>22</v>
      </c>
      <c r="D54" s="572"/>
      <c r="E54" s="571" t="e">
        <f t="shared" si="0"/>
        <v>#DIV/0!</v>
      </c>
      <c r="F54" s="971"/>
      <c r="G54" s="483" t="s">
        <v>128</v>
      </c>
      <c r="H54" s="565">
        <v>4</v>
      </c>
      <c r="I54" s="169"/>
      <c r="J54" s="563"/>
    </row>
    <row r="55" spans="1:10" s="90" customFormat="1" ht="15" customHeight="1" x14ac:dyDescent="0.25">
      <c r="A55" s="171"/>
      <c r="B55" s="172"/>
      <c r="C55" s="173" t="s">
        <v>22</v>
      </c>
      <c r="D55" s="573"/>
      <c r="E55" s="574" t="e">
        <f t="shared" si="0"/>
        <v>#DIV/0!</v>
      </c>
      <c r="F55" s="972"/>
      <c r="G55" s="473"/>
      <c r="H55" s="566"/>
      <c r="I55" s="484" t="s">
        <v>121</v>
      </c>
      <c r="J55" s="561">
        <v>3500</v>
      </c>
    </row>
    <row r="56" spans="1:10" s="90" customFormat="1" ht="15" x14ac:dyDescent="0.25">
      <c r="A56" s="92" t="s">
        <v>748</v>
      </c>
      <c r="B56" s="93"/>
      <c r="C56" s="12" t="s">
        <v>22</v>
      </c>
      <c r="D56" s="575"/>
      <c r="E56" s="569" t="e">
        <f t="shared" si="0"/>
        <v>#DIV/0!</v>
      </c>
      <c r="F56" s="970">
        <f>+SUM(D56:D60)/SUM(B56:B60)</f>
        <v>1944.4444444444443</v>
      </c>
      <c r="G56" s="166"/>
      <c r="H56" s="567"/>
      <c r="I56" s="166"/>
      <c r="J56" s="562"/>
    </row>
    <row r="57" spans="1:10" s="90" customFormat="1" ht="15" x14ac:dyDescent="0.25">
      <c r="A57" s="168" t="s">
        <v>803</v>
      </c>
      <c r="B57" s="94">
        <v>3</v>
      </c>
      <c r="C57" s="95" t="s">
        <v>741</v>
      </c>
      <c r="D57" s="572">
        <f>+E57/B57</f>
        <v>5833.333333333333</v>
      </c>
      <c r="E57" s="571">
        <v>17500</v>
      </c>
      <c r="F57" s="971"/>
      <c r="G57" s="169"/>
      <c r="H57" s="564"/>
      <c r="I57" s="169"/>
      <c r="J57" s="563"/>
    </row>
    <row r="58" spans="1:10" s="90" customFormat="1" ht="15" x14ac:dyDescent="0.25">
      <c r="A58" s="168"/>
      <c r="B58" s="94"/>
      <c r="C58" s="95" t="s">
        <v>22</v>
      </c>
      <c r="D58" s="572"/>
      <c r="E58" s="571" t="e">
        <f t="shared" si="0"/>
        <v>#DIV/0!</v>
      </c>
      <c r="F58" s="971"/>
      <c r="G58" s="169"/>
      <c r="H58" s="564"/>
      <c r="I58" s="169"/>
      <c r="J58" s="563"/>
    </row>
    <row r="59" spans="1:10" s="90" customFormat="1" ht="15" x14ac:dyDescent="0.25">
      <c r="A59" s="168"/>
      <c r="B59" s="94"/>
      <c r="C59" s="95" t="s">
        <v>22</v>
      </c>
      <c r="D59" s="572"/>
      <c r="E59" s="571" t="e">
        <f t="shared" si="0"/>
        <v>#DIV/0!</v>
      </c>
      <c r="F59" s="971"/>
      <c r="G59" s="483" t="s">
        <v>128</v>
      </c>
      <c r="H59" s="565">
        <v>3</v>
      </c>
      <c r="I59" s="169"/>
      <c r="J59" s="563"/>
    </row>
    <row r="60" spans="1:10" s="90" customFormat="1" ht="15" customHeight="1" x14ac:dyDescent="0.25">
      <c r="A60" s="171"/>
      <c r="B60" s="172"/>
      <c r="C60" s="173" t="s">
        <v>22</v>
      </c>
      <c r="D60" s="573"/>
      <c r="E60" s="574" t="e">
        <f t="shared" si="0"/>
        <v>#DIV/0!</v>
      </c>
      <c r="F60" s="972"/>
      <c r="G60" s="473"/>
      <c r="H60" s="566"/>
      <c r="I60" s="484" t="s">
        <v>121</v>
      </c>
      <c r="J60" s="561">
        <v>5850</v>
      </c>
    </row>
    <row r="61" spans="1:10" s="90" customFormat="1" ht="15" x14ac:dyDescent="0.25">
      <c r="A61" s="481" t="s">
        <v>0</v>
      </c>
      <c r="B61" s="482"/>
      <c r="C61" s="482"/>
      <c r="D61" s="576">
        <f>+SUM(D5:D60)</f>
        <v>536191.94333333336</v>
      </c>
      <c r="E61" s="576"/>
      <c r="F61" s="577"/>
    </row>
    <row r="62" spans="1:10" s="90" customFormat="1" ht="15" x14ac:dyDescent="0.25">
      <c r="A62" s="91"/>
      <c r="B62" s="91"/>
      <c r="C62" s="91"/>
      <c r="D62" s="60"/>
      <c r="E62" s="91"/>
      <c r="F62" s="60"/>
      <c r="G62" s="91"/>
    </row>
    <row r="63" spans="1:10" x14ac:dyDescent="0.2">
      <c r="D63" s="97"/>
      <c r="F63" s="97"/>
    </row>
    <row r="64" spans="1:10" x14ac:dyDescent="0.2">
      <c r="D64" s="97"/>
      <c r="F64" s="97"/>
    </row>
    <row r="68" spans="7:7" ht="14.25" customHeight="1" x14ac:dyDescent="0.2"/>
    <row r="69" spans="7:7" ht="14.25" customHeight="1" x14ac:dyDescent="0.2"/>
    <row r="79" spans="7:7" ht="15.75" x14ac:dyDescent="0.25">
      <c r="G79" s="98"/>
    </row>
    <row r="81" spans="7:7" x14ac:dyDescent="0.2">
      <c r="G81" s="99"/>
    </row>
    <row r="82" spans="7:7" x14ac:dyDescent="0.2">
      <c r="G82" s="99"/>
    </row>
    <row r="83" spans="7:7" x14ac:dyDescent="0.2">
      <c r="G83" s="99"/>
    </row>
    <row r="84" spans="7:7" x14ac:dyDescent="0.2">
      <c r="G84" s="100"/>
    </row>
    <row r="85" spans="7:7" x14ac:dyDescent="0.2">
      <c r="G85" s="99"/>
    </row>
  </sheetData>
  <mergeCells count="13">
    <mergeCell ref="F21:F25"/>
    <mergeCell ref="A1:D1"/>
    <mergeCell ref="B4:C4"/>
    <mergeCell ref="F5:F10"/>
    <mergeCell ref="F11:F15"/>
    <mergeCell ref="F16:F20"/>
    <mergeCell ref="F56:F60"/>
    <mergeCell ref="F26:F30"/>
    <mergeCell ref="F31:F35"/>
    <mergeCell ref="F36:F40"/>
    <mergeCell ref="F41:F45"/>
    <mergeCell ref="F46:F50"/>
    <mergeCell ref="F51:F55"/>
  </mergeCells>
  <printOptions horizontalCentered="1" verticalCentered="1"/>
  <pageMargins left="0" right="0" top="0.39370078740157483" bottom="0.39370078740157483" header="0" footer="0"/>
  <pageSetup paperSize="9" scale="82" orientation="landscape" r:id="rId1"/>
  <headerFooter alignWithMargins="0">
    <oddHeader>&amp;R&amp;T;&amp;D</oddHeader>
    <oddFooter>&amp;L&amp;Z&amp;F&amp;R&amp;P/&amp;N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3">
    <tabColor theme="8"/>
    <pageSetUpPr fitToPage="1"/>
  </sheetPr>
  <dimension ref="A1:FQ94"/>
  <sheetViews>
    <sheetView zoomScale="85" zoomScaleNormal="85" workbookViewId="0">
      <selection activeCell="D24" sqref="D24"/>
    </sheetView>
  </sheetViews>
  <sheetFormatPr baseColWidth="10" defaultColWidth="11.42578125" defaultRowHeight="15" x14ac:dyDescent="0.25"/>
  <cols>
    <col min="1" max="1" width="15.85546875" style="91" bestFit="1" customWidth="1"/>
    <col min="2" max="2" width="7.7109375" style="91" bestFit="1" customWidth="1"/>
    <col min="3" max="3" width="4.140625" style="91" bestFit="1" customWidth="1"/>
    <col min="4" max="4" width="7.7109375" style="91" bestFit="1" customWidth="1"/>
    <col min="5" max="5" width="9.28515625" style="91" bestFit="1" customWidth="1"/>
    <col min="6" max="6" width="4.28515625" style="91" bestFit="1" customWidth="1"/>
    <col min="7" max="97" width="5.28515625" style="91" customWidth="1"/>
    <col min="98" max="111" width="3.7109375" style="91" customWidth="1"/>
    <col min="112" max="112" width="3.28515625" style="91" customWidth="1"/>
    <col min="113" max="144" width="3.140625" style="91" customWidth="1"/>
    <col min="145" max="16384" width="11.42578125" style="91"/>
  </cols>
  <sheetData>
    <row r="1" spans="1:173" ht="16.5" thickBot="1" x14ac:dyDescent="0.3">
      <c r="A1" s="204" t="s">
        <v>96</v>
      </c>
      <c r="B1" s="69">
        <v>45566</v>
      </c>
      <c r="C1" s="205"/>
      <c r="D1" s="205"/>
      <c r="E1" s="206"/>
      <c r="F1" s="206"/>
      <c r="G1" s="206"/>
      <c r="H1" s="206"/>
      <c r="I1" s="206"/>
      <c r="J1" s="886" t="s">
        <v>97</v>
      </c>
      <c r="K1" s="887"/>
      <c r="L1" s="887"/>
      <c r="M1" s="887"/>
      <c r="N1" s="887"/>
      <c r="O1" s="887"/>
      <c r="P1" s="887"/>
      <c r="Q1" s="887"/>
      <c r="R1" s="887"/>
      <c r="S1" s="887"/>
      <c r="T1" s="887"/>
      <c r="U1" s="887"/>
      <c r="V1" s="887"/>
      <c r="W1" s="887"/>
      <c r="X1" s="887"/>
      <c r="Y1" s="887"/>
      <c r="Z1" s="887"/>
      <c r="AA1" s="887"/>
      <c r="AB1" s="887"/>
      <c r="AC1" s="887"/>
      <c r="AD1" s="887"/>
      <c r="AE1" s="887"/>
      <c r="AF1" s="887"/>
      <c r="AG1" s="887"/>
      <c r="AH1" s="887"/>
      <c r="AI1" s="887"/>
      <c r="AJ1" s="888"/>
      <c r="AK1" s="206"/>
      <c r="AL1" s="206"/>
      <c r="AM1" s="206"/>
      <c r="AN1" s="206"/>
      <c r="AO1" s="206"/>
      <c r="AP1" s="206"/>
      <c r="AQ1" s="206"/>
      <c r="AR1" s="206"/>
      <c r="AS1" s="206"/>
      <c r="AT1" s="206"/>
      <c r="AU1" s="206"/>
      <c r="AV1" s="206"/>
      <c r="AW1" s="206"/>
      <c r="AX1" s="206"/>
      <c r="AY1" s="206"/>
      <c r="AZ1" s="206"/>
      <c r="BA1" s="206"/>
      <c r="BB1" s="206"/>
      <c r="BC1" s="206"/>
      <c r="BD1" s="206"/>
      <c r="BE1" s="206"/>
      <c r="BF1" s="206"/>
      <c r="BG1" s="206"/>
      <c r="BH1" s="206"/>
      <c r="BI1" s="206"/>
      <c r="BJ1" s="206"/>
      <c r="BK1" s="206"/>
      <c r="BL1" s="206"/>
      <c r="BM1" s="206"/>
      <c r="BN1" s="206"/>
      <c r="BO1" s="206"/>
      <c r="BP1" s="206"/>
      <c r="BQ1" s="206"/>
      <c r="BR1" s="206"/>
      <c r="BS1" s="206"/>
      <c r="BT1" s="206"/>
      <c r="BU1" s="206"/>
      <c r="BV1" s="206"/>
      <c r="BW1" s="206"/>
      <c r="BX1" s="206"/>
      <c r="BY1" s="206"/>
      <c r="BZ1" s="206"/>
      <c r="CA1" s="206"/>
      <c r="CB1" s="206"/>
      <c r="CC1" s="206"/>
      <c r="CD1" s="206"/>
      <c r="CE1" s="206"/>
      <c r="CF1" s="206"/>
      <c r="CG1" s="206"/>
      <c r="CH1" s="206"/>
      <c r="CI1" s="206"/>
      <c r="CJ1" s="206"/>
      <c r="CK1" s="206"/>
      <c r="CL1" s="206"/>
      <c r="CM1" s="206"/>
      <c r="CN1" s="206"/>
      <c r="CO1" s="206"/>
      <c r="CP1" s="206"/>
      <c r="CQ1" s="206"/>
      <c r="CR1" s="206"/>
      <c r="CS1" s="206"/>
      <c r="DC1" s="206"/>
      <c r="DD1" s="206"/>
      <c r="DE1" s="206"/>
      <c r="DF1" s="206"/>
      <c r="DG1" s="206"/>
    </row>
    <row r="2" spans="1:173" x14ac:dyDescent="0.25">
      <c r="A2" s="207" t="s">
        <v>98</v>
      </c>
      <c r="B2" s="70">
        <v>45565</v>
      </c>
      <c r="C2" s="208" t="s">
        <v>99</v>
      </c>
      <c r="D2" s="70">
        <v>45597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</row>
    <row r="3" spans="1:173" ht="15.75" thickBot="1" x14ac:dyDescent="0.3">
      <c r="A3" s="207"/>
      <c r="B3" s="70"/>
      <c r="C3" s="208"/>
      <c r="D3" s="70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</row>
    <row r="4" spans="1:173" ht="15.75" thickBot="1" x14ac:dyDescent="0.3">
      <c r="A4" s="207"/>
      <c r="B4" s="70"/>
      <c r="C4" s="208"/>
      <c r="D4" s="70"/>
      <c r="E4" s="7"/>
      <c r="F4" s="7"/>
      <c r="G4" s="889" t="s">
        <v>975</v>
      </c>
      <c r="H4" s="890"/>
      <c r="I4" s="890"/>
      <c r="J4" s="890"/>
      <c r="K4" s="890"/>
      <c r="L4" s="890"/>
      <c r="M4" s="890"/>
      <c r="N4" s="890"/>
      <c r="O4" s="890"/>
      <c r="P4" s="890"/>
      <c r="Q4" s="890"/>
      <c r="R4" s="890"/>
      <c r="S4" s="890"/>
      <c r="T4" s="890"/>
      <c r="U4" s="890"/>
      <c r="V4" s="890"/>
      <c r="W4" s="890"/>
      <c r="X4" s="890"/>
      <c r="Y4" s="891" t="s">
        <v>976</v>
      </c>
      <c r="Z4" s="892"/>
      <c r="AA4" s="892"/>
      <c r="AB4" s="892"/>
      <c r="AC4" s="892"/>
      <c r="AD4" s="892"/>
      <c r="AE4" s="892"/>
      <c r="AF4" s="892"/>
      <c r="AG4" s="892"/>
      <c r="AH4" s="892"/>
      <c r="AI4" s="892"/>
      <c r="AJ4" s="892"/>
      <c r="AK4" s="892"/>
      <c r="AL4" s="892"/>
      <c r="AM4" s="892"/>
      <c r="AN4" s="892"/>
      <c r="AO4" s="892"/>
      <c r="AP4" s="892"/>
      <c r="AQ4" s="892"/>
      <c r="AR4" s="892"/>
      <c r="AS4" s="893"/>
      <c r="AT4" s="894" t="s">
        <v>977</v>
      </c>
      <c r="AU4" s="895"/>
      <c r="AV4" s="895"/>
      <c r="AW4" s="895"/>
      <c r="AX4" s="895"/>
      <c r="AY4" s="895"/>
      <c r="AZ4" s="895"/>
      <c r="BA4" s="895"/>
      <c r="BB4" s="895"/>
      <c r="BC4" s="895"/>
      <c r="BD4" s="895"/>
      <c r="BE4" s="895"/>
      <c r="BF4" s="895"/>
      <c r="BG4" s="895"/>
      <c r="BH4" s="896" t="s">
        <v>978</v>
      </c>
      <c r="BI4" s="897"/>
      <c r="BJ4" s="897"/>
      <c r="BK4" s="897"/>
      <c r="BL4" s="897"/>
      <c r="BM4" s="897"/>
      <c r="BN4" s="897"/>
      <c r="BO4" s="897"/>
      <c r="BP4" s="897"/>
      <c r="BQ4" s="897"/>
      <c r="BR4" s="897"/>
      <c r="BS4" s="897"/>
      <c r="BT4" s="898" t="s">
        <v>979</v>
      </c>
      <c r="BU4" s="899"/>
      <c r="BV4" s="899"/>
      <c r="BW4" s="899"/>
      <c r="BX4" s="899"/>
      <c r="BY4" s="899"/>
      <c r="BZ4" s="899"/>
      <c r="CA4" s="899"/>
      <c r="CB4" s="899"/>
      <c r="CC4" s="899"/>
      <c r="CD4" s="889" t="s">
        <v>980</v>
      </c>
      <c r="CE4" s="890"/>
      <c r="CF4" s="890"/>
      <c r="CG4" s="890"/>
      <c r="CH4" s="890"/>
      <c r="CI4" s="890"/>
      <c r="CJ4" s="890"/>
      <c r="CK4" s="890"/>
      <c r="CL4" s="894" t="s">
        <v>981</v>
      </c>
      <c r="CM4" s="895"/>
      <c r="CN4" s="895"/>
      <c r="CO4" s="895"/>
      <c r="CP4" s="895"/>
      <c r="CQ4" s="895"/>
      <c r="CR4" s="895"/>
      <c r="CS4" s="900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</row>
    <row r="5" spans="1:173" ht="13.9" customHeight="1" x14ac:dyDescent="0.25">
      <c r="E5" s="7"/>
      <c r="F5" s="7"/>
      <c r="G5" s="860" t="s">
        <v>656</v>
      </c>
      <c r="H5" s="860" t="s">
        <v>768</v>
      </c>
      <c r="I5" s="860" t="s">
        <v>769</v>
      </c>
      <c r="J5" s="860" t="s">
        <v>756</v>
      </c>
      <c r="K5" s="860" t="s">
        <v>757</v>
      </c>
      <c r="L5" s="860" t="s">
        <v>761</v>
      </c>
      <c r="M5" s="860" t="s">
        <v>770</v>
      </c>
      <c r="N5" s="860" t="s">
        <v>809</v>
      </c>
      <c r="O5" s="860" t="s">
        <v>811</v>
      </c>
      <c r="P5" s="860" t="s">
        <v>810</v>
      </c>
      <c r="Q5" s="860" t="s">
        <v>762</v>
      </c>
      <c r="R5" s="860" t="s">
        <v>763</v>
      </c>
      <c r="S5" s="860" t="s">
        <v>764</v>
      </c>
      <c r="T5" s="860" t="s">
        <v>837</v>
      </c>
      <c r="U5" s="860" t="s">
        <v>774</v>
      </c>
      <c r="V5" s="860" t="s">
        <v>782</v>
      </c>
      <c r="W5" s="860" t="s">
        <v>778</v>
      </c>
      <c r="X5" s="860" t="s">
        <v>882</v>
      </c>
      <c r="Y5" s="878" t="s">
        <v>657</v>
      </c>
      <c r="Z5" s="884" t="s">
        <v>658</v>
      </c>
      <c r="AA5" s="884" t="s">
        <v>659</v>
      </c>
      <c r="AB5" s="884" t="s">
        <v>660</v>
      </c>
      <c r="AC5" s="884" t="s">
        <v>967</v>
      </c>
      <c r="AD5" s="884" t="s">
        <v>968</v>
      </c>
      <c r="AE5" s="884" t="s">
        <v>789</v>
      </c>
      <c r="AF5" s="884" t="s">
        <v>969</v>
      </c>
      <c r="AG5" s="884" t="s">
        <v>746</v>
      </c>
      <c r="AH5" s="884" t="s">
        <v>801</v>
      </c>
      <c r="AI5" s="884" t="s">
        <v>765</v>
      </c>
      <c r="AJ5" s="884" t="s">
        <v>766</v>
      </c>
      <c r="AK5" s="884" t="s">
        <v>767</v>
      </c>
      <c r="AL5" s="884" t="s">
        <v>784</v>
      </c>
      <c r="AM5" s="884" t="s">
        <v>776</v>
      </c>
      <c r="AN5" s="884" t="s">
        <v>779</v>
      </c>
      <c r="AO5" s="884" t="s">
        <v>970</v>
      </c>
      <c r="AP5" s="884"/>
      <c r="AQ5" s="884"/>
      <c r="AR5" s="872"/>
      <c r="AS5" s="882" t="s">
        <v>982</v>
      </c>
      <c r="AT5" s="880" t="s">
        <v>847</v>
      </c>
      <c r="AU5" s="880" t="s">
        <v>848</v>
      </c>
      <c r="AV5" s="880" t="s">
        <v>858</v>
      </c>
      <c r="AW5" s="880" t="s">
        <v>791</v>
      </c>
      <c r="AX5" s="880" t="s">
        <v>849</v>
      </c>
      <c r="AY5" s="880" t="s">
        <v>850</v>
      </c>
      <c r="AZ5" s="880" t="s">
        <v>856</v>
      </c>
      <c r="BA5" s="880" t="s">
        <v>854</v>
      </c>
      <c r="BB5" s="880" t="s">
        <v>853</v>
      </c>
      <c r="BC5" s="880" t="s">
        <v>859</v>
      </c>
      <c r="BD5" s="880" t="s">
        <v>851</v>
      </c>
      <c r="BE5" s="880" t="s">
        <v>852</v>
      </c>
      <c r="BF5" s="880" t="s">
        <v>796</v>
      </c>
      <c r="BG5" s="880" t="s">
        <v>797</v>
      </c>
      <c r="BH5" s="876" t="s">
        <v>788</v>
      </c>
      <c r="BI5" s="876" t="s">
        <v>864</v>
      </c>
      <c r="BJ5" s="876" t="s">
        <v>865</v>
      </c>
      <c r="BK5" s="876" t="s">
        <v>738</v>
      </c>
      <c r="BL5" s="876" t="s">
        <v>664</v>
      </c>
      <c r="BM5" s="876" t="s">
        <v>856</v>
      </c>
      <c r="BN5" s="876" t="s">
        <v>867</v>
      </c>
      <c r="BO5" s="876" t="s">
        <v>868</v>
      </c>
      <c r="BP5" s="876" t="s">
        <v>866</v>
      </c>
      <c r="BQ5" s="876" t="s">
        <v>869</v>
      </c>
      <c r="BR5" s="876" t="s">
        <v>796</v>
      </c>
      <c r="BS5" s="876" t="s">
        <v>797</v>
      </c>
      <c r="BT5" s="878" t="s">
        <v>786</v>
      </c>
      <c r="BU5" s="872" t="s">
        <v>738</v>
      </c>
      <c r="BV5" s="872" t="s">
        <v>664</v>
      </c>
      <c r="BW5" s="872" t="s">
        <v>971</v>
      </c>
      <c r="BX5" s="872" t="s">
        <v>972</v>
      </c>
      <c r="BY5" s="872" t="s">
        <v>973</v>
      </c>
      <c r="BZ5" s="872" t="s">
        <v>974</v>
      </c>
      <c r="CA5" s="872" t="s">
        <v>792</v>
      </c>
      <c r="CB5" s="872" t="s">
        <v>796</v>
      </c>
      <c r="CC5" s="872" t="s">
        <v>797</v>
      </c>
      <c r="CD5" s="874" t="s">
        <v>786</v>
      </c>
      <c r="CE5" s="870" t="s">
        <v>738</v>
      </c>
      <c r="CF5" s="870" t="s">
        <v>664</v>
      </c>
      <c r="CG5" s="870" t="s">
        <v>971</v>
      </c>
      <c r="CH5" s="870" t="s">
        <v>974</v>
      </c>
      <c r="CI5" s="870" t="s">
        <v>792</v>
      </c>
      <c r="CJ5" s="870" t="s">
        <v>796</v>
      </c>
      <c r="CK5" s="870" t="s">
        <v>797</v>
      </c>
      <c r="CL5" s="860" t="s">
        <v>879</v>
      </c>
      <c r="CM5" s="860" t="s">
        <v>655</v>
      </c>
      <c r="CN5" s="860"/>
      <c r="CO5" s="860"/>
      <c r="CP5" s="860"/>
      <c r="CQ5" s="860"/>
      <c r="CR5" s="860"/>
      <c r="CS5" s="860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</row>
    <row r="6" spans="1:173" s="53" customFormat="1" ht="15" customHeight="1" thickBot="1" x14ac:dyDescent="0.25">
      <c r="E6" s="7"/>
      <c r="F6" s="7"/>
      <c r="G6" s="860" t="s">
        <v>656</v>
      </c>
      <c r="H6" s="860" t="s">
        <v>768</v>
      </c>
      <c r="I6" s="860" t="s">
        <v>769</v>
      </c>
      <c r="J6" s="860" t="s">
        <v>756</v>
      </c>
      <c r="K6" s="860" t="s">
        <v>757</v>
      </c>
      <c r="L6" s="860" t="s">
        <v>761</v>
      </c>
      <c r="M6" s="860" t="s">
        <v>770</v>
      </c>
      <c r="N6" s="860" t="s">
        <v>809</v>
      </c>
      <c r="O6" s="860" t="s">
        <v>811</v>
      </c>
      <c r="P6" s="860" t="s">
        <v>810</v>
      </c>
      <c r="Q6" s="860" t="s">
        <v>762</v>
      </c>
      <c r="R6" s="860" t="s">
        <v>763</v>
      </c>
      <c r="S6" s="860" t="s">
        <v>764</v>
      </c>
      <c r="T6" s="860" t="s">
        <v>837</v>
      </c>
      <c r="U6" s="860" t="s">
        <v>774</v>
      </c>
      <c r="V6" s="860" t="s">
        <v>782</v>
      </c>
      <c r="W6" s="860" t="s">
        <v>778</v>
      </c>
      <c r="X6" s="860" t="s">
        <v>882</v>
      </c>
      <c r="Y6" s="878" t="s">
        <v>657</v>
      </c>
      <c r="Z6" s="884" t="s">
        <v>658</v>
      </c>
      <c r="AA6" s="884" t="s">
        <v>659</v>
      </c>
      <c r="AB6" s="884" t="s">
        <v>660</v>
      </c>
      <c r="AC6" s="884" t="s">
        <v>967</v>
      </c>
      <c r="AD6" s="884" t="s">
        <v>968</v>
      </c>
      <c r="AE6" s="884" t="s">
        <v>789</v>
      </c>
      <c r="AF6" s="884" t="s">
        <v>969</v>
      </c>
      <c r="AG6" s="884" t="s">
        <v>746</v>
      </c>
      <c r="AH6" s="884" t="s">
        <v>801</v>
      </c>
      <c r="AI6" s="884" t="s">
        <v>765</v>
      </c>
      <c r="AJ6" s="884" t="s">
        <v>766</v>
      </c>
      <c r="AK6" s="884" t="s">
        <v>767</v>
      </c>
      <c r="AL6" s="884" t="s">
        <v>784</v>
      </c>
      <c r="AM6" s="884" t="s">
        <v>776</v>
      </c>
      <c r="AN6" s="884" t="s">
        <v>779</v>
      </c>
      <c r="AO6" s="884" t="s">
        <v>970</v>
      </c>
      <c r="AP6" s="884"/>
      <c r="AQ6" s="884"/>
      <c r="AR6" s="872"/>
      <c r="AS6" s="882"/>
      <c r="AT6" s="880"/>
      <c r="AU6" s="880" t="s">
        <v>848</v>
      </c>
      <c r="AV6" s="880" t="s">
        <v>858</v>
      </c>
      <c r="AW6" s="880" t="s">
        <v>791</v>
      </c>
      <c r="AX6" s="880" t="s">
        <v>849</v>
      </c>
      <c r="AY6" s="880" t="s">
        <v>850</v>
      </c>
      <c r="AZ6" s="880" t="s">
        <v>856</v>
      </c>
      <c r="BA6" s="880" t="s">
        <v>854</v>
      </c>
      <c r="BB6" s="880" t="s">
        <v>853</v>
      </c>
      <c r="BC6" s="880" t="s">
        <v>859</v>
      </c>
      <c r="BD6" s="880" t="s">
        <v>851</v>
      </c>
      <c r="BE6" s="880" t="s">
        <v>852</v>
      </c>
      <c r="BF6" s="880" t="s">
        <v>796</v>
      </c>
      <c r="BG6" s="880" t="s">
        <v>797</v>
      </c>
      <c r="BH6" s="876" t="s">
        <v>788</v>
      </c>
      <c r="BI6" s="876" t="s">
        <v>864</v>
      </c>
      <c r="BJ6" s="876" t="s">
        <v>865</v>
      </c>
      <c r="BK6" s="876" t="s">
        <v>738</v>
      </c>
      <c r="BL6" s="876" t="s">
        <v>664</v>
      </c>
      <c r="BM6" s="876" t="s">
        <v>856</v>
      </c>
      <c r="BN6" s="876" t="s">
        <v>867</v>
      </c>
      <c r="BO6" s="876" t="s">
        <v>868</v>
      </c>
      <c r="BP6" s="876" t="s">
        <v>866</v>
      </c>
      <c r="BQ6" s="876" t="s">
        <v>869</v>
      </c>
      <c r="BR6" s="876" t="s">
        <v>796</v>
      </c>
      <c r="BS6" s="876" t="s">
        <v>797</v>
      </c>
      <c r="BT6" s="878" t="s">
        <v>786</v>
      </c>
      <c r="BU6" s="872" t="s">
        <v>738</v>
      </c>
      <c r="BV6" s="872" t="s">
        <v>664</v>
      </c>
      <c r="BW6" s="872" t="s">
        <v>971</v>
      </c>
      <c r="BX6" s="872" t="s">
        <v>972</v>
      </c>
      <c r="BY6" s="872" t="s">
        <v>973</v>
      </c>
      <c r="BZ6" s="872" t="s">
        <v>974</v>
      </c>
      <c r="CA6" s="872" t="s">
        <v>792</v>
      </c>
      <c r="CB6" s="872" t="s">
        <v>796</v>
      </c>
      <c r="CC6" s="872" t="s">
        <v>797</v>
      </c>
      <c r="CD6" s="874" t="s">
        <v>786</v>
      </c>
      <c r="CE6" s="870" t="s">
        <v>738</v>
      </c>
      <c r="CF6" s="870" t="s">
        <v>664</v>
      </c>
      <c r="CG6" s="870" t="s">
        <v>971</v>
      </c>
      <c r="CH6" s="870" t="s">
        <v>974</v>
      </c>
      <c r="CI6" s="870" t="s">
        <v>792</v>
      </c>
      <c r="CJ6" s="870" t="s">
        <v>796</v>
      </c>
      <c r="CK6" s="870" t="s">
        <v>797</v>
      </c>
      <c r="CL6" s="860" t="s">
        <v>879</v>
      </c>
      <c r="CM6" s="860" t="s">
        <v>655</v>
      </c>
      <c r="CN6" s="860"/>
      <c r="CO6" s="860"/>
      <c r="CP6" s="860"/>
      <c r="CQ6" s="860"/>
      <c r="CR6" s="860"/>
      <c r="CS6" s="860"/>
      <c r="CT6" s="67"/>
      <c r="CU6" s="862"/>
      <c r="CV6" s="863"/>
      <c r="CW6" s="863"/>
      <c r="CX6" s="863"/>
      <c r="CY6" s="863"/>
      <c r="CZ6" s="863"/>
      <c r="DA6" s="863"/>
      <c r="DB6" s="863"/>
      <c r="DC6" s="863"/>
      <c r="DD6" s="863"/>
      <c r="DE6" s="863"/>
      <c r="DF6" s="863"/>
      <c r="DG6" s="864"/>
    </row>
    <row r="7" spans="1:173" s="212" customFormat="1" ht="122.45" customHeight="1" thickBot="1" x14ac:dyDescent="0.25">
      <c r="A7" s="7"/>
      <c r="B7" s="7"/>
      <c r="C7" s="7"/>
      <c r="D7" s="7"/>
      <c r="E7" s="865" t="s">
        <v>100</v>
      </c>
      <c r="F7" s="866"/>
      <c r="G7" s="861" t="s">
        <v>656</v>
      </c>
      <c r="H7" s="861" t="s">
        <v>768</v>
      </c>
      <c r="I7" s="861" t="s">
        <v>769</v>
      </c>
      <c r="J7" s="861" t="s">
        <v>756</v>
      </c>
      <c r="K7" s="861" t="s">
        <v>757</v>
      </c>
      <c r="L7" s="861" t="s">
        <v>761</v>
      </c>
      <c r="M7" s="861" t="s">
        <v>770</v>
      </c>
      <c r="N7" s="861" t="s">
        <v>809</v>
      </c>
      <c r="O7" s="861" t="s">
        <v>811</v>
      </c>
      <c r="P7" s="861" t="s">
        <v>810</v>
      </c>
      <c r="Q7" s="861" t="s">
        <v>762</v>
      </c>
      <c r="R7" s="861" t="s">
        <v>763</v>
      </c>
      <c r="S7" s="861" t="s">
        <v>764</v>
      </c>
      <c r="T7" s="861" t="s">
        <v>837</v>
      </c>
      <c r="U7" s="861" t="s">
        <v>774</v>
      </c>
      <c r="V7" s="861" t="s">
        <v>782</v>
      </c>
      <c r="W7" s="861" t="s">
        <v>778</v>
      </c>
      <c r="X7" s="861" t="s">
        <v>882</v>
      </c>
      <c r="Y7" s="879" t="s">
        <v>657</v>
      </c>
      <c r="Z7" s="885" t="s">
        <v>658</v>
      </c>
      <c r="AA7" s="885" t="s">
        <v>659</v>
      </c>
      <c r="AB7" s="885" t="s">
        <v>660</v>
      </c>
      <c r="AC7" s="885" t="s">
        <v>967</v>
      </c>
      <c r="AD7" s="885" t="s">
        <v>968</v>
      </c>
      <c r="AE7" s="885" t="s">
        <v>789</v>
      </c>
      <c r="AF7" s="885" t="s">
        <v>969</v>
      </c>
      <c r="AG7" s="885" t="s">
        <v>746</v>
      </c>
      <c r="AH7" s="885" t="s">
        <v>801</v>
      </c>
      <c r="AI7" s="885" t="s">
        <v>765</v>
      </c>
      <c r="AJ7" s="885" t="s">
        <v>766</v>
      </c>
      <c r="AK7" s="885" t="s">
        <v>767</v>
      </c>
      <c r="AL7" s="885" t="s">
        <v>784</v>
      </c>
      <c r="AM7" s="885" t="s">
        <v>776</v>
      </c>
      <c r="AN7" s="885" t="s">
        <v>779</v>
      </c>
      <c r="AO7" s="885" t="s">
        <v>970</v>
      </c>
      <c r="AP7" s="885"/>
      <c r="AQ7" s="885"/>
      <c r="AR7" s="873"/>
      <c r="AS7" s="883"/>
      <c r="AT7" s="881"/>
      <c r="AU7" s="881" t="s">
        <v>848</v>
      </c>
      <c r="AV7" s="881" t="s">
        <v>858</v>
      </c>
      <c r="AW7" s="881" t="s">
        <v>791</v>
      </c>
      <c r="AX7" s="881" t="s">
        <v>849</v>
      </c>
      <c r="AY7" s="881" t="s">
        <v>850</v>
      </c>
      <c r="AZ7" s="881" t="s">
        <v>856</v>
      </c>
      <c r="BA7" s="881" t="s">
        <v>854</v>
      </c>
      <c r="BB7" s="881" t="s">
        <v>853</v>
      </c>
      <c r="BC7" s="881" t="s">
        <v>859</v>
      </c>
      <c r="BD7" s="881" t="s">
        <v>851</v>
      </c>
      <c r="BE7" s="881" t="s">
        <v>852</v>
      </c>
      <c r="BF7" s="881" t="s">
        <v>796</v>
      </c>
      <c r="BG7" s="881" t="s">
        <v>797</v>
      </c>
      <c r="BH7" s="877" t="s">
        <v>788</v>
      </c>
      <c r="BI7" s="877" t="s">
        <v>864</v>
      </c>
      <c r="BJ7" s="877" t="s">
        <v>865</v>
      </c>
      <c r="BK7" s="877" t="s">
        <v>738</v>
      </c>
      <c r="BL7" s="877" t="s">
        <v>664</v>
      </c>
      <c r="BM7" s="877" t="s">
        <v>856</v>
      </c>
      <c r="BN7" s="877" t="s">
        <v>867</v>
      </c>
      <c r="BO7" s="877" t="s">
        <v>868</v>
      </c>
      <c r="BP7" s="877" t="s">
        <v>866</v>
      </c>
      <c r="BQ7" s="877" t="s">
        <v>869</v>
      </c>
      <c r="BR7" s="877" t="s">
        <v>796</v>
      </c>
      <c r="BS7" s="877" t="s">
        <v>797</v>
      </c>
      <c r="BT7" s="879" t="s">
        <v>786</v>
      </c>
      <c r="BU7" s="873" t="s">
        <v>738</v>
      </c>
      <c r="BV7" s="873" t="s">
        <v>664</v>
      </c>
      <c r="BW7" s="873" t="s">
        <v>971</v>
      </c>
      <c r="BX7" s="873" t="s">
        <v>972</v>
      </c>
      <c r="BY7" s="873" t="s">
        <v>973</v>
      </c>
      <c r="BZ7" s="873" t="s">
        <v>974</v>
      </c>
      <c r="CA7" s="873" t="s">
        <v>792</v>
      </c>
      <c r="CB7" s="873" t="s">
        <v>796</v>
      </c>
      <c r="CC7" s="873" t="s">
        <v>797</v>
      </c>
      <c r="CD7" s="875" t="s">
        <v>786</v>
      </c>
      <c r="CE7" s="871" t="s">
        <v>738</v>
      </c>
      <c r="CF7" s="871" t="s">
        <v>664</v>
      </c>
      <c r="CG7" s="871" t="s">
        <v>971</v>
      </c>
      <c r="CH7" s="871" t="s">
        <v>974</v>
      </c>
      <c r="CI7" s="871" t="s">
        <v>792</v>
      </c>
      <c r="CJ7" s="871" t="s">
        <v>796</v>
      </c>
      <c r="CK7" s="871" t="s">
        <v>797</v>
      </c>
      <c r="CL7" s="861" t="s">
        <v>879</v>
      </c>
      <c r="CM7" s="861" t="s">
        <v>655</v>
      </c>
      <c r="CN7" s="861"/>
      <c r="CO7" s="861"/>
      <c r="CP7" s="861"/>
      <c r="CQ7" s="861"/>
      <c r="CR7" s="861"/>
      <c r="CS7" s="861"/>
      <c r="CT7" s="68"/>
      <c r="CU7" s="209"/>
      <c r="CV7" s="210"/>
      <c r="CW7" s="210"/>
      <c r="CX7" s="210"/>
      <c r="CY7" s="210"/>
      <c r="CZ7" s="210"/>
      <c r="DA7" s="210"/>
      <c r="DB7" s="210"/>
      <c r="DC7" s="210"/>
      <c r="DD7" s="210"/>
      <c r="DE7" s="210"/>
      <c r="DF7" s="210"/>
      <c r="DG7" s="211"/>
      <c r="DH7" s="752"/>
      <c r="DI7" s="753"/>
      <c r="DJ7" s="753"/>
      <c r="DK7" s="753"/>
      <c r="DL7" s="753"/>
      <c r="DM7" s="753"/>
      <c r="DN7" s="753"/>
      <c r="DO7" s="753"/>
      <c r="DP7" s="753"/>
      <c r="DQ7" s="753"/>
      <c r="DR7" s="753"/>
      <c r="DS7" s="753"/>
      <c r="DT7" s="754"/>
      <c r="DU7" s="752"/>
      <c r="DV7" s="753"/>
      <c r="DW7" s="753"/>
      <c r="DX7" s="753"/>
      <c r="DY7" s="753"/>
      <c r="DZ7" s="753"/>
      <c r="EA7" s="753"/>
      <c r="EB7" s="752" t="s">
        <v>101</v>
      </c>
      <c r="EC7" s="753" t="s">
        <v>23</v>
      </c>
      <c r="ED7" s="753" t="s">
        <v>24</v>
      </c>
      <c r="EE7" s="753" t="s">
        <v>25</v>
      </c>
      <c r="EF7" s="753" t="s">
        <v>26</v>
      </c>
      <c r="EG7" s="753" t="s">
        <v>27</v>
      </c>
      <c r="EH7" s="753" t="s">
        <v>28</v>
      </c>
      <c r="EI7" s="753" t="s">
        <v>29</v>
      </c>
      <c r="EJ7" s="753" t="s">
        <v>30</v>
      </c>
      <c r="EK7" s="753" t="s">
        <v>31</v>
      </c>
      <c r="EL7" s="753" t="s">
        <v>32</v>
      </c>
      <c r="EM7" s="753" t="s">
        <v>33</v>
      </c>
      <c r="EN7" s="754" t="s">
        <v>34</v>
      </c>
    </row>
    <row r="8" spans="1:173" s="212" customFormat="1" ht="29.25" thickBot="1" x14ac:dyDescent="0.25">
      <c r="A8" s="230" t="s">
        <v>613</v>
      </c>
      <c r="B8" s="232">
        <f>+B2</f>
        <v>45565</v>
      </c>
      <c r="C8" s="231" t="s">
        <v>614</v>
      </c>
      <c r="D8" s="233">
        <f>+B8+4</f>
        <v>45569</v>
      </c>
      <c r="E8" s="213" t="s">
        <v>102</v>
      </c>
      <c r="F8" s="214" t="s">
        <v>103</v>
      </c>
      <c r="G8" s="867" t="s">
        <v>122</v>
      </c>
      <c r="H8" s="868"/>
      <c r="I8" s="868"/>
      <c r="J8" s="868"/>
      <c r="K8" s="868"/>
      <c r="L8" s="868"/>
      <c r="M8" s="868"/>
      <c r="N8" s="868"/>
      <c r="O8" s="868"/>
      <c r="P8" s="868"/>
      <c r="Q8" s="868"/>
      <c r="R8" s="868"/>
      <c r="S8" s="868"/>
      <c r="T8" s="868"/>
      <c r="U8" s="868"/>
      <c r="V8" s="868"/>
      <c r="W8" s="868"/>
      <c r="X8" s="868"/>
      <c r="Y8" s="868"/>
      <c r="Z8" s="868"/>
      <c r="AA8" s="868"/>
      <c r="AB8" s="868"/>
      <c r="AC8" s="868"/>
      <c r="AD8" s="868"/>
      <c r="AE8" s="868"/>
      <c r="AF8" s="868"/>
      <c r="AG8" s="868"/>
      <c r="AH8" s="868"/>
      <c r="AI8" s="868"/>
      <c r="AJ8" s="868"/>
      <c r="AK8" s="868"/>
      <c r="AL8" s="868"/>
      <c r="AM8" s="868"/>
      <c r="AN8" s="868"/>
      <c r="AO8" s="868"/>
      <c r="AP8" s="868"/>
      <c r="AQ8" s="868"/>
      <c r="AR8" s="868"/>
      <c r="AS8" s="868"/>
      <c r="AT8" s="868"/>
      <c r="AU8" s="868"/>
      <c r="AV8" s="868"/>
      <c r="AW8" s="868"/>
      <c r="AX8" s="868"/>
      <c r="AY8" s="868"/>
      <c r="AZ8" s="868"/>
      <c r="BA8" s="868"/>
      <c r="BB8" s="868"/>
      <c r="BC8" s="868"/>
      <c r="BD8" s="868"/>
      <c r="BE8" s="868"/>
      <c r="BF8" s="868"/>
      <c r="BG8" s="868"/>
      <c r="BH8" s="868"/>
      <c r="BI8" s="868"/>
      <c r="BJ8" s="868"/>
      <c r="BK8" s="868"/>
      <c r="BL8" s="868"/>
      <c r="BM8" s="868"/>
      <c r="BN8" s="868"/>
      <c r="BO8" s="868"/>
      <c r="BP8" s="868"/>
      <c r="BQ8" s="868"/>
      <c r="BR8" s="868"/>
      <c r="BS8" s="868"/>
      <c r="BT8" s="868"/>
      <c r="BU8" s="868"/>
      <c r="BV8" s="868"/>
      <c r="BW8" s="868"/>
      <c r="BX8" s="868"/>
      <c r="BY8" s="868"/>
      <c r="BZ8" s="868"/>
      <c r="CA8" s="868"/>
      <c r="CB8" s="868"/>
      <c r="CC8" s="868"/>
      <c r="CD8" s="868"/>
      <c r="CE8" s="868"/>
      <c r="CF8" s="868"/>
      <c r="CG8" s="868"/>
      <c r="CH8" s="868"/>
      <c r="CI8" s="868"/>
      <c r="CJ8" s="868"/>
      <c r="CK8" s="868"/>
      <c r="CL8" s="868"/>
      <c r="CM8" s="868"/>
      <c r="CN8" s="868"/>
      <c r="CO8" s="868"/>
      <c r="CP8" s="868"/>
      <c r="CQ8" s="868"/>
      <c r="CR8" s="868"/>
      <c r="CS8" s="868"/>
      <c r="CT8" s="868"/>
      <c r="CU8" s="868"/>
      <c r="CV8" s="868"/>
      <c r="CW8" s="868"/>
      <c r="CX8" s="868"/>
      <c r="CY8" s="868"/>
      <c r="CZ8" s="868"/>
      <c r="DA8" s="868"/>
      <c r="DB8" s="868"/>
      <c r="DC8" s="868"/>
      <c r="DD8" s="868"/>
      <c r="DE8" s="868"/>
      <c r="DF8" s="868"/>
      <c r="DG8" s="869"/>
    </row>
    <row r="9" spans="1:173" s="2" customFormat="1" x14ac:dyDescent="0.2">
      <c r="A9" s="854" t="s">
        <v>74</v>
      </c>
      <c r="B9" s="855"/>
      <c r="C9" s="855"/>
      <c r="D9" s="856"/>
      <c r="E9" s="215">
        <f>SUM(G9:DB9)</f>
        <v>174</v>
      </c>
      <c r="F9" s="216">
        <f>SUM(DC9:DO9)</f>
        <v>0</v>
      </c>
      <c r="G9" s="735">
        <v>26</v>
      </c>
      <c r="H9" s="736">
        <v>0</v>
      </c>
      <c r="I9" s="736">
        <v>0</v>
      </c>
      <c r="J9" s="736">
        <v>0</v>
      </c>
      <c r="K9" s="736">
        <v>8</v>
      </c>
      <c r="L9" s="736">
        <v>39</v>
      </c>
      <c r="M9" s="736">
        <v>0</v>
      </c>
      <c r="N9" s="736">
        <v>0</v>
      </c>
      <c r="O9" s="736">
        <v>0</v>
      </c>
      <c r="P9" s="736">
        <v>0</v>
      </c>
      <c r="Q9" s="736">
        <v>0</v>
      </c>
      <c r="R9" s="736">
        <v>0</v>
      </c>
      <c r="S9" s="736">
        <v>0</v>
      </c>
      <c r="T9" s="736">
        <v>0</v>
      </c>
      <c r="U9" s="736">
        <v>0</v>
      </c>
      <c r="V9" s="736">
        <v>0</v>
      </c>
      <c r="W9" s="736">
        <v>0</v>
      </c>
      <c r="X9" s="736">
        <v>0</v>
      </c>
      <c r="Y9" s="737">
        <v>0</v>
      </c>
      <c r="Z9" s="737">
        <v>70</v>
      </c>
      <c r="AA9" s="737">
        <v>0</v>
      </c>
      <c r="AB9" s="737">
        <v>0</v>
      </c>
      <c r="AC9" s="737">
        <v>0</v>
      </c>
      <c r="AD9" s="737">
        <v>0</v>
      </c>
      <c r="AE9" s="737">
        <v>0</v>
      </c>
      <c r="AF9" s="737">
        <v>0</v>
      </c>
      <c r="AG9" s="737">
        <v>0</v>
      </c>
      <c r="AH9" s="737">
        <v>0</v>
      </c>
      <c r="AI9" s="737">
        <v>0</v>
      </c>
      <c r="AJ9" s="737">
        <v>0</v>
      </c>
      <c r="AK9" s="737">
        <v>0</v>
      </c>
      <c r="AL9" s="737">
        <v>0</v>
      </c>
      <c r="AM9" s="737">
        <v>0</v>
      </c>
      <c r="AN9" s="737">
        <v>0</v>
      </c>
      <c r="AO9" s="737">
        <v>0</v>
      </c>
      <c r="AP9" s="737">
        <v>0</v>
      </c>
      <c r="AQ9" s="737">
        <v>0</v>
      </c>
      <c r="AR9" s="737">
        <v>0</v>
      </c>
      <c r="AS9" s="738">
        <v>31</v>
      </c>
      <c r="AT9" s="737">
        <v>0</v>
      </c>
      <c r="AU9" s="737">
        <v>0</v>
      </c>
      <c r="AV9" s="737">
        <v>0</v>
      </c>
      <c r="AW9" s="737">
        <v>0</v>
      </c>
      <c r="AX9" s="737">
        <v>0</v>
      </c>
      <c r="AY9" s="737">
        <v>0</v>
      </c>
      <c r="AZ9" s="737">
        <v>0</v>
      </c>
      <c r="BA9" s="737">
        <v>0</v>
      </c>
      <c r="BB9" s="737">
        <v>0</v>
      </c>
      <c r="BC9" s="737">
        <v>0</v>
      </c>
      <c r="BD9" s="737">
        <v>0</v>
      </c>
      <c r="BE9" s="737">
        <v>0</v>
      </c>
      <c r="BF9" s="737">
        <v>0</v>
      </c>
      <c r="BG9" s="737">
        <v>0</v>
      </c>
      <c r="BH9" s="737">
        <v>0</v>
      </c>
      <c r="BI9" s="737">
        <v>0</v>
      </c>
      <c r="BJ9" s="737">
        <v>0</v>
      </c>
      <c r="BK9" s="737">
        <v>0</v>
      </c>
      <c r="BL9" s="737">
        <v>0</v>
      </c>
      <c r="BM9" s="737">
        <v>0</v>
      </c>
      <c r="BN9" s="737">
        <v>0</v>
      </c>
      <c r="BO9" s="737">
        <v>0</v>
      </c>
      <c r="BP9" s="737">
        <v>0</v>
      </c>
      <c r="BQ9" s="737">
        <v>0</v>
      </c>
      <c r="BR9" s="737">
        <v>0</v>
      </c>
      <c r="BS9" s="739">
        <v>0</v>
      </c>
      <c r="BT9" s="737">
        <v>0</v>
      </c>
      <c r="BU9" s="737">
        <v>0</v>
      </c>
      <c r="BV9" s="737">
        <v>0</v>
      </c>
      <c r="BW9" s="737">
        <v>0</v>
      </c>
      <c r="BX9" s="737">
        <v>0</v>
      </c>
      <c r="BY9" s="737">
        <v>0</v>
      </c>
      <c r="BZ9" s="737">
        <v>0</v>
      </c>
      <c r="CA9" s="737">
        <v>0</v>
      </c>
      <c r="CB9" s="737">
        <v>0</v>
      </c>
      <c r="CC9" s="737">
        <v>0</v>
      </c>
      <c r="CD9" s="737">
        <v>0</v>
      </c>
      <c r="CE9" s="737">
        <v>0</v>
      </c>
      <c r="CF9" s="737">
        <v>0</v>
      </c>
      <c r="CG9" s="737">
        <v>0</v>
      </c>
      <c r="CH9" s="737">
        <v>0</v>
      </c>
      <c r="CI9" s="737">
        <v>0</v>
      </c>
      <c r="CJ9" s="737">
        <v>0</v>
      </c>
      <c r="CK9" s="737">
        <v>0</v>
      </c>
      <c r="CL9" s="737">
        <v>0</v>
      </c>
      <c r="CM9" s="737">
        <v>0</v>
      </c>
      <c r="CN9" s="737">
        <v>0</v>
      </c>
      <c r="CO9" s="737">
        <v>0</v>
      </c>
      <c r="CP9" s="737">
        <v>0</v>
      </c>
      <c r="CQ9" s="737">
        <v>0</v>
      </c>
      <c r="CR9" s="737">
        <v>0</v>
      </c>
      <c r="CS9" s="738">
        <v>0</v>
      </c>
      <c r="CT9" s="737">
        <v>0</v>
      </c>
      <c r="CU9" s="737">
        <v>0</v>
      </c>
      <c r="CV9" s="737">
        <v>0</v>
      </c>
      <c r="CW9" s="737">
        <v>0</v>
      </c>
      <c r="CX9" s="737">
        <v>0</v>
      </c>
      <c r="CY9" s="737">
        <v>0</v>
      </c>
      <c r="CZ9" s="737">
        <v>0</v>
      </c>
      <c r="DA9" s="737">
        <v>0</v>
      </c>
      <c r="DB9" s="737">
        <v>0</v>
      </c>
      <c r="DC9" s="737">
        <v>0</v>
      </c>
      <c r="DD9" s="737">
        <v>0</v>
      </c>
      <c r="DE9" s="737">
        <v>0</v>
      </c>
      <c r="DF9" s="738">
        <v>0</v>
      </c>
      <c r="DG9" s="737">
        <v>0</v>
      </c>
      <c r="DH9" s="737">
        <v>0</v>
      </c>
      <c r="DI9" s="737">
        <v>0</v>
      </c>
      <c r="DJ9" s="737">
        <v>0</v>
      </c>
      <c r="DK9" s="737">
        <v>0</v>
      </c>
      <c r="DL9" s="737">
        <v>0</v>
      </c>
      <c r="DM9" s="737">
        <v>0</v>
      </c>
      <c r="DN9" s="737">
        <v>0</v>
      </c>
      <c r="DO9" s="737">
        <v>0</v>
      </c>
      <c r="DP9" s="737">
        <v>0</v>
      </c>
      <c r="DQ9" s="737">
        <v>0</v>
      </c>
      <c r="DR9" s="737">
        <v>0</v>
      </c>
      <c r="DS9" s="737">
        <v>0</v>
      </c>
      <c r="DT9" s="737">
        <v>0</v>
      </c>
      <c r="DU9" s="737">
        <v>0</v>
      </c>
      <c r="DV9" s="737">
        <v>0</v>
      </c>
      <c r="DW9" s="737">
        <v>0</v>
      </c>
      <c r="DX9" s="737">
        <v>0</v>
      </c>
      <c r="DY9" s="737">
        <v>0</v>
      </c>
      <c r="DZ9" s="737">
        <v>0</v>
      </c>
      <c r="EA9" s="737">
        <v>0</v>
      </c>
      <c r="EB9" s="737">
        <v>0</v>
      </c>
      <c r="EC9" s="737">
        <v>0</v>
      </c>
      <c r="ED9" s="737">
        <v>0</v>
      </c>
      <c r="EE9" s="737">
        <v>0</v>
      </c>
      <c r="EF9" s="737">
        <v>0</v>
      </c>
      <c r="EG9" s="737">
        <v>0</v>
      </c>
      <c r="EH9" s="737">
        <v>0</v>
      </c>
      <c r="EI9" s="737">
        <v>0</v>
      </c>
      <c r="EJ9" s="737">
        <v>0</v>
      </c>
      <c r="EK9" s="737">
        <v>0</v>
      </c>
      <c r="EL9" s="737">
        <v>0</v>
      </c>
      <c r="EM9" s="737">
        <v>0</v>
      </c>
      <c r="EN9" s="737">
        <v>0</v>
      </c>
      <c r="EO9" s="737">
        <v>0</v>
      </c>
      <c r="EP9" s="737">
        <v>0</v>
      </c>
      <c r="EQ9" s="737">
        <v>0</v>
      </c>
      <c r="ER9" s="737">
        <v>0</v>
      </c>
      <c r="ES9" s="737">
        <v>0</v>
      </c>
      <c r="ET9" s="737">
        <v>0</v>
      </c>
      <c r="EU9" s="737">
        <v>0</v>
      </c>
      <c r="EV9" s="737">
        <v>0</v>
      </c>
      <c r="EW9" s="737">
        <v>0</v>
      </c>
      <c r="EX9" s="738">
        <v>0</v>
      </c>
      <c r="EY9" s="737">
        <v>0</v>
      </c>
      <c r="EZ9" s="737">
        <v>0</v>
      </c>
      <c r="FA9" s="737">
        <v>0</v>
      </c>
      <c r="FB9" s="737">
        <v>0</v>
      </c>
      <c r="FC9" s="738">
        <v>0</v>
      </c>
      <c r="FD9" s="737">
        <v>0</v>
      </c>
      <c r="FE9" s="737">
        <v>0</v>
      </c>
      <c r="FF9" s="737">
        <v>0</v>
      </c>
      <c r="FG9" s="737">
        <v>0</v>
      </c>
      <c r="FH9" s="737">
        <v>0</v>
      </c>
      <c r="FI9" s="737">
        <v>0</v>
      </c>
      <c r="FJ9" s="737">
        <v>0</v>
      </c>
      <c r="FK9" s="737">
        <v>0</v>
      </c>
      <c r="FL9" s="737">
        <v>0</v>
      </c>
      <c r="FM9" s="737">
        <v>0</v>
      </c>
      <c r="FN9" s="737">
        <v>0</v>
      </c>
      <c r="FO9" s="737">
        <v>32</v>
      </c>
      <c r="FP9" s="737">
        <v>0</v>
      </c>
      <c r="FQ9" s="740">
        <v>0</v>
      </c>
    </row>
    <row r="10" spans="1:173" s="2" customFormat="1" ht="15.75" thickBot="1" x14ac:dyDescent="0.25">
      <c r="A10" s="857" t="s">
        <v>109</v>
      </c>
      <c r="B10" s="858"/>
      <c r="C10" s="858"/>
      <c r="D10" s="859"/>
      <c r="E10" s="217">
        <f>SUM(G10:DB10)</f>
        <v>62</v>
      </c>
      <c r="F10" s="218">
        <f>SUM(DC10:DO10)</f>
        <v>0</v>
      </c>
      <c r="G10" s="219">
        <v>0</v>
      </c>
      <c r="H10" s="219">
        <v>0</v>
      </c>
      <c r="I10" s="219">
        <v>0</v>
      </c>
      <c r="J10" s="219">
        <v>0</v>
      </c>
      <c r="K10" s="219">
        <v>0</v>
      </c>
      <c r="L10" s="219">
        <v>0</v>
      </c>
      <c r="M10" s="219">
        <v>0</v>
      </c>
      <c r="N10" s="219">
        <v>0</v>
      </c>
      <c r="O10" s="219">
        <v>0</v>
      </c>
      <c r="P10" s="219">
        <v>0</v>
      </c>
      <c r="Q10" s="219">
        <v>0</v>
      </c>
      <c r="R10" s="219">
        <v>0</v>
      </c>
      <c r="S10" s="219">
        <v>0</v>
      </c>
      <c r="T10" s="219">
        <v>0</v>
      </c>
      <c r="U10" s="219">
        <v>0</v>
      </c>
      <c r="V10" s="219">
        <v>0</v>
      </c>
      <c r="W10" s="219">
        <v>0</v>
      </c>
      <c r="X10" s="219">
        <v>0</v>
      </c>
      <c r="Y10" s="219">
        <v>0</v>
      </c>
      <c r="Z10" s="219">
        <v>0</v>
      </c>
      <c r="AA10" s="219">
        <v>2</v>
      </c>
      <c r="AB10" s="219">
        <v>2</v>
      </c>
      <c r="AC10" s="219">
        <v>0</v>
      </c>
      <c r="AD10" s="219">
        <v>0</v>
      </c>
      <c r="AE10" s="219">
        <v>9</v>
      </c>
      <c r="AF10" s="219">
        <v>0</v>
      </c>
      <c r="AG10" s="219">
        <v>0</v>
      </c>
      <c r="AH10" s="219">
        <v>0</v>
      </c>
      <c r="AI10" s="219">
        <v>0</v>
      </c>
      <c r="AJ10" s="219">
        <v>0</v>
      </c>
      <c r="AK10" s="219">
        <v>0</v>
      </c>
      <c r="AL10" s="219">
        <v>0</v>
      </c>
      <c r="AM10" s="219">
        <v>0</v>
      </c>
      <c r="AN10" s="219">
        <v>0</v>
      </c>
      <c r="AO10" s="219">
        <v>0</v>
      </c>
      <c r="AP10" s="219">
        <v>0</v>
      </c>
      <c r="AQ10" s="219">
        <v>0</v>
      </c>
      <c r="AR10" s="219">
        <v>0</v>
      </c>
      <c r="AS10" s="219">
        <v>18</v>
      </c>
      <c r="AT10" s="219">
        <v>31</v>
      </c>
      <c r="AU10" s="219">
        <v>0</v>
      </c>
      <c r="AV10" s="219">
        <v>0</v>
      </c>
      <c r="AW10" s="219">
        <v>0</v>
      </c>
      <c r="AX10" s="219">
        <v>0</v>
      </c>
      <c r="AY10" s="219">
        <v>0</v>
      </c>
      <c r="AZ10" s="219">
        <v>0</v>
      </c>
      <c r="BA10" s="219">
        <v>0</v>
      </c>
      <c r="BB10" s="219">
        <v>0</v>
      </c>
      <c r="BC10" s="219">
        <v>0</v>
      </c>
      <c r="BD10" s="219">
        <v>0</v>
      </c>
      <c r="BE10" s="219">
        <v>0</v>
      </c>
      <c r="BF10" s="219">
        <v>0</v>
      </c>
      <c r="BG10" s="219">
        <v>0</v>
      </c>
      <c r="BH10" s="219">
        <v>0</v>
      </c>
      <c r="BI10" s="219">
        <v>0</v>
      </c>
      <c r="BJ10" s="219">
        <v>0</v>
      </c>
      <c r="BK10" s="219">
        <v>0</v>
      </c>
      <c r="BL10" s="219">
        <v>0</v>
      </c>
      <c r="BM10" s="219">
        <v>0</v>
      </c>
      <c r="BN10" s="219">
        <v>0</v>
      </c>
      <c r="BO10" s="219">
        <v>0</v>
      </c>
      <c r="BP10" s="219">
        <v>0</v>
      </c>
      <c r="BQ10" s="219">
        <v>0</v>
      </c>
      <c r="BR10" s="219">
        <v>0</v>
      </c>
      <c r="BS10" s="219">
        <v>0</v>
      </c>
      <c r="BT10" s="219"/>
      <c r="BU10" s="219"/>
      <c r="BV10" s="219"/>
      <c r="BW10" s="219"/>
      <c r="BX10" s="219"/>
      <c r="BY10" s="219"/>
      <c r="BZ10" s="219"/>
      <c r="CA10" s="219"/>
      <c r="CB10" s="219"/>
      <c r="CC10" s="219"/>
      <c r="CD10" s="219"/>
      <c r="CE10" s="219"/>
      <c r="CF10" s="219"/>
      <c r="CG10" s="219"/>
      <c r="CH10" s="219"/>
      <c r="CI10" s="219"/>
      <c r="CJ10" s="219"/>
      <c r="CK10" s="219"/>
      <c r="CL10" s="219"/>
      <c r="CM10" s="219"/>
      <c r="CN10" s="219"/>
      <c r="CO10" s="219"/>
      <c r="CP10" s="219"/>
      <c r="CQ10" s="219"/>
      <c r="CR10" s="219"/>
      <c r="CS10" s="219"/>
      <c r="CT10" s="220"/>
      <c r="CU10" s="219"/>
      <c r="CV10" s="219"/>
      <c r="CW10" s="219"/>
      <c r="CX10" s="219"/>
      <c r="CY10" s="219"/>
      <c r="CZ10" s="219"/>
      <c r="DA10" s="219"/>
      <c r="DB10" s="219"/>
      <c r="DC10" s="219"/>
      <c r="DD10" s="219"/>
      <c r="DE10" s="219"/>
      <c r="DF10" s="219"/>
      <c r="DG10" s="221"/>
      <c r="DH10" s="221"/>
      <c r="DI10" s="221"/>
      <c r="DJ10" s="221"/>
      <c r="DK10" s="221"/>
      <c r="DL10" s="221"/>
      <c r="DM10" s="221"/>
      <c r="DN10" s="221"/>
      <c r="DO10" s="221"/>
      <c r="DP10" s="221"/>
      <c r="DQ10" s="221"/>
      <c r="DR10" s="221"/>
      <c r="DS10" s="221"/>
      <c r="DT10" s="221"/>
      <c r="DU10" s="221"/>
      <c r="DV10" s="221"/>
      <c r="DW10" s="221"/>
      <c r="DX10" s="221"/>
      <c r="DY10" s="221"/>
      <c r="DZ10" s="221"/>
      <c r="EA10" s="221"/>
      <c r="EB10" s="221"/>
      <c r="EC10" s="221"/>
      <c r="ED10" s="221"/>
      <c r="EE10" s="221"/>
      <c r="EF10" s="221"/>
      <c r="EG10" s="221"/>
      <c r="EH10" s="221"/>
      <c r="EI10" s="221"/>
      <c r="EJ10" s="221"/>
      <c r="EK10" s="221"/>
      <c r="EL10" s="221"/>
      <c r="EM10" s="221"/>
      <c r="EN10" s="221"/>
    </row>
    <row r="11" spans="1:173" s="2" customFormat="1" ht="15.75" thickBot="1" x14ac:dyDescent="0.25">
      <c r="A11" s="844" t="s">
        <v>110</v>
      </c>
      <c r="B11" s="845"/>
      <c r="C11" s="845"/>
      <c r="D11" s="845"/>
      <c r="E11" s="222">
        <f>SUM(E9:E10)</f>
        <v>236</v>
      </c>
      <c r="F11" s="223">
        <f>SUM(F9:F10)</f>
        <v>0</v>
      </c>
      <c r="G11" s="224">
        <f>SUM(G9:G10)</f>
        <v>26</v>
      </c>
      <c r="H11" s="224">
        <f t="shared" ref="H11:BO11" si="0">SUM(H9:H10)</f>
        <v>0</v>
      </c>
      <c r="I11" s="224">
        <f t="shared" si="0"/>
        <v>0</v>
      </c>
      <c r="J11" s="224">
        <f t="shared" si="0"/>
        <v>0</v>
      </c>
      <c r="K11" s="224">
        <f t="shared" si="0"/>
        <v>8</v>
      </c>
      <c r="L11" s="224">
        <f t="shared" si="0"/>
        <v>39</v>
      </c>
      <c r="M11" s="224">
        <f t="shared" si="0"/>
        <v>0</v>
      </c>
      <c r="N11" s="224">
        <f t="shared" si="0"/>
        <v>0</v>
      </c>
      <c r="O11" s="224">
        <f t="shared" si="0"/>
        <v>0</v>
      </c>
      <c r="P11" s="224">
        <f t="shared" si="0"/>
        <v>0</v>
      </c>
      <c r="Q11" s="224">
        <f t="shared" si="0"/>
        <v>0</v>
      </c>
      <c r="R11" s="224">
        <f t="shared" si="0"/>
        <v>0</v>
      </c>
      <c r="S11" s="224">
        <f t="shared" si="0"/>
        <v>0</v>
      </c>
      <c r="T11" s="224">
        <f t="shared" si="0"/>
        <v>0</v>
      </c>
      <c r="U11" s="224">
        <f t="shared" si="0"/>
        <v>0</v>
      </c>
      <c r="V11" s="224">
        <f t="shared" si="0"/>
        <v>0</v>
      </c>
      <c r="W11" s="224">
        <f t="shared" si="0"/>
        <v>0</v>
      </c>
      <c r="X11" s="224">
        <f t="shared" si="0"/>
        <v>0</v>
      </c>
      <c r="Y11" s="224">
        <f t="shared" si="0"/>
        <v>0</v>
      </c>
      <c r="Z11" s="224">
        <f t="shared" si="0"/>
        <v>70</v>
      </c>
      <c r="AA11" s="224">
        <f t="shared" si="0"/>
        <v>2</v>
      </c>
      <c r="AB11" s="224">
        <f t="shared" si="0"/>
        <v>2</v>
      </c>
      <c r="AC11" s="224">
        <f t="shared" si="0"/>
        <v>0</v>
      </c>
      <c r="AD11" s="224">
        <f t="shared" si="0"/>
        <v>0</v>
      </c>
      <c r="AE11" s="224">
        <f t="shared" si="0"/>
        <v>9</v>
      </c>
      <c r="AF11" s="224">
        <f t="shared" si="0"/>
        <v>0</v>
      </c>
      <c r="AG11" s="224">
        <f t="shared" si="0"/>
        <v>0</v>
      </c>
      <c r="AH11" s="224">
        <f t="shared" si="0"/>
        <v>0</v>
      </c>
      <c r="AI11" s="224">
        <f t="shared" si="0"/>
        <v>0</v>
      </c>
      <c r="AJ11" s="224">
        <f t="shared" si="0"/>
        <v>0</v>
      </c>
      <c r="AK11" s="224">
        <f t="shared" si="0"/>
        <v>0</v>
      </c>
      <c r="AL11" s="224">
        <f t="shared" si="0"/>
        <v>0</v>
      </c>
      <c r="AM11" s="224">
        <f t="shared" si="0"/>
        <v>0</v>
      </c>
      <c r="AN11" s="224">
        <f t="shared" si="0"/>
        <v>0</v>
      </c>
      <c r="AO11" s="224">
        <f t="shared" si="0"/>
        <v>0</v>
      </c>
      <c r="AP11" s="224">
        <f t="shared" si="0"/>
        <v>0</v>
      </c>
      <c r="AQ11" s="224">
        <f t="shared" si="0"/>
        <v>0</v>
      </c>
      <c r="AR11" s="224">
        <f t="shared" si="0"/>
        <v>0</v>
      </c>
      <c r="AS11" s="224">
        <f t="shared" si="0"/>
        <v>49</v>
      </c>
      <c r="AT11" s="224">
        <f t="shared" si="0"/>
        <v>31</v>
      </c>
      <c r="AU11" s="224">
        <f t="shared" si="0"/>
        <v>0</v>
      </c>
      <c r="AV11" s="224">
        <f t="shared" si="0"/>
        <v>0</v>
      </c>
      <c r="AW11" s="224">
        <f t="shared" si="0"/>
        <v>0</v>
      </c>
      <c r="AX11" s="224">
        <f t="shared" si="0"/>
        <v>0</v>
      </c>
      <c r="AY11" s="224">
        <f t="shared" si="0"/>
        <v>0</v>
      </c>
      <c r="AZ11" s="224">
        <f t="shared" ref="AZ11:BE11" si="1">SUM(AZ9:AZ10)</f>
        <v>0</v>
      </c>
      <c r="BA11" s="224">
        <f t="shared" si="1"/>
        <v>0</v>
      </c>
      <c r="BB11" s="224">
        <f t="shared" si="1"/>
        <v>0</v>
      </c>
      <c r="BC11" s="224">
        <f t="shared" si="1"/>
        <v>0</v>
      </c>
      <c r="BD11" s="224">
        <f t="shared" si="1"/>
        <v>0</v>
      </c>
      <c r="BE11" s="224">
        <f t="shared" si="1"/>
        <v>0</v>
      </c>
      <c r="BF11" s="224">
        <f t="shared" si="0"/>
        <v>0</v>
      </c>
      <c r="BG11" s="224">
        <f t="shared" si="0"/>
        <v>0</v>
      </c>
      <c r="BH11" s="224">
        <f t="shared" si="0"/>
        <v>0</v>
      </c>
      <c r="BI11" s="224">
        <f t="shared" si="0"/>
        <v>0</v>
      </c>
      <c r="BJ11" s="224">
        <f t="shared" si="0"/>
        <v>0</v>
      </c>
      <c r="BK11" s="224">
        <f t="shared" si="0"/>
        <v>0</v>
      </c>
      <c r="BL11" s="224">
        <f t="shared" si="0"/>
        <v>0</v>
      </c>
      <c r="BM11" s="224">
        <f t="shared" si="0"/>
        <v>0</v>
      </c>
      <c r="BN11" s="224">
        <f t="shared" si="0"/>
        <v>0</v>
      </c>
      <c r="BO11" s="224">
        <f t="shared" si="0"/>
        <v>0</v>
      </c>
      <c r="BP11" s="224">
        <f t="shared" ref="BP11:CS11" si="2">SUM(BP9:BP10)</f>
        <v>0</v>
      </c>
      <c r="BQ11" s="224">
        <f t="shared" si="2"/>
        <v>0</v>
      </c>
      <c r="BR11" s="224">
        <f t="shared" si="2"/>
        <v>0</v>
      </c>
      <c r="BS11" s="224">
        <f t="shared" si="2"/>
        <v>0</v>
      </c>
      <c r="BT11" s="224">
        <f t="shared" si="2"/>
        <v>0</v>
      </c>
      <c r="BU11" s="224">
        <f t="shared" si="2"/>
        <v>0</v>
      </c>
      <c r="BV11" s="224">
        <f t="shared" si="2"/>
        <v>0</v>
      </c>
      <c r="BW11" s="224">
        <f t="shared" si="2"/>
        <v>0</v>
      </c>
      <c r="BX11" s="224">
        <f t="shared" si="2"/>
        <v>0</v>
      </c>
      <c r="BY11" s="224">
        <f t="shared" si="2"/>
        <v>0</v>
      </c>
      <c r="BZ11" s="224">
        <f t="shared" si="2"/>
        <v>0</v>
      </c>
      <c r="CA11" s="224">
        <f t="shared" si="2"/>
        <v>0</v>
      </c>
      <c r="CB11" s="224">
        <f t="shared" si="2"/>
        <v>0</v>
      </c>
      <c r="CC11" s="224">
        <f t="shared" si="2"/>
        <v>0</v>
      </c>
      <c r="CD11" s="224">
        <f t="shared" si="2"/>
        <v>0</v>
      </c>
      <c r="CE11" s="224">
        <f t="shared" si="2"/>
        <v>0</v>
      </c>
      <c r="CF11" s="224">
        <f t="shared" si="2"/>
        <v>0</v>
      </c>
      <c r="CG11" s="224">
        <f t="shared" si="2"/>
        <v>0</v>
      </c>
      <c r="CH11" s="224">
        <f t="shared" si="2"/>
        <v>0</v>
      </c>
      <c r="CI11" s="224">
        <f t="shared" si="2"/>
        <v>0</v>
      </c>
      <c r="CJ11" s="224">
        <f t="shared" si="2"/>
        <v>0</v>
      </c>
      <c r="CK11" s="224">
        <f t="shared" si="2"/>
        <v>0</v>
      </c>
      <c r="CL11" s="224">
        <f t="shared" si="2"/>
        <v>0</v>
      </c>
      <c r="CM11" s="224">
        <f t="shared" si="2"/>
        <v>0</v>
      </c>
      <c r="CN11" s="224">
        <f t="shared" si="2"/>
        <v>0</v>
      </c>
      <c r="CO11" s="224">
        <f t="shared" si="2"/>
        <v>0</v>
      </c>
      <c r="CP11" s="224">
        <f t="shared" si="2"/>
        <v>0</v>
      </c>
      <c r="CQ11" s="224">
        <f t="shared" si="2"/>
        <v>0</v>
      </c>
      <c r="CR11" s="224">
        <f t="shared" si="2"/>
        <v>0</v>
      </c>
      <c r="CS11" s="224">
        <f t="shared" si="2"/>
        <v>0</v>
      </c>
      <c r="CT11" s="224">
        <f t="shared" ref="CT11" si="3">SUM(CT9:CT10)</f>
        <v>0</v>
      </c>
      <c r="CU11" s="224">
        <f t="shared" ref="CU11:DG11" si="4">SUM(CU9:CU10)</f>
        <v>0</v>
      </c>
      <c r="CV11" s="224">
        <f t="shared" si="4"/>
        <v>0</v>
      </c>
      <c r="CW11" s="224">
        <f t="shared" si="4"/>
        <v>0</v>
      </c>
      <c r="CX11" s="224">
        <f t="shared" si="4"/>
        <v>0</v>
      </c>
      <c r="CY11" s="224">
        <f t="shared" si="4"/>
        <v>0</v>
      </c>
      <c r="CZ11" s="224">
        <f t="shared" si="4"/>
        <v>0</v>
      </c>
      <c r="DA11" s="224">
        <f t="shared" si="4"/>
        <v>0</v>
      </c>
      <c r="DB11" s="224">
        <f t="shared" si="4"/>
        <v>0</v>
      </c>
      <c r="DC11" s="224">
        <f t="shared" si="4"/>
        <v>0</v>
      </c>
      <c r="DD11" s="224">
        <f t="shared" si="4"/>
        <v>0</v>
      </c>
      <c r="DE11" s="224">
        <f t="shared" si="4"/>
        <v>0</v>
      </c>
      <c r="DF11" s="224">
        <f t="shared" si="4"/>
        <v>0</v>
      </c>
      <c r="DG11" s="224">
        <f t="shared" si="4"/>
        <v>0</v>
      </c>
      <c r="DH11" s="224"/>
      <c r="DI11" s="224"/>
      <c r="DJ11" s="224"/>
      <c r="DK11" s="224"/>
      <c r="DL11" s="224"/>
      <c r="DM11" s="224"/>
      <c r="DN11" s="224"/>
      <c r="DO11" s="224"/>
      <c r="DP11" s="224"/>
      <c r="DQ11" s="224"/>
      <c r="DR11" s="224"/>
      <c r="DS11" s="224"/>
      <c r="DT11" s="224"/>
      <c r="DU11" s="224"/>
      <c r="DV11" s="224"/>
      <c r="DW11" s="224"/>
      <c r="DX11" s="224"/>
      <c r="DY11" s="224"/>
      <c r="DZ11" s="224"/>
      <c r="EA11" s="224"/>
      <c r="EB11" s="224"/>
      <c r="EC11" s="224"/>
      <c r="ED11" s="224"/>
      <c r="EE11" s="224"/>
      <c r="EF11" s="224"/>
      <c r="EG11" s="224"/>
      <c r="EH11" s="224"/>
      <c r="EI11" s="224"/>
      <c r="EJ11" s="224"/>
      <c r="EK11" s="224"/>
      <c r="EL11" s="224"/>
      <c r="EM11" s="224"/>
      <c r="EN11" s="224"/>
    </row>
    <row r="12" spans="1:173" s="2" customFormat="1" ht="14.45" customHeight="1" thickBot="1" x14ac:dyDescent="0.25">
      <c r="A12" s="230" t="s">
        <v>613</v>
      </c>
      <c r="B12" s="232">
        <f>+B8+7</f>
        <v>45572</v>
      </c>
      <c r="C12" s="231" t="s">
        <v>614</v>
      </c>
      <c r="D12" s="233">
        <f>+D8+7</f>
        <v>45576</v>
      </c>
      <c r="E12" s="213" t="s">
        <v>102</v>
      </c>
      <c r="F12" s="214" t="s">
        <v>103</v>
      </c>
      <c r="G12" s="219"/>
      <c r="H12" s="219"/>
      <c r="I12" s="219"/>
      <c r="J12" s="219"/>
      <c r="K12" s="219"/>
      <c r="L12" s="219"/>
      <c r="M12" s="219"/>
      <c r="N12" s="219"/>
      <c r="O12" s="219"/>
      <c r="P12" s="219"/>
      <c r="Q12" s="219"/>
      <c r="R12" s="219"/>
      <c r="S12" s="219"/>
      <c r="T12" s="219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19"/>
      <c r="AI12" s="219"/>
      <c r="AJ12" s="219"/>
      <c r="AK12" s="219"/>
      <c r="AL12" s="219"/>
      <c r="AM12" s="219"/>
      <c r="AN12" s="219"/>
      <c r="AO12" s="219"/>
      <c r="AP12" s="219"/>
      <c r="AQ12" s="219"/>
      <c r="AR12" s="219"/>
      <c r="AS12" s="219"/>
      <c r="AT12" s="219"/>
      <c r="AU12" s="219"/>
      <c r="AV12" s="219"/>
      <c r="AW12" s="219"/>
      <c r="AX12" s="219"/>
      <c r="AY12" s="219"/>
      <c r="AZ12" s="219"/>
      <c r="BA12" s="219"/>
      <c r="BB12" s="219"/>
      <c r="BC12" s="219"/>
      <c r="BD12" s="219"/>
      <c r="BE12" s="219"/>
      <c r="BF12" s="219"/>
      <c r="BG12" s="219"/>
      <c r="BH12" s="219"/>
      <c r="BI12" s="219"/>
      <c r="BJ12" s="219"/>
      <c r="BK12" s="219"/>
      <c r="BL12" s="219"/>
      <c r="BM12" s="219"/>
      <c r="BN12" s="219"/>
      <c r="BO12" s="219"/>
      <c r="BP12" s="219"/>
      <c r="BQ12" s="219"/>
      <c r="BR12" s="219"/>
      <c r="BS12" s="219"/>
      <c r="BT12" s="219"/>
      <c r="BU12" s="219"/>
      <c r="BV12" s="219"/>
      <c r="BW12" s="219"/>
      <c r="BX12" s="219"/>
      <c r="BY12" s="219"/>
      <c r="BZ12" s="219"/>
      <c r="CA12" s="219"/>
      <c r="CB12" s="219"/>
      <c r="CC12" s="219"/>
      <c r="CD12" s="219"/>
      <c r="CE12" s="219"/>
      <c r="CF12" s="219"/>
      <c r="CG12" s="219"/>
      <c r="CH12" s="219"/>
      <c r="CI12" s="219"/>
      <c r="CJ12" s="219"/>
      <c r="CK12" s="219"/>
      <c r="CL12" s="219"/>
      <c r="CM12" s="219"/>
      <c r="CN12" s="219"/>
      <c r="CO12" s="219"/>
      <c r="CP12" s="219"/>
      <c r="CQ12" s="219"/>
      <c r="CR12" s="219"/>
      <c r="CS12" s="219"/>
      <c r="CT12" s="220"/>
      <c r="CU12" s="219"/>
      <c r="CV12" s="219"/>
      <c r="CW12" s="219"/>
      <c r="CX12" s="219"/>
      <c r="CY12" s="219"/>
      <c r="CZ12" s="219"/>
      <c r="DA12" s="219"/>
      <c r="DB12" s="219"/>
      <c r="DC12" s="219"/>
      <c r="DD12" s="219"/>
      <c r="DE12" s="219"/>
      <c r="DF12" s="219"/>
      <c r="DG12" s="221"/>
      <c r="DH12" s="221"/>
      <c r="DI12" s="221"/>
      <c r="DJ12" s="221"/>
      <c r="DK12" s="221"/>
      <c r="DL12" s="221"/>
      <c r="DM12" s="221"/>
      <c r="DN12" s="221"/>
      <c r="DO12" s="221"/>
      <c r="DP12" s="221"/>
      <c r="DQ12" s="221"/>
      <c r="DR12" s="221"/>
      <c r="DS12" s="221"/>
      <c r="DT12" s="221"/>
      <c r="DU12" s="221"/>
      <c r="DV12" s="221"/>
      <c r="DW12" s="221"/>
      <c r="DX12" s="221"/>
      <c r="DY12" s="221"/>
      <c r="DZ12" s="221"/>
      <c r="EA12" s="221"/>
      <c r="EB12" s="221"/>
      <c r="EC12" s="221"/>
      <c r="ED12" s="221"/>
      <c r="EE12" s="221"/>
      <c r="EF12" s="221"/>
      <c r="EG12" s="221"/>
      <c r="EH12" s="221"/>
      <c r="EI12" s="221"/>
      <c r="EJ12" s="221"/>
      <c r="EK12" s="221"/>
      <c r="EL12" s="221"/>
      <c r="EM12" s="221"/>
      <c r="EN12" s="221"/>
    </row>
    <row r="13" spans="1:173" s="2" customFormat="1" x14ac:dyDescent="0.2">
      <c r="A13" s="854" t="s">
        <v>74</v>
      </c>
      <c r="B13" s="855"/>
      <c r="C13" s="855"/>
      <c r="D13" s="856"/>
      <c r="E13" s="215">
        <f>SUM(G13:DB13)</f>
        <v>156</v>
      </c>
      <c r="F13" s="216">
        <f>SUM(DC13:DO13)</f>
        <v>0</v>
      </c>
      <c r="G13" s="735">
        <v>18</v>
      </c>
      <c r="H13" s="736">
        <v>0</v>
      </c>
      <c r="I13" s="736">
        <v>0</v>
      </c>
      <c r="J13" s="736">
        <v>0</v>
      </c>
      <c r="K13" s="736">
        <v>0</v>
      </c>
      <c r="L13" s="736">
        <v>39</v>
      </c>
      <c r="M13" s="736">
        <v>0</v>
      </c>
      <c r="N13" s="736">
        <v>0</v>
      </c>
      <c r="O13" s="736">
        <v>0</v>
      </c>
      <c r="P13" s="736">
        <v>0</v>
      </c>
      <c r="Q13" s="736">
        <v>0</v>
      </c>
      <c r="R13" s="736">
        <v>0</v>
      </c>
      <c r="S13" s="736">
        <v>0</v>
      </c>
      <c r="T13" s="736">
        <v>0</v>
      </c>
      <c r="U13" s="736">
        <v>0</v>
      </c>
      <c r="V13" s="736">
        <v>0</v>
      </c>
      <c r="W13" s="736">
        <v>0</v>
      </c>
      <c r="X13" s="736">
        <v>0</v>
      </c>
      <c r="Y13" s="737">
        <v>19</v>
      </c>
      <c r="Z13" s="737">
        <v>61</v>
      </c>
      <c r="AA13" s="737">
        <v>7</v>
      </c>
      <c r="AB13" s="737">
        <v>0</v>
      </c>
      <c r="AC13" s="737">
        <v>0</v>
      </c>
      <c r="AD13" s="737">
        <v>0</v>
      </c>
      <c r="AE13" s="737">
        <v>0</v>
      </c>
      <c r="AF13" s="737">
        <v>0</v>
      </c>
      <c r="AG13" s="737">
        <v>0</v>
      </c>
      <c r="AH13" s="737">
        <v>0</v>
      </c>
      <c r="AI13" s="737">
        <v>0</v>
      </c>
      <c r="AJ13" s="737">
        <v>0</v>
      </c>
      <c r="AK13" s="737">
        <v>0</v>
      </c>
      <c r="AL13" s="737">
        <v>2</v>
      </c>
      <c r="AM13" s="737">
        <v>0</v>
      </c>
      <c r="AN13" s="737">
        <v>0</v>
      </c>
      <c r="AO13" s="737">
        <v>0</v>
      </c>
      <c r="AP13" s="737">
        <v>0</v>
      </c>
      <c r="AQ13" s="737">
        <v>0</v>
      </c>
      <c r="AR13" s="737">
        <v>0</v>
      </c>
      <c r="AS13" s="738">
        <v>10</v>
      </c>
      <c r="AT13" s="737">
        <v>0</v>
      </c>
      <c r="AU13" s="737">
        <v>0</v>
      </c>
      <c r="AV13" s="737">
        <v>0</v>
      </c>
      <c r="AW13" s="737">
        <v>0</v>
      </c>
      <c r="AX13" s="737">
        <v>0</v>
      </c>
      <c r="AY13" s="737">
        <v>0</v>
      </c>
      <c r="AZ13" s="737">
        <v>0</v>
      </c>
      <c r="BA13" s="737">
        <v>0</v>
      </c>
      <c r="BB13" s="737">
        <v>0</v>
      </c>
      <c r="BC13" s="737">
        <v>0</v>
      </c>
      <c r="BD13" s="737">
        <v>0</v>
      </c>
      <c r="BE13" s="737">
        <v>0</v>
      </c>
      <c r="BF13" s="737">
        <v>0</v>
      </c>
      <c r="BG13" s="737">
        <v>0</v>
      </c>
      <c r="BH13" s="219"/>
      <c r="BI13" s="219"/>
      <c r="BJ13" s="219"/>
      <c r="BK13" s="219"/>
      <c r="BL13" s="219"/>
      <c r="BM13" s="219"/>
      <c r="BN13" s="219"/>
      <c r="BO13" s="219"/>
      <c r="BP13" s="219"/>
      <c r="BQ13" s="219"/>
      <c r="BR13" s="219"/>
      <c r="BS13" s="219"/>
      <c r="BT13" s="219"/>
      <c r="BU13" s="219"/>
      <c r="BV13" s="219"/>
      <c r="BW13" s="219"/>
      <c r="BX13" s="219"/>
      <c r="BY13" s="219"/>
      <c r="BZ13" s="219"/>
      <c r="CA13" s="219"/>
      <c r="CB13" s="219"/>
      <c r="CC13" s="219"/>
      <c r="CD13" s="219"/>
      <c r="CE13" s="219"/>
      <c r="CF13" s="219"/>
      <c r="CG13" s="219"/>
      <c r="CH13" s="219"/>
      <c r="CI13" s="219"/>
      <c r="CJ13" s="219"/>
      <c r="CK13" s="219"/>
      <c r="CL13" s="219"/>
      <c r="CM13" s="219"/>
      <c r="CN13" s="219"/>
      <c r="CO13" s="219"/>
      <c r="CP13" s="219"/>
      <c r="CQ13" s="219"/>
      <c r="CR13" s="219"/>
      <c r="CS13" s="219"/>
      <c r="CT13" s="220"/>
      <c r="CU13" s="219"/>
      <c r="CV13" s="219"/>
      <c r="CW13" s="219"/>
      <c r="CX13" s="219"/>
      <c r="CY13" s="219"/>
      <c r="CZ13" s="219"/>
      <c r="DA13" s="219"/>
      <c r="DB13" s="219"/>
      <c r="DC13" s="219"/>
      <c r="DD13" s="219"/>
      <c r="DE13" s="219"/>
      <c r="DF13" s="219"/>
      <c r="DG13" s="221"/>
      <c r="DH13" s="221"/>
      <c r="DI13" s="221"/>
      <c r="DJ13" s="221"/>
      <c r="DK13" s="221"/>
      <c r="DL13" s="221"/>
      <c r="DM13" s="221"/>
      <c r="DN13" s="221"/>
      <c r="DO13" s="221"/>
      <c r="DP13" s="221"/>
      <c r="DQ13" s="221"/>
      <c r="DR13" s="221"/>
      <c r="DS13" s="221"/>
      <c r="DT13" s="221"/>
      <c r="DU13" s="221"/>
      <c r="DV13" s="221"/>
      <c r="DW13" s="221"/>
      <c r="DX13" s="221"/>
      <c r="DY13" s="221"/>
      <c r="DZ13" s="221"/>
      <c r="EA13" s="221"/>
      <c r="EB13" s="221"/>
      <c r="EC13" s="221"/>
      <c r="ED13" s="221"/>
      <c r="EE13" s="221"/>
      <c r="EF13" s="221"/>
      <c r="EG13" s="221"/>
      <c r="EH13" s="221"/>
      <c r="EI13" s="221"/>
      <c r="EJ13" s="221"/>
      <c r="EK13" s="221"/>
      <c r="EL13" s="221"/>
      <c r="EM13" s="221"/>
      <c r="EN13" s="221"/>
    </row>
    <row r="14" spans="1:173" s="2" customFormat="1" ht="15.75" thickBot="1" x14ac:dyDescent="0.25">
      <c r="A14" s="857" t="s">
        <v>109</v>
      </c>
      <c r="B14" s="858"/>
      <c r="C14" s="858"/>
      <c r="D14" s="859"/>
      <c r="E14" s="217">
        <f>SUM(G14:DB14)</f>
        <v>117</v>
      </c>
      <c r="F14" s="218">
        <f>SUM(DC14:DO14)</f>
        <v>0</v>
      </c>
      <c r="G14" s="219"/>
      <c r="H14" s="219"/>
      <c r="I14" s="219"/>
      <c r="J14" s="219"/>
      <c r="K14" s="219"/>
      <c r="L14" s="219"/>
      <c r="M14" s="219"/>
      <c r="N14" s="219"/>
      <c r="O14" s="219"/>
      <c r="P14" s="219"/>
      <c r="Q14" s="219"/>
      <c r="R14" s="219"/>
      <c r="S14" s="219"/>
      <c r="T14" s="219"/>
      <c r="U14" s="219"/>
      <c r="V14" s="219"/>
      <c r="W14" s="219"/>
      <c r="X14" s="219"/>
      <c r="Y14" s="219">
        <v>23</v>
      </c>
      <c r="Z14" s="219">
        <v>0</v>
      </c>
      <c r="AA14" s="219">
        <v>39</v>
      </c>
      <c r="AB14" s="219">
        <v>8</v>
      </c>
      <c r="AC14" s="219">
        <v>7</v>
      </c>
      <c r="AD14" s="219">
        <v>0</v>
      </c>
      <c r="AE14" s="219">
        <v>0</v>
      </c>
      <c r="AF14" s="219">
        <v>0</v>
      </c>
      <c r="AG14" s="219">
        <v>0</v>
      </c>
      <c r="AH14" s="219">
        <v>0</v>
      </c>
      <c r="AI14" s="219"/>
      <c r="AJ14" s="219"/>
      <c r="AK14" s="219"/>
      <c r="AL14" s="219"/>
      <c r="AM14" s="219">
        <v>16</v>
      </c>
      <c r="AN14" s="219"/>
      <c r="AO14" s="219"/>
      <c r="AP14" s="219"/>
      <c r="AQ14" s="219"/>
      <c r="AR14" s="219"/>
      <c r="AS14" s="219"/>
      <c r="AT14" s="219">
        <v>24</v>
      </c>
      <c r="AU14" s="219"/>
      <c r="AV14" s="219"/>
      <c r="AW14" s="219"/>
      <c r="AX14" s="219"/>
      <c r="AY14" s="219"/>
      <c r="AZ14" s="219"/>
      <c r="BA14" s="219"/>
      <c r="BB14" s="219"/>
      <c r="BC14" s="219"/>
      <c r="BD14" s="219"/>
      <c r="BE14" s="219"/>
      <c r="BF14" s="219"/>
      <c r="BG14" s="219"/>
      <c r="BH14" s="219"/>
      <c r="BI14" s="219"/>
      <c r="BJ14" s="219"/>
      <c r="BK14" s="219"/>
      <c r="BL14" s="219"/>
      <c r="BM14" s="219"/>
      <c r="BN14" s="219"/>
      <c r="BO14" s="219"/>
      <c r="BP14" s="219"/>
      <c r="BQ14" s="219"/>
      <c r="BR14" s="219"/>
      <c r="BS14" s="219"/>
      <c r="BT14" s="219"/>
      <c r="BU14" s="219"/>
      <c r="BV14" s="219"/>
      <c r="BW14" s="219"/>
      <c r="BX14" s="219"/>
      <c r="BY14" s="219"/>
      <c r="BZ14" s="219"/>
      <c r="CA14" s="219"/>
      <c r="CB14" s="219"/>
      <c r="CC14" s="219"/>
      <c r="CD14" s="219"/>
      <c r="CE14" s="219"/>
      <c r="CF14" s="219"/>
      <c r="CG14" s="219"/>
      <c r="CH14" s="219"/>
      <c r="CI14" s="219"/>
      <c r="CJ14" s="219"/>
      <c r="CK14" s="219"/>
      <c r="CL14" s="219"/>
      <c r="CM14" s="219"/>
      <c r="CN14" s="219"/>
      <c r="CO14" s="219"/>
      <c r="CP14" s="219"/>
      <c r="CQ14" s="219"/>
      <c r="CR14" s="219"/>
      <c r="CS14" s="219"/>
      <c r="CT14" s="220"/>
      <c r="CU14" s="219"/>
      <c r="CV14" s="219"/>
      <c r="CW14" s="219"/>
      <c r="CX14" s="219"/>
      <c r="CY14" s="219"/>
      <c r="CZ14" s="219"/>
      <c r="DA14" s="219"/>
      <c r="DB14" s="219"/>
      <c r="DC14" s="219"/>
      <c r="DD14" s="219"/>
      <c r="DE14" s="219"/>
      <c r="DF14" s="219"/>
      <c r="DG14" s="221"/>
      <c r="DH14" s="221"/>
      <c r="DI14" s="221"/>
      <c r="DJ14" s="221"/>
      <c r="DK14" s="221"/>
      <c r="DL14" s="221"/>
      <c r="DM14" s="221"/>
      <c r="DN14" s="221"/>
      <c r="DO14" s="221"/>
      <c r="DP14" s="221"/>
      <c r="DQ14" s="221"/>
      <c r="DR14" s="221"/>
      <c r="DS14" s="221"/>
      <c r="DT14" s="221"/>
      <c r="DU14" s="221"/>
      <c r="DV14" s="221"/>
      <c r="DW14" s="221"/>
      <c r="DX14" s="221"/>
      <c r="DY14" s="221"/>
      <c r="DZ14" s="221"/>
      <c r="EA14" s="221"/>
      <c r="EB14" s="221"/>
      <c r="EC14" s="221"/>
      <c r="ED14" s="221"/>
      <c r="EE14" s="221"/>
      <c r="EF14" s="221"/>
      <c r="EG14" s="221"/>
      <c r="EH14" s="221"/>
      <c r="EI14" s="221"/>
      <c r="EJ14" s="221"/>
      <c r="EK14" s="221"/>
      <c r="EL14" s="221"/>
      <c r="EM14" s="221"/>
      <c r="EN14" s="221"/>
    </row>
    <row r="15" spans="1:173" s="2" customFormat="1" ht="15.75" thickBot="1" x14ac:dyDescent="0.25">
      <c r="A15" s="844" t="s">
        <v>110</v>
      </c>
      <c r="B15" s="845"/>
      <c r="C15" s="845"/>
      <c r="D15" s="845"/>
      <c r="E15" s="222">
        <f>SUM(E13:E14)</f>
        <v>273</v>
      </c>
      <c r="F15" s="223">
        <f>SUM(F13:F14)</f>
        <v>0</v>
      </c>
      <c r="G15" s="224">
        <f t="shared" ref="G15" si="5">SUM(G13:G14)</f>
        <v>18</v>
      </c>
      <c r="H15" s="224">
        <f t="shared" ref="H15:BO15" si="6">SUM(H13:H14)</f>
        <v>0</v>
      </c>
      <c r="I15" s="224">
        <f t="shared" si="6"/>
        <v>0</v>
      </c>
      <c r="J15" s="224">
        <f t="shared" si="6"/>
        <v>0</v>
      </c>
      <c r="K15" s="224">
        <f t="shared" si="6"/>
        <v>0</v>
      </c>
      <c r="L15" s="224">
        <f t="shared" si="6"/>
        <v>39</v>
      </c>
      <c r="M15" s="224">
        <f t="shared" si="6"/>
        <v>0</v>
      </c>
      <c r="N15" s="224">
        <f t="shared" si="6"/>
        <v>0</v>
      </c>
      <c r="O15" s="224">
        <f t="shared" si="6"/>
        <v>0</v>
      </c>
      <c r="P15" s="224">
        <f t="shared" si="6"/>
        <v>0</v>
      </c>
      <c r="Q15" s="224">
        <f t="shared" si="6"/>
        <v>0</v>
      </c>
      <c r="R15" s="224">
        <f t="shared" si="6"/>
        <v>0</v>
      </c>
      <c r="S15" s="224">
        <f t="shared" si="6"/>
        <v>0</v>
      </c>
      <c r="T15" s="224">
        <f t="shared" si="6"/>
        <v>0</v>
      </c>
      <c r="U15" s="224">
        <f t="shared" si="6"/>
        <v>0</v>
      </c>
      <c r="V15" s="224">
        <f t="shared" si="6"/>
        <v>0</v>
      </c>
      <c r="W15" s="224">
        <f t="shared" si="6"/>
        <v>0</v>
      </c>
      <c r="X15" s="224">
        <f t="shared" si="6"/>
        <v>0</v>
      </c>
      <c r="Y15" s="224">
        <f t="shared" si="6"/>
        <v>42</v>
      </c>
      <c r="Z15" s="224">
        <f t="shared" si="6"/>
        <v>61</v>
      </c>
      <c r="AA15" s="224">
        <f t="shared" si="6"/>
        <v>46</v>
      </c>
      <c r="AB15" s="224">
        <f t="shared" si="6"/>
        <v>8</v>
      </c>
      <c r="AC15" s="224">
        <f t="shared" si="6"/>
        <v>7</v>
      </c>
      <c r="AD15" s="224">
        <f t="shared" si="6"/>
        <v>0</v>
      </c>
      <c r="AE15" s="224">
        <f t="shared" si="6"/>
        <v>0</v>
      </c>
      <c r="AF15" s="224">
        <f t="shared" si="6"/>
        <v>0</v>
      </c>
      <c r="AG15" s="224">
        <f t="shared" si="6"/>
        <v>0</v>
      </c>
      <c r="AH15" s="224">
        <f t="shared" si="6"/>
        <v>0</v>
      </c>
      <c r="AI15" s="224">
        <f t="shared" si="6"/>
        <v>0</v>
      </c>
      <c r="AJ15" s="224">
        <f t="shared" si="6"/>
        <v>0</v>
      </c>
      <c r="AK15" s="224">
        <f t="shared" si="6"/>
        <v>0</v>
      </c>
      <c r="AL15" s="224">
        <f t="shared" si="6"/>
        <v>2</v>
      </c>
      <c r="AM15" s="224">
        <f t="shared" si="6"/>
        <v>16</v>
      </c>
      <c r="AN15" s="224">
        <f t="shared" si="6"/>
        <v>0</v>
      </c>
      <c r="AO15" s="224">
        <f t="shared" si="6"/>
        <v>0</v>
      </c>
      <c r="AP15" s="224">
        <f t="shared" si="6"/>
        <v>0</v>
      </c>
      <c r="AQ15" s="224">
        <f t="shared" si="6"/>
        <v>0</v>
      </c>
      <c r="AR15" s="224">
        <f t="shared" si="6"/>
        <v>0</v>
      </c>
      <c r="AS15" s="224">
        <f t="shared" si="6"/>
        <v>10</v>
      </c>
      <c r="AT15" s="224">
        <f t="shared" si="6"/>
        <v>24</v>
      </c>
      <c r="AU15" s="224">
        <f t="shared" si="6"/>
        <v>0</v>
      </c>
      <c r="AV15" s="224">
        <f t="shared" si="6"/>
        <v>0</v>
      </c>
      <c r="AW15" s="224">
        <f t="shared" si="6"/>
        <v>0</v>
      </c>
      <c r="AX15" s="224">
        <f t="shared" si="6"/>
        <v>0</v>
      </c>
      <c r="AY15" s="224">
        <f t="shared" si="6"/>
        <v>0</v>
      </c>
      <c r="AZ15" s="224">
        <f t="shared" ref="AZ15:BE15" si="7">SUM(AZ13:AZ14)</f>
        <v>0</v>
      </c>
      <c r="BA15" s="224">
        <f t="shared" si="7"/>
        <v>0</v>
      </c>
      <c r="BB15" s="224">
        <f t="shared" si="7"/>
        <v>0</v>
      </c>
      <c r="BC15" s="224">
        <f t="shared" si="7"/>
        <v>0</v>
      </c>
      <c r="BD15" s="224">
        <f t="shared" si="7"/>
        <v>0</v>
      </c>
      <c r="BE15" s="224">
        <f t="shared" si="7"/>
        <v>0</v>
      </c>
      <c r="BF15" s="224">
        <f t="shared" si="6"/>
        <v>0</v>
      </c>
      <c r="BG15" s="224">
        <f t="shared" si="6"/>
        <v>0</v>
      </c>
      <c r="BH15" s="224">
        <f t="shared" si="6"/>
        <v>0</v>
      </c>
      <c r="BI15" s="224">
        <f t="shared" si="6"/>
        <v>0</v>
      </c>
      <c r="BJ15" s="224">
        <f t="shared" si="6"/>
        <v>0</v>
      </c>
      <c r="BK15" s="224">
        <f t="shared" si="6"/>
        <v>0</v>
      </c>
      <c r="BL15" s="224">
        <f t="shared" si="6"/>
        <v>0</v>
      </c>
      <c r="BM15" s="224">
        <f t="shared" si="6"/>
        <v>0</v>
      </c>
      <c r="BN15" s="224">
        <f t="shared" si="6"/>
        <v>0</v>
      </c>
      <c r="BO15" s="224">
        <f t="shared" si="6"/>
        <v>0</v>
      </c>
      <c r="BP15" s="224">
        <f t="shared" ref="BP15:CS15" si="8">SUM(BP13:BP14)</f>
        <v>0</v>
      </c>
      <c r="BQ15" s="224">
        <f t="shared" si="8"/>
        <v>0</v>
      </c>
      <c r="BR15" s="224">
        <f t="shared" si="8"/>
        <v>0</v>
      </c>
      <c r="BS15" s="224">
        <f t="shared" si="8"/>
        <v>0</v>
      </c>
      <c r="BT15" s="224">
        <f t="shared" si="8"/>
        <v>0</v>
      </c>
      <c r="BU15" s="224">
        <f t="shared" si="8"/>
        <v>0</v>
      </c>
      <c r="BV15" s="224">
        <f t="shared" si="8"/>
        <v>0</v>
      </c>
      <c r="BW15" s="224">
        <f t="shared" si="8"/>
        <v>0</v>
      </c>
      <c r="BX15" s="224">
        <f t="shared" si="8"/>
        <v>0</v>
      </c>
      <c r="BY15" s="224">
        <f t="shared" si="8"/>
        <v>0</v>
      </c>
      <c r="BZ15" s="224">
        <f t="shared" si="8"/>
        <v>0</v>
      </c>
      <c r="CA15" s="224">
        <f t="shared" si="8"/>
        <v>0</v>
      </c>
      <c r="CB15" s="224">
        <f t="shared" si="8"/>
        <v>0</v>
      </c>
      <c r="CC15" s="224">
        <f t="shared" si="8"/>
        <v>0</v>
      </c>
      <c r="CD15" s="224">
        <f t="shared" si="8"/>
        <v>0</v>
      </c>
      <c r="CE15" s="224">
        <f t="shared" si="8"/>
        <v>0</v>
      </c>
      <c r="CF15" s="224">
        <f t="shared" si="8"/>
        <v>0</v>
      </c>
      <c r="CG15" s="224">
        <f t="shared" si="8"/>
        <v>0</v>
      </c>
      <c r="CH15" s="224">
        <f t="shared" si="8"/>
        <v>0</v>
      </c>
      <c r="CI15" s="224">
        <f t="shared" si="8"/>
        <v>0</v>
      </c>
      <c r="CJ15" s="224">
        <f t="shared" si="8"/>
        <v>0</v>
      </c>
      <c r="CK15" s="224">
        <f t="shared" si="8"/>
        <v>0</v>
      </c>
      <c r="CL15" s="224">
        <f t="shared" si="8"/>
        <v>0</v>
      </c>
      <c r="CM15" s="224">
        <f t="shared" si="8"/>
        <v>0</v>
      </c>
      <c r="CN15" s="224">
        <f t="shared" si="8"/>
        <v>0</v>
      </c>
      <c r="CO15" s="224">
        <f t="shared" si="8"/>
        <v>0</v>
      </c>
      <c r="CP15" s="224">
        <f t="shared" si="8"/>
        <v>0</v>
      </c>
      <c r="CQ15" s="224">
        <f t="shared" si="8"/>
        <v>0</v>
      </c>
      <c r="CR15" s="224">
        <f t="shared" si="8"/>
        <v>0</v>
      </c>
      <c r="CS15" s="224">
        <f t="shared" si="8"/>
        <v>0</v>
      </c>
      <c r="CT15" s="224">
        <f t="shared" ref="CT15" si="9">SUM(CT13:CT14)</f>
        <v>0</v>
      </c>
      <c r="CU15" s="224">
        <f t="shared" ref="CU15:DG15" si="10">SUM(CU13:CU14)</f>
        <v>0</v>
      </c>
      <c r="CV15" s="224">
        <f t="shared" si="10"/>
        <v>0</v>
      </c>
      <c r="CW15" s="224">
        <f t="shared" si="10"/>
        <v>0</v>
      </c>
      <c r="CX15" s="224">
        <f t="shared" si="10"/>
        <v>0</v>
      </c>
      <c r="CY15" s="224">
        <f t="shared" si="10"/>
        <v>0</v>
      </c>
      <c r="CZ15" s="224">
        <f t="shared" si="10"/>
        <v>0</v>
      </c>
      <c r="DA15" s="224">
        <f t="shared" si="10"/>
        <v>0</v>
      </c>
      <c r="DB15" s="224">
        <f t="shared" si="10"/>
        <v>0</v>
      </c>
      <c r="DC15" s="224">
        <f t="shared" si="10"/>
        <v>0</v>
      </c>
      <c r="DD15" s="224">
        <f t="shared" si="10"/>
        <v>0</v>
      </c>
      <c r="DE15" s="224">
        <f t="shared" si="10"/>
        <v>0</v>
      </c>
      <c r="DF15" s="224">
        <f t="shared" si="10"/>
        <v>0</v>
      </c>
      <c r="DG15" s="224">
        <f t="shared" si="10"/>
        <v>0</v>
      </c>
      <c r="DH15" s="224"/>
      <c r="DI15" s="224"/>
      <c r="DJ15" s="224"/>
      <c r="DK15" s="224"/>
      <c r="DL15" s="224"/>
      <c r="DM15" s="224"/>
      <c r="DN15" s="224"/>
      <c r="DO15" s="224"/>
      <c r="DP15" s="224"/>
      <c r="DQ15" s="224"/>
      <c r="DR15" s="224"/>
      <c r="DS15" s="224"/>
      <c r="DT15" s="224"/>
      <c r="DU15" s="224"/>
      <c r="DV15" s="224"/>
      <c r="DW15" s="224"/>
      <c r="DX15" s="224"/>
      <c r="DY15" s="224"/>
      <c r="DZ15" s="224"/>
      <c r="EA15" s="224"/>
      <c r="EB15" s="224"/>
      <c r="EC15" s="224"/>
      <c r="ED15" s="224"/>
      <c r="EE15" s="224"/>
      <c r="EF15" s="224"/>
      <c r="EG15" s="224"/>
      <c r="EH15" s="224"/>
      <c r="EI15" s="224"/>
      <c r="EJ15" s="224"/>
      <c r="EK15" s="224"/>
      <c r="EL15" s="224"/>
      <c r="EM15" s="224"/>
      <c r="EN15" s="224"/>
    </row>
    <row r="16" spans="1:173" s="2" customFormat="1" ht="14.45" customHeight="1" thickBot="1" x14ac:dyDescent="0.25">
      <c r="A16" s="230" t="s">
        <v>613</v>
      </c>
      <c r="B16" s="232">
        <f>+B12+7</f>
        <v>45579</v>
      </c>
      <c r="C16" s="231" t="s">
        <v>614</v>
      </c>
      <c r="D16" s="233">
        <f>+D12+7</f>
        <v>45583</v>
      </c>
      <c r="E16" s="213" t="s">
        <v>102</v>
      </c>
      <c r="F16" s="214" t="s">
        <v>103</v>
      </c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  <c r="BE16" s="219"/>
      <c r="BF16" s="219"/>
      <c r="BG16" s="219"/>
      <c r="BH16" s="219"/>
      <c r="BI16" s="219"/>
      <c r="BJ16" s="219"/>
      <c r="BK16" s="219"/>
      <c r="BL16" s="219"/>
      <c r="BM16" s="219"/>
      <c r="BN16" s="219"/>
      <c r="BO16" s="219"/>
      <c r="BP16" s="219"/>
      <c r="BQ16" s="219"/>
      <c r="BR16" s="219"/>
      <c r="BS16" s="219"/>
      <c r="BT16" s="219"/>
      <c r="BU16" s="219"/>
      <c r="BV16" s="219"/>
      <c r="BW16" s="219"/>
      <c r="BX16" s="219"/>
      <c r="BY16" s="219"/>
      <c r="BZ16" s="219"/>
      <c r="CA16" s="219"/>
      <c r="CB16" s="219"/>
      <c r="CC16" s="219"/>
      <c r="CD16" s="219"/>
      <c r="CE16" s="219"/>
      <c r="CF16" s="219"/>
      <c r="CG16" s="219"/>
      <c r="CH16" s="219"/>
      <c r="CI16" s="219"/>
      <c r="CJ16" s="219"/>
      <c r="CK16" s="219"/>
      <c r="CL16" s="219"/>
      <c r="CM16" s="219"/>
      <c r="CN16" s="219"/>
      <c r="CO16" s="219"/>
      <c r="CP16" s="219"/>
      <c r="CQ16" s="219"/>
      <c r="CR16" s="219"/>
      <c r="CS16" s="219"/>
      <c r="CT16" s="220"/>
      <c r="CU16" s="219"/>
      <c r="CV16" s="219"/>
      <c r="CW16" s="219"/>
      <c r="CX16" s="219"/>
      <c r="CY16" s="219"/>
      <c r="CZ16" s="219"/>
      <c r="DA16" s="219"/>
      <c r="DB16" s="219"/>
      <c r="DC16" s="219"/>
      <c r="DD16" s="219"/>
      <c r="DE16" s="219"/>
      <c r="DF16" s="219"/>
      <c r="DG16" s="221"/>
      <c r="DH16" s="221"/>
      <c r="DI16" s="221"/>
      <c r="DJ16" s="221"/>
      <c r="DK16" s="221"/>
      <c r="DL16" s="221"/>
      <c r="DM16" s="221"/>
      <c r="DN16" s="221"/>
      <c r="DO16" s="221"/>
      <c r="DP16" s="221"/>
      <c r="DQ16" s="221"/>
      <c r="DR16" s="221"/>
      <c r="DS16" s="221"/>
      <c r="DT16" s="221"/>
      <c r="DU16" s="221"/>
      <c r="DV16" s="221"/>
      <c r="DW16" s="221"/>
      <c r="DX16" s="221"/>
      <c r="DY16" s="221"/>
      <c r="DZ16" s="221"/>
      <c r="EA16" s="221"/>
      <c r="EB16" s="221"/>
      <c r="EC16" s="221"/>
      <c r="ED16" s="221"/>
      <c r="EE16" s="221"/>
      <c r="EF16" s="221"/>
      <c r="EG16" s="221"/>
      <c r="EH16" s="221"/>
      <c r="EI16" s="221"/>
      <c r="EJ16" s="221"/>
      <c r="EK16" s="221"/>
      <c r="EL16" s="221"/>
      <c r="EM16" s="221"/>
      <c r="EN16" s="221"/>
    </row>
    <row r="17" spans="1:145" s="2" customFormat="1" x14ac:dyDescent="0.2">
      <c r="A17" s="854" t="s">
        <v>74</v>
      </c>
      <c r="B17" s="855"/>
      <c r="C17" s="855"/>
      <c r="D17" s="856"/>
      <c r="E17" s="215">
        <v>273</v>
      </c>
      <c r="F17" s="216">
        <v>4</v>
      </c>
      <c r="G17" s="735">
        <v>12</v>
      </c>
      <c r="H17" s="736">
        <v>0</v>
      </c>
      <c r="I17" s="736">
        <v>0</v>
      </c>
      <c r="J17" s="736">
        <v>8</v>
      </c>
      <c r="K17" s="736">
        <v>0</v>
      </c>
      <c r="L17" s="736">
        <v>39</v>
      </c>
      <c r="M17" s="736">
        <v>0</v>
      </c>
      <c r="N17" s="736">
        <v>0</v>
      </c>
      <c r="O17" s="736">
        <v>0</v>
      </c>
      <c r="P17" s="736">
        <v>0</v>
      </c>
      <c r="Q17" s="736">
        <v>0</v>
      </c>
      <c r="R17" s="736">
        <v>0</v>
      </c>
      <c r="S17" s="736">
        <v>0</v>
      </c>
      <c r="T17" s="736">
        <v>0</v>
      </c>
      <c r="U17" s="736">
        <v>0</v>
      </c>
      <c r="V17" s="736">
        <v>0</v>
      </c>
      <c r="W17" s="736">
        <v>0</v>
      </c>
      <c r="X17" s="736">
        <v>0</v>
      </c>
      <c r="Y17" s="737">
        <v>0</v>
      </c>
      <c r="Z17" s="737">
        <v>19</v>
      </c>
      <c r="AA17" s="737">
        <v>24</v>
      </c>
      <c r="AB17" s="737">
        <v>32</v>
      </c>
      <c r="AC17" s="737">
        <v>8</v>
      </c>
      <c r="AD17" s="737">
        <v>0</v>
      </c>
      <c r="AE17" s="737">
        <v>0</v>
      </c>
      <c r="AF17" s="737">
        <v>0</v>
      </c>
      <c r="AG17" s="737">
        <v>0</v>
      </c>
      <c r="AH17" s="737">
        <v>0</v>
      </c>
      <c r="AI17" s="737">
        <v>0</v>
      </c>
      <c r="AJ17" s="737">
        <v>0</v>
      </c>
      <c r="AK17" s="737">
        <v>0</v>
      </c>
      <c r="AL17" s="737">
        <v>0</v>
      </c>
      <c r="AM17" s="737">
        <v>0</v>
      </c>
      <c r="AN17" s="737">
        <v>0</v>
      </c>
      <c r="AO17" s="737">
        <v>0</v>
      </c>
      <c r="AP17" s="737">
        <v>0</v>
      </c>
      <c r="AQ17" s="737">
        <v>0</v>
      </c>
      <c r="AR17" s="737">
        <v>0</v>
      </c>
      <c r="AS17" s="738">
        <v>98</v>
      </c>
      <c r="AT17" s="737">
        <v>30</v>
      </c>
      <c r="AU17" s="737">
        <v>0</v>
      </c>
      <c r="AV17" s="737">
        <v>0</v>
      </c>
      <c r="AW17" s="737">
        <v>0</v>
      </c>
      <c r="AX17" s="737">
        <v>0</v>
      </c>
      <c r="AY17" s="737">
        <v>3</v>
      </c>
      <c r="AZ17" s="737">
        <v>0</v>
      </c>
      <c r="BA17" s="737">
        <v>0</v>
      </c>
      <c r="BB17" s="737">
        <v>0</v>
      </c>
      <c r="BC17" s="737">
        <v>0</v>
      </c>
      <c r="BD17" s="737">
        <v>0</v>
      </c>
      <c r="BE17" s="737">
        <v>0</v>
      </c>
      <c r="BF17" s="737">
        <v>0</v>
      </c>
      <c r="BG17" s="737">
        <v>0</v>
      </c>
      <c r="BH17" s="219">
        <v>0</v>
      </c>
      <c r="BI17" s="219">
        <v>0</v>
      </c>
      <c r="BJ17" s="219">
        <v>0</v>
      </c>
      <c r="BK17" s="219">
        <v>0</v>
      </c>
      <c r="BL17" s="219">
        <v>0</v>
      </c>
      <c r="BM17" s="219">
        <v>0</v>
      </c>
      <c r="BN17" s="219">
        <v>0</v>
      </c>
      <c r="BO17" s="219">
        <v>0</v>
      </c>
      <c r="BP17" s="219">
        <v>0</v>
      </c>
      <c r="BQ17" s="219">
        <v>0</v>
      </c>
      <c r="BR17" s="219">
        <v>0</v>
      </c>
      <c r="BS17" s="219">
        <v>0</v>
      </c>
      <c r="BT17" s="219">
        <v>0</v>
      </c>
      <c r="BU17" s="219">
        <v>0</v>
      </c>
      <c r="BV17" s="219">
        <v>0</v>
      </c>
      <c r="BW17" s="219">
        <v>0</v>
      </c>
      <c r="BX17" s="219">
        <v>0</v>
      </c>
      <c r="BY17" s="219">
        <v>0</v>
      </c>
      <c r="BZ17" s="219">
        <v>0</v>
      </c>
      <c r="CA17" s="219">
        <v>0</v>
      </c>
      <c r="CB17" s="219">
        <v>0</v>
      </c>
      <c r="CC17" s="219">
        <v>0</v>
      </c>
      <c r="CD17" s="219">
        <v>0</v>
      </c>
      <c r="CE17" s="219">
        <v>0</v>
      </c>
      <c r="CF17" s="219">
        <v>0</v>
      </c>
      <c r="CG17" s="219">
        <v>0</v>
      </c>
      <c r="CH17" s="219">
        <v>0</v>
      </c>
      <c r="CI17" s="219">
        <v>0</v>
      </c>
      <c r="CJ17" s="219">
        <v>0</v>
      </c>
      <c r="CK17" s="219">
        <v>0</v>
      </c>
      <c r="CL17" s="219">
        <v>0</v>
      </c>
      <c r="CM17" s="219">
        <v>0</v>
      </c>
      <c r="CN17" s="219">
        <v>0</v>
      </c>
      <c r="CO17" s="219">
        <v>0</v>
      </c>
      <c r="CP17" s="219">
        <v>0</v>
      </c>
      <c r="CQ17" s="219">
        <v>0</v>
      </c>
      <c r="CR17" s="219">
        <v>0</v>
      </c>
      <c r="CS17" s="219">
        <v>0</v>
      </c>
      <c r="CT17" s="220">
        <v>0</v>
      </c>
      <c r="CU17" s="219">
        <v>0</v>
      </c>
      <c r="CV17" s="219">
        <v>0</v>
      </c>
      <c r="CW17" s="219">
        <v>0</v>
      </c>
      <c r="CX17" s="219">
        <v>0</v>
      </c>
      <c r="CY17" s="219">
        <v>0</v>
      </c>
      <c r="CZ17" s="219">
        <v>0</v>
      </c>
      <c r="DA17" s="219">
        <v>0</v>
      </c>
      <c r="DB17" s="219">
        <v>0</v>
      </c>
      <c r="DC17" s="219">
        <v>0</v>
      </c>
      <c r="DD17" s="219">
        <v>0</v>
      </c>
      <c r="DE17" s="219">
        <v>0</v>
      </c>
      <c r="DF17" s="219">
        <v>0</v>
      </c>
      <c r="DG17" s="221">
        <v>0</v>
      </c>
      <c r="DH17" s="221">
        <v>0</v>
      </c>
      <c r="DI17" s="221">
        <v>0</v>
      </c>
      <c r="DJ17" s="221">
        <v>0</v>
      </c>
      <c r="DK17" s="221">
        <v>0</v>
      </c>
      <c r="DL17" s="221">
        <v>0</v>
      </c>
      <c r="DM17" s="221">
        <v>0</v>
      </c>
      <c r="DN17" s="221">
        <v>0</v>
      </c>
      <c r="DO17" s="221">
        <v>0</v>
      </c>
      <c r="DP17" s="221">
        <v>0</v>
      </c>
      <c r="DQ17" s="221">
        <v>0</v>
      </c>
      <c r="DR17" s="221">
        <v>0</v>
      </c>
      <c r="DS17" s="221">
        <v>0</v>
      </c>
      <c r="DT17" s="221">
        <v>0</v>
      </c>
      <c r="DU17" s="221">
        <v>0</v>
      </c>
      <c r="DV17" s="221">
        <v>0</v>
      </c>
      <c r="DW17" s="221">
        <v>0</v>
      </c>
      <c r="DX17" s="221">
        <v>0</v>
      </c>
      <c r="DY17" s="221">
        <v>0</v>
      </c>
      <c r="DZ17" s="221">
        <v>0</v>
      </c>
      <c r="EA17" s="221">
        <v>0</v>
      </c>
      <c r="EB17" s="221">
        <v>0</v>
      </c>
      <c r="EC17" s="221">
        <v>0</v>
      </c>
      <c r="ED17" s="221">
        <v>0</v>
      </c>
      <c r="EE17" s="221">
        <v>0</v>
      </c>
      <c r="EF17" s="221">
        <v>0</v>
      </c>
      <c r="EG17" s="221">
        <v>0</v>
      </c>
      <c r="EH17" s="221">
        <v>0</v>
      </c>
      <c r="EI17" s="221">
        <v>0</v>
      </c>
      <c r="EJ17" s="221">
        <v>0</v>
      </c>
      <c r="EK17" s="221">
        <v>4</v>
      </c>
      <c r="EL17" s="221">
        <v>0</v>
      </c>
      <c r="EM17" s="221">
        <v>0</v>
      </c>
      <c r="EN17" s="221">
        <v>0</v>
      </c>
    </row>
    <row r="18" spans="1:145" s="2" customFormat="1" ht="15.75" thickBot="1" x14ac:dyDescent="0.25">
      <c r="A18" s="857" t="s">
        <v>109</v>
      </c>
      <c r="B18" s="858"/>
      <c r="C18" s="858"/>
      <c r="D18" s="859"/>
      <c r="E18" s="217">
        <v>114</v>
      </c>
      <c r="F18" s="218">
        <v>3</v>
      </c>
      <c r="G18" s="219">
        <v>0</v>
      </c>
      <c r="H18" s="219">
        <v>0</v>
      </c>
      <c r="I18" s="219">
        <v>0</v>
      </c>
      <c r="J18" s="219">
        <v>0</v>
      </c>
      <c r="K18" s="219">
        <v>4</v>
      </c>
      <c r="L18" s="219">
        <v>0</v>
      </c>
      <c r="M18" s="219">
        <v>0</v>
      </c>
      <c r="N18" s="219">
        <v>0</v>
      </c>
      <c r="O18" s="219">
        <v>0</v>
      </c>
      <c r="P18" s="219">
        <v>0</v>
      </c>
      <c r="Q18" s="219">
        <v>0</v>
      </c>
      <c r="R18" s="219">
        <v>0</v>
      </c>
      <c r="S18" s="219">
        <v>0</v>
      </c>
      <c r="T18" s="219">
        <v>0</v>
      </c>
      <c r="U18" s="219">
        <v>0</v>
      </c>
      <c r="V18" s="219">
        <v>0</v>
      </c>
      <c r="W18" s="219">
        <v>0</v>
      </c>
      <c r="X18" s="219">
        <v>0</v>
      </c>
      <c r="Y18" s="219">
        <v>39</v>
      </c>
      <c r="Z18" s="219">
        <v>0</v>
      </c>
      <c r="AA18" s="219">
        <v>40</v>
      </c>
      <c r="AB18" s="219">
        <v>0</v>
      </c>
      <c r="AC18" s="219">
        <v>8</v>
      </c>
      <c r="AD18" s="219">
        <v>0</v>
      </c>
      <c r="AE18" s="219">
        <v>0</v>
      </c>
      <c r="AF18" s="219">
        <v>0</v>
      </c>
      <c r="AG18" s="219">
        <v>0</v>
      </c>
      <c r="AH18" s="219">
        <v>0</v>
      </c>
      <c r="AI18" s="219">
        <v>0</v>
      </c>
      <c r="AJ18" s="219">
        <v>0</v>
      </c>
      <c r="AK18" s="219">
        <v>0</v>
      </c>
      <c r="AL18" s="219">
        <v>0</v>
      </c>
      <c r="AM18" s="219">
        <v>0</v>
      </c>
      <c r="AN18" s="219">
        <v>0</v>
      </c>
      <c r="AO18" s="219">
        <v>0</v>
      </c>
      <c r="AP18" s="219">
        <v>0</v>
      </c>
      <c r="AQ18" s="219">
        <v>0</v>
      </c>
      <c r="AR18" s="219">
        <v>0</v>
      </c>
      <c r="AS18" s="219">
        <v>0</v>
      </c>
      <c r="AT18" s="219">
        <v>23</v>
      </c>
      <c r="AU18" s="219">
        <v>0</v>
      </c>
      <c r="AV18" s="219">
        <v>0</v>
      </c>
      <c r="AW18" s="219">
        <v>0</v>
      </c>
      <c r="AX18" s="219">
        <v>0</v>
      </c>
      <c r="AY18" s="219">
        <v>0</v>
      </c>
      <c r="AZ18" s="219">
        <v>0</v>
      </c>
      <c r="BA18" s="219">
        <v>0</v>
      </c>
      <c r="BB18" s="219">
        <v>0</v>
      </c>
      <c r="BC18" s="219">
        <v>0</v>
      </c>
      <c r="BD18" s="219">
        <v>0</v>
      </c>
      <c r="BE18" s="219">
        <v>0</v>
      </c>
      <c r="BF18" s="219">
        <v>0</v>
      </c>
      <c r="BG18" s="219">
        <v>0</v>
      </c>
      <c r="BH18" s="219">
        <v>0</v>
      </c>
      <c r="BI18" s="219">
        <v>0</v>
      </c>
      <c r="BJ18" s="219">
        <v>0</v>
      </c>
      <c r="BK18" s="219">
        <v>0</v>
      </c>
      <c r="BL18" s="219">
        <v>0</v>
      </c>
      <c r="BM18" s="219">
        <v>0</v>
      </c>
      <c r="BN18" s="219">
        <v>0</v>
      </c>
      <c r="BO18" s="219">
        <v>0</v>
      </c>
      <c r="BP18" s="219">
        <v>0</v>
      </c>
      <c r="BQ18" s="219">
        <v>0</v>
      </c>
      <c r="BR18" s="219">
        <v>0</v>
      </c>
      <c r="BS18" s="219">
        <v>0</v>
      </c>
      <c r="BT18" s="219">
        <v>0</v>
      </c>
      <c r="BU18" s="219">
        <v>0</v>
      </c>
      <c r="BV18" s="219">
        <v>0</v>
      </c>
      <c r="BW18" s="219">
        <v>0</v>
      </c>
      <c r="BX18" s="219">
        <v>0</v>
      </c>
      <c r="BY18" s="219">
        <v>0</v>
      </c>
      <c r="BZ18" s="219">
        <v>0</v>
      </c>
      <c r="CA18" s="219">
        <v>0</v>
      </c>
      <c r="CB18" s="219">
        <v>0</v>
      </c>
      <c r="CC18" s="219">
        <v>0</v>
      </c>
      <c r="CD18" s="219">
        <v>0</v>
      </c>
      <c r="CE18" s="219">
        <v>0</v>
      </c>
      <c r="CF18" s="219">
        <v>0</v>
      </c>
      <c r="CG18" s="219">
        <v>0</v>
      </c>
      <c r="CH18" s="219">
        <v>0</v>
      </c>
      <c r="CI18" s="219">
        <v>0</v>
      </c>
      <c r="CJ18" s="219">
        <v>0</v>
      </c>
      <c r="CK18" s="219">
        <v>0</v>
      </c>
      <c r="CL18" s="219">
        <v>0</v>
      </c>
      <c r="CM18" s="219">
        <v>0</v>
      </c>
      <c r="CN18" s="219">
        <v>0</v>
      </c>
      <c r="CO18" s="219">
        <v>0</v>
      </c>
      <c r="CP18" s="219">
        <v>0</v>
      </c>
      <c r="CQ18" s="219">
        <v>0</v>
      </c>
      <c r="CR18" s="219">
        <v>0</v>
      </c>
      <c r="CS18" s="219">
        <v>0</v>
      </c>
      <c r="CT18" s="220">
        <v>0</v>
      </c>
      <c r="CU18" s="219">
        <v>0</v>
      </c>
      <c r="CV18" s="219">
        <v>0</v>
      </c>
      <c r="CW18" s="219">
        <v>0</v>
      </c>
      <c r="CX18" s="219">
        <v>0</v>
      </c>
      <c r="CY18" s="219">
        <v>0</v>
      </c>
      <c r="CZ18" s="219">
        <v>0</v>
      </c>
      <c r="DA18" s="219">
        <v>0</v>
      </c>
      <c r="DB18" s="219">
        <v>0</v>
      </c>
      <c r="DC18" s="219">
        <v>0</v>
      </c>
      <c r="DD18" s="219">
        <v>0</v>
      </c>
      <c r="DE18" s="219">
        <v>0</v>
      </c>
      <c r="DF18" s="219">
        <v>0</v>
      </c>
      <c r="DG18" s="221">
        <v>0</v>
      </c>
      <c r="DH18" s="221">
        <v>0</v>
      </c>
      <c r="DI18" s="221">
        <v>0</v>
      </c>
      <c r="DJ18" s="221">
        <v>0</v>
      </c>
      <c r="DK18" s="221">
        <v>0</v>
      </c>
      <c r="DL18" s="221">
        <v>0</v>
      </c>
      <c r="DM18" s="221">
        <v>0</v>
      </c>
      <c r="DN18" s="221">
        <v>0</v>
      </c>
      <c r="DO18" s="221">
        <v>0</v>
      </c>
      <c r="DP18" s="221">
        <v>0</v>
      </c>
      <c r="DQ18" s="221">
        <v>0</v>
      </c>
      <c r="DR18" s="221">
        <v>0</v>
      </c>
      <c r="DS18" s="221">
        <v>0</v>
      </c>
      <c r="DT18" s="221">
        <v>0</v>
      </c>
      <c r="DU18" s="221">
        <v>0</v>
      </c>
      <c r="DV18" s="221">
        <v>0</v>
      </c>
      <c r="DW18" s="221">
        <v>0</v>
      </c>
      <c r="DX18" s="221">
        <v>0</v>
      </c>
      <c r="DY18" s="221">
        <v>0</v>
      </c>
      <c r="DZ18" s="221">
        <v>0</v>
      </c>
      <c r="EA18" s="221">
        <v>0</v>
      </c>
      <c r="EB18" s="221">
        <v>0</v>
      </c>
      <c r="EC18" s="221">
        <v>0</v>
      </c>
      <c r="ED18" s="221">
        <v>0</v>
      </c>
      <c r="EE18" s="221">
        <v>0</v>
      </c>
      <c r="EF18" s="221">
        <v>3</v>
      </c>
      <c r="EG18" s="221">
        <v>0</v>
      </c>
      <c r="EH18" s="221">
        <v>0</v>
      </c>
      <c r="EI18" s="221">
        <v>0</v>
      </c>
      <c r="EJ18" s="221">
        <v>0</v>
      </c>
      <c r="EK18" s="221">
        <v>0</v>
      </c>
      <c r="EL18" s="221">
        <v>0</v>
      </c>
      <c r="EM18" s="221">
        <v>0</v>
      </c>
      <c r="EN18" s="221">
        <v>0</v>
      </c>
    </row>
    <row r="19" spans="1:145" s="2" customFormat="1" ht="15.75" thickBot="1" x14ac:dyDescent="0.25">
      <c r="A19" s="844" t="s">
        <v>110</v>
      </c>
      <c r="B19" s="845"/>
      <c r="C19" s="845"/>
      <c r="D19" s="845"/>
      <c r="E19" s="222">
        <f>SUM(E17:E18)</f>
        <v>387</v>
      </c>
      <c r="F19" s="223">
        <f>SUM(F17:F18)</f>
        <v>7</v>
      </c>
      <c r="G19" s="224">
        <f t="shared" ref="G19" si="11">SUM(G17:G18)</f>
        <v>12</v>
      </c>
      <c r="H19" s="224">
        <f t="shared" ref="H19:BO19" si="12">SUM(H17:H18)</f>
        <v>0</v>
      </c>
      <c r="I19" s="224">
        <f t="shared" si="12"/>
        <v>0</v>
      </c>
      <c r="J19" s="224">
        <f t="shared" si="12"/>
        <v>8</v>
      </c>
      <c r="K19" s="224">
        <f t="shared" si="12"/>
        <v>4</v>
      </c>
      <c r="L19" s="224">
        <f t="shared" si="12"/>
        <v>39</v>
      </c>
      <c r="M19" s="224">
        <f t="shared" si="12"/>
        <v>0</v>
      </c>
      <c r="N19" s="224">
        <f t="shared" si="12"/>
        <v>0</v>
      </c>
      <c r="O19" s="224">
        <f t="shared" si="12"/>
        <v>0</v>
      </c>
      <c r="P19" s="224">
        <f t="shared" si="12"/>
        <v>0</v>
      </c>
      <c r="Q19" s="224">
        <f t="shared" si="12"/>
        <v>0</v>
      </c>
      <c r="R19" s="224">
        <f t="shared" si="12"/>
        <v>0</v>
      </c>
      <c r="S19" s="224">
        <f t="shared" si="12"/>
        <v>0</v>
      </c>
      <c r="T19" s="224">
        <f t="shared" si="12"/>
        <v>0</v>
      </c>
      <c r="U19" s="224">
        <f t="shared" si="12"/>
        <v>0</v>
      </c>
      <c r="V19" s="224">
        <f t="shared" si="12"/>
        <v>0</v>
      </c>
      <c r="W19" s="224">
        <f t="shared" si="12"/>
        <v>0</v>
      </c>
      <c r="X19" s="224">
        <f t="shared" si="12"/>
        <v>0</v>
      </c>
      <c r="Y19" s="224">
        <f t="shared" si="12"/>
        <v>39</v>
      </c>
      <c r="Z19" s="224">
        <f t="shared" si="12"/>
        <v>19</v>
      </c>
      <c r="AA19" s="224">
        <f t="shared" si="12"/>
        <v>64</v>
      </c>
      <c r="AB19" s="224">
        <f t="shared" si="12"/>
        <v>32</v>
      </c>
      <c r="AC19" s="224">
        <f t="shared" si="12"/>
        <v>16</v>
      </c>
      <c r="AD19" s="224">
        <f t="shared" si="12"/>
        <v>0</v>
      </c>
      <c r="AE19" s="224">
        <f t="shared" si="12"/>
        <v>0</v>
      </c>
      <c r="AF19" s="224">
        <f t="shared" si="12"/>
        <v>0</v>
      </c>
      <c r="AG19" s="224">
        <f t="shared" si="12"/>
        <v>0</v>
      </c>
      <c r="AH19" s="224">
        <f t="shared" si="12"/>
        <v>0</v>
      </c>
      <c r="AI19" s="224">
        <f t="shared" si="12"/>
        <v>0</v>
      </c>
      <c r="AJ19" s="224">
        <f t="shared" si="12"/>
        <v>0</v>
      </c>
      <c r="AK19" s="224">
        <f t="shared" si="12"/>
        <v>0</v>
      </c>
      <c r="AL19" s="224">
        <f t="shared" si="12"/>
        <v>0</v>
      </c>
      <c r="AM19" s="224">
        <f t="shared" si="12"/>
        <v>0</v>
      </c>
      <c r="AN19" s="224">
        <f t="shared" si="12"/>
        <v>0</v>
      </c>
      <c r="AO19" s="224">
        <f t="shared" si="12"/>
        <v>0</v>
      </c>
      <c r="AP19" s="224">
        <f t="shared" si="12"/>
        <v>0</v>
      </c>
      <c r="AQ19" s="224">
        <f t="shared" si="12"/>
        <v>0</v>
      </c>
      <c r="AR19" s="224">
        <f t="shared" si="12"/>
        <v>0</v>
      </c>
      <c r="AS19" s="224">
        <f t="shared" si="12"/>
        <v>98</v>
      </c>
      <c r="AT19" s="224">
        <f t="shared" si="12"/>
        <v>53</v>
      </c>
      <c r="AU19" s="224">
        <f t="shared" si="12"/>
        <v>0</v>
      </c>
      <c r="AV19" s="224">
        <f t="shared" si="12"/>
        <v>0</v>
      </c>
      <c r="AW19" s="224">
        <f t="shared" si="12"/>
        <v>0</v>
      </c>
      <c r="AX19" s="224">
        <f t="shared" si="12"/>
        <v>0</v>
      </c>
      <c r="AY19" s="224">
        <f t="shared" si="12"/>
        <v>3</v>
      </c>
      <c r="AZ19" s="224">
        <f t="shared" ref="AZ19:BE19" si="13">SUM(AZ17:AZ18)</f>
        <v>0</v>
      </c>
      <c r="BA19" s="224">
        <f t="shared" si="13"/>
        <v>0</v>
      </c>
      <c r="BB19" s="224">
        <f t="shared" si="13"/>
        <v>0</v>
      </c>
      <c r="BC19" s="224">
        <f t="shared" si="13"/>
        <v>0</v>
      </c>
      <c r="BD19" s="224">
        <f t="shared" si="13"/>
        <v>0</v>
      </c>
      <c r="BE19" s="224">
        <f t="shared" si="13"/>
        <v>0</v>
      </c>
      <c r="BF19" s="224">
        <f t="shared" si="12"/>
        <v>0</v>
      </c>
      <c r="BG19" s="224">
        <f t="shared" si="12"/>
        <v>0</v>
      </c>
      <c r="BH19" s="224">
        <f t="shared" si="12"/>
        <v>0</v>
      </c>
      <c r="BI19" s="224">
        <f t="shared" si="12"/>
        <v>0</v>
      </c>
      <c r="BJ19" s="224">
        <f t="shared" si="12"/>
        <v>0</v>
      </c>
      <c r="BK19" s="224">
        <f t="shared" si="12"/>
        <v>0</v>
      </c>
      <c r="BL19" s="224">
        <f t="shared" si="12"/>
        <v>0</v>
      </c>
      <c r="BM19" s="224">
        <f t="shared" si="12"/>
        <v>0</v>
      </c>
      <c r="BN19" s="224">
        <f t="shared" si="12"/>
        <v>0</v>
      </c>
      <c r="BO19" s="224">
        <f t="shared" si="12"/>
        <v>0</v>
      </c>
      <c r="BP19" s="224">
        <f t="shared" ref="BP19:CS19" si="14">SUM(BP17:BP18)</f>
        <v>0</v>
      </c>
      <c r="BQ19" s="224">
        <f t="shared" si="14"/>
        <v>0</v>
      </c>
      <c r="BR19" s="224">
        <f t="shared" si="14"/>
        <v>0</v>
      </c>
      <c r="BS19" s="224">
        <f t="shared" si="14"/>
        <v>0</v>
      </c>
      <c r="BT19" s="224">
        <f t="shared" si="14"/>
        <v>0</v>
      </c>
      <c r="BU19" s="224">
        <f t="shared" si="14"/>
        <v>0</v>
      </c>
      <c r="BV19" s="224">
        <f t="shared" si="14"/>
        <v>0</v>
      </c>
      <c r="BW19" s="224">
        <f t="shared" si="14"/>
        <v>0</v>
      </c>
      <c r="BX19" s="224">
        <f t="shared" si="14"/>
        <v>0</v>
      </c>
      <c r="BY19" s="224">
        <f t="shared" si="14"/>
        <v>0</v>
      </c>
      <c r="BZ19" s="224">
        <f t="shared" si="14"/>
        <v>0</v>
      </c>
      <c r="CA19" s="224">
        <f t="shared" si="14"/>
        <v>0</v>
      </c>
      <c r="CB19" s="224">
        <f t="shared" si="14"/>
        <v>0</v>
      </c>
      <c r="CC19" s="224">
        <f t="shared" si="14"/>
        <v>0</v>
      </c>
      <c r="CD19" s="224">
        <f t="shared" si="14"/>
        <v>0</v>
      </c>
      <c r="CE19" s="224">
        <f t="shared" si="14"/>
        <v>0</v>
      </c>
      <c r="CF19" s="224">
        <f t="shared" si="14"/>
        <v>0</v>
      </c>
      <c r="CG19" s="224">
        <f t="shared" si="14"/>
        <v>0</v>
      </c>
      <c r="CH19" s="224">
        <f t="shared" si="14"/>
        <v>0</v>
      </c>
      <c r="CI19" s="224">
        <f t="shared" si="14"/>
        <v>0</v>
      </c>
      <c r="CJ19" s="224">
        <f t="shared" si="14"/>
        <v>0</v>
      </c>
      <c r="CK19" s="224">
        <f t="shared" si="14"/>
        <v>0</v>
      </c>
      <c r="CL19" s="224">
        <f t="shared" si="14"/>
        <v>0</v>
      </c>
      <c r="CM19" s="224">
        <f t="shared" si="14"/>
        <v>0</v>
      </c>
      <c r="CN19" s="224">
        <f t="shared" si="14"/>
        <v>0</v>
      </c>
      <c r="CO19" s="224">
        <f t="shared" si="14"/>
        <v>0</v>
      </c>
      <c r="CP19" s="224">
        <f t="shared" si="14"/>
        <v>0</v>
      </c>
      <c r="CQ19" s="224">
        <f t="shared" si="14"/>
        <v>0</v>
      </c>
      <c r="CR19" s="224">
        <f t="shared" si="14"/>
        <v>0</v>
      </c>
      <c r="CS19" s="224">
        <f t="shared" si="14"/>
        <v>0</v>
      </c>
      <c r="CT19" s="224">
        <f t="shared" ref="CT19" si="15">SUM(CT17:CT18)</f>
        <v>0</v>
      </c>
      <c r="CU19" s="224">
        <f t="shared" ref="CU19:DG19" si="16">SUM(CU17:CU18)</f>
        <v>0</v>
      </c>
      <c r="CV19" s="224">
        <f t="shared" si="16"/>
        <v>0</v>
      </c>
      <c r="CW19" s="224">
        <f t="shared" si="16"/>
        <v>0</v>
      </c>
      <c r="CX19" s="224">
        <f t="shared" si="16"/>
        <v>0</v>
      </c>
      <c r="CY19" s="224">
        <f t="shared" si="16"/>
        <v>0</v>
      </c>
      <c r="CZ19" s="224">
        <f t="shared" si="16"/>
        <v>0</v>
      </c>
      <c r="DA19" s="224">
        <f t="shared" si="16"/>
        <v>0</v>
      </c>
      <c r="DB19" s="224">
        <f t="shared" si="16"/>
        <v>0</v>
      </c>
      <c r="DC19" s="224">
        <f t="shared" si="16"/>
        <v>0</v>
      </c>
      <c r="DD19" s="224">
        <f t="shared" si="16"/>
        <v>0</v>
      </c>
      <c r="DE19" s="224">
        <f t="shared" si="16"/>
        <v>0</v>
      </c>
      <c r="DF19" s="224">
        <f t="shared" si="16"/>
        <v>0</v>
      </c>
      <c r="DG19" s="224">
        <f t="shared" si="16"/>
        <v>0</v>
      </c>
      <c r="DH19" s="224"/>
      <c r="DI19" s="224"/>
      <c r="DJ19" s="224"/>
      <c r="DK19" s="224"/>
      <c r="DL19" s="224"/>
      <c r="DM19" s="224"/>
      <c r="DN19" s="224"/>
      <c r="DO19" s="224"/>
      <c r="DP19" s="224"/>
      <c r="DQ19" s="224"/>
      <c r="DR19" s="224"/>
      <c r="DS19" s="224"/>
      <c r="DT19" s="224"/>
      <c r="DU19" s="224"/>
      <c r="DV19" s="224"/>
      <c r="DW19" s="224"/>
      <c r="DX19" s="224"/>
      <c r="DY19" s="224"/>
      <c r="DZ19" s="224"/>
      <c r="EA19" s="224"/>
      <c r="EB19" s="224"/>
      <c r="EC19" s="224"/>
      <c r="ED19" s="224"/>
      <c r="EE19" s="224"/>
      <c r="EF19" s="224"/>
      <c r="EG19" s="224"/>
      <c r="EH19" s="224"/>
      <c r="EI19" s="224"/>
      <c r="EJ19" s="224"/>
      <c r="EK19" s="224"/>
      <c r="EL19" s="224"/>
      <c r="EM19" s="224"/>
      <c r="EN19" s="224"/>
    </row>
    <row r="20" spans="1:145" s="2" customFormat="1" ht="14.45" customHeight="1" thickBot="1" x14ac:dyDescent="0.25">
      <c r="A20" s="230" t="s">
        <v>613</v>
      </c>
      <c r="B20" s="232">
        <f>+B16+7</f>
        <v>45586</v>
      </c>
      <c r="C20" s="231" t="s">
        <v>614</v>
      </c>
      <c r="D20" s="233">
        <f>+D16+7</f>
        <v>45590</v>
      </c>
      <c r="E20" s="213" t="s">
        <v>102</v>
      </c>
      <c r="F20" s="214" t="s">
        <v>103</v>
      </c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19"/>
      <c r="BK20" s="219"/>
      <c r="BL20" s="219"/>
      <c r="BM20" s="219"/>
      <c r="BN20" s="219"/>
      <c r="BO20" s="219"/>
      <c r="BP20" s="219"/>
      <c r="BQ20" s="219"/>
      <c r="BR20" s="219"/>
      <c r="BS20" s="219"/>
      <c r="BT20" s="219"/>
      <c r="BU20" s="219"/>
      <c r="BV20" s="219"/>
      <c r="BW20" s="219"/>
      <c r="BX20" s="219"/>
      <c r="BY20" s="219"/>
      <c r="BZ20" s="219"/>
      <c r="CA20" s="219"/>
      <c r="CB20" s="219"/>
      <c r="CC20" s="219"/>
      <c r="CD20" s="219"/>
      <c r="CE20" s="219"/>
      <c r="CF20" s="219"/>
      <c r="CG20" s="219"/>
      <c r="CH20" s="219"/>
      <c r="CI20" s="219"/>
      <c r="CJ20" s="219"/>
      <c r="CK20" s="219"/>
      <c r="CL20" s="219"/>
      <c r="CM20" s="219"/>
      <c r="CN20" s="219"/>
      <c r="CO20" s="219"/>
      <c r="CP20" s="219"/>
      <c r="CQ20" s="219"/>
      <c r="CR20" s="219"/>
      <c r="CS20" s="219"/>
      <c r="CT20" s="220"/>
      <c r="CU20" s="219"/>
      <c r="CV20" s="219"/>
      <c r="CW20" s="219"/>
      <c r="CX20" s="219"/>
      <c r="CY20" s="219"/>
      <c r="CZ20" s="219"/>
      <c r="DA20" s="219"/>
      <c r="DB20" s="219"/>
      <c r="DC20" s="219"/>
      <c r="DD20" s="219"/>
      <c r="DE20" s="219"/>
      <c r="DF20" s="219"/>
      <c r="DG20" s="221"/>
      <c r="DH20" s="221"/>
      <c r="DI20" s="221"/>
      <c r="DJ20" s="221"/>
      <c r="DK20" s="221"/>
      <c r="DL20" s="221"/>
      <c r="DM20" s="221"/>
      <c r="DN20" s="221"/>
      <c r="DO20" s="221"/>
      <c r="DP20" s="221"/>
      <c r="DQ20" s="221"/>
      <c r="DR20" s="221"/>
      <c r="DS20" s="221"/>
      <c r="DT20" s="221"/>
      <c r="DU20" s="221"/>
      <c r="DV20" s="221"/>
      <c r="DW20" s="221"/>
      <c r="DX20" s="221"/>
      <c r="DY20" s="221"/>
      <c r="DZ20" s="221"/>
      <c r="EA20" s="221"/>
      <c r="EB20" s="221"/>
      <c r="EC20" s="221"/>
      <c r="ED20" s="221"/>
      <c r="EE20" s="221"/>
      <c r="EF20" s="221"/>
      <c r="EG20" s="221"/>
      <c r="EH20" s="221"/>
      <c r="EI20" s="221"/>
      <c r="EJ20" s="221"/>
      <c r="EK20" s="221"/>
      <c r="EL20" s="221"/>
      <c r="EM20" s="221"/>
      <c r="EN20" s="221"/>
    </row>
    <row r="21" spans="1:145" s="2" customFormat="1" x14ac:dyDescent="0.2">
      <c r="A21" s="854" t="s">
        <v>74</v>
      </c>
      <c r="B21" s="855"/>
      <c r="C21" s="855"/>
      <c r="D21" s="856"/>
      <c r="E21" s="215">
        <v>249</v>
      </c>
      <c r="F21" s="216">
        <v>24</v>
      </c>
      <c r="G21" s="735">
        <v>0</v>
      </c>
      <c r="H21" s="736">
        <v>0</v>
      </c>
      <c r="I21" s="736">
        <v>0</v>
      </c>
      <c r="J21" s="736">
        <v>0</v>
      </c>
      <c r="K21" s="736">
        <v>0</v>
      </c>
      <c r="L21" s="736">
        <v>39</v>
      </c>
      <c r="M21" s="736">
        <v>0</v>
      </c>
      <c r="N21" s="736">
        <v>0</v>
      </c>
      <c r="O21" s="736">
        <v>0</v>
      </c>
      <c r="P21" s="736">
        <v>0</v>
      </c>
      <c r="Q21" s="736">
        <v>0</v>
      </c>
      <c r="R21" s="736">
        <v>0</v>
      </c>
      <c r="S21" s="736">
        <v>0</v>
      </c>
      <c r="T21" s="736">
        <v>0</v>
      </c>
      <c r="U21" s="736">
        <v>0</v>
      </c>
      <c r="V21" s="736">
        <v>0</v>
      </c>
      <c r="W21" s="736">
        <v>39</v>
      </c>
      <c r="X21" s="736">
        <v>0</v>
      </c>
      <c r="Y21" s="737">
        <v>31</v>
      </c>
      <c r="Z21" s="737">
        <v>8</v>
      </c>
      <c r="AA21" s="737">
        <v>16</v>
      </c>
      <c r="AB21" s="737">
        <v>54</v>
      </c>
      <c r="AC21" s="737">
        <v>0</v>
      </c>
      <c r="AD21" s="737">
        <v>0</v>
      </c>
      <c r="AE21" s="737">
        <v>0</v>
      </c>
      <c r="AF21" s="737">
        <v>14</v>
      </c>
      <c r="AG21" s="737">
        <v>0</v>
      </c>
      <c r="AH21" s="737">
        <v>0</v>
      </c>
      <c r="AI21" s="737">
        <v>0</v>
      </c>
      <c r="AJ21" s="737">
        <v>0</v>
      </c>
      <c r="AK21" s="737">
        <v>0</v>
      </c>
      <c r="AL21" s="737">
        <v>0</v>
      </c>
      <c r="AM21" s="219">
        <v>0</v>
      </c>
      <c r="AN21" s="219">
        <v>0</v>
      </c>
      <c r="AO21" s="219">
        <v>0</v>
      </c>
      <c r="AP21" s="219">
        <v>0</v>
      </c>
      <c r="AQ21" s="219">
        <v>0</v>
      </c>
      <c r="AR21" s="219">
        <v>0</v>
      </c>
      <c r="AS21" s="219">
        <v>16</v>
      </c>
      <c r="AT21" s="219">
        <v>0</v>
      </c>
      <c r="AU21" s="219">
        <v>0</v>
      </c>
      <c r="AV21" s="219">
        <v>0</v>
      </c>
      <c r="AW21" s="219">
        <v>0</v>
      </c>
      <c r="AX21" s="219">
        <v>0</v>
      </c>
      <c r="AY21" s="219">
        <v>32</v>
      </c>
      <c r="AZ21" s="219">
        <v>0</v>
      </c>
      <c r="BA21" s="219">
        <v>0</v>
      </c>
      <c r="BB21" s="219">
        <v>0</v>
      </c>
      <c r="BC21" s="219">
        <v>0</v>
      </c>
      <c r="BD21" s="219">
        <v>0</v>
      </c>
      <c r="BE21" s="219">
        <v>0</v>
      </c>
      <c r="BF21" s="219">
        <v>0</v>
      </c>
      <c r="BG21" s="219">
        <v>0</v>
      </c>
      <c r="BH21" s="219">
        <v>0</v>
      </c>
      <c r="BI21" s="219">
        <v>0</v>
      </c>
      <c r="BJ21" s="219">
        <v>0</v>
      </c>
      <c r="BK21" s="219">
        <v>0</v>
      </c>
      <c r="BL21" s="219">
        <v>0</v>
      </c>
      <c r="BM21" s="219">
        <v>0</v>
      </c>
      <c r="BN21" s="219">
        <v>0</v>
      </c>
      <c r="BO21" s="219">
        <v>0</v>
      </c>
      <c r="BP21" s="219">
        <v>0</v>
      </c>
      <c r="BQ21" s="219">
        <v>0</v>
      </c>
      <c r="BR21" s="219">
        <v>0</v>
      </c>
      <c r="BS21" s="219">
        <v>0</v>
      </c>
      <c r="BT21" s="219">
        <v>0</v>
      </c>
      <c r="BU21" s="219">
        <v>0</v>
      </c>
      <c r="BV21" s="219">
        <v>0</v>
      </c>
      <c r="BW21" s="219">
        <v>0</v>
      </c>
      <c r="BX21" s="219">
        <v>0</v>
      </c>
      <c r="BY21" s="219">
        <v>0</v>
      </c>
      <c r="BZ21" s="219">
        <v>0</v>
      </c>
      <c r="CA21" s="219">
        <v>0</v>
      </c>
      <c r="CB21" s="219">
        <v>0</v>
      </c>
      <c r="CC21" s="219">
        <v>0</v>
      </c>
      <c r="CD21" s="219">
        <v>0</v>
      </c>
      <c r="CE21" s="219">
        <v>0</v>
      </c>
      <c r="CF21" s="219">
        <v>0</v>
      </c>
      <c r="CG21" s="219">
        <v>0</v>
      </c>
      <c r="CH21" s="219">
        <v>0</v>
      </c>
      <c r="CI21" s="219">
        <v>0</v>
      </c>
      <c r="CJ21" s="219">
        <v>0</v>
      </c>
      <c r="CK21" s="219">
        <v>0</v>
      </c>
      <c r="CL21" s="219">
        <v>0</v>
      </c>
      <c r="CM21" s="219">
        <v>0</v>
      </c>
      <c r="CN21" s="219">
        <v>0</v>
      </c>
      <c r="CO21" s="219">
        <v>0</v>
      </c>
      <c r="CP21" s="219">
        <v>0</v>
      </c>
      <c r="CQ21" s="219">
        <v>0</v>
      </c>
      <c r="CR21" s="219">
        <v>0</v>
      </c>
      <c r="CS21" s="219">
        <v>0</v>
      </c>
      <c r="CT21" s="220">
        <v>0</v>
      </c>
      <c r="CU21" s="219">
        <v>0</v>
      </c>
      <c r="CV21" s="219">
        <v>0</v>
      </c>
      <c r="CW21" s="219">
        <v>0</v>
      </c>
      <c r="CX21" s="219">
        <v>0</v>
      </c>
      <c r="CY21" s="219">
        <v>0</v>
      </c>
      <c r="CZ21" s="219">
        <v>0</v>
      </c>
      <c r="DA21" s="219">
        <v>0</v>
      </c>
      <c r="DB21" s="219">
        <v>0</v>
      </c>
      <c r="DC21" s="219">
        <v>0</v>
      </c>
      <c r="DD21" s="219">
        <v>0</v>
      </c>
      <c r="DE21" s="219">
        <v>0</v>
      </c>
      <c r="DF21" s="219">
        <v>0</v>
      </c>
      <c r="DG21" s="221">
        <v>0</v>
      </c>
      <c r="DH21" s="221">
        <v>0</v>
      </c>
      <c r="DI21" s="221">
        <v>0</v>
      </c>
      <c r="DJ21" s="221">
        <v>0</v>
      </c>
      <c r="DK21" s="221">
        <v>0</v>
      </c>
      <c r="DL21" s="221">
        <v>0</v>
      </c>
      <c r="DM21" s="221">
        <v>0</v>
      </c>
      <c r="DN21" s="221">
        <v>0</v>
      </c>
      <c r="DO21" s="221">
        <v>0</v>
      </c>
      <c r="DP21" s="221">
        <v>0</v>
      </c>
      <c r="DQ21" s="221">
        <v>0</v>
      </c>
      <c r="DR21" s="221">
        <v>0</v>
      </c>
      <c r="DS21" s="221">
        <v>0</v>
      </c>
      <c r="DT21" s="221">
        <v>0</v>
      </c>
      <c r="DU21" s="221">
        <v>0</v>
      </c>
      <c r="DV21" s="221">
        <v>0</v>
      </c>
      <c r="DW21" s="221">
        <v>0</v>
      </c>
      <c r="DX21" s="221">
        <v>0</v>
      </c>
      <c r="DY21" s="221">
        <v>0</v>
      </c>
      <c r="DZ21" s="221">
        <v>0</v>
      </c>
      <c r="EA21" s="221">
        <v>0</v>
      </c>
      <c r="EB21" s="221">
        <v>0</v>
      </c>
      <c r="EC21" s="221">
        <v>0</v>
      </c>
      <c r="ED21" s="221">
        <v>0</v>
      </c>
      <c r="EE21" s="221">
        <v>0</v>
      </c>
      <c r="EF21" s="221">
        <v>0</v>
      </c>
      <c r="EG21" s="221">
        <v>0</v>
      </c>
      <c r="EH21" s="221">
        <v>0</v>
      </c>
      <c r="EI21" s="221">
        <v>0</v>
      </c>
      <c r="EJ21" s="221">
        <v>0</v>
      </c>
      <c r="EK21" s="221">
        <v>0</v>
      </c>
      <c r="EL21" s="221">
        <v>24</v>
      </c>
      <c r="EM21" s="221">
        <v>0</v>
      </c>
      <c r="EN21" s="221">
        <v>0</v>
      </c>
    </row>
    <row r="22" spans="1:145" s="2" customFormat="1" ht="15.75" thickBot="1" x14ac:dyDescent="0.25">
      <c r="A22" s="857" t="s">
        <v>109</v>
      </c>
      <c r="B22" s="858"/>
      <c r="C22" s="858"/>
      <c r="D22" s="859"/>
      <c r="E22" s="217">
        <v>70</v>
      </c>
      <c r="F22" s="218">
        <v>47</v>
      </c>
      <c r="G22" s="219">
        <v>0</v>
      </c>
      <c r="H22" s="219">
        <v>0</v>
      </c>
      <c r="I22" s="219">
        <v>0</v>
      </c>
      <c r="J22" s="219">
        <v>0</v>
      </c>
      <c r="K22" s="219">
        <v>0</v>
      </c>
      <c r="L22" s="219">
        <v>0</v>
      </c>
      <c r="M22" s="219">
        <v>0</v>
      </c>
      <c r="N22" s="219">
        <v>0</v>
      </c>
      <c r="O22" s="219">
        <v>0</v>
      </c>
      <c r="P22" s="219">
        <v>0</v>
      </c>
      <c r="Q22" s="219">
        <v>0</v>
      </c>
      <c r="R22" s="219">
        <v>0</v>
      </c>
      <c r="S22" s="219">
        <v>0</v>
      </c>
      <c r="T22" s="219">
        <v>0</v>
      </c>
      <c r="U22" s="219">
        <v>0</v>
      </c>
      <c r="V22" s="219">
        <v>0</v>
      </c>
      <c r="W22" s="219">
        <v>0</v>
      </c>
      <c r="X22" s="219">
        <v>0</v>
      </c>
      <c r="Y22" s="219">
        <v>31</v>
      </c>
      <c r="Z22" s="219">
        <v>8</v>
      </c>
      <c r="AA22" s="219">
        <v>0</v>
      </c>
      <c r="AB22" s="219">
        <v>7</v>
      </c>
      <c r="AC22" s="219">
        <v>0</v>
      </c>
      <c r="AD22" s="219">
        <v>0</v>
      </c>
      <c r="AE22" s="219">
        <v>0</v>
      </c>
      <c r="AF22" s="219">
        <v>0</v>
      </c>
      <c r="AG22" s="219">
        <v>0</v>
      </c>
      <c r="AH22" s="219">
        <v>0</v>
      </c>
      <c r="AI22" s="219">
        <v>0</v>
      </c>
      <c r="AJ22" s="219">
        <v>0</v>
      </c>
      <c r="AK22" s="219">
        <v>0</v>
      </c>
      <c r="AL22" s="219">
        <v>0</v>
      </c>
      <c r="AM22" s="219">
        <v>0</v>
      </c>
      <c r="AN22" s="219">
        <v>0</v>
      </c>
      <c r="AO22" s="219">
        <v>0</v>
      </c>
      <c r="AP22" s="219">
        <v>0</v>
      </c>
      <c r="AQ22" s="219">
        <v>0</v>
      </c>
      <c r="AR22" s="219">
        <v>0</v>
      </c>
      <c r="AS22" s="219">
        <v>8</v>
      </c>
      <c r="AT22" s="219">
        <v>16</v>
      </c>
      <c r="AU22" s="219">
        <v>0</v>
      </c>
      <c r="AV22" s="219">
        <v>0</v>
      </c>
      <c r="AW22" s="219">
        <v>0</v>
      </c>
      <c r="AX22" s="219">
        <v>0</v>
      </c>
      <c r="AY22" s="219">
        <v>0</v>
      </c>
      <c r="AZ22" s="219">
        <v>0</v>
      </c>
      <c r="BA22" s="219">
        <v>0</v>
      </c>
      <c r="BB22" s="219">
        <v>0</v>
      </c>
      <c r="BC22" s="219">
        <v>0</v>
      </c>
      <c r="BD22" s="219">
        <v>0</v>
      </c>
      <c r="BE22" s="219">
        <v>0</v>
      </c>
      <c r="BF22" s="219">
        <v>0</v>
      </c>
      <c r="BG22" s="219">
        <v>0</v>
      </c>
      <c r="BH22" s="219">
        <v>0</v>
      </c>
      <c r="BI22" s="219">
        <v>0</v>
      </c>
      <c r="BJ22" s="219">
        <v>0</v>
      </c>
      <c r="BK22" s="219">
        <v>0</v>
      </c>
      <c r="BL22" s="219">
        <v>0</v>
      </c>
      <c r="BM22" s="219">
        <v>0</v>
      </c>
      <c r="BN22" s="219">
        <v>0</v>
      </c>
      <c r="BO22" s="219">
        <v>0</v>
      </c>
      <c r="BP22" s="219">
        <v>0</v>
      </c>
      <c r="BQ22" s="219">
        <v>0</v>
      </c>
      <c r="BR22" s="219">
        <v>0</v>
      </c>
      <c r="BS22" s="219">
        <v>0</v>
      </c>
      <c r="BT22" s="219">
        <v>0</v>
      </c>
      <c r="BU22" s="219">
        <v>0</v>
      </c>
      <c r="BV22" s="219">
        <v>0</v>
      </c>
      <c r="BW22" s="219">
        <v>0</v>
      </c>
      <c r="BX22" s="219">
        <v>0</v>
      </c>
      <c r="BY22" s="219">
        <v>0</v>
      </c>
      <c r="BZ22" s="219">
        <v>0</v>
      </c>
      <c r="CA22" s="219">
        <v>0</v>
      </c>
      <c r="CB22" s="219">
        <v>0</v>
      </c>
      <c r="CC22" s="219">
        <v>0</v>
      </c>
      <c r="CD22" s="219">
        <v>0</v>
      </c>
      <c r="CE22" s="219">
        <v>0</v>
      </c>
      <c r="CF22" s="219">
        <v>0</v>
      </c>
      <c r="CG22" s="219">
        <v>0</v>
      </c>
      <c r="CH22" s="219">
        <v>0</v>
      </c>
      <c r="CI22" s="219">
        <v>0</v>
      </c>
      <c r="CJ22" s="219">
        <v>0</v>
      </c>
      <c r="CK22" s="219">
        <v>0</v>
      </c>
      <c r="CL22" s="219">
        <v>0</v>
      </c>
      <c r="CM22" s="219">
        <v>0</v>
      </c>
      <c r="CN22" s="219">
        <v>0</v>
      </c>
      <c r="CO22" s="219">
        <v>0</v>
      </c>
      <c r="CP22" s="219">
        <v>0</v>
      </c>
      <c r="CQ22" s="219">
        <v>0</v>
      </c>
      <c r="CR22" s="219">
        <v>0</v>
      </c>
      <c r="CS22" s="219">
        <v>0</v>
      </c>
      <c r="CT22" s="220">
        <v>0</v>
      </c>
      <c r="CU22" s="219">
        <v>0</v>
      </c>
      <c r="CV22" s="219">
        <v>0</v>
      </c>
      <c r="CW22" s="219">
        <v>0</v>
      </c>
      <c r="CX22" s="219">
        <v>0</v>
      </c>
      <c r="CY22" s="219">
        <v>0</v>
      </c>
      <c r="CZ22" s="219">
        <v>0</v>
      </c>
      <c r="DA22" s="219">
        <v>0</v>
      </c>
      <c r="DB22" s="219">
        <v>0</v>
      </c>
      <c r="DC22" s="219">
        <v>0</v>
      </c>
      <c r="DD22" s="219">
        <v>0</v>
      </c>
      <c r="DE22" s="219">
        <v>0</v>
      </c>
      <c r="DF22" s="219">
        <v>0</v>
      </c>
      <c r="DG22" s="221">
        <v>0</v>
      </c>
      <c r="DH22" s="221">
        <v>0</v>
      </c>
      <c r="DI22" s="221">
        <v>0</v>
      </c>
      <c r="DJ22" s="221">
        <v>0</v>
      </c>
      <c r="DK22" s="221">
        <v>0</v>
      </c>
      <c r="DL22" s="221">
        <v>0</v>
      </c>
      <c r="DM22" s="221">
        <v>0</v>
      </c>
      <c r="DN22" s="221">
        <v>0</v>
      </c>
      <c r="DO22" s="221">
        <v>0</v>
      </c>
      <c r="DP22" s="221">
        <v>0</v>
      </c>
      <c r="DQ22" s="221">
        <v>0</v>
      </c>
      <c r="DR22" s="221">
        <v>0</v>
      </c>
      <c r="DS22" s="221">
        <v>0</v>
      </c>
      <c r="DT22" s="221">
        <v>0</v>
      </c>
      <c r="DU22" s="221">
        <v>0</v>
      </c>
      <c r="DV22" s="221">
        <v>0</v>
      </c>
      <c r="DW22" s="221">
        <v>0</v>
      </c>
      <c r="DX22" s="221">
        <v>0</v>
      </c>
      <c r="DY22" s="221">
        <v>0</v>
      </c>
      <c r="DZ22" s="221">
        <v>0</v>
      </c>
      <c r="EA22" s="221">
        <v>0</v>
      </c>
      <c r="EB22" s="221">
        <v>0</v>
      </c>
      <c r="EC22" s="221">
        <v>31</v>
      </c>
      <c r="ED22" s="221">
        <v>0</v>
      </c>
      <c r="EE22" s="221">
        <v>0</v>
      </c>
      <c r="EF22" s="221">
        <v>0</v>
      </c>
      <c r="EG22" s="221">
        <v>0</v>
      </c>
      <c r="EH22" s="221">
        <v>0</v>
      </c>
      <c r="EI22" s="221">
        <v>0</v>
      </c>
      <c r="EJ22" s="221">
        <v>0</v>
      </c>
      <c r="EK22" s="221">
        <v>0</v>
      </c>
      <c r="EL22" s="221">
        <v>16</v>
      </c>
      <c r="EM22" s="221">
        <v>0</v>
      </c>
      <c r="EN22" s="221">
        <v>0</v>
      </c>
    </row>
    <row r="23" spans="1:145" s="2" customFormat="1" ht="15.75" thickBot="1" x14ac:dyDescent="0.25">
      <c r="A23" s="844" t="s">
        <v>110</v>
      </c>
      <c r="B23" s="845"/>
      <c r="C23" s="845"/>
      <c r="D23" s="845"/>
      <c r="E23" s="222">
        <f>SUM(E21:E22)</f>
        <v>319</v>
      </c>
      <c r="F23" s="223">
        <f>SUM(F21:F22)</f>
        <v>71</v>
      </c>
      <c r="G23" s="224">
        <f t="shared" ref="G23" si="17">SUM(G21:G22)</f>
        <v>0</v>
      </c>
      <c r="H23" s="224">
        <f t="shared" ref="H23:BO23" si="18">SUM(H21:H22)</f>
        <v>0</v>
      </c>
      <c r="I23" s="224">
        <f t="shared" si="18"/>
        <v>0</v>
      </c>
      <c r="J23" s="224">
        <f t="shared" si="18"/>
        <v>0</v>
      </c>
      <c r="K23" s="224">
        <f t="shared" si="18"/>
        <v>0</v>
      </c>
      <c r="L23" s="224">
        <f t="shared" si="18"/>
        <v>39</v>
      </c>
      <c r="M23" s="224">
        <f t="shared" si="18"/>
        <v>0</v>
      </c>
      <c r="N23" s="224">
        <f t="shared" si="18"/>
        <v>0</v>
      </c>
      <c r="O23" s="224">
        <f t="shared" si="18"/>
        <v>0</v>
      </c>
      <c r="P23" s="224">
        <f t="shared" si="18"/>
        <v>0</v>
      </c>
      <c r="Q23" s="224">
        <f t="shared" si="18"/>
        <v>0</v>
      </c>
      <c r="R23" s="224">
        <f t="shared" si="18"/>
        <v>0</v>
      </c>
      <c r="S23" s="224">
        <f t="shared" si="18"/>
        <v>0</v>
      </c>
      <c r="T23" s="224">
        <f t="shared" si="18"/>
        <v>0</v>
      </c>
      <c r="U23" s="224">
        <f t="shared" si="18"/>
        <v>0</v>
      </c>
      <c r="V23" s="224">
        <f t="shared" si="18"/>
        <v>0</v>
      </c>
      <c r="W23" s="224">
        <f t="shared" si="18"/>
        <v>39</v>
      </c>
      <c r="X23" s="224">
        <f t="shared" si="18"/>
        <v>0</v>
      </c>
      <c r="Y23" s="224">
        <f t="shared" si="18"/>
        <v>62</v>
      </c>
      <c r="Z23" s="224">
        <f t="shared" si="18"/>
        <v>16</v>
      </c>
      <c r="AA23" s="224">
        <f t="shared" si="18"/>
        <v>16</v>
      </c>
      <c r="AB23" s="224">
        <f t="shared" si="18"/>
        <v>61</v>
      </c>
      <c r="AC23" s="224">
        <f t="shared" si="18"/>
        <v>0</v>
      </c>
      <c r="AD23" s="224">
        <f t="shared" si="18"/>
        <v>0</v>
      </c>
      <c r="AE23" s="224">
        <f t="shared" si="18"/>
        <v>0</v>
      </c>
      <c r="AF23" s="224">
        <f t="shared" si="18"/>
        <v>14</v>
      </c>
      <c r="AG23" s="224">
        <f t="shared" si="18"/>
        <v>0</v>
      </c>
      <c r="AH23" s="224">
        <f t="shared" si="18"/>
        <v>0</v>
      </c>
      <c r="AI23" s="224">
        <f t="shared" si="18"/>
        <v>0</v>
      </c>
      <c r="AJ23" s="224">
        <f t="shared" si="18"/>
        <v>0</v>
      </c>
      <c r="AK23" s="224">
        <f t="shared" si="18"/>
        <v>0</v>
      </c>
      <c r="AL23" s="224">
        <f t="shared" si="18"/>
        <v>0</v>
      </c>
      <c r="AM23" s="224">
        <f t="shared" si="18"/>
        <v>0</v>
      </c>
      <c r="AN23" s="224">
        <f t="shared" si="18"/>
        <v>0</v>
      </c>
      <c r="AO23" s="224">
        <f t="shared" si="18"/>
        <v>0</v>
      </c>
      <c r="AP23" s="224">
        <f t="shared" si="18"/>
        <v>0</v>
      </c>
      <c r="AQ23" s="224">
        <f t="shared" si="18"/>
        <v>0</v>
      </c>
      <c r="AR23" s="224">
        <f t="shared" si="18"/>
        <v>0</v>
      </c>
      <c r="AS23" s="224">
        <f t="shared" si="18"/>
        <v>24</v>
      </c>
      <c r="AT23" s="224">
        <f t="shared" si="18"/>
        <v>16</v>
      </c>
      <c r="AU23" s="224">
        <f t="shared" si="18"/>
        <v>0</v>
      </c>
      <c r="AV23" s="224">
        <f t="shared" si="18"/>
        <v>0</v>
      </c>
      <c r="AW23" s="224">
        <f t="shared" si="18"/>
        <v>0</v>
      </c>
      <c r="AX23" s="224">
        <f t="shared" si="18"/>
        <v>0</v>
      </c>
      <c r="AY23" s="224">
        <f t="shared" si="18"/>
        <v>32</v>
      </c>
      <c r="AZ23" s="224">
        <f t="shared" ref="AZ23:BE23" si="19">SUM(AZ21:AZ22)</f>
        <v>0</v>
      </c>
      <c r="BA23" s="224">
        <f t="shared" si="19"/>
        <v>0</v>
      </c>
      <c r="BB23" s="224">
        <f t="shared" si="19"/>
        <v>0</v>
      </c>
      <c r="BC23" s="224">
        <f t="shared" si="19"/>
        <v>0</v>
      </c>
      <c r="BD23" s="224">
        <f t="shared" si="19"/>
        <v>0</v>
      </c>
      <c r="BE23" s="224">
        <f t="shared" si="19"/>
        <v>0</v>
      </c>
      <c r="BF23" s="224">
        <f t="shared" si="18"/>
        <v>0</v>
      </c>
      <c r="BG23" s="224">
        <f t="shared" si="18"/>
        <v>0</v>
      </c>
      <c r="BH23" s="224">
        <f t="shared" si="18"/>
        <v>0</v>
      </c>
      <c r="BI23" s="224">
        <f t="shared" si="18"/>
        <v>0</v>
      </c>
      <c r="BJ23" s="224">
        <f t="shared" si="18"/>
        <v>0</v>
      </c>
      <c r="BK23" s="224">
        <f t="shared" si="18"/>
        <v>0</v>
      </c>
      <c r="BL23" s="224">
        <f t="shared" si="18"/>
        <v>0</v>
      </c>
      <c r="BM23" s="224">
        <f t="shared" si="18"/>
        <v>0</v>
      </c>
      <c r="BN23" s="224">
        <f t="shared" si="18"/>
        <v>0</v>
      </c>
      <c r="BO23" s="224">
        <f t="shared" si="18"/>
        <v>0</v>
      </c>
      <c r="BP23" s="224">
        <f t="shared" ref="BP23:CS23" si="20">SUM(BP21:BP22)</f>
        <v>0</v>
      </c>
      <c r="BQ23" s="224">
        <f t="shared" si="20"/>
        <v>0</v>
      </c>
      <c r="BR23" s="224">
        <f t="shared" si="20"/>
        <v>0</v>
      </c>
      <c r="BS23" s="224">
        <f t="shared" si="20"/>
        <v>0</v>
      </c>
      <c r="BT23" s="224">
        <f t="shared" si="20"/>
        <v>0</v>
      </c>
      <c r="BU23" s="224">
        <f t="shared" si="20"/>
        <v>0</v>
      </c>
      <c r="BV23" s="224">
        <f t="shared" si="20"/>
        <v>0</v>
      </c>
      <c r="BW23" s="224">
        <f t="shared" si="20"/>
        <v>0</v>
      </c>
      <c r="BX23" s="224">
        <f t="shared" si="20"/>
        <v>0</v>
      </c>
      <c r="BY23" s="224">
        <f t="shared" si="20"/>
        <v>0</v>
      </c>
      <c r="BZ23" s="224">
        <f t="shared" si="20"/>
        <v>0</v>
      </c>
      <c r="CA23" s="224">
        <f t="shared" si="20"/>
        <v>0</v>
      </c>
      <c r="CB23" s="224">
        <f t="shared" si="20"/>
        <v>0</v>
      </c>
      <c r="CC23" s="224">
        <f t="shared" si="20"/>
        <v>0</v>
      </c>
      <c r="CD23" s="224">
        <f t="shared" si="20"/>
        <v>0</v>
      </c>
      <c r="CE23" s="224">
        <f t="shared" si="20"/>
        <v>0</v>
      </c>
      <c r="CF23" s="224">
        <f t="shared" si="20"/>
        <v>0</v>
      </c>
      <c r="CG23" s="224">
        <f t="shared" si="20"/>
        <v>0</v>
      </c>
      <c r="CH23" s="224">
        <f t="shared" si="20"/>
        <v>0</v>
      </c>
      <c r="CI23" s="224">
        <f t="shared" si="20"/>
        <v>0</v>
      </c>
      <c r="CJ23" s="224">
        <f t="shared" si="20"/>
        <v>0</v>
      </c>
      <c r="CK23" s="224">
        <f t="shared" si="20"/>
        <v>0</v>
      </c>
      <c r="CL23" s="224">
        <f t="shared" si="20"/>
        <v>0</v>
      </c>
      <c r="CM23" s="224">
        <f t="shared" si="20"/>
        <v>0</v>
      </c>
      <c r="CN23" s="224">
        <f t="shared" si="20"/>
        <v>0</v>
      </c>
      <c r="CO23" s="224">
        <f t="shared" si="20"/>
        <v>0</v>
      </c>
      <c r="CP23" s="224">
        <f t="shared" si="20"/>
        <v>0</v>
      </c>
      <c r="CQ23" s="224">
        <f t="shared" si="20"/>
        <v>0</v>
      </c>
      <c r="CR23" s="224">
        <f t="shared" si="20"/>
        <v>0</v>
      </c>
      <c r="CS23" s="224">
        <f t="shared" si="20"/>
        <v>0</v>
      </c>
      <c r="CT23" s="224">
        <f t="shared" ref="CT23" si="21">SUM(CT21:CT22)</f>
        <v>0</v>
      </c>
      <c r="CU23" s="224">
        <f t="shared" ref="CU23:DG23" si="22">SUM(CU21:CU22)</f>
        <v>0</v>
      </c>
      <c r="CV23" s="224">
        <f t="shared" si="22"/>
        <v>0</v>
      </c>
      <c r="CW23" s="224">
        <f t="shared" si="22"/>
        <v>0</v>
      </c>
      <c r="CX23" s="224">
        <f t="shared" si="22"/>
        <v>0</v>
      </c>
      <c r="CY23" s="224">
        <f t="shared" si="22"/>
        <v>0</v>
      </c>
      <c r="CZ23" s="224">
        <f t="shared" si="22"/>
        <v>0</v>
      </c>
      <c r="DA23" s="224">
        <f t="shared" si="22"/>
        <v>0</v>
      </c>
      <c r="DB23" s="224">
        <f t="shared" si="22"/>
        <v>0</v>
      </c>
      <c r="DC23" s="224">
        <f t="shared" si="22"/>
        <v>0</v>
      </c>
      <c r="DD23" s="224">
        <f t="shared" si="22"/>
        <v>0</v>
      </c>
      <c r="DE23" s="224">
        <f t="shared" si="22"/>
        <v>0</v>
      </c>
      <c r="DF23" s="224">
        <f t="shared" si="22"/>
        <v>0</v>
      </c>
      <c r="DG23" s="224">
        <f t="shared" si="22"/>
        <v>0</v>
      </c>
      <c r="DH23" s="224"/>
      <c r="DI23" s="224"/>
      <c r="DJ23" s="224"/>
      <c r="DK23" s="224"/>
      <c r="DL23" s="224"/>
      <c r="DM23" s="224"/>
      <c r="DN23" s="224"/>
      <c r="DO23" s="224"/>
      <c r="DP23" s="224"/>
      <c r="DQ23" s="224"/>
      <c r="DR23" s="224"/>
      <c r="DS23" s="224"/>
      <c r="DT23" s="224"/>
      <c r="DU23" s="224"/>
      <c r="DV23" s="224"/>
      <c r="DW23" s="224"/>
      <c r="DX23" s="224"/>
      <c r="DY23" s="224"/>
      <c r="DZ23" s="224"/>
      <c r="EA23" s="224"/>
      <c r="EB23" s="224"/>
      <c r="EC23" s="224"/>
      <c r="ED23" s="224"/>
      <c r="EE23" s="224"/>
      <c r="EF23" s="224"/>
      <c r="EG23" s="224"/>
      <c r="EH23" s="224"/>
      <c r="EI23" s="224"/>
      <c r="EJ23" s="224"/>
      <c r="EK23" s="224"/>
      <c r="EL23" s="224"/>
      <c r="EM23" s="224"/>
      <c r="EN23" s="224"/>
    </row>
    <row r="24" spans="1:145" s="2" customFormat="1" ht="14.45" customHeight="1" thickBot="1" x14ac:dyDescent="0.25">
      <c r="A24" s="230" t="s">
        <v>613</v>
      </c>
      <c r="B24" s="232">
        <v>45593</v>
      </c>
      <c r="C24" s="231" t="s">
        <v>614</v>
      </c>
      <c r="D24" s="233">
        <v>45597</v>
      </c>
      <c r="E24" s="213" t="s">
        <v>102</v>
      </c>
      <c r="F24" s="214" t="s">
        <v>103</v>
      </c>
      <c r="G24" s="219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19"/>
      <c r="AE24" s="219"/>
      <c r="AF24" s="219"/>
      <c r="AG24" s="219"/>
      <c r="AH24" s="219"/>
      <c r="AI24" s="219"/>
      <c r="AJ24" s="219"/>
      <c r="AK24" s="219"/>
      <c r="AL24" s="219"/>
      <c r="AM24" s="219"/>
      <c r="AN24" s="219"/>
      <c r="AO24" s="219"/>
      <c r="AP24" s="219"/>
      <c r="AQ24" s="219"/>
      <c r="AR24" s="219"/>
      <c r="AS24" s="219"/>
      <c r="AT24" s="219"/>
      <c r="AU24" s="219"/>
      <c r="AV24" s="219"/>
      <c r="AW24" s="219"/>
      <c r="AX24" s="219"/>
      <c r="AY24" s="219"/>
      <c r="AZ24" s="219"/>
      <c r="BA24" s="219"/>
      <c r="BB24" s="219"/>
      <c r="BC24" s="219"/>
      <c r="BD24" s="219"/>
      <c r="BE24" s="219"/>
      <c r="BF24" s="219"/>
      <c r="BG24" s="219"/>
      <c r="BH24" s="219"/>
      <c r="BI24" s="219"/>
      <c r="BJ24" s="219"/>
      <c r="BK24" s="219"/>
      <c r="BL24" s="219"/>
      <c r="BM24" s="219"/>
      <c r="BN24" s="219"/>
      <c r="BO24" s="219"/>
      <c r="BP24" s="219"/>
      <c r="BQ24" s="219"/>
      <c r="BR24" s="219"/>
      <c r="BS24" s="219"/>
      <c r="BT24" s="219"/>
      <c r="BU24" s="219"/>
      <c r="BV24" s="219"/>
      <c r="BW24" s="219"/>
      <c r="BX24" s="219"/>
      <c r="BY24" s="219"/>
      <c r="BZ24" s="219"/>
      <c r="CA24" s="219"/>
      <c r="CB24" s="219"/>
      <c r="CC24" s="219"/>
      <c r="CD24" s="219"/>
      <c r="CE24" s="219"/>
      <c r="CF24" s="219"/>
      <c r="CG24" s="219"/>
      <c r="CH24" s="219"/>
      <c r="CI24" s="219"/>
      <c r="CJ24" s="219"/>
      <c r="CK24" s="219"/>
      <c r="CL24" s="219"/>
      <c r="CM24" s="219"/>
      <c r="CN24" s="219"/>
      <c r="CO24" s="219"/>
      <c r="CP24" s="219"/>
      <c r="CQ24" s="219"/>
      <c r="CR24" s="219"/>
      <c r="CS24" s="219"/>
      <c r="CT24" s="220"/>
      <c r="CU24" s="219"/>
      <c r="CV24" s="219"/>
      <c r="CW24" s="219"/>
      <c r="CX24" s="219"/>
      <c r="CY24" s="219"/>
      <c r="CZ24" s="219"/>
      <c r="DA24" s="219"/>
      <c r="DB24" s="219"/>
      <c r="DC24" s="219"/>
      <c r="DD24" s="219"/>
      <c r="DE24" s="219"/>
      <c r="DF24" s="219"/>
      <c r="DG24" s="221"/>
      <c r="DH24" s="221"/>
      <c r="DI24" s="221"/>
      <c r="DJ24" s="221"/>
      <c r="DK24" s="221"/>
      <c r="DL24" s="221"/>
      <c r="DM24" s="221"/>
      <c r="DN24" s="221"/>
      <c r="DO24" s="221"/>
      <c r="DP24" s="221"/>
      <c r="DQ24" s="221"/>
      <c r="DR24" s="221"/>
      <c r="DS24" s="221"/>
      <c r="DT24" s="221"/>
      <c r="DU24" s="221"/>
      <c r="DV24" s="221"/>
      <c r="DW24" s="221"/>
      <c r="DX24" s="221"/>
      <c r="DY24" s="221"/>
      <c r="DZ24" s="221"/>
      <c r="EA24" s="221"/>
      <c r="EB24" s="221"/>
      <c r="EC24" s="221"/>
      <c r="ED24" s="221"/>
      <c r="EE24" s="221"/>
      <c r="EF24" s="221"/>
      <c r="EG24" s="221"/>
      <c r="EH24" s="221"/>
      <c r="EI24" s="221"/>
      <c r="EJ24" s="221"/>
      <c r="EK24" s="221"/>
      <c r="EL24" s="221"/>
      <c r="EM24" s="221"/>
      <c r="EN24" s="221"/>
    </row>
    <row r="25" spans="1:145" s="2" customFormat="1" x14ac:dyDescent="0.2">
      <c r="A25" s="854" t="s">
        <v>74</v>
      </c>
      <c r="B25" s="855"/>
      <c r="C25" s="855"/>
      <c r="D25" s="856"/>
      <c r="E25" s="215">
        <v>224</v>
      </c>
      <c r="F25" s="216">
        <v>49</v>
      </c>
      <c r="G25" s="219">
        <v>0</v>
      </c>
      <c r="H25" s="219">
        <v>0</v>
      </c>
      <c r="I25" s="219">
        <v>0</v>
      </c>
      <c r="J25" s="219">
        <v>0</v>
      </c>
      <c r="K25" s="219">
        <v>0</v>
      </c>
      <c r="L25" s="219">
        <v>32</v>
      </c>
      <c r="M25" s="219">
        <v>0</v>
      </c>
      <c r="N25" s="219">
        <v>0</v>
      </c>
      <c r="O25" s="219">
        <v>0</v>
      </c>
      <c r="P25" s="219">
        <v>0</v>
      </c>
      <c r="Q25" s="219">
        <v>0</v>
      </c>
      <c r="R25" s="219">
        <v>0</v>
      </c>
      <c r="S25" s="219">
        <v>0</v>
      </c>
      <c r="T25" s="219">
        <v>0</v>
      </c>
      <c r="U25" s="219">
        <v>0</v>
      </c>
      <c r="V25" s="219">
        <v>0</v>
      </c>
      <c r="W25" s="219">
        <v>28</v>
      </c>
      <c r="X25" s="219">
        <v>0</v>
      </c>
      <c r="Y25" s="219">
        <v>24</v>
      </c>
      <c r="Z25" s="219">
        <v>0</v>
      </c>
      <c r="AA25" s="219">
        <v>0</v>
      </c>
      <c r="AB25" s="219">
        <v>21</v>
      </c>
      <c r="AC25" s="219">
        <v>0</v>
      </c>
      <c r="AD25" s="219">
        <v>0</v>
      </c>
      <c r="AE25" s="219">
        <v>0</v>
      </c>
      <c r="AF25" s="219">
        <v>0</v>
      </c>
      <c r="AG25" s="219">
        <v>0</v>
      </c>
      <c r="AH25" s="219">
        <v>0</v>
      </c>
      <c r="AI25" s="219">
        <v>0</v>
      </c>
      <c r="AJ25" s="219">
        <v>0</v>
      </c>
      <c r="AK25" s="219">
        <v>0</v>
      </c>
      <c r="AL25" s="219">
        <v>0</v>
      </c>
      <c r="AM25" s="219">
        <v>0</v>
      </c>
      <c r="AN25" s="219">
        <v>71</v>
      </c>
      <c r="AO25" s="219">
        <v>4</v>
      </c>
      <c r="AP25" s="219">
        <v>0</v>
      </c>
      <c r="AQ25" s="219">
        <v>0</v>
      </c>
      <c r="AR25" s="219">
        <v>0</v>
      </c>
      <c r="AS25" s="219">
        <v>8</v>
      </c>
      <c r="AT25" s="219">
        <v>36</v>
      </c>
      <c r="AU25" s="219">
        <v>0</v>
      </c>
      <c r="AV25" s="219">
        <v>0</v>
      </c>
      <c r="AW25" s="219">
        <v>0</v>
      </c>
      <c r="AX25" s="219">
        <v>0</v>
      </c>
      <c r="AY25" s="219">
        <v>0</v>
      </c>
      <c r="AZ25" s="219">
        <v>0</v>
      </c>
      <c r="BA25" s="219">
        <v>0</v>
      </c>
      <c r="BB25" s="219">
        <v>0</v>
      </c>
      <c r="BC25" s="219">
        <v>0</v>
      </c>
      <c r="BD25" s="219">
        <v>0</v>
      </c>
      <c r="BE25" s="219">
        <v>0</v>
      </c>
      <c r="BF25" s="219">
        <v>0</v>
      </c>
      <c r="BG25" s="219">
        <v>0</v>
      </c>
      <c r="BH25" s="219">
        <v>0</v>
      </c>
      <c r="BI25" s="219">
        <v>0</v>
      </c>
      <c r="BJ25" s="219">
        <v>0</v>
      </c>
      <c r="BK25" s="219">
        <v>0</v>
      </c>
      <c r="BL25" s="219">
        <v>0</v>
      </c>
      <c r="BM25" s="219">
        <v>0</v>
      </c>
      <c r="BN25" s="219">
        <v>0</v>
      </c>
      <c r="BO25" s="219">
        <v>0</v>
      </c>
      <c r="BP25" s="219">
        <v>0</v>
      </c>
      <c r="BQ25" s="219">
        <v>0</v>
      </c>
      <c r="BR25" s="219">
        <v>0</v>
      </c>
      <c r="BS25" s="219">
        <v>0</v>
      </c>
      <c r="BT25" s="219">
        <v>0</v>
      </c>
      <c r="BU25" s="219">
        <v>0</v>
      </c>
      <c r="BV25" s="219">
        <v>0</v>
      </c>
      <c r="BW25" s="219">
        <v>0</v>
      </c>
      <c r="BX25" s="219">
        <v>0</v>
      </c>
      <c r="BY25" s="219">
        <v>0</v>
      </c>
      <c r="BZ25" s="219">
        <v>0</v>
      </c>
      <c r="CA25" s="219">
        <v>0</v>
      </c>
      <c r="CB25" s="219">
        <v>0</v>
      </c>
      <c r="CC25" s="219">
        <v>0</v>
      </c>
      <c r="CD25" s="219">
        <v>0</v>
      </c>
      <c r="CE25" s="219">
        <v>0</v>
      </c>
      <c r="CF25" s="219">
        <v>0</v>
      </c>
      <c r="CG25" s="219">
        <v>0</v>
      </c>
      <c r="CH25" s="219">
        <v>0</v>
      </c>
      <c r="CI25" s="219">
        <v>0</v>
      </c>
      <c r="CJ25" s="219">
        <v>0</v>
      </c>
      <c r="CK25" s="219">
        <v>0</v>
      </c>
      <c r="CL25" s="219">
        <v>0</v>
      </c>
      <c r="CM25" s="219">
        <v>0</v>
      </c>
      <c r="CN25" s="219">
        <v>0</v>
      </c>
      <c r="CO25" s="219">
        <v>0</v>
      </c>
      <c r="CP25" s="219">
        <v>0</v>
      </c>
      <c r="CQ25" s="219">
        <v>0</v>
      </c>
      <c r="CR25" s="219">
        <v>0</v>
      </c>
      <c r="CS25" s="219">
        <v>0</v>
      </c>
      <c r="CT25" s="220">
        <v>0</v>
      </c>
      <c r="CU25" s="219">
        <v>0</v>
      </c>
      <c r="CV25" s="219">
        <v>0</v>
      </c>
      <c r="CW25" s="219">
        <v>0</v>
      </c>
      <c r="CX25" s="219">
        <v>0</v>
      </c>
      <c r="CY25" s="219">
        <v>0</v>
      </c>
      <c r="CZ25" s="219">
        <v>0</v>
      </c>
      <c r="DA25" s="219">
        <v>0</v>
      </c>
      <c r="DB25" s="219">
        <v>0</v>
      </c>
      <c r="DC25" s="219">
        <v>0</v>
      </c>
      <c r="DD25" s="219">
        <v>0</v>
      </c>
      <c r="DE25" s="219">
        <v>0</v>
      </c>
      <c r="DF25" s="219">
        <v>0</v>
      </c>
      <c r="DG25" s="221">
        <v>0</v>
      </c>
      <c r="DH25" s="221">
        <v>0</v>
      </c>
      <c r="DI25" s="221">
        <v>0</v>
      </c>
      <c r="DJ25" s="221">
        <v>0</v>
      </c>
      <c r="DK25" s="221">
        <v>0</v>
      </c>
      <c r="DL25" s="221">
        <v>0</v>
      </c>
      <c r="DM25" s="221">
        <v>0</v>
      </c>
      <c r="DN25" s="221">
        <v>0</v>
      </c>
      <c r="DO25" s="221">
        <v>0</v>
      </c>
      <c r="DP25" s="221">
        <v>0</v>
      </c>
      <c r="DQ25" s="221">
        <v>0</v>
      </c>
      <c r="DR25" s="221">
        <v>0</v>
      </c>
      <c r="DS25" s="221">
        <v>0</v>
      </c>
      <c r="DT25" s="221">
        <v>0</v>
      </c>
      <c r="DU25" s="221">
        <v>0</v>
      </c>
      <c r="DV25" s="221">
        <v>0</v>
      </c>
      <c r="DW25" s="221">
        <v>0</v>
      </c>
      <c r="DX25" s="221">
        <v>0</v>
      </c>
      <c r="DY25" s="221">
        <v>0</v>
      </c>
      <c r="DZ25" s="221">
        <v>0</v>
      </c>
      <c r="EA25" s="221">
        <v>0</v>
      </c>
      <c r="EB25" s="221">
        <v>0</v>
      </c>
      <c r="EC25" s="221">
        <v>0</v>
      </c>
      <c r="ED25" s="221">
        <v>0</v>
      </c>
      <c r="EE25" s="221">
        <v>0</v>
      </c>
      <c r="EF25" s="221">
        <v>0</v>
      </c>
      <c r="EG25" s="221">
        <v>0</v>
      </c>
      <c r="EH25" s="221">
        <v>0</v>
      </c>
      <c r="EI25" s="221">
        <v>0</v>
      </c>
      <c r="EJ25" s="221">
        <v>0</v>
      </c>
      <c r="EK25" s="221">
        <v>0</v>
      </c>
      <c r="EL25" s="221">
        <v>0</v>
      </c>
      <c r="EM25" s="221">
        <v>0</v>
      </c>
      <c r="EN25" s="221">
        <v>49</v>
      </c>
    </row>
    <row r="26" spans="1:145" s="2" customFormat="1" ht="15.75" thickBot="1" x14ac:dyDescent="0.25">
      <c r="A26" s="857" t="s">
        <v>109</v>
      </c>
      <c r="B26" s="858"/>
      <c r="C26" s="858"/>
      <c r="D26" s="859"/>
      <c r="E26" s="217">
        <v>64</v>
      </c>
      <c r="F26" s="218">
        <v>53</v>
      </c>
      <c r="G26" s="219">
        <v>0</v>
      </c>
      <c r="H26" s="219">
        <v>0</v>
      </c>
      <c r="I26" s="219">
        <v>0</v>
      </c>
      <c r="J26" s="219">
        <v>0</v>
      </c>
      <c r="K26" s="219">
        <v>0</v>
      </c>
      <c r="L26" s="219">
        <v>0</v>
      </c>
      <c r="M26" s="219">
        <v>0</v>
      </c>
      <c r="N26" s="219">
        <v>0</v>
      </c>
      <c r="O26" s="219">
        <v>0</v>
      </c>
      <c r="P26" s="219">
        <v>0</v>
      </c>
      <c r="Q26" s="219">
        <v>0</v>
      </c>
      <c r="R26" s="219">
        <v>0</v>
      </c>
      <c r="S26" s="219">
        <v>0</v>
      </c>
      <c r="T26" s="219">
        <v>0</v>
      </c>
      <c r="U26" s="219">
        <v>0</v>
      </c>
      <c r="V26" s="219">
        <v>0</v>
      </c>
      <c r="W26" s="219">
        <v>0</v>
      </c>
      <c r="X26" s="219">
        <v>0</v>
      </c>
      <c r="Y26" s="219">
        <v>0</v>
      </c>
      <c r="Z26" s="219">
        <v>0</v>
      </c>
      <c r="AA26" s="219">
        <v>0</v>
      </c>
      <c r="AB26" s="219">
        <v>13</v>
      </c>
      <c r="AC26" s="219">
        <v>0</v>
      </c>
      <c r="AD26" s="219">
        <v>0</v>
      </c>
      <c r="AE26" s="219">
        <v>0</v>
      </c>
      <c r="AF26" s="219">
        <v>0</v>
      </c>
      <c r="AG26" s="219">
        <v>0</v>
      </c>
      <c r="AH26" s="219">
        <v>0</v>
      </c>
      <c r="AI26" s="219">
        <v>0</v>
      </c>
      <c r="AJ26" s="219">
        <v>0</v>
      </c>
      <c r="AK26" s="219">
        <v>0</v>
      </c>
      <c r="AL26" s="219">
        <v>0</v>
      </c>
      <c r="AM26" s="219">
        <v>0</v>
      </c>
      <c r="AN26" s="219">
        <v>15</v>
      </c>
      <c r="AO26" s="219">
        <v>12</v>
      </c>
      <c r="AP26" s="219">
        <v>0</v>
      </c>
      <c r="AQ26" s="219">
        <v>0</v>
      </c>
      <c r="AR26" s="219">
        <v>0</v>
      </c>
      <c r="AS26" s="219">
        <v>8</v>
      </c>
      <c r="AT26" s="219">
        <v>16</v>
      </c>
      <c r="AU26" s="219">
        <v>0</v>
      </c>
      <c r="AV26" s="219">
        <v>0</v>
      </c>
      <c r="AW26" s="219">
        <v>0</v>
      </c>
      <c r="AX26" s="219">
        <v>0</v>
      </c>
      <c r="AY26" s="219">
        <v>0</v>
      </c>
      <c r="AZ26" s="219">
        <v>0</v>
      </c>
      <c r="BA26" s="219">
        <v>0</v>
      </c>
      <c r="BB26" s="219">
        <v>0</v>
      </c>
      <c r="BC26" s="219">
        <v>0</v>
      </c>
      <c r="BD26" s="219">
        <v>0</v>
      </c>
      <c r="BE26" s="219">
        <v>0</v>
      </c>
      <c r="BF26" s="219">
        <v>0</v>
      </c>
      <c r="BG26" s="219">
        <v>0</v>
      </c>
      <c r="BH26" s="219">
        <v>0</v>
      </c>
      <c r="BI26" s="219">
        <v>0</v>
      </c>
      <c r="BJ26" s="219">
        <v>0</v>
      </c>
      <c r="BK26" s="219">
        <v>0</v>
      </c>
      <c r="BL26" s="219">
        <v>0</v>
      </c>
      <c r="BM26" s="219">
        <v>0</v>
      </c>
      <c r="BN26" s="219">
        <v>0</v>
      </c>
      <c r="BO26" s="219">
        <v>0</v>
      </c>
      <c r="BP26" s="219">
        <v>0</v>
      </c>
      <c r="BQ26" s="219">
        <v>0</v>
      </c>
      <c r="BR26" s="219">
        <v>0</v>
      </c>
      <c r="BS26" s="219">
        <v>0</v>
      </c>
      <c r="BT26" s="219">
        <v>0</v>
      </c>
      <c r="BU26" s="219">
        <v>0</v>
      </c>
      <c r="BV26" s="219">
        <v>0</v>
      </c>
      <c r="BW26" s="219">
        <v>0</v>
      </c>
      <c r="BX26" s="219">
        <v>0</v>
      </c>
      <c r="BY26" s="219">
        <v>0</v>
      </c>
      <c r="BZ26" s="219">
        <v>0</v>
      </c>
      <c r="CA26" s="219">
        <v>0</v>
      </c>
      <c r="CB26" s="219">
        <v>0</v>
      </c>
      <c r="CC26" s="219">
        <v>0</v>
      </c>
      <c r="CD26" s="219">
        <v>0</v>
      </c>
      <c r="CE26" s="219">
        <v>0</v>
      </c>
      <c r="CF26" s="219">
        <v>0</v>
      </c>
      <c r="CG26" s="219">
        <v>0</v>
      </c>
      <c r="CH26" s="219">
        <v>0</v>
      </c>
      <c r="CI26" s="219">
        <v>0</v>
      </c>
      <c r="CJ26" s="219">
        <v>0</v>
      </c>
      <c r="CK26" s="219">
        <v>0</v>
      </c>
      <c r="CL26" s="219">
        <v>0</v>
      </c>
      <c r="CM26" s="219">
        <v>0</v>
      </c>
      <c r="CN26" s="219">
        <v>0</v>
      </c>
      <c r="CO26" s="219">
        <v>0</v>
      </c>
      <c r="CP26" s="219">
        <v>0</v>
      </c>
      <c r="CQ26" s="219">
        <v>0</v>
      </c>
      <c r="CR26" s="219">
        <v>0</v>
      </c>
      <c r="CS26" s="219">
        <v>0</v>
      </c>
      <c r="CT26" s="220">
        <v>0</v>
      </c>
      <c r="CU26" s="219">
        <v>0</v>
      </c>
      <c r="CV26" s="219">
        <v>0</v>
      </c>
      <c r="CW26" s="219">
        <v>0</v>
      </c>
      <c r="CX26" s="219">
        <v>0</v>
      </c>
      <c r="CY26" s="219">
        <v>0</v>
      </c>
      <c r="CZ26" s="219">
        <v>0</v>
      </c>
      <c r="DA26" s="219">
        <v>0</v>
      </c>
      <c r="DB26" s="219">
        <v>0</v>
      </c>
      <c r="DC26" s="219">
        <v>0</v>
      </c>
      <c r="DD26" s="219">
        <v>0</v>
      </c>
      <c r="DE26" s="219">
        <v>0</v>
      </c>
      <c r="DF26" s="219">
        <v>0</v>
      </c>
      <c r="DG26" s="221">
        <v>0</v>
      </c>
      <c r="DH26" s="221">
        <v>0</v>
      </c>
      <c r="DI26" s="221">
        <v>0</v>
      </c>
      <c r="DJ26" s="221">
        <v>0</v>
      </c>
      <c r="DK26" s="221">
        <v>0</v>
      </c>
      <c r="DL26" s="221">
        <v>0</v>
      </c>
      <c r="DM26" s="221">
        <v>0</v>
      </c>
      <c r="DN26" s="221">
        <v>0</v>
      </c>
      <c r="DO26" s="221">
        <v>0</v>
      </c>
      <c r="DP26" s="221">
        <v>0</v>
      </c>
      <c r="DQ26" s="221">
        <v>0</v>
      </c>
      <c r="DR26" s="221">
        <v>0</v>
      </c>
      <c r="DS26" s="221">
        <v>0</v>
      </c>
      <c r="DT26" s="221">
        <v>0</v>
      </c>
      <c r="DU26" s="221">
        <v>0</v>
      </c>
      <c r="DV26" s="221">
        <v>0</v>
      </c>
      <c r="DW26" s="221">
        <v>0</v>
      </c>
      <c r="DX26" s="221">
        <v>0</v>
      </c>
      <c r="DY26" s="221">
        <v>0</v>
      </c>
      <c r="DZ26" s="221">
        <v>0</v>
      </c>
      <c r="EA26" s="221">
        <v>39</v>
      </c>
      <c r="EB26" s="221">
        <v>0</v>
      </c>
      <c r="EC26" s="221">
        <v>0</v>
      </c>
      <c r="ED26" s="221">
        <v>0</v>
      </c>
      <c r="EE26" s="221">
        <v>0</v>
      </c>
      <c r="EF26" s="221">
        <v>0</v>
      </c>
      <c r="EG26" s="221">
        <v>0</v>
      </c>
      <c r="EH26" s="221">
        <v>0</v>
      </c>
      <c r="EI26" s="221">
        <v>0</v>
      </c>
      <c r="EJ26" s="221">
        <v>0</v>
      </c>
      <c r="EK26" s="221">
        <v>0</v>
      </c>
      <c r="EL26" s="221">
        <v>0</v>
      </c>
      <c r="EM26" s="221">
        <v>0</v>
      </c>
      <c r="EN26" s="221">
        <v>14</v>
      </c>
    </row>
    <row r="27" spans="1:145" s="2" customFormat="1" ht="15.75" thickBot="1" x14ac:dyDescent="0.25">
      <c r="A27" s="844" t="s">
        <v>110</v>
      </c>
      <c r="B27" s="845"/>
      <c r="C27" s="845"/>
      <c r="D27" s="845"/>
      <c r="E27" s="225">
        <f>SUM(E25:E26)</f>
        <v>288</v>
      </c>
      <c r="F27" s="226">
        <f>SUM(F25:F26)</f>
        <v>102</v>
      </c>
      <c r="G27" s="224">
        <f>SUM(G25:G26)</f>
        <v>0</v>
      </c>
      <c r="H27" s="224">
        <f t="shared" ref="H27:BO27" si="23">SUM(H25:H26)</f>
        <v>0</v>
      </c>
      <c r="I27" s="224">
        <f t="shared" si="23"/>
        <v>0</v>
      </c>
      <c r="J27" s="224">
        <f t="shared" si="23"/>
        <v>0</v>
      </c>
      <c r="K27" s="224">
        <f t="shared" si="23"/>
        <v>0</v>
      </c>
      <c r="L27" s="224">
        <f t="shared" si="23"/>
        <v>32</v>
      </c>
      <c r="M27" s="224">
        <f t="shared" si="23"/>
        <v>0</v>
      </c>
      <c r="N27" s="224">
        <f t="shared" si="23"/>
        <v>0</v>
      </c>
      <c r="O27" s="224">
        <f t="shared" si="23"/>
        <v>0</v>
      </c>
      <c r="P27" s="224">
        <f t="shared" si="23"/>
        <v>0</v>
      </c>
      <c r="Q27" s="224">
        <f t="shared" si="23"/>
        <v>0</v>
      </c>
      <c r="R27" s="224">
        <f t="shared" si="23"/>
        <v>0</v>
      </c>
      <c r="S27" s="224">
        <f t="shared" si="23"/>
        <v>0</v>
      </c>
      <c r="T27" s="224">
        <f t="shared" si="23"/>
        <v>0</v>
      </c>
      <c r="U27" s="224">
        <f t="shared" si="23"/>
        <v>0</v>
      </c>
      <c r="V27" s="224">
        <f t="shared" si="23"/>
        <v>0</v>
      </c>
      <c r="W27" s="224">
        <f t="shared" si="23"/>
        <v>28</v>
      </c>
      <c r="X27" s="224">
        <f t="shared" si="23"/>
        <v>0</v>
      </c>
      <c r="Y27" s="224">
        <f t="shared" si="23"/>
        <v>24</v>
      </c>
      <c r="Z27" s="224">
        <f t="shared" si="23"/>
        <v>0</v>
      </c>
      <c r="AA27" s="224">
        <f t="shared" si="23"/>
        <v>0</v>
      </c>
      <c r="AB27" s="224">
        <f t="shared" si="23"/>
        <v>34</v>
      </c>
      <c r="AC27" s="224">
        <f t="shared" si="23"/>
        <v>0</v>
      </c>
      <c r="AD27" s="224">
        <f t="shared" si="23"/>
        <v>0</v>
      </c>
      <c r="AE27" s="224">
        <f t="shared" si="23"/>
        <v>0</v>
      </c>
      <c r="AF27" s="224">
        <f t="shared" si="23"/>
        <v>0</v>
      </c>
      <c r="AG27" s="224">
        <f t="shared" si="23"/>
        <v>0</v>
      </c>
      <c r="AH27" s="224">
        <f t="shared" si="23"/>
        <v>0</v>
      </c>
      <c r="AI27" s="224">
        <f t="shared" si="23"/>
        <v>0</v>
      </c>
      <c r="AJ27" s="224">
        <f t="shared" si="23"/>
        <v>0</v>
      </c>
      <c r="AK27" s="224">
        <f t="shared" si="23"/>
        <v>0</v>
      </c>
      <c r="AL27" s="224">
        <f t="shared" si="23"/>
        <v>0</v>
      </c>
      <c r="AM27" s="224">
        <f t="shared" si="23"/>
        <v>0</v>
      </c>
      <c r="AN27" s="224">
        <f t="shared" si="23"/>
        <v>86</v>
      </c>
      <c r="AO27" s="224">
        <f t="shared" si="23"/>
        <v>16</v>
      </c>
      <c r="AP27" s="224">
        <f t="shared" si="23"/>
        <v>0</v>
      </c>
      <c r="AQ27" s="224">
        <f t="shared" si="23"/>
        <v>0</v>
      </c>
      <c r="AR27" s="224">
        <f t="shared" si="23"/>
        <v>0</v>
      </c>
      <c r="AS27" s="224">
        <f t="shared" si="23"/>
        <v>16</v>
      </c>
      <c r="AT27" s="224">
        <f t="shared" si="23"/>
        <v>52</v>
      </c>
      <c r="AU27" s="224">
        <f t="shared" si="23"/>
        <v>0</v>
      </c>
      <c r="AV27" s="224">
        <f t="shared" si="23"/>
        <v>0</v>
      </c>
      <c r="AW27" s="224">
        <f t="shared" si="23"/>
        <v>0</v>
      </c>
      <c r="AX27" s="224">
        <f t="shared" si="23"/>
        <v>0</v>
      </c>
      <c r="AY27" s="224">
        <f t="shared" si="23"/>
        <v>0</v>
      </c>
      <c r="AZ27" s="224">
        <f t="shared" ref="AZ27:BE27" si="24">SUM(AZ25:AZ26)</f>
        <v>0</v>
      </c>
      <c r="BA27" s="224">
        <f t="shared" si="24"/>
        <v>0</v>
      </c>
      <c r="BB27" s="224">
        <f t="shared" si="24"/>
        <v>0</v>
      </c>
      <c r="BC27" s="224">
        <f t="shared" si="24"/>
        <v>0</v>
      </c>
      <c r="BD27" s="224">
        <f t="shared" si="24"/>
        <v>0</v>
      </c>
      <c r="BE27" s="224">
        <f t="shared" si="24"/>
        <v>0</v>
      </c>
      <c r="BF27" s="224">
        <f t="shared" si="23"/>
        <v>0</v>
      </c>
      <c r="BG27" s="224">
        <f t="shared" si="23"/>
        <v>0</v>
      </c>
      <c r="BH27" s="224">
        <f t="shared" si="23"/>
        <v>0</v>
      </c>
      <c r="BI27" s="224">
        <f t="shared" si="23"/>
        <v>0</v>
      </c>
      <c r="BJ27" s="224">
        <f t="shared" si="23"/>
        <v>0</v>
      </c>
      <c r="BK27" s="224">
        <f t="shared" si="23"/>
        <v>0</v>
      </c>
      <c r="BL27" s="224">
        <f t="shared" si="23"/>
        <v>0</v>
      </c>
      <c r="BM27" s="224">
        <f t="shared" si="23"/>
        <v>0</v>
      </c>
      <c r="BN27" s="224">
        <f t="shared" si="23"/>
        <v>0</v>
      </c>
      <c r="BO27" s="224">
        <f t="shared" si="23"/>
        <v>0</v>
      </c>
      <c r="BP27" s="224">
        <f t="shared" ref="BP27:CS27" si="25">SUM(BP25:BP26)</f>
        <v>0</v>
      </c>
      <c r="BQ27" s="224">
        <f t="shared" si="25"/>
        <v>0</v>
      </c>
      <c r="BR27" s="224">
        <f t="shared" si="25"/>
        <v>0</v>
      </c>
      <c r="BS27" s="224">
        <f t="shared" si="25"/>
        <v>0</v>
      </c>
      <c r="BT27" s="224">
        <f t="shared" si="25"/>
        <v>0</v>
      </c>
      <c r="BU27" s="224">
        <f t="shared" si="25"/>
        <v>0</v>
      </c>
      <c r="BV27" s="224">
        <f t="shared" si="25"/>
        <v>0</v>
      </c>
      <c r="BW27" s="224">
        <f t="shared" si="25"/>
        <v>0</v>
      </c>
      <c r="BX27" s="224">
        <f t="shared" si="25"/>
        <v>0</v>
      </c>
      <c r="BY27" s="224">
        <f t="shared" si="25"/>
        <v>0</v>
      </c>
      <c r="BZ27" s="224">
        <f t="shared" si="25"/>
        <v>0</v>
      </c>
      <c r="CA27" s="224">
        <f t="shared" si="25"/>
        <v>0</v>
      </c>
      <c r="CB27" s="224">
        <f t="shared" si="25"/>
        <v>0</v>
      </c>
      <c r="CC27" s="224">
        <f t="shared" si="25"/>
        <v>0</v>
      </c>
      <c r="CD27" s="224">
        <f t="shared" si="25"/>
        <v>0</v>
      </c>
      <c r="CE27" s="224">
        <f t="shared" si="25"/>
        <v>0</v>
      </c>
      <c r="CF27" s="224">
        <f t="shared" si="25"/>
        <v>0</v>
      </c>
      <c r="CG27" s="224">
        <f t="shared" si="25"/>
        <v>0</v>
      </c>
      <c r="CH27" s="224">
        <f t="shared" si="25"/>
        <v>0</v>
      </c>
      <c r="CI27" s="224">
        <f t="shared" si="25"/>
        <v>0</v>
      </c>
      <c r="CJ27" s="224">
        <f t="shared" si="25"/>
        <v>0</v>
      </c>
      <c r="CK27" s="224">
        <f t="shared" si="25"/>
        <v>0</v>
      </c>
      <c r="CL27" s="224">
        <f t="shared" si="25"/>
        <v>0</v>
      </c>
      <c r="CM27" s="224">
        <f t="shared" si="25"/>
        <v>0</v>
      </c>
      <c r="CN27" s="224">
        <f t="shared" si="25"/>
        <v>0</v>
      </c>
      <c r="CO27" s="224">
        <f t="shared" si="25"/>
        <v>0</v>
      </c>
      <c r="CP27" s="224">
        <f t="shared" si="25"/>
        <v>0</v>
      </c>
      <c r="CQ27" s="224">
        <f t="shared" si="25"/>
        <v>0</v>
      </c>
      <c r="CR27" s="224">
        <f t="shared" si="25"/>
        <v>0</v>
      </c>
      <c r="CS27" s="224">
        <f t="shared" si="25"/>
        <v>0</v>
      </c>
      <c r="CT27" s="224">
        <f t="shared" ref="CT27:CX27" si="26">SUM(CT25:CT26)</f>
        <v>0</v>
      </c>
      <c r="CU27" s="224">
        <f t="shared" si="26"/>
        <v>0</v>
      </c>
      <c r="CV27" s="224">
        <f t="shared" si="26"/>
        <v>0</v>
      </c>
      <c r="CW27" s="224">
        <f t="shared" si="26"/>
        <v>0</v>
      </c>
      <c r="CX27" s="224">
        <f t="shared" si="26"/>
        <v>0</v>
      </c>
      <c r="CY27" s="224">
        <f t="shared" ref="CY27:DG27" si="27">SUM(CY25:CY26)</f>
        <v>0</v>
      </c>
      <c r="CZ27" s="224">
        <f t="shared" si="27"/>
        <v>0</v>
      </c>
      <c r="DA27" s="224">
        <f t="shared" si="27"/>
        <v>0</v>
      </c>
      <c r="DB27" s="224">
        <f t="shared" si="27"/>
        <v>0</v>
      </c>
      <c r="DC27" s="224">
        <f t="shared" si="27"/>
        <v>0</v>
      </c>
      <c r="DD27" s="224">
        <f t="shared" si="27"/>
        <v>0</v>
      </c>
      <c r="DE27" s="224">
        <f t="shared" si="27"/>
        <v>0</v>
      </c>
      <c r="DF27" s="224">
        <f t="shared" si="27"/>
        <v>0</v>
      </c>
      <c r="DG27" s="224">
        <f t="shared" si="27"/>
        <v>0</v>
      </c>
      <c r="DH27" s="224"/>
      <c r="DI27" s="224"/>
      <c r="DJ27" s="224"/>
      <c r="DK27" s="224"/>
      <c r="DL27" s="224"/>
      <c r="DM27" s="224"/>
      <c r="DN27" s="224"/>
      <c r="DO27" s="224"/>
      <c r="DP27" s="224"/>
      <c r="DQ27" s="224"/>
      <c r="DR27" s="224"/>
      <c r="DS27" s="224"/>
      <c r="DT27" s="224"/>
      <c r="DU27" s="224"/>
      <c r="DV27" s="224"/>
      <c r="DW27" s="224"/>
      <c r="DX27" s="224"/>
      <c r="DY27" s="224"/>
      <c r="DZ27" s="224"/>
      <c r="EA27" s="224"/>
      <c r="EB27" s="224"/>
      <c r="EC27" s="224"/>
      <c r="ED27" s="224"/>
      <c r="EE27" s="224"/>
      <c r="EF27" s="224"/>
      <c r="EG27" s="224"/>
      <c r="EH27" s="224"/>
      <c r="EI27" s="224"/>
      <c r="EJ27" s="224"/>
      <c r="EK27" s="224"/>
      <c r="EL27" s="224"/>
      <c r="EM27" s="224"/>
      <c r="EN27" s="224"/>
    </row>
    <row r="28" spans="1:145" s="2" customFormat="1" ht="15.75" thickBot="1" x14ac:dyDescent="0.25">
      <c r="A28" s="846" t="s">
        <v>582</v>
      </c>
      <c r="B28" s="847"/>
      <c r="C28" s="847"/>
      <c r="D28" s="848"/>
      <c r="E28" s="227">
        <f>+E9+E13+E17+E21+E25</f>
        <v>1076</v>
      </c>
      <c r="F28" s="227">
        <f t="shared" ref="F28:F29" si="28">+F9+F13+F17+F21+F25</f>
        <v>77</v>
      </c>
      <c r="G28" s="227">
        <f>+G9+G13+G17+G21+G25</f>
        <v>56</v>
      </c>
      <c r="H28" s="227">
        <f t="shared" ref="H28:BO28" si="29">+H9+H13+H17+H21+H25</f>
        <v>0</v>
      </c>
      <c r="I28" s="227">
        <f t="shared" si="29"/>
        <v>0</v>
      </c>
      <c r="J28" s="227">
        <f t="shared" si="29"/>
        <v>8</v>
      </c>
      <c r="K28" s="227">
        <f t="shared" si="29"/>
        <v>8</v>
      </c>
      <c r="L28" s="227">
        <f t="shared" si="29"/>
        <v>188</v>
      </c>
      <c r="M28" s="227">
        <f t="shared" si="29"/>
        <v>0</v>
      </c>
      <c r="N28" s="227">
        <f t="shared" si="29"/>
        <v>0</v>
      </c>
      <c r="O28" s="227">
        <f t="shared" si="29"/>
        <v>0</v>
      </c>
      <c r="P28" s="227">
        <f t="shared" si="29"/>
        <v>0</v>
      </c>
      <c r="Q28" s="227">
        <f t="shared" si="29"/>
        <v>0</v>
      </c>
      <c r="R28" s="227">
        <f t="shared" si="29"/>
        <v>0</v>
      </c>
      <c r="S28" s="227">
        <f t="shared" si="29"/>
        <v>0</v>
      </c>
      <c r="T28" s="227">
        <f t="shared" si="29"/>
        <v>0</v>
      </c>
      <c r="U28" s="227">
        <f t="shared" si="29"/>
        <v>0</v>
      </c>
      <c r="V28" s="227">
        <f t="shared" si="29"/>
        <v>0</v>
      </c>
      <c r="W28" s="227">
        <f t="shared" si="29"/>
        <v>67</v>
      </c>
      <c r="X28" s="227">
        <f t="shared" si="29"/>
        <v>0</v>
      </c>
      <c r="Y28" s="227">
        <f t="shared" si="29"/>
        <v>74</v>
      </c>
      <c r="Z28" s="227">
        <f t="shared" si="29"/>
        <v>158</v>
      </c>
      <c r="AA28" s="227">
        <f t="shared" si="29"/>
        <v>47</v>
      </c>
      <c r="AB28" s="227">
        <f t="shared" si="29"/>
        <v>107</v>
      </c>
      <c r="AC28" s="227">
        <f t="shared" si="29"/>
        <v>8</v>
      </c>
      <c r="AD28" s="227">
        <f t="shared" si="29"/>
        <v>0</v>
      </c>
      <c r="AE28" s="227">
        <f t="shared" si="29"/>
        <v>0</v>
      </c>
      <c r="AF28" s="227">
        <f t="shared" si="29"/>
        <v>14</v>
      </c>
      <c r="AG28" s="227">
        <f t="shared" si="29"/>
        <v>0</v>
      </c>
      <c r="AH28" s="227">
        <f t="shared" si="29"/>
        <v>0</v>
      </c>
      <c r="AI28" s="227">
        <f t="shared" si="29"/>
        <v>0</v>
      </c>
      <c r="AJ28" s="227">
        <f t="shared" si="29"/>
        <v>0</v>
      </c>
      <c r="AK28" s="227">
        <f t="shared" si="29"/>
        <v>0</v>
      </c>
      <c r="AL28" s="227">
        <f t="shared" si="29"/>
        <v>2</v>
      </c>
      <c r="AM28" s="227">
        <f t="shared" si="29"/>
        <v>0</v>
      </c>
      <c r="AN28" s="227">
        <f t="shared" si="29"/>
        <v>71</v>
      </c>
      <c r="AO28" s="227">
        <f t="shared" si="29"/>
        <v>4</v>
      </c>
      <c r="AP28" s="227">
        <f t="shared" si="29"/>
        <v>0</v>
      </c>
      <c r="AQ28" s="227">
        <f t="shared" si="29"/>
        <v>0</v>
      </c>
      <c r="AR28" s="227">
        <f t="shared" si="29"/>
        <v>0</v>
      </c>
      <c r="AS28" s="227">
        <f t="shared" si="29"/>
        <v>163</v>
      </c>
      <c r="AT28" s="227">
        <f t="shared" si="29"/>
        <v>66</v>
      </c>
      <c r="AU28" s="227">
        <f t="shared" si="29"/>
        <v>0</v>
      </c>
      <c r="AV28" s="227">
        <f t="shared" si="29"/>
        <v>0</v>
      </c>
      <c r="AW28" s="227">
        <f t="shared" si="29"/>
        <v>0</v>
      </c>
      <c r="AX28" s="227">
        <f t="shared" si="29"/>
        <v>0</v>
      </c>
      <c r="AY28" s="227">
        <f t="shared" si="29"/>
        <v>35</v>
      </c>
      <c r="AZ28" s="227">
        <f t="shared" ref="AZ28:BE28" si="30">+AZ9+AZ13+AZ17+AZ21+AZ25</f>
        <v>0</v>
      </c>
      <c r="BA28" s="227">
        <f t="shared" si="30"/>
        <v>0</v>
      </c>
      <c r="BB28" s="227">
        <f t="shared" si="30"/>
        <v>0</v>
      </c>
      <c r="BC28" s="227">
        <f t="shared" si="30"/>
        <v>0</v>
      </c>
      <c r="BD28" s="227">
        <f t="shared" si="30"/>
        <v>0</v>
      </c>
      <c r="BE28" s="227">
        <f t="shared" si="30"/>
        <v>0</v>
      </c>
      <c r="BF28" s="227">
        <f t="shared" si="29"/>
        <v>0</v>
      </c>
      <c r="BG28" s="227">
        <f t="shared" si="29"/>
        <v>0</v>
      </c>
      <c r="BH28" s="227">
        <f t="shared" si="29"/>
        <v>0</v>
      </c>
      <c r="BI28" s="227">
        <f t="shared" si="29"/>
        <v>0</v>
      </c>
      <c r="BJ28" s="227">
        <f t="shared" si="29"/>
        <v>0</v>
      </c>
      <c r="BK28" s="227">
        <f t="shared" si="29"/>
        <v>0</v>
      </c>
      <c r="BL28" s="227">
        <f t="shared" si="29"/>
        <v>0</v>
      </c>
      <c r="BM28" s="227">
        <f t="shared" si="29"/>
        <v>0</v>
      </c>
      <c r="BN28" s="227">
        <f t="shared" si="29"/>
        <v>0</v>
      </c>
      <c r="BO28" s="227">
        <f t="shared" si="29"/>
        <v>0</v>
      </c>
      <c r="BP28" s="227">
        <f t="shared" ref="BP28:CS28" si="31">+BP9+BP13+BP17+BP21+BP25</f>
        <v>0</v>
      </c>
      <c r="BQ28" s="227">
        <f t="shared" si="31"/>
        <v>0</v>
      </c>
      <c r="BR28" s="227">
        <f t="shared" si="31"/>
        <v>0</v>
      </c>
      <c r="BS28" s="227">
        <f t="shared" si="31"/>
        <v>0</v>
      </c>
      <c r="BT28" s="227">
        <f t="shared" si="31"/>
        <v>0</v>
      </c>
      <c r="BU28" s="227">
        <f t="shared" si="31"/>
        <v>0</v>
      </c>
      <c r="BV28" s="227">
        <f t="shared" si="31"/>
        <v>0</v>
      </c>
      <c r="BW28" s="227">
        <f t="shared" si="31"/>
        <v>0</v>
      </c>
      <c r="BX28" s="227">
        <f t="shared" si="31"/>
        <v>0</v>
      </c>
      <c r="BY28" s="227">
        <f t="shared" si="31"/>
        <v>0</v>
      </c>
      <c r="BZ28" s="227">
        <f t="shared" si="31"/>
        <v>0</v>
      </c>
      <c r="CA28" s="227">
        <f t="shared" si="31"/>
        <v>0</v>
      </c>
      <c r="CB28" s="227">
        <f t="shared" si="31"/>
        <v>0</v>
      </c>
      <c r="CC28" s="227">
        <f t="shared" si="31"/>
        <v>0</v>
      </c>
      <c r="CD28" s="227">
        <f t="shared" si="31"/>
        <v>0</v>
      </c>
      <c r="CE28" s="227">
        <f t="shared" si="31"/>
        <v>0</v>
      </c>
      <c r="CF28" s="227">
        <f t="shared" si="31"/>
        <v>0</v>
      </c>
      <c r="CG28" s="227">
        <f t="shared" si="31"/>
        <v>0</v>
      </c>
      <c r="CH28" s="227">
        <f t="shared" si="31"/>
        <v>0</v>
      </c>
      <c r="CI28" s="227">
        <f t="shared" si="31"/>
        <v>0</v>
      </c>
      <c r="CJ28" s="227">
        <f t="shared" si="31"/>
        <v>0</v>
      </c>
      <c r="CK28" s="227">
        <f t="shared" si="31"/>
        <v>0</v>
      </c>
      <c r="CL28" s="227">
        <f t="shared" si="31"/>
        <v>0</v>
      </c>
      <c r="CM28" s="227">
        <f t="shared" si="31"/>
        <v>0</v>
      </c>
      <c r="CN28" s="227">
        <f t="shared" si="31"/>
        <v>0</v>
      </c>
      <c r="CO28" s="227">
        <f t="shared" si="31"/>
        <v>0</v>
      </c>
      <c r="CP28" s="227">
        <f t="shared" si="31"/>
        <v>0</v>
      </c>
      <c r="CQ28" s="227">
        <f t="shared" si="31"/>
        <v>0</v>
      </c>
      <c r="CR28" s="227">
        <f t="shared" si="31"/>
        <v>0</v>
      </c>
      <c r="CS28" s="227">
        <f t="shared" si="31"/>
        <v>0</v>
      </c>
      <c r="CT28" s="227">
        <f t="shared" ref="CT28:DG29" si="32">+CT9+CT13+CT17+CT21+CT25</f>
        <v>0</v>
      </c>
      <c r="CU28" s="227">
        <f t="shared" si="32"/>
        <v>0</v>
      </c>
      <c r="CV28" s="227">
        <f t="shared" si="32"/>
        <v>0</v>
      </c>
      <c r="CW28" s="227">
        <f t="shared" si="32"/>
        <v>0</v>
      </c>
      <c r="CX28" s="227">
        <f t="shared" si="32"/>
        <v>0</v>
      </c>
      <c r="CY28" s="227">
        <f t="shared" si="32"/>
        <v>0</v>
      </c>
      <c r="CZ28" s="227">
        <f t="shared" si="32"/>
        <v>0</v>
      </c>
      <c r="DA28" s="227">
        <f t="shared" si="32"/>
        <v>0</v>
      </c>
      <c r="DB28" s="227">
        <f t="shared" si="32"/>
        <v>0</v>
      </c>
      <c r="DC28" s="227">
        <f t="shared" si="32"/>
        <v>0</v>
      </c>
      <c r="DD28" s="227">
        <f t="shared" si="32"/>
        <v>0</v>
      </c>
      <c r="DE28" s="227">
        <f t="shared" si="32"/>
        <v>0</v>
      </c>
      <c r="DF28" s="227">
        <f t="shared" si="32"/>
        <v>0</v>
      </c>
      <c r="DG28" s="227">
        <f t="shared" si="32"/>
        <v>0</v>
      </c>
      <c r="DH28" s="227">
        <f t="shared" ref="DH28:EN28" si="33">+DH9+DH13+DH17+DH21+DH25</f>
        <v>0</v>
      </c>
      <c r="DI28" s="227">
        <f t="shared" si="33"/>
        <v>0</v>
      </c>
      <c r="DJ28" s="227">
        <f t="shared" si="33"/>
        <v>0</v>
      </c>
      <c r="DK28" s="227">
        <f t="shared" si="33"/>
        <v>0</v>
      </c>
      <c r="DL28" s="227">
        <f t="shared" si="33"/>
        <v>0</v>
      </c>
      <c r="DM28" s="227">
        <f t="shared" si="33"/>
        <v>0</v>
      </c>
      <c r="DN28" s="227">
        <f t="shared" si="33"/>
        <v>0</v>
      </c>
      <c r="DO28" s="227">
        <f t="shared" si="33"/>
        <v>0</v>
      </c>
      <c r="DP28" s="227">
        <f t="shared" si="33"/>
        <v>0</v>
      </c>
      <c r="DQ28" s="227">
        <f t="shared" si="33"/>
        <v>0</v>
      </c>
      <c r="DR28" s="227">
        <f t="shared" si="33"/>
        <v>0</v>
      </c>
      <c r="DS28" s="227">
        <f t="shared" si="33"/>
        <v>0</v>
      </c>
      <c r="DT28" s="227">
        <f t="shared" si="33"/>
        <v>0</v>
      </c>
      <c r="DU28" s="227">
        <f t="shared" si="33"/>
        <v>0</v>
      </c>
      <c r="DV28" s="227">
        <f t="shared" si="33"/>
        <v>0</v>
      </c>
      <c r="DW28" s="227">
        <f t="shared" si="33"/>
        <v>0</v>
      </c>
      <c r="DX28" s="227">
        <f t="shared" si="33"/>
        <v>0</v>
      </c>
      <c r="DY28" s="227">
        <f t="shared" si="33"/>
        <v>0</v>
      </c>
      <c r="DZ28" s="227">
        <f t="shared" si="33"/>
        <v>0</v>
      </c>
      <c r="EA28" s="227">
        <f t="shared" si="33"/>
        <v>0</v>
      </c>
      <c r="EB28" s="227">
        <f t="shared" si="33"/>
        <v>0</v>
      </c>
      <c r="EC28" s="227">
        <f t="shared" si="33"/>
        <v>0</v>
      </c>
      <c r="ED28" s="227">
        <f t="shared" si="33"/>
        <v>0</v>
      </c>
      <c r="EE28" s="227">
        <f t="shared" si="33"/>
        <v>0</v>
      </c>
      <c r="EF28" s="227">
        <f t="shared" si="33"/>
        <v>0</v>
      </c>
      <c r="EG28" s="227">
        <f t="shared" si="33"/>
        <v>0</v>
      </c>
      <c r="EH28" s="227">
        <f t="shared" si="33"/>
        <v>0</v>
      </c>
      <c r="EI28" s="227">
        <f t="shared" si="33"/>
        <v>0</v>
      </c>
      <c r="EJ28" s="227">
        <f t="shared" si="33"/>
        <v>0</v>
      </c>
      <c r="EK28" s="227">
        <f t="shared" si="33"/>
        <v>4</v>
      </c>
      <c r="EL28" s="227">
        <f t="shared" si="33"/>
        <v>24</v>
      </c>
      <c r="EM28" s="227">
        <f t="shared" si="33"/>
        <v>0</v>
      </c>
      <c r="EN28" s="227">
        <f t="shared" si="33"/>
        <v>49</v>
      </c>
    </row>
    <row r="29" spans="1:145" s="2" customFormat="1" ht="15.75" thickBot="1" x14ac:dyDescent="0.25">
      <c r="A29" s="846" t="s">
        <v>583</v>
      </c>
      <c r="B29" s="847"/>
      <c r="C29" s="847"/>
      <c r="D29" s="848"/>
      <c r="E29" s="227">
        <f>+E10+E14+E18+E22+E26</f>
        <v>427</v>
      </c>
      <c r="F29" s="227">
        <f t="shared" si="28"/>
        <v>103</v>
      </c>
      <c r="G29" s="227">
        <f>+G10+G14+G18+G22+G26</f>
        <v>0</v>
      </c>
      <c r="H29" s="227">
        <f t="shared" ref="H29:BO29" si="34">+H10+H14+H18+H22+H26</f>
        <v>0</v>
      </c>
      <c r="I29" s="227">
        <f t="shared" si="34"/>
        <v>0</v>
      </c>
      <c r="J29" s="227">
        <f t="shared" si="34"/>
        <v>0</v>
      </c>
      <c r="K29" s="227">
        <f t="shared" si="34"/>
        <v>4</v>
      </c>
      <c r="L29" s="227">
        <f t="shared" si="34"/>
        <v>0</v>
      </c>
      <c r="M29" s="227">
        <f t="shared" si="34"/>
        <v>0</v>
      </c>
      <c r="N29" s="227">
        <f t="shared" si="34"/>
        <v>0</v>
      </c>
      <c r="O29" s="227">
        <f t="shared" si="34"/>
        <v>0</v>
      </c>
      <c r="P29" s="227">
        <f t="shared" si="34"/>
        <v>0</v>
      </c>
      <c r="Q29" s="227">
        <f t="shared" si="34"/>
        <v>0</v>
      </c>
      <c r="R29" s="227">
        <f t="shared" si="34"/>
        <v>0</v>
      </c>
      <c r="S29" s="227">
        <f t="shared" si="34"/>
        <v>0</v>
      </c>
      <c r="T29" s="227">
        <f t="shared" si="34"/>
        <v>0</v>
      </c>
      <c r="U29" s="227">
        <f t="shared" si="34"/>
        <v>0</v>
      </c>
      <c r="V29" s="227">
        <f t="shared" si="34"/>
        <v>0</v>
      </c>
      <c r="W29" s="227">
        <f t="shared" si="34"/>
        <v>0</v>
      </c>
      <c r="X29" s="227">
        <f t="shared" si="34"/>
        <v>0</v>
      </c>
      <c r="Y29" s="227">
        <f t="shared" si="34"/>
        <v>93</v>
      </c>
      <c r="Z29" s="227">
        <f t="shared" si="34"/>
        <v>8</v>
      </c>
      <c r="AA29" s="227">
        <f t="shared" si="34"/>
        <v>81</v>
      </c>
      <c r="AB29" s="227">
        <f t="shared" si="34"/>
        <v>30</v>
      </c>
      <c r="AC29" s="227">
        <f t="shared" si="34"/>
        <v>15</v>
      </c>
      <c r="AD29" s="227">
        <f t="shared" si="34"/>
        <v>0</v>
      </c>
      <c r="AE29" s="227">
        <f t="shared" si="34"/>
        <v>9</v>
      </c>
      <c r="AF29" s="227">
        <f t="shared" si="34"/>
        <v>0</v>
      </c>
      <c r="AG29" s="227">
        <f t="shared" si="34"/>
        <v>0</v>
      </c>
      <c r="AH29" s="227">
        <f t="shared" si="34"/>
        <v>0</v>
      </c>
      <c r="AI29" s="227">
        <f t="shared" si="34"/>
        <v>0</v>
      </c>
      <c r="AJ29" s="227">
        <f t="shared" si="34"/>
        <v>0</v>
      </c>
      <c r="AK29" s="227">
        <f t="shared" si="34"/>
        <v>0</v>
      </c>
      <c r="AL29" s="227">
        <f t="shared" si="34"/>
        <v>0</v>
      </c>
      <c r="AM29" s="227">
        <f t="shared" si="34"/>
        <v>16</v>
      </c>
      <c r="AN29" s="227">
        <f t="shared" si="34"/>
        <v>15</v>
      </c>
      <c r="AO29" s="227">
        <f t="shared" si="34"/>
        <v>12</v>
      </c>
      <c r="AP29" s="227">
        <f t="shared" si="34"/>
        <v>0</v>
      </c>
      <c r="AQ29" s="227">
        <f t="shared" si="34"/>
        <v>0</v>
      </c>
      <c r="AR29" s="227">
        <f t="shared" si="34"/>
        <v>0</v>
      </c>
      <c r="AS29" s="227">
        <f t="shared" si="34"/>
        <v>34</v>
      </c>
      <c r="AT29" s="227">
        <f t="shared" si="34"/>
        <v>110</v>
      </c>
      <c r="AU29" s="227">
        <f t="shared" si="34"/>
        <v>0</v>
      </c>
      <c r="AV29" s="227">
        <f t="shared" si="34"/>
        <v>0</v>
      </c>
      <c r="AW29" s="227">
        <f t="shared" si="34"/>
        <v>0</v>
      </c>
      <c r="AX29" s="227">
        <f t="shared" si="34"/>
        <v>0</v>
      </c>
      <c r="AY29" s="227">
        <f t="shared" si="34"/>
        <v>0</v>
      </c>
      <c r="AZ29" s="227">
        <f t="shared" ref="AZ29:BE29" si="35">+AZ10+AZ14+AZ18+AZ22+AZ26</f>
        <v>0</v>
      </c>
      <c r="BA29" s="227">
        <f t="shared" si="35"/>
        <v>0</v>
      </c>
      <c r="BB29" s="227">
        <f t="shared" si="35"/>
        <v>0</v>
      </c>
      <c r="BC29" s="227">
        <f t="shared" si="35"/>
        <v>0</v>
      </c>
      <c r="BD29" s="227">
        <f t="shared" si="35"/>
        <v>0</v>
      </c>
      <c r="BE29" s="227">
        <f t="shared" si="35"/>
        <v>0</v>
      </c>
      <c r="BF29" s="227">
        <f t="shared" si="34"/>
        <v>0</v>
      </c>
      <c r="BG29" s="227">
        <f t="shared" si="34"/>
        <v>0</v>
      </c>
      <c r="BH29" s="227">
        <f t="shared" si="34"/>
        <v>0</v>
      </c>
      <c r="BI29" s="227">
        <f t="shared" si="34"/>
        <v>0</v>
      </c>
      <c r="BJ29" s="227">
        <f t="shared" si="34"/>
        <v>0</v>
      </c>
      <c r="BK29" s="227">
        <f t="shared" si="34"/>
        <v>0</v>
      </c>
      <c r="BL29" s="227">
        <f t="shared" si="34"/>
        <v>0</v>
      </c>
      <c r="BM29" s="227">
        <f t="shared" si="34"/>
        <v>0</v>
      </c>
      <c r="BN29" s="227">
        <f t="shared" si="34"/>
        <v>0</v>
      </c>
      <c r="BO29" s="227">
        <f t="shared" si="34"/>
        <v>0</v>
      </c>
      <c r="BP29" s="227">
        <f t="shared" ref="BP29:CS29" si="36">+BP10+BP14+BP18+BP22+BP26</f>
        <v>0</v>
      </c>
      <c r="BQ29" s="227">
        <f t="shared" si="36"/>
        <v>0</v>
      </c>
      <c r="BR29" s="227">
        <f t="shared" si="36"/>
        <v>0</v>
      </c>
      <c r="BS29" s="227">
        <f t="shared" si="36"/>
        <v>0</v>
      </c>
      <c r="BT29" s="227">
        <f t="shared" si="36"/>
        <v>0</v>
      </c>
      <c r="BU29" s="227">
        <f t="shared" si="36"/>
        <v>0</v>
      </c>
      <c r="BV29" s="227">
        <f t="shared" si="36"/>
        <v>0</v>
      </c>
      <c r="BW29" s="227">
        <f t="shared" si="36"/>
        <v>0</v>
      </c>
      <c r="BX29" s="227">
        <f t="shared" si="36"/>
        <v>0</v>
      </c>
      <c r="BY29" s="227">
        <f t="shared" si="36"/>
        <v>0</v>
      </c>
      <c r="BZ29" s="227">
        <f t="shared" si="36"/>
        <v>0</v>
      </c>
      <c r="CA29" s="227">
        <f t="shared" si="36"/>
        <v>0</v>
      </c>
      <c r="CB29" s="227">
        <f t="shared" si="36"/>
        <v>0</v>
      </c>
      <c r="CC29" s="227">
        <f t="shared" si="36"/>
        <v>0</v>
      </c>
      <c r="CD29" s="227">
        <f t="shared" si="36"/>
        <v>0</v>
      </c>
      <c r="CE29" s="227">
        <f t="shared" si="36"/>
        <v>0</v>
      </c>
      <c r="CF29" s="227">
        <f t="shared" si="36"/>
        <v>0</v>
      </c>
      <c r="CG29" s="227">
        <f t="shared" si="36"/>
        <v>0</v>
      </c>
      <c r="CH29" s="227">
        <f t="shared" si="36"/>
        <v>0</v>
      </c>
      <c r="CI29" s="227">
        <f t="shared" si="36"/>
        <v>0</v>
      </c>
      <c r="CJ29" s="227">
        <f t="shared" si="36"/>
        <v>0</v>
      </c>
      <c r="CK29" s="227">
        <f t="shared" si="36"/>
        <v>0</v>
      </c>
      <c r="CL29" s="227">
        <f t="shared" si="36"/>
        <v>0</v>
      </c>
      <c r="CM29" s="227">
        <f t="shared" si="36"/>
        <v>0</v>
      </c>
      <c r="CN29" s="227">
        <f t="shared" si="36"/>
        <v>0</v>
      </c>
      <c r="CO29" s="227">
        <f t="shared" si="36"/>
        <v>0</v>
      </c>
      <c r="CP29" s="227">
        <f t="shared" si="36"/>
        <v>0</v>
      </c>
      <c r="CQ29" s="227">
        <f t="shared" si="36"/>
        <v>0</v>
      </c>
      <c r="CR29" s="227">
        <f t="shared" si="36"/>
        <v>0</v>
      </c>
      <c r="CS29" s="227">
        <f t="shared" si="36"/>
        <v>0</v>
      </c>
      <c r="CT29" s="227">
        <f t="shared" ref="CT29:CX29" si="37">+CT10+CT14+CT18+CT22+CT26</f>
        <v>0</v>
      </c>
      <c r="CU29" s="227">
        <f t="shared" si="37"/>
        <v>0</v>
      </c>
      <c r="CV29" s="227">
        <f t="shared" si="37"/>
        <v>0</v>
      </c>
      <c r="CW29" s="227">
        <f t="shared" si="37"/>
        <v>0</v>
      </c>
      <c r="CX29" s="227">
        <f t="shared" si="37"/>
        <v>0</v>
      </c>
      <c r="CY29" s="227">
        <f t="shared" si="32"/>
        <v>0</v>
      </c>
      <c r="CZ29" s="227">
        <f t="shared" si="32"/>
        <v>0</v>
      </c>
      <c r="DA29" s="227">
        <f t="shared" si="32"/>
        <v>0</v>
      </c>
      <c r="DB29" s="227">
        <f t="shared" si="32"/>
        <v>0</v>
      </c>
      <c r="DC29" s="227">
        <f t="shared" si="32"/>
        <v>0</v>
      </c>
      <c r="DD29" s="227">
        <f t="shared" si="32"/>
        <v>0</v>
      </c>
      <c r="DE29" s="227">
        <f t="shared" si="32"/>
        <v>0</v>
      </c>
      <c r="DF29" s="227">
        <f t="shared" si="32"/>
        <v>0</v>
      </c>
      <c r="DG29" s="227">
        <f t="shared" si="32"/>
        <v>0</v>
      </c>
      <c r="DH29" s="227">
        <f t="shared" ref="DH29:EN29" si="38">+DH10+DH14+DH18+DH22+DH26</f>
        <v>0</v>
      </c>
      <c r="DI29" s="227">
        <f t="shared" si="38"/>
        <v>0</v>
      </c>
      <c r="DJ29" s="227">
        <f t="shared" si="38"/>
        <v>0</v>
      </c>
      <c r="DK29" s="227">
        <f t="shared" si="38"/>
        <v>0</v>
      </c>
      <c r="DL29" s="227">
        <f t="shared" si="38"/>
        <v>0</v>
      </c>
      <c r="DM29" s="227">
        <f t="shared" si="38"/>
        <v>0</v>
      </c>
      <c r="DN29" s="227">
        <f t="shared" si="38"/>
        <v>0</v>
      </c>
      <c r="DO29" s="227">
        <f t="shared" si="38"/>
        <v>0</v>
      </c>
      <c r="DP29" s="227">
        <f t="shared" si="38"/>
        <v>0</v>
      </c>
      <c r="DQ29" s="227">
        <f t="shared" si="38"/>
        <v>0</v>
      </c>
      <c r="DR29" s="227">
        <f t="shared" si="38"/>
        <v>0</v>
      </c>
      <c r="DS29" s="227">
        <f t="shared" si="38"/>
        <v>0</v>
      </c>
      <c r="DT29" s="227">
        <f t="shared" si="38"/>
        <v>0</v>
      </c>
      <c r="DU29" s="227">
        <f t="shared" si="38"/>
        <v>0</v>
      </c>
      <c r="DV29" s="227">
        <f t="shared" si="38"/>
        <v>0</v>
      </c>
      <c r="DW29" s="227">
        <f t="shared" si="38"/>
        <v>0</v>
      </c>
      <c r="DX29" s="227">
        <f t="shared" si="38"/>
        <v>0</v>
      </c>
      <c r="DY29" s="227">
        <f t="shared" si="38"/>
        <v>0</v>
      </c>
      <c r="DZ29" s="227">
        <f t="shared" si="38"/>
        <v>0</v>
      </c>
      <c r="EA29" s="227">
        <f t="shared" si="38"/>
        <v>39</v>
      </c>
      <c r="EB29" s="227">
        <f t="shared" si="38"/>
        <v>0</v>
      </c>
      <c r="EC29" s="227">
        <f t="shared" si="38"/>
        <v>31</v>
      </c>
      <c r="ED29" s="227">
        <f t="shared" si="38"/>
        <v>0</v>
      </c>
      <c r="EE29" s="227">
        <f t="shared" si="38"/>
        <v>0</v>
      </c>
      <c r="EF29" s="227">
        <f t="shared" si="38"/>
        <v>3</v>
      </c>
      <c r="EG29" s="227">
        <f t="shared" si="38"/>
        <v>0</v>
      </c>
      <c r="EH29" s="227">
        <f t="shared" si="38"/>
        <v>0</v>
      </c>
      <c r="EI29" s="227">
        <f t="shared" si="38"/>
        <v>0</v>
      </c>
      <c r="EJ29" s="227">
        <f t="shared" si="38"/>
        <v>0</v>
      </c>
      <c r="EK29" s="227">
        <f t="shared" si="38"/>
        <v>0</v>
      </c>
      <c r="EL29" s="227">
        <f t="shared" si="38"/>
        <v>16</v>
      </c>
      <c r="EM29" s="227">
        <f t="shared" si="38"/>
        <v>0</v>
      </c>
      <c r="EN29" s="227">
        <f t="shared" si="38"/>
        <v>14</v>
      </c>
    </row>
    <row r="30" spans="1:145" s="2" customFormat="1" ht="15.75" thickBot="1" x14ac:dyDescent="0.25">
      <c r="A30" s="849" t="s">
        <v>584</v>
      </c>
      <c r="B30" s="850"/>
      <c r="C30" s="850"/>
      <c r="D30" s="851"/>
      <c r="E30" s="228">
        <f>+SUM(E9:E27)/2</f>
        <v>1503</v>
      </c>
      <c r="F30" s="228">
        <f>+SUM(F9:F26)/2</f>
        <v>129</v>
      </c>
      <c r="G30" s="228">
        <f>+SUM(G9:G26)/2</f>
        <v>56</v>
      </c>
      <c r="H30" s="228">
        <f t="shared" ref="H30:BO30" si="39">+SUM(H9:H26)/2</f>
        <v>0</v>
      </c>
      <c r="I30" s="228">
        <f t="shared" si="39"/>
        <v>0</v>
      </c>
      <c r="J30" s="228">
        <f t="shared" si="39"/>
        <v>8</v>
      </c>
      <c r="K30" s="228">
        <f t="shared" si="39"/>
        <v>12</v>
      </c>
      <c r="L30" s="228">
        <f t="shared" si="39"/>
        <v>172</v>
      </c>
      <c r="M30" s="228">
        <f t="shared" si="39"/>
        <v>0</v>
      </c>
      <c r="N30" s="228">
        <f t="shared" si="39"/>
        <v>0</v>
      </c>
      <c r="O30" s="228">
        <f t="shared" si="39"/>
        <v>0</v>
      </c>
      <c r="P30" s="228">
        <f t="shared" si="39"/>
        <v>0</v>
      </c>
      <c r="Q30" s="228">
        <f t="shared" si="39"/>
        <v>0</v>
      </c>
      <c r="R30" s="228">
        <f t="shared" si="39"/>
        <v>0</v>
      </c>
      <c r="S30" s="228">
        <f t="shared" si="39"/>
        <v>0</v>
      </c>
      <c r="T30" s="228">
        <f t="shared" si="39"/>
        <v>0</v>
      </c>
      <c r="U30" s="228">
        <f t="shared" si="39"/>
        <v>0</v>
      </c>
      <c r="V30" s="228">
        <f t="shared" si="39"/>
        <v>0</v>
      </c>
      <c r="W30" s="228">
        <f t="shared" si="39"/>
        <v>53</v>
      </c>
      <c r="X30" s="228">
        <f t="shared" si="39"/>
        <v>0</v>
      </c>
      <c r="Y30" s="228">
        <f t="shared" si="39"/>
        <v>155</v>
      </c>
      <c r="Z30" s="228">
        <f t="shared" si="39"/>
        <v>166</v>
      </c>
      <c r="AA30" s="228">
        <f t="shared" si="39"/>
        <v>128</v>
      </c>
      <c r="AB30" s="228">
        <f t="shared" si="39"/>
        <v>120</v>
      </c>
      <c r="AC30" s="228">
        <f t="shared" si="39"/>
        <v>23</v>
      </c>
      <c r="AD30" s="228">
        <f t="shared" si="39"/>
        <v>0</v>
      </c>
      <c r="AE30" s="228">
        <f t="shared" si="39"/>
        <v>9</v>
      </c>
      <c r="AF30" s="228">
        <f t="shared" si="39"/>
        <v>14</v>
      </c>
      <c r="AG30" s="228">
        <f t="shared" si="39"/>
        <v>0</v>
      </c>
      <c r="AH30" s="228">
        <f t="shared" si="39"/>
        <v>0</v>
      </c>
      <c r="AI30" s="228">
        <f t="shared" si="39"/>
        <v>0</v>
      </c>
      <c r="AJ30" s="228">
        <f t="shared" si="39"/>
        <v>0</v>
      </c>
      <c r="AK30" s="228">
        <f t="shared" si="39"/>
        <v>0</v>
      </c>
      <c r="AL30" s="228">
        <f t="shared" si="39"/>
        <v>2</v>
      </c>
      <c r="AM30" s="228">
        <f t="shared" si="39"/>
        <v>16</v>
      </c>
      <c r="AN30" s="228">
        <f t="shared" si="39"/>
        <v>43</v>
      </c>
      <c r="AO30" s="228">
        <f t="shared" si="39"/>
        <v>8</v>
      </c>
      <c r="AP30" s="228">
        <f t="shared" si="39"/>
        <v>0</v>
      </c>
      <c r="AQ30" s="228">
        <f t="shared" si="39"/>
        <v>0</v>
      </c>
      <c r="AR30" s="228">
        <f t="shared" si="39"/>
        <v>0</v>
      </c>
      <c r="AS30" s="228">
        <f t="shared" si="39"/>
        <v>189</v>
      </c>
      <c r="AT30" s="228">
        <f t="shared" si="39"/>
        <v>150</v>
      </c>
      <c r="AU30" s="228">
        <f t="shared" si="39"/>
        <v>0</v>
      </c>
      <c r="AV30" s="228">
        <f t="shared" si="39"/>
        <v>0</v>
      </c>
      <c r="AW30" s="228">
        <f t="shared" si="39"/>
        <v>0</v>
      </c>
      <c r="AX30" s="228">
        <f t="shared" si="39"/>
        <v>0</v>
      </c>
      <c r="AY30" s="228">
        <f t="shared" si="39"/>
        <v>35</v>
      </c>
      <c r="AZ30" s="228">
        <f t="shared" ref="AZ30:BE30" si="40">+SUM(AZ9:AZ26)/2</f>
        <v>0</v>
      </c>
      <c r="BA30" s="228">
        <f t="shared" si="40"/>
        <v>0</v>
      </c>
      <c r="BB30" s="228">
        <f t="shared" si="40"/>
        <v>0</v>
      </c>
      <c r="BC30" s="228">
        <f t="shared" si="40"/>
        <v>0</v>
      </c>
      <c r="BD30" s="228">
        <f t="shared" si="40"/>
        <v>0</v>
      </c>
      <c r="BE30" s="228">
        <f t="shared" si="40"/>
        <v>0</v>
      </c>
      <c r="BF30" s="228">
        <f t="shared" si="39"/>
        <v>0</v>
      </c>
      <c r="BG30" s="228">
        <f t="shared" si="39"/>
        <v>0</v>
      </c>
      <c r="BH30" s="228">
        <f t="shared" si="39"/>
        <v>0</v>
      </c>
      <c r="BI30" s="228">
        <f t="shared" si="39"/>
        <v>0</v>
      </c>
      <c r="BJ30" s="228">
        <f t="shared" si="39"/>
        <v>0</v>
      </c>
      <c r="BK30" s="228">
        <f t="shared" si="39"/>
        <v>0</v>
      </c>
      <c r="BL30" s="228">
        <f t="shared" si="39"/>
        <v>0</v>
      </c>
      <c r="BM30" s="228">
        <f t="shared" si="39"/>
        <v>0</v>
      </c>
      <c r="BN30" s="228">
        <f t="shared" si="39"/>
        <v>0</v>
      </c>
      <c r="BO30" s="228">
        <f t="shared" si="39"/>
        <v>0</v>
      </c>
      <c r="BP30" s="228">
        <f t="shared" ref="BP30:CS30" si="41">+SUM(BP9:BP26)/2</f>
        <v>0</v>
      </c>
      <c r="BQ30" s="228">
        <f t="shared" si="41"/>
        <v>0</v>
      </c>
      <c r="BR30" s="228">
        <f t="shared" si="41"/>
        <v>0</v>
      </c>
      <c r="BS30" s="228">
        <f t="shared" si="41"/>
        <v>0</v>
      </c>
      <c r="BT30" s="228">
        <f t="shared" si="41"/>
        <v>0</v>
      </c>
      <c r="BU30" s="228">
        <f t="shared" si="41"/>
        <v>0</v>
      </c>
      <c r="BV30" s="228">
        <f t="shared" si="41"/>
        <v>0</v>
      </c>
      <c r="BW30" s="228">
        <f t="shared" si="41"/>
        <v>0</v>
      </c>
      <c r="BX30" s="228">
        <f t="shared" si="41"/>
        <v>0</v>
      </c>
      <c r="BY30" s="228">
        <f t="shared" si="41"/>
        <v>0</v>
      </c>
      <c r="BZ30" s="228">
        <f t="shared" si="41"/>
        <v>0</v>
      </c>
      <c r="CA30" s="228">
        <f t="shared" si="41"/>
        <v>0</v>
      </c>
      <c r="CB30" s="228">
        <f t="shared" si="41"/>
        <v>0</v>
      </c>
      <c r="CC30" s="228">
        <f t="shared" si="41"/>
        <v>0</v>
      </c>
      <c r="CD30" s="228">
        <f t="shared" si="41"/>
        <v>0</v>
      </c>
      <c r="CE30" s="228">
        <f t="shared" si="41"/>
        <v>0</v>
      </c>
      <c r="CF30" s="228">
        <f t="shared" si="41"/>
        <v>0</v>
      </c>
      <c r="CG30" s="228">
        <f t="shared" si="41"/>
        <v>0</v>
      </c>
      <c r="CH30" s="228">
        <f t="shared" si="41"/>
        <v>0</v>
      </c>
      <c r="CI30" s="228">
        <f t="shared" si="41"/>
        <v>0</v>
      </c>
      <c r="CJ30" s="228">
        <f t="shared" si="41"/>
        <v>0</v>
      </c>
      <c r="CK30" s="228">
        <f t="shared" si="41"/>
        <v>0</v>
      </c>
      <c r="CL30" s="228">
        <f t="shared" si="41"/>
        <v>0</v>
      </c>
      <c r="CM30" s="228">
        <f t="shared" si="41"/>
        <v>0</v>
      </c>
      <c r="CN30" s="228">
        <f t="shared" si="41"/>
        <v>0</v>
      </c>
      <c r="CO30" s="228">
        <f t="shared" si="41"/>
        <v>0</v>
      </c>
      <c r="CP30" s="228">
        <f t="shared" si="41"/>
        <v>0</v>
      </c>
      <c r="CQ30" s="228">
        <f t="shared" si="41"/>
        <v>0</v>
      </c>
      <c r="CR30" s="228">
        <f t="shared" si="41"/>
        <v>0</v>
      </c>
      <c r="CS30" s="228">
        <f t="shared" si="41"/>
        <v>0</v>
      </c>
      <c r="CT30" s="228">
        <f t="shared" ref="CT30:CX30" si="42">+SUM(CT9:CT26)/2</f>
        <v>0</v>
      </c>
      <c r="CU30" s="228">
        <f t="shared" si="42"/>
        <v>0</v>
      </c>
      <c r="CV30" s="228">
        <f t="shared" si="42"/>
        <v>0</v>
      </c>
      <c r="CW30" s="228">
        <f t="shared" si="42"/>
        <v>0</v>
      </c>
      <c r="CX30" s="228">
        <f t="shared" si="42"/>
        <v>0</v>
      </c>
      <c r="CY30" s="228">
        <f t="shared" ref="CY30:DG30" si="43">+SUM(CY9:CY26)/2</f>
        <v>0</v>
      </c>
      <c r="CZ30" s="228">
        <f t="shared" si="43"/>
        <v>0</v>
      </c>
      <c r="DA30" s="228">
        <f t="shared" si="43"/>
        <v>0</v>
      </c>
      <c r="DB30" s="228">
        <f t="shared" si="43"/>
        <v>0</v>
      </c>
      <c r="DC30" s="228">
        <f t="shared" si="43"/>
        <v>0</v>
      </c>
      <c r="DD30" s="228">
        <f t="shared" si="43"/>
        <v>0</v>
      </c>
      <c r="DE30" s="228">
        <f t="shared" si="43"/>
        <v>0</v>
      </c>
      <c r="DF30" s="228">
        <f t="shared" si="43"/>
        <v>0</v>
      </c>
      <c r="DG30" s="228">
        <f t="shared" si="43"/>
        <v>0</v>
      </c>
      <c r="DH30" s="228">
        <f t="shared" ref="DH30:EN30" si="44">+SUM(DH9:DH26)/2</f>
        <v>0</v>
      </c>
      <c r="DI30" s="228">
        <f t="shared" si="44"/>
        <v>0</v>
      </c>
      <c r="DJ30" s="228">
        <f t="shared" si="44"/>
        <v>0</v>
      </c>
      <c r="DK30" s="228">
        <f t="shared" si="44"/>
        <v>0</v>
      </c>
      <c r="DL30" s="228">
        <f t="shared" si="44"/>
        <v>0</v>
      </c>
      <c r="DM30" s="228">
        <f t="shared" si="44"/>
        <v>0</v>
      </c>
      <c r="DN30" s="228">
        <f t="shared" si="44"/>
        <v>0</v>
      </c>
      <c r="DO30" s="228">
        <f t="shared" si="44"/>
        <v>0</v>
      </c>
      <c r="DP30" s="228">
        <f t="shared" si="44"/>
        <v>0</v>
      </c>
      <c r="DQ30" s="228">
        <f t="shared" si="44"/>
        <v>0</v>
      </c>
      <c r="DR30" s="228">
        <f t="shared" si="44"/>
        <v>0</v>
      </c>
      <c r="DS30" s="228">
        <f t="shared" si="44"/>
        <v>0</v>
      </c>
      <c r="DT30" s="228">
        <f t="shared" si="44"/>
        <v>0</v>
      </c>
      <c r="DU30" s="228">
        <f t="shared" si="44"/>
        <v>0</v>
      </c>
      <c r="DV30" s="228">
        <f t="shared" si="44"/>
        <v>0</v>
      </c>
      <c r="DW30" s="228">
        <f t="shared" si="44"/>
        <v>0</v>
      </c>
      <c r="DX30" s="228">
        <f t="shared" si="44"/>
        <v>0</v>
      </c>
      <c r="DY30" s="228">
        <f t="shared" si="44"/>
        <v>0</v>
      </c>
      <c r="DZ30" s="228">
        <f t="shared" si="44"/>
        <v>0</v>
      </c>
      <c r="EA30" s="228">
        <f t="shared" si="44"/>
        <v>19.5</v>
      </c>
      <c r="EB30" s="228">
        <f t="shared" si="44"/>
        <v>0</v>
      </c>
      <c r="EC30" s="228">
        <f t="shared" si="44"/>
        <v>15.5</v>
      </c>
      <c r="ED30" s="228">
        <f t="shared" si="44"/>
        <v>0</v>
      </c>
      <c r="EE30" s="228">
        <f t="shared" si="44"/>
        <v>0</v>
      </c>
      <c r="EF30" s="228">
        <f t="shared" si="44"/>
        <v>1.5</v>
      </c>
      <c r="EG30" s="228">
        <f t="shared" si="44"/>
        <v>0</v>
      </c>
      <c r="EH30" s="228">
        <f t="shared" si="44"/>
        <v>0</v>
      </c>
      <c r="EI30" s="228">
        <f t="shared" si="44"/>
        <v>0</v>
      </c>
      <c r="EJ30" s="228">
        <f t="shared" si="44"/>
        <v>0</v>
      </c>
      <c r="EK30" s="228">
        <f t="shared" si="44"/>
        <v>2</v>
      </c>
      <c r="EL30" s="228">
        <f t="shared" si="44"/>
        <v>20</v>
      </c>
      <c r="EM30" s="228">
        <f t="shared" si="44"/>
        <v>0</v>
      </c>
      <c r="EN30" s="228">
        <f t="shared" si="44"/>
        <v>31.5</v>
      </c>
      <c r="EO30" s="229">
        <f>+SUM(F30:EN30)</f>
        <v>1578</v>
      </c>
    </row>
    <row r="31" spans="1:145" s="2" customFormat="1" ht="15.75" thickBot="1" x14ac:dyDescent="0.25">
      <c r="A31" s="7"/>
      <c r="B31" s="7"/>
      <c r="C31" s="7"/>
      <c r="D31" s="7"/>
      <c r="E31" s="852">
        <f>+SUM(E30:F30)</f>
        <v>1632</v>
      </c>
      <c r="F31" s="853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</row>
    <row r="32" spans="1:145" s="2" customFormat="1" x14ac:dyDescent="0.2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</row>
    <row r="33" spans="1:111" s="2" customFormat="1" x14ac:dyDescent="0.2">
      <c r="A33" s="7"/>
      <c r="B33" s="7"/>
      <c r="C33" s="7"/>
      <c r="D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</row>
    <row r="34" spans="1:111" s="2" customFormat="1" x14ac:dyDescent="0.2">
      <c r="E34" s="7"/>
      <c r="F34" s="7"/>
    </row>
    <row r="35" spans="1:111" s="2" customFormat="1" x14ac:dyDescent="0.2"/>
    <row r="36" spans="1:111" s="2" customFormat="1" x14ac:dyDescent="0.2"/>
    <row r="37" spans="1:111" s="2" customFormat="1" x14ac:dyDescent="0.2"/>
    <row r="38" spans="1:111" s="2" customFormat="1" x14ac:dyDescent="0.2"/>
    <row r="39" spans="1:111" s="2" customFormat="1" x14ac:dyDescent="0.2"/>
    <row r="40" spans="1:111" s="2" customFormat="1" x14ac:dyDescent="0.2"/>
    <row r="41" spans="1:111" s="2" customFormat="1" x14ac:dyDescent="0.2"/>
    <row r="42" spans="1:111" s="2" customFormat="1" x14ac:dyDescent="0.2"/>
    <row r="43" spans="1:111" s="2" customFormat="1" x14ac:dyDescent="0.2"/>
    <row r="44" spans="1:111" s="2" customFormat="1" x14ac:dyDescent="0.2"/>
    <row r="45" spans="1:111" s="2" customFormat="1" x14ac:dyDescent="0.2"/>
    <row r="46" spans="1:111" s="2" customFormat="1" x14ac:dyDescent="0.2"/>
    <row r="47" spans="1:111" s="2" customFormat="1" x14ac:dyDescent="0.2"/>
    <row r="48" spans="1:111" s="2" customFormat="1" x14ac:dyDescent="0.2"/>
    <row r="49" s="2" customFormat="1" x14ac:dyDescent="0.2"/>
    <row r="50" s="2" customFormat="1" x14ac:dyDescent="0.2"/>
    <row r="51" s="2" customFormat="1" x14ac:dyDescent="0.2"/>
    <row r="52" s="2" customFormat="1" x14ac:dyDescent="0.2"/>
    <row r="53" s="2" customFormat="1" x14ac:dyDescent="0.2"/>
    <row r="54" s="2" customFormat="1" x14ac:dyDescent="0.2"/>
    <row r="55" s="2" customFormat="1" x14ac:dyDescent="0.2"/>
    <row r="56" s="2" customFormat="1" x14ac:dyDescent="0.2"/>
    <row r="57" s="2" customFormat="1" x14ac:dyDescent="0.2"/>
    <row r="58" s="2" customFormat="1" x14ac:dyDescent="0.2"/>
    <row r="59" s="2" customFormat="1" x14ac:dyDescent="0.2"/>
    <row r="60" s="2" customFormat="1" x14ac:dyDescent="0.2"/>
    <row r="61" s="2" customFormat="1" x14ac:dyDescent="0.2"/>
    <row r="62" s="2" customFormat="1" x14ac:dyDescent="0.2"/>
    <row r="63" s="2" customFormat="1" x14ac:dyDescent="0.2"/>
    <row r="64" s="2" customFormat="1" x14ac:dyDescent="0.2"/>
    <row r="65" s="2" customFormat="1" x14ac:dyDescent="0.2"/>
    <row r="66" s="2" customFormat="1" x14ac:dyDescent="0.2"/>
    <row r="67" s="2" customFormat="1" x14ac:dyDescent="0.2"/>
    <row r="68" s="2" customFormat="1" x14ac:dyDescent="0.2"/>
    <row r="69" s="2" customFormat="1" x14ac:dyDescent="0.2"/>
    <row r="70" s="2" customFormat="1" x14ac:dyDescent="0.2"/>
    <row r="71" s="2" customFormat="1" x14ac:dyDescent="0.2"/>
    <row r="72" s="2" customFormat="1" x14ac:dyDescent="0.2"/>
    <row r="73" s="2" customFormat="1" x14ac:dyDescent="0.2"/>
    <row r="74" s="2" customFormat="1" x14ac:dyDescent="0.2"/>
    <row r="75" s="2" customFormat="1" x14ac:dyDescent="0.2"/>
    <row r="76" s="2" customFormat="1" x14ac:dyDescent="0.2"/>
    <row r="77" s="2" customFormat="1" x14ac:dyDescent="0.2"/>
    <row r="78" s="2" customFormat="1" x14ac:dyDescent="0.2"/>
    <row r="79" s="2" customFormat="1" x14ac:dyDescent="0.2"/>
    <row r="80" s="2" customFormat="1" x14ac:dyDescent="0.2"/>
    <row r="81" s="2" customFormat="1" x14ac:dyDescent="0.2"/>
    <row r="82" s="2" customFormat="1" x14ac:dyDescent="0.2"/>
    <row r="83" s="2" customFormat="1" x14ac:dyDescent="0.2"/>
    <row r="84" s="2" customFormat="1" x14ac:dyDescent="0.2"/>
    <row r="85" s="2" customFormat="1" x14ac:dyDescent="0.2"/>
    <row r="86" s="2" customFormat="1" x14ac:dyDescent="0.2"/>
    <row r="87" s="2" customFormat="1" x14ac:dyDescent="0.2"/>
    <row r="88" s="2" customFormat="1" x14ac:dyDescent="0.2"/>
    <row r="89" s="2" customFormat="1" x14ac:dyDescent="0.2"/>
    <row r="90" s="2" customFormat="1" x14ac:dyDescent="0.2"/>
    <row r="91" s="2" customFormat="1" x14ac:dyDescent="0.2"/>
    <row r="92" s="2" customFormat="1" x14ac:dyDescent="0.2"/>
    <row r="93" s="2" customFormat="1" x14ac:dyDescent="0.2"/>
    <row r="94" s="2" customFormat="1" x14ac:dyDescent="0.2"/>
  </sheetData>
  <sheetProtection formatCells="0" formatColumns="0" formatRows="0" insertColumns="0" insertRows="0" insertHyperlinks="0" deleteColumns="0" deleteRows="0" sort="0" autoFilter="0" pivotTables="0"/>
  <mergeCells count="121">
    <mergeCell ref="CD4:CK4"/>
    <mergeCell ref="CL4:CS4"/>
    <mergeCell ref="G4:X4"/>
    <mergeCell ref="Y4:AS4"/>
    <mergeCell ref="AT4:BG4"/>
    <mergeCell ref="BH4:BS4"/>
    <mergeCell ref="BT4:CC4"/>
    <mergeCell ref="CR5:CR7"/>
    <mergeCell ref="CS5:CS7"/>
    <mergeCell ref="CM5:CM7"/>
    <mergeCell ref="CN5:CN7"/>
    <mergeCell ref="CO5:CO7"/>
    <mergeCell ref="CP5:CP7"/>
    <mergeCell ref="CQ5:CQ7"/>
    <mergeCell ref="CL5:CL7"/>
    <mergeCell ref="CG5:CG7"/>
    <mergeCell ref="CH5:CH7"/>
    <mergeCell ref="CI5:CI7"/>
    <mergeCell ref="CJ5:CJ7"/>
    <mergeCell ref="CK5:CK7"/>
    <mergeCell ref="CD5:CD7"/>
    <mergeCell ref="CE5:CE7"/>
    <mergeCell ref="CF5:CF7"/>
    <mergeCell ref="CA5:CA7"/>
    <mergeCell ref="CB5:CB7"/>
    <mergeCell ref="CC5:CC7"/>
    <mergeCell ref="BV5:BV7"/>
    <mergeCell ref="BW5:BW7"/>
    <mergeCell ref="BX5:BX7"/>
    <mergeCell ref="BY5:BY7"/>
    <mergeCell ref="BZ5:BZ7"/>
    <mergeCell ref="BT5:BT7"/>
    <mergeCell ref="BU5:BU7"/>
    <mergeCell ref="BP5:BP7"/>
    <mergeCell ref="BQ5:BQ7"/>
    <mergeCell ref="BR5:BR7"/>
    <mergeCell ref="BS5:BS7"/>
    <mergeCell ref="BK5:BK7"/>
    <mergeCell ref="BL5:BL7"/>
    <mergeCell ref="BM5:BM7"/>
    <mergeCell ref="BN5:BN7"/>
    <mergeCell ref="BO5:BO7"/>
    <mergeCell ref="AX5:AX7"/>
    <mergeCell ref="AY5:AY7"/>
    <mergeCell ref="AR5:AR7"/>
    <mergeCell ref="AS5:AS7"/>
    <mergeCell ref="BH5:BH7"/>
    <mergeCell ref="BI5:BI7"/>
    <mergeCell ref="BJ5:BJ7"/>
    <mergeCell ref="BG5:BG7"/>
    <mergeCell ref="BF5:BF7"/>
    <mergeCell ref="BE5:BE7"/>
    <mergeCell ref="AW5:AW7"/>
    <mergeCell ref="AV5:AV7"/>
    <mergeCell ref="AU5:AU7"/>
    <mergeCell ref="AT5:AT7"/>
    <mergeCell ref="BA5:BA7"/>
    <mergeCell ref="BB5:BB7"/>
    <mergeCell ref="BC5:BC7"/>
    <mergeCell ref="BD5:BD7"/>
    <mergeCell ref="AZ5:AZ7"/>
    <mergeCell ref="AN5:AN7"/>
    <mergeCell ref="AO5:AO7"/>
    <mergeCell ref="AP5:AP7"/>
    <mergeCell ref="AQ5:AQ7"/>
    <mergeCell ref="AH5:AH7"/>
    <mergeCell ref="AI5:AI7"/>
    <mergeCell ref="AJ5:AJ7"/>
    <mergeCell ref="AK5:AK7"/>
    <mergeCell ref="AL5:AL7"/>
    <mergeCell ref="AD5:AD7"/>
    <mergeCell ref="AE5:AE7"/>
    <mergeCell ref="AF5:AF7"/>
    <mergeCell ref="AG5:AG7"/>
    <mergeCell ref="Y5:Y7"/>
    <mergeCell ref="Z5:Z7"/>
    <mergeCell ref="AA5:AA7"/>
    <mergeCell ref="AB5:AB7"/>
    <mergeCell ref="AM5:AM7"/>
    <mergeCell ref="CU6:DG6"/>
    <mergeCell ref="E7:F7"/>
    <mergeCell ref="G8:DG8"/>
    <mergeCell ref="A19:D19"/>
    <mergeCell ref="A11:D11"/>
    <mergeCell ref="J1:AJ1"/>
    <mergeCell ref="G5:G7"/>
    <mergeCell ref="H5:H7"/>
    <mergeCell ref="I5:I7"/>
    <mergeCell ref="J5:J7"/>
    <mergeCell ref="K5:K7"/>
    <mergeCell ref="L5:L7"/>
    <mergeCell ref="M5:M7"/>
    <mergeCell ref="N5:N7"/>
    <mergeCell ref="O5:O7"/>
    <mergeCell ref="P5:P7"/>
    <mergeCell ref="Q5:Q7"/>
    <mergeCell ref="R5:R7"/>
    <mergeCell ref="S5:S7"/>
    <mergeCell ref="T5:T7"/>
    <mergeCell ref="U5:U7"/>
    <mergeCell ref="V5:V7"/>
    <mergeCell ref="W5:W7"/>
    <mergeCell ref="AC5:AC7"/>
    <mergeCell ref="X5:X7"/>
    <mergeCell ref="E31:F31"/>
    <mergeCell ref="A10:D10"/>
    <mergeCell ref="A9:D9"/>
    <mergeCell ref="A13:D13"/>
    <mergeCell ref="A14:D14"/>
    <mergeCell ref="A17:D17"/>
    <mergeCell ref="A18:D18"/>
    <mergeCell ref="A21:D21"/>
    <mergeCell ref="A22:D22"/>
    <mergeCell ref="A25:D25"/>
    <mergeCell ref="A30:D30"/>
    <mergeCell ref="A26:D26"/>
    <mergeCell ref="A23:D23"/>
    <mergeCell ref="A15:D15"/>
    <mergeCell ref="A29:D29"/>
    <mergeCell ref="A28:D28"/>
    <mergeCell ref="A27:D27"/>
  </mergeCells>
  <conditionalFormatting sqref="E31:F31">
    <cfRule type="cellIs" dxfId="7" priority="1" operator="notEqual">
      <formula>$DP$30</formula>
    </cfRule>
    <cfRule type="cellIs" dxfId="6" priority="2" operator="equal">
      <formula>$DP$30</formula>
    </cfRule>
  </conditionalFormatting>
  <printOptions horizontalCentered="1" verticalCentered="1"/>
  <pageMargins left="0" right="0" top="0.39370078740157483" bottom="0.39370078740157483" header="0" footer="0"/>
  <pageSetup paperSize="8" scale="65" orientation="landscape" r:id="rId1"/>
  <headerFooter alignWithMargins="0">
    <oddHeader>&amp;R&amp;T;&amp;D</oddHeader>
    <oddFooter>&amp;L&amp;Z&amp;F&amp;R&amp;P/&amp;N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99639A-35CB-4DEF-A031-9719732C4136}">
  <sheetPr codeName="Feuil24">
    <tabColor theme="8"/>
    <pageSetUpPr fitToPage="1"/>
  </sheetPr>
  <dimension ref="A1:FR94"/>
  <sheetViews>
    <sheetView topLeftCell="A8" zoomScale="85" zoomScaleNormal="85" workbookViewId="0">
      <selection activeCell="P19" sqref="P19"/>
    </sheetView>
  </sheetViews>
  <sheetFormatPr baseColWidth="10" defaultColWidth="11.42578125" defaultRowHeight="15" x14ac:dyDescent="0.25"/>
  <cols>
    <col min="1" max="1" width="15.85546875" style="91" bestFit="1" customWidth="1"/>
    <col min="2" max="2" width="7.7109375" style="91" bestFit="1" customWidth="1"/>
    <col min="3" max="3" width="4.140625" style="91" bestFit="1" customWidth="1"/>
    <col min="4" max="4" width="7.7109375" style="91" bestFit="1" customWidth="1"/>
    <col min="5" max="5" width="9.28515625" style="91" bestFit="1" customWidth="1"/>
    <col min="6" max="6" width="4.28515625" style="91" bestFit="1" customWidth="1"/>
    <col min="7" max="98" width="5.28515625" style="91" customWidth="1"/>
    <col min="99" max="112" width="3.7109375" style="91" customWidth="1"/>
    <col min="113" max="113" width="3.28515625" style="91" customWidth="1"/>
    <col min="114" max="141" width="3.140625" style="91" customWidth="1"/>
    <col min="142" max="142" width="3.42578125" style="91" bestFit="1" customWidth="1"/>
    <col min="143" max="143" width="6.5703125" style="91" bestFit="1" customWidth="1"/>
    <col min="144" max="144" width="3.140625" style="91" customWidth="1"/>
    <col min="145" max="145" width="4.5703125" style="91" bestFit="1" customWidth="1"/>
    <col min="146" max="16384" width="11.42578125" style="91"/>
  </cols>
  <sheetData>
    <row r="1" spans="1:174" ht="16.5" thickBot="1" x14ac:dyDescent="0.3">
      <c r="A1" s="204" t="s">
        <v>96</v>
      </c>
      <c r="B1" s="69">
        <v>45597</v>
      </c>
      <c r="C1" s="205"/>
      <c r="D1" s="205"/>
      <c r="E1" s="206"/>
      <c r="F1" s="206"/>
      <c r="G1" s="206"/>
      <c r="H1" s="206"/>
      <c r="I1" s="206"/>
      <c r="J1" s="886" t="s">
        <v>97</v>
      </c>
      <c r="K1" s="887"/>
      <c r="L1" s="887"/>
      <c r="M1" s="887"/>
      <c r="N1" s="887"/>
      <c r="O1" s="887"/>
      <c r="P1" s="887"/>
      <c r="Q1" s="887"/>
      <c r="R1" s="887"/>
      <c r="S1" s="887"/>
      <c r="T1" s="887"/>
      <c r="U1" s="887"/>
      <c r="V1" s="887"/>
      <c r="W1" s="887"/>
      <c r="X1" s="887"/>
      <c r="Y1" s="887"/>
      <c r="Z1" s="887"/>
      <c r="AA1" s="887"/>
      <c r="AB1" s="887"/>
      <c r="AC1" s="887"/>
      <c r="AD1" s="887"/>
      <c r="AE1" s="887"/>
      <c r="AF1" s="887"/>
      <c r="AG1" s="887"/>
      <c r="AH1" s="887"/>
      <c r="AI1" s="887"/>
      <c r="AJ1" s="887"/>
      <c r="AK1" s="888"/>
      <c r="AL1" s="206"/>
      <c r="AM1" s="206"/>
      <c r="AN1" s="206"/>
      <c r="AO1" s="206"/>
      <c r="AP1" s="206"/>
      <c r="AQ1" s="206"/>
      <c r="AR1" s="206"/>
      <c r="AS1" s="206"/>
      <c r="AT1" s="206"/>
      <c r="AU1" s="206"/>
      <c r="AV1" s="206"/>
      <c r="AW1" s="206"/>
      <c r="AX1" s="206"/>
      <c r="AY1" s="206"/>
      <c r="AZ1" s="206"/>
      <c r="BA1" s="206"/>
      <c r="BB1" s="206"/>
      <c r="BC1" s="206"/>
      <c r="BD1" s="206"/>
      <c r="BE1" s="206"/>
      <c r="BF1" s="206"/>
      <c r="BG1" s="206"/>
      <c r="BH1" s="206"/>
      <c r="BI1" s="206"/>
      <c r="BJ1" s="206"/>
      <c r="BK1" s="206"/>
      <c r="BL1" s="206"/>
      <c r="BM1" s="206"/>
      <c r="BN1" s="206"/>
      <c r="BO1" s="206"/>
      <c r="BP1" s="206"/>
      <c r="BQ1" s="206"/>
      <c r="BR1" s="206"/>
      <c r="BS1" s="206"/>
      <c r="BT1" s="206"/>
      <c r="BU1" s="206"/>
      <c r="BV1" s="206"/>
      <c r="BW1" s="206"/>
      <c r="BX1" s="206"/>
      <c r="BY1" s="206"/>
      <c r="BZ1" s="206"/>
      <c r="CA1" s="206"/>
      <c r="CB1" s="206"/>
      <c r="CC1" s="206"/>
      <c r="CD1" s="206"/>
      <c r="CE1" s="206"/>
      <c r="CF1" s="206"/>
      <c r="CG1" s="206"/>
      <c r="CH1" s="206"/>
      <c r="CI1" s="206"/>
      <c r="CJ1" s="206"/>
      <c r="CK1" s="206"/>
      <c r="CL1" s="206"/>
      <c r="CM1" s="206"/>
      <c r="CN1" s="206"/>
      <c r="CO1" s="206"/>
      <c r="CP1" s="206"/>
      <c r="CQ1" s="206"/>
      <c r="CR1" s="206"/>
      <c r="CS1" s="206"/>
      <c r="CT1" s="206"/>
      <c r="DD1" s="206"/>
      <c r="DE1" s="206"/>
      <c r="DF1" s="206"/>
      <c r="DG1" s="206"/>
      <c r="DH1" s="206"/>
    </row>
    <row r="2" spans="1:174" x14ac:dyDescent="0.25">
      <c r="A2" s="207" t="s">
        <v>98</v>
      </c>
      <c r="B2" s="70">
        <v>45600</v>
      </c>
      <c r="C2" s="208" t="s">
        <v>99</v>
      </c>
      <c r="D2" s="70">
        <v>45629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</row>
    <row r="3" spans="1:174" ht="15.75" thickBot="1" x14ac:dyDescent="0.3">
      <c r="A3" s="207"/>
      <c r="B3" s="70"/>
      <c r="C3" s="208"/>
      <c r="D3" s="70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</row>
    <row r="4" spans="1:174" ht="15.75" thickBot="1" x14ac:dyDescent="0.3">
      <c r="A4" s="207"/>
      <c r="B4" s="70"/>
      <c r="C4" s="208"/>
      <c r="D4" s="70"/>
      <c r="E4" s="7"/>
      <c r="F4" s="7"/>
      <c r="G4" s="889" t="s">
        <v>975</v>
      </c>
      <c r="H4" s="890"/>
      <c r="I4" s="890"/>
      <c r="J4" s="890"/>
      <c r="K4" s="890"/>
      <c r="L4" s="890"/>
      <c r="M4" s="890"/>
      <c r="N4" s="890"/>
      <c r="O4" s="890"/>
      <c r="P4" s="890"/>
      <c r="Q4" s="890"/>
      <c r="R4" s="890"/>
      <c r="S4" s="890"/>
      <c r="T4" s="890"/>
      <c r="U4" s="890"/>
      <c r="V4" s="890"/>
      <c r="W4" s="890"/>
      <c r="X4" s="890"/>
      <c r="Y4" s="778"/>
      <c r="Z4" s="891" t="s">
        <v>976</v>
      </c>
      <c r="AA4" s="892"/>
      <c r="AB4" s="892"/>
      <c r="AC4" s="892"/>
      <c r="AD4" s="892"/>
      <c r="AE4" s="892"/>
      <c r="AF4" s="892"/>
      <c r="AG4" s="892"/>
      <c r="AH4" s="892"/>
      <c r="AI4" s="892"/>
      <c r="AJ4" s="892"/>
      <c r="AK4" s="892"/>
      <c r="AL4" s="892"/>
      <c r="AM4" s="892"/>
      <c r="AN4" s="892"/>
      <c r="AO4" s="892"/>
      <c r="AP4" s="892"/>
      <c r="AQ4" s="892"/>
      <c r="AR4" s="892"/>
      <c r="AS4" s="892"/>
      <c r="AT4" s="893"/>
      <c r="AU4" s="894" t="s">
        <v>977</v>
      </c>
      <c r="AV4" s="895"/>
      <c r="AW4" s="895"/>
      <c r="AX4" s="895"/>
      <c r="AY4" s="895"/>
      <c r="AZ4" s="895"/>
      <c r="BA4" s="895"/>
      <c r="BB4" s="895"/>
      <c r="BC4" s="895"/>
      <c r="BD4" s="895"/>
      <c r="BE4" s="895"/>
      <c r="BF4" s="895"/>
      <c r="BG4" s="895"/>
      <c r="BH4" s="895"/>
      <c r="BI4" s="896" t="s">
        <v>978</v>
      </c>
      <c r="BJ4" s="897"/>
      <c r="BK4" s="897"/>
      <c r="BL4" s="897"/>
      <c r="BM4" s="897"/>
      <c r="BN4" s="897"/>
      <c r="BO4" s="897"/>
      <c r="BP4" s="897"/>
      <c r="BQ4" s="897"/>
      <c r="BR4" s="897"/>
      <c r="BS4" s="897"/>
      <c r="BT4" s="897"/>
      <c r="BU4" s="898" t="s">
        <v>979</v>
      </c>
      <c r="BV4" s="899"/>
      <c r="BW4" s="899"/>
      <c r="BX4" s="899"/>
      <c r="BY4" s="899"/>
      <c r="BZ4" s="899"/>
      <c r="CA4" s="899"/>
      <c r="CB4" s="899"/>
      <c r="CC4" s="899"/>
      <c r="CD4" s="899"/>
      <c r="CE4" s="889" t="s">
        <v>980</v>
      </c>
      <c r="CF4" s="890"/>
      <c r="CG4" s="890"/>
      <c r="CH4" s="890"/>
      <c r="CI4" s="890"/>
      <c r="CJ4" s="890"/>
      <c r="CK4" s="890"/>
      <c r="CL4" s="890"/>
      <c r="CM4" s="894" t="s">
        <v>981</v>
      </c>
      <c r="CN4" s="895"/>
      <c r="CO4" s="895"/>
      <c r="CP4" s="895"/>
      <c r="CQ4" s="895"/>
      <c r="CR4" s="895"/>
      <c r="CS4" s="895"/>
      <c r="CT4" s="900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</row>
    <row r="5" spans="1:174" ht="13.9" customHeight="1" x14ac:dyDescent="0.25">
      <c r="E5" s="7"/>
      <c r="F5" s="7"/>
      <c r="G5" s="860" t="s">
        <v>656</v>
      </c>
      <c r="H5" s="860" t="s">
        <v>768</v>
      </c>
      <c r="I5" s="860" t="s">
        <v>769</v>
      </c>
      <c r="J5" s="860" t="s">
        <v>756</v>
      </c>
      <c r="K5" s="860" t="s">
        <v>757</v>
      </c>
      <c r="L5" s="860" t="s">
        <v>761</v>
      </c>
      <c r="M5" s="860" t="s">
        <v>770</v>
      </c>
      <c r="N5" s="860" t="s">
        <v>809</v>
      </c>
      <c r="O5" s="860" t="s">
        <v>811</v>
      </c>
      <c r="P5" s="860" t="s">
        <v>810</v>
      </c>
      <c r="Q5" s="860" t="s">
        <v>762</v>
      </c>
      <c r="R5" s="860" t="s">
        <v>763</v>
      </c>
      <c r="S5" s="860" t="s">
        <v>764</v>
      </c>
      <c r="T5" s="860" t="s">
        <v>837</v>
      </c>
      <c r="U5" s="860" t="s">
        <v>774</v>
      </c>
      <c r="V5" s="860" t="s">
        <v>782</v>
      </c>
      <c r="W5" s="860" t="s">
        <v>778</v>
      </c>
      <c r="X5" s="860" t="s">
        <v>882</v>
      </c>
      <c r="Y5" s="901" t="s">
        <v>1024</v>
      </c>
      <c r="Z5" s="878" t="s">
        <v>657</v>
      </c>
      <c r="AA5" s="884" t="s">
        <v>658</v>
      </c>
      <c r="AB5" s="884" t="s">
        <v>659</v>
      </c>
      <c r="AC5" s="884" t="s">
        <v>660</v>
      </c>
      <c r="AD5" s="884" t="s">
        <v>967</v>
      </c>
      <c r="AE5" s="884" t="s">
        <v>968</v>
      </c>
      <c r="AF5" s="884" t="s">
        <v>789</v>
      </c>
      <c r="AG5" s="884" t="s">
        <v>969</v>
      </c>
      <c r="AH5" s="884" t="s">
        <v>746</v>
      </c>
      <c r="AI5" s="884" t="s">
        <v>801</v>
      </c>
      <c r="AJ5" s="884" t="s">
        <v>765</v>
      </c>
      <c r="AK5" s="884" t="s">
        <v>766</v>
      </c>
      <c r="AL5" s="884" t="s">
        <v>767</v>
      </c>
      <c r="AM5" s="884" t="s">
        <v>784</v>
      </c>
      <c r="AN5" s="884" t="s">
        <v>776</v>
      </c>
      <c r="AO5" s="884" t="s">
        <v>779</v>
      </c>
      <c r="AP5" s="884" t="s">
        <v>970</v>
      </c>
      <c r="AQ5" s="884"/>
      <c r="AR5" s="884"/>
      <c r="AS5" s="872"/>
      <c r="AT5" s="882" t="s">
        <v>982</v>
      </c>
      <c r="AU5" s="880" t="s">
        <v>847</v>
      </c>
      <c r="AV5" s="880" t="s">
        <v>848</v>
      </c>
      <c r="AW5" s="880" t="s">
        <v>858</v>
      </c>
      <c r="AX5" s="880" t="s">
        <v>791</v>
      </c>
      <c r="AY5" s="880" t="s">
        <v>849</v>
      </c>
      <c r="AZ5" s="880" t="s">
        <v>850</v>
      </c>
      <c r="BA5" s="880" t="s">
        <v>856</v>
      </c>
      <c r="BB5" s="880" t="s">
        <v>854</v>
      </c>
      <c r="BC5" s="880" t="s">
        <v>853</v>
      </c>
      <c r="BD5" s="880" t="s">
        <v>859</v>
      </c>
      <c r="BE5" s="880" t="s">
        <v>851</v>
      </c>
      <c r="BF5" s="880" t="s">
        <v>852</v>
      </c>
      <c r="BG5" s="880" t="s">
        <v>796</v>
      </c>
      <c r="BH5" s="880" t="s">
        <v>797</v>
      </c>
      <c r="BI5" s="876" t="s">
        <v>788</v>
      </c>
      <c r="BJ5" s="876" t="s">
        <v>864</v>
      </c>
      <c r="BK5" s="876" t="s">
        <v>865</v>
      </c>
      <c r="BL5" s="876" t="s">
        <v>738</v>
      </c>
      <c r="BM5" s="876" t="s">
        <v>664</v>
      </c>
      <c r="BN5" s="876" t="s">
        <v>856</v>
      </c>
      <c r="BO5" s="876" t="s">
        <v>867</v>
      </c>
      <c r="BP5" s="876" t="s">
        <v>868</v>
      </c>
      <c r="BQ5" s="876" t="s">
        <v>866</v>
      </c>
      <c r="BR5" s="876" t="s">
        <v>869</v>
      </c>
      <c r="BS5" s="876" t="s">
        <v>796</v>
      </c>
      <c r="BT5" s="876" t="s">
        <v>797</v>
      </c>
      <c r="BU5" s="878" t="s">
        <v>786</v>
      </c>
      <c r="BV5" s="872" t="s">
        <v>738</v>
      </c>
      <c r="BW5" s="872" t="s">
        <v>664</v>
      </c>
      <c r="BX5" s="872" t="s">
        <v>971</v>
      </c>
      <c r="BY5" s="872" t="s">
        <v>972</v>
      </c>
      <c r="BZ5" s="872" t="s">
        <v>973</v>
      </c>
      <c r="CA5" s="872" t="s">
        <v>974</v>
      </c>
      <c r="CB5" s="872" t="s">
        <v>792</v>
      </c>
      <c r="CC5" s="872" t="s">
        <v>796</v>
      </c>
      <c r="CD5" s="872" t="s">
        <v>797</v>
      </c>
      <c r="CE5" s="874" t="s">
        <v>786</v>
      </c>
      <c r="CF5" s="870" t="s">
        <v>738</v>
      </c>
      <c r="CG5" s="870" t="s">
        <v>664</v>
      </c>
      <c r="CH5" s="870" t="s">
        <v>971</v>
      </c>
      <c r="CI5" s="870" t="s">
        <v>974</v>
      </c>
      <c r="CJ5" s="870" t="s">
        <v>792</v>
      </c>
      <c r="CK5" s="870" t="s">
        <v>796</v>
      </c>
      <c r="CL5" s="870" t="s">
        <v>797</v>
      </c>
      <c r="CM5" s="860" t="s">
        <v>879</v>
      </c>
      <c r="CN5" s="860" t="s">
        <v>655</v>
      </c>
      <c r="CO5" s="860"/>
      <c r="CP5" s="860"/>
      <c r="CQ5" s="860"/>
      <c r="CR5" s="860"/>
      <c r="CS5" s="860"/>
      <c r="CT5" s="860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</row>
    <row r="6" spans="1:174" s="53" customFormat="1" ht="15" customHeight="1" thickBot="1" x14ac:dyDescent="0.25">
      <c r="E6" s="7"/>
      <c r="F6" s="7"/>
      <c r="G6" s="860" t="s">
        <v>656</v>
      </c>
      <c r="H6" s="860" t="s">
        <v>768</v>
      </c>
      <c r="I6" s="860" t="s">
        <v>769</v>
      </c>
      <c r="J6" s="860" t="s">
        <v>756</v>
      </c>
      <c r="K6" s="860" t="s">
        <v>757</v>
      </c>
      <c r="L6" s="860" t="s">
        <v>761</v>
      </c>
      <c r="M6" s="860" t="s">
        <v>770</v>
      </c>
      <c r="N6" s="860" t="s">
        <v>809</v>
      </c>
      <c r="O6" s="860" t="s">
        <v>811</v>
      </c>
      <c r="P6" s="860" t="s">
        <v>810</v>
      </c>
      <c r="Q6" s="860" t="s">
        <v>762</v>
      </c>
      <c r="R6" s="860" t="s">
        <v>763</v>
      </c>
      <c r="S6" s="860" t="s">
        <v>764</v>
      </c>
      <c r="T6" s="860" t="s">
        <v>837</v>
      </c>
      <c r="U6" s="860" t="s">
        <v>774</v>
      </c>
      <c r="V6" s="860" t="s">
        <v>782</v>
      </c>
      <c r="W6" s="860" t="s">
        <v>778</v>
      </c>
      <c r="X6" s="860" t="s">
        <v>882</v>
      </c>
      <c r="Y6" s="902"/>
      <c r="Z6" s="878" t="s">
        <v>657</v>
      </c>
      <c r="AA6" s="884" t="s">
        <v>658</v>
      </c>
      <c r="AB6" s="884" t="s">
        <v>659</v>
      </c>
      <c r="AC6" s="884" t="s">
        <v>660</v>
      </c>
      <c r="AD6" s="884" t="s">
        <v>967</v>
      </c>
      <c r="AE6" s="884" t="s">
        <v>968</v>
      </c>
      <c r="AF6" s="884" t="s">
        <v>789</v>
      </c>
      <c r="AG6" s="884" t="s">
        <v>969</v>
      </c>
      <c r="AH6" s="884" t="s">
        <v>746</v>
      </c>
      <c r="AI6" s="884" t="s">
        <v>801</v>
      </c>
      <c r="AJ6" s="884" t="s">
        <v>765</v>
      </c>
      <c r="AK6" s="884" t="s">
        <v>766</v>
      </c>
      <c r="AL6" s="884" t="s">
        <v>767</v>
      </c>
      <c r="AM6" s="884" t="s">
        <v>784</v>
      </c>
      <c r="AN6" s="884" t="s">
        <v>776</v>
      </c>
      <c r="AO6" s="884" t="s">
        <v>779</v>
      </c>
      <c r="AP6" s="884" t="s">
        <v>970</v>
      </c>
      <c r="AQ6" s="884"/>
      <c r="AR6" s="884"/>
      <c r="AS6" s="872"/>
      <c r="AT6" s="882"/>
      <c r="AU6" s="880"/>
      <c r="AV6" s="880" t="s">
        <v>848</v>
      </c>
      <c r="AW6" s="880" t="s">
        <v>858</v>
      </c>
      <c r="AX6" s="880" t="s">
        <v>791</v>
      </c>
      <c r="AY6" s="880" t="s">
        <v>849</v>
      </c>
      <c r="AZ6" s="880" t="s">
        <v>850</v>
      </c>
      <c r="BA6" s="880" t="s">
        <v>856</v>
      </c>
      <c r="BB6" s="880" t="s">
        <v>854</v>
      </c>
      <c r="BC6" s="880" t="s">
        <v>853</v>
      </c>
      <c r="BD6" s="880" t="s">
        <v>859</v>
      </c>
      <c r="BE6" s="880" t="s">
        <v>851</v>
      </c>
      <c r="BF6" s="880" t="s">
        <v>852</v>
      </c>
      <c r="BG6" s="880" t="s">
        <v>796</v>
      </c>
      <c r="BH6" s="880" t="s">
        <v>797</v>
      </c>
      <c r="BI6" s="876" t="s">
        <v>788</v>
      </c>
      <c r="BJ6" s="876" t="s">
        <v>864</v>
      </c>
      <c r="BK6" s="876" t="s">
        <v>865</v>
      </c>
      <c r="BL6" s="876" t="s">
        <v>738</v>
      </c>
      <c r="BM6" s="876" t="s">
        <v>664</v>
      </c>
      <c r="BN6" s="876" t="s">
        <v>856</v>
      </c>
      <c r="BO6" s="876" t="s">
        <v>867</v>
      </c>
      <c r="BP6" s="876" t="s">
        <v>868</v>
      </c>
      <c r="BQ6" s="876" t="s">
        <v>866</v>
      </c>
      <c r="BR6" s="876" t="s">
        <v>869</v>
      </c>
      <c r="BS6" s="876" t="s">
        <v>796</v>
      </c>
      <c r="BT6" s="876" t="s">
        <v>797</v>
      </c>
      <c r="BU6" s="878" t="s">
        <v>786</v>
      </c>
      <c r="BV6" s="872" t="s">
        <v>738</v>
      </c>
      <c r="BW6" s="872" t="s">
        <v>664</v>
      </c>
      <c r="BX6" s="872" t="s">
        <v>971</v>
      </c>
      <c r="BY6" s="872" t="s">
        <v>972</v>
      </c>
      <c r="BZ6" s="872" t="s">
        <v>973</v>
      </c>
      <c r="CA6" s="872" t="s">
        <v>974</v>
      </c>
      <c r="CB6" s="872" t="s">
        <v>792</v>
      </c>
      <c r="CC6" s="872" t="s">
        <v>796</v>
      </c>
      <c r="CD6" s="872" t="s">
        <v>797</v>
      </c>
      <c r="CE6" s="874" t="s">
        <v>786</v>
      </c>
      <c r="CF6" s="870" t="s">
        <v>738</v>
      </c>
      <c r="CG6" s="870" t="s">
        <v>664</v>
      </c>
      <c r="CH6" s="870" t="s">
        <v>971</v>
      </c>
      <c r="CI6" s="870" t="s">
        <v>974</v>
      </c>
      <c r="CJ6" s="870" t="s">
        <v>792</v>
      </c>
      <c r="CK6" s="870" t="s">
        <v>796</v>
      </c>
      <c r="CL6" s="870" t="s">
        <v>797</v>
      </c>
      <c r="CM6" s="860" t="s">
        <v>879</v>
      </c>
      <c r="CN6" s="860" t="s">
        <v>655</v>
      </c>
      <c r="CO6" s="860"/>
      <c r="CP6" s="860"/>
      <c r="CQ6" s="860"/>
      <c r="CR6" s="860"/>
      <c r="CS6" s="860"/>
      <c r="CT6" s="860"/>
      <c r="CU6" s="67"/>
      <c r="CV6" s="862"/>
      <c r="CW6" s="863"/>
      <c r="CX6" s="863"/>
      <c r="CY6" s="863"/>
      <c r="CZ6" s="863"/>
      <c r="DA6" s="863"/>
      <c r="DB6" s="863"/>
      <c r="DC6" s="863"/>
      <c r="DD6" s="863"/>
      <c r="DE6" s="863"/>
      <c r="DF6" s="863"/>
      <c r="DG6" s="863"/>
      <c r="DH6" s="864"/>
    </row>
    <row r="7" spans="1:174" s="212" customFormat="1" ht="122.45" customHeight="1" thickBot="1" x14ac:dyDescent="0.25">
      <c r="A7" s="7"/>
      <c r="B7" s="7"/>
      <c r="C7" s="7"/>
      <c r="D7" s="7"/>
      <c r="E7" s="865" t="s">
        <v>100</v>
      </c>
      <c r="F7" s="866"/>
      <c r="G7" s="861" t="s">
        <v>656</v>
      </c>
      <c r="H7" s="861" t="s">
        <v>768</v>
      </c>
      <c r="I7" s="861" t="s">
        <v>769</v>
      </c>
      <c r="J7" s="861" t="s">
        <v>756</v>
      </c>
      <c r="K7" s="861" t="s">
        <v>757</v>
      </c>
      <c r="L7" s="861" t="s">
        <v>761</v>
      </c>
      <c r="M7" s="861" t="s">
        <v>770</v>
      </c>
      <c r="N7" s="861" t="s">
        <v>809</v>
      </c>
      <c r="O7" s="861" t="s">
        <v>811</v>
      </c>
      <c r="P7" s="861" t="s">
        <v>810</v>
      </c>
      <c r="Q7" s="861" t="s">
        <v>762</v>
      </c>
      <c r="R7" s="861" t="s">
        <v>763</v>
      </c>
      <c r="S7" s="861" t="s">
        <v>764</v>
      </c>
      <c r="T7" s="861" t="s">
        <v>837</v>
      </c>
      <c r="U7" s="861" t="s">
        <v>774</v>
      </c>
      <c r="V7" s="861" t="s">
        <v>782</v>
      </c>
      <c r="W7" s="861" t="s">
        <v>778</v>
      </c>
      <c r="X7" s="861" t="s">
        <v>882</v>
      </c>
      <c r="Y7" s="903"/>
      <c r="Z7" s="879" t="s">
        <v>657</v>
      </c>
      <c r="AA7" s="885" t="s">
        <v>658</v>
      </c>
      <c r="AB7" s="885" t="s">
        <v>659</v>
      </c>
      <c r="AC7" s="885" t="s">
        <v>660</v>
      </c>
      <c r="AD7" s="885" t="s">
        <v>967</v>
      </c>
      <c r="AE7" s="885" t="s">
        <v>968</v>
      </c>
      <c r="AF7" s="885" t="s">
        <v>789</v>
      </c>
      <c r="AG7" s="885" t="s">
        <v>969</v>
      </c>
      <c r="AH7" s="885" t="s">
        <v>746</v>
      </c>
      <c r="AI7" s="885" t="s">
        <v>801</v>
      </c>
      <c r="AJ7" s="885" t="s">
        <v>765</v>
      </c>
      <c r="AK7" s="885" t="s">
        <v>766</v>
      </c>
      <c r="AL7" s="885" t="s">
        <v>767</v>
      </c>
      <c r="AM7" s="885" t="s">
        <v>784</v>
      </c>
      <c r="AN7" s="885" t="s">
        <v>776</v>
      </c>
      <c r="AO7" s="885" t="s">
        <v>779</v>
      </c>
      <c r="AP7" s="885" t="s">
        <v>970</v>
      </c>
      <c r="AQ7" s="885"/>
      <c r="AR7" s="885"/>
      <c r="AS7" s="873"/>
      <c r="AT7" s="883"/>
      <c r="AU7" s="881"/>
      <c r="AV7" s="881" t="s">
        <v>848</v>
      </c>
      <c r="AW7" s="881" t="s">
        <v>858</v>
      </c>
      <c r="AX7" s="881" t="s">
        <v>791</v>
      </c>
      <c r="AY7" s="881" t="s">
        <v>849</v>
      </c>
      <c r="AZ7" s="881" t="s">
        <v>850</v>
      </c>
      <c r="BA7" s="881" t="s">
        <v>856</v>
      </c>
      <c r="BB7" s="881" t="s">
        <v>854</v>
      </c>
      <c r="BC7" s="881" t="s">
        <v>853</v>
      </c>
      <c r="BD7" s="881" t="s">
        <v>859</v>
      </c>
      <c r="BE7" s="881" t="s">
        <v>851</v>
      </c>
      <c r="BF7" s="881" t="s">
        <v>852</v>
      </c>
      <c r="BG7" s="881" t="s">
        <v>796</v>
      </c>
      <c r="BH7" s="881" t="s">
        <v>797</v>
      </c>
      <c r="BI7" s="877" t="s">
        <v>788</v>
      </c>
      <c r="BJ7" s="877" t="s">
        <v>864</v>
      </c>
      <c r="BK7" s="877" t="s">
        <v>865</v>
      </c>
      <c r="BL7" s="877" t="s">
        <v>738</v>
      </c>
      <c r="BM7" s="877" t="s">
        <v>664</v>
      </c>
      <c r="BN7" s="877" t="s">
        <v>856</v>
      </c>
      <c r="BO7" s="877" t="s">
        <v>867</v>
      </c>
      <c r="BP7" s="877" t="s">
        <v>868</v>
      </c>
      <c r="BQ7" s="877" t="s">
        <v>866</v>
      </c>
      <c r="BR7" s="877" t="s">
        <v>869</v>
      </c>
      <c r="BS7" s="877" t="s">
        <v>796</v>
      </c>
      <c r="BT7" s="877" t="s">
        <v>797</v>
      </c>
      <c r="BU7" s="879" t="s">
        <v>786</v>
      </c>
      <c r="BV7" s="873" t="s">
        <v>738</v>
      </c>
      <c r="BW7" s="873" t="s">
        <v>664</v>
      </c>
      <c r="BX7" s="873" t="s">
        <v>971</v>
      </c>
      <c r="BY7" s="873" t="s">
        <v>972</v>
      </c>
      <c r="BZ7" s="873" t="s">
        <v>973</v>
      </c>
      <c r="CA7" s="873" t="s">
        <v>974</v>
      </c>
      <c r="CB7" s="873" t="s">
        <v>792</v>
      </c>
      <c r="CC7" s="873" t="s">
        <v>796</v>
      </c>
      <c r="CD7" s="873" t="s">
        <v>797</v>
      </c>
      <c r="CE7" s="875" t="s">
        <v>786</v>
      </c>
      <c r="CF7" s="871" t="s">
        <v>738</v>
      </c>
      <c r="CG7" s="871" t="s">
        <v>664</v>
      </c>
      <c r="CH7" s="871" t="s">
        <v>971</v>
      </c>
      <c r="CI7" s="871" t="s">
        <v>974</v>
      </c>
      <c r="CJ7" s="871" t="s">
        <v>792</v>
      </c>
      <c r="CK7" s="871" t="s">
        <v>796</v>
      </c>
      <c r="CL7" s="871" t="s">
        <v>797</v>
      </c>
      <c r="CM7" s="861" t="s">
        <v>879</v>
      </c>
      <c r="CN7" s="861" t="s">
        <v>655</v>
      </c>
      <c r="CO7" s="861"/>
      <c r="CP7" s="861"/>
      <c r="CQ7" s="861"/>
      <c r="CR7" s="861"/>
      <c r="CS7" s="861"/>
      <c r="CT7" s="861"/>
      <c r="CU7" s="68"/>
      <c r="CV7" s="209"/>
      <c r="CW7" s="210"/>
      <c r="CX7" s="210"/>
      <c r="CY7" s="210"/>
      <c r="CZ7" s="210"/>
      <c r="DA7" s="210"/>
      <c r="DB7" s="210"/>
      <c r="DC7" s="210"/>
      <c r="DD7" s="210"/>
      <c r="DE7" s="210"/>
      <c r="DF7" s="210"/>
      <c r="DG7" s="210"/>
      <c r="DH7" s="211"/>
      <c r="DI7" s="752"/>
      <c r="DJ7" s="753"/>
      <c r="DK7" s="753"/>
      <c r="DL7" s="753"/>
      <c r="DM7" s="753"/>
      <c r="DN7" s="753"/>
      <c r="DO7" s="753"/>
      <c r="DP7" s="753"/>
      <c r="DQ7" s="753"/>
      <c r="DR7" s="753"/>
      <c r="DS7" s="753"/>
      <c r="DT7" s="753"/>
      <c r="DU7" s="754"/>
      <c r="DV7" s="752"/>
      <c r="DW7" s="753"/>
      <c r="DX7" s="753"/>
      <c r="DY7" s="753"/>
      <c r="DZ7" s="753"/>
      <c r="EA7" s="753"/>
      <c r="EB7" s="753"/>
      <c r="EC7" s="752" t="s">
        <v>101</v>
      </c>
      <c r="ED7" s="753" t="s">
        <v>23</v>
      </c>
      <c r="EE7" s="753" t="s">
        <v>24</v>
      </c>
      <c r="EF7" s="753" t="s">
        <v>25</v>
      </c>
      <c r="EG7" s="753" t="s">
        <v>26</v>
      </c>
      <c r="EH7" s="753" t="s">
        <v>27</v>
      </c>
      <c r="EI7" s="753" t="s">
        <v>28</v>
      </c>
      <c r="EJ7" s="753" t="s">
        <v>29</v>
      </c>
      <c r="EK7" s="753" t="s">
        <v>30</v>
      </c>
      <c r="EL7" s="753" t="s">
        <v>31</v>
      </c>
      <c r="EM7" s="753" t="s">
        <v>32</v>
      </c>
      <c r="EN7" s="753" t="s">
        <v>33</v>
      </c>
      <c r="EO7" s="754" t="s">
        <v>34</v>
      </c>
    </row>
    <row r="8" spans="1:174" s="212" customFormat="1" ht="29.25" thickBot="1" x14ac:dyDescent="0.25">
      <c r="A8" s="230" t="s">
        <v>613</v>
      </c>
      <c r="B8" s="232">
        <f>+B2</f>
        <v>45600</v>
      </c>
      <c r="C8" s="231" t="s">
        <v>614</v>
      </c>
      <c r="D8" s="233">
        <f>+B8+4</f>
        <v>45604</v>
      </c>
      <c r="E8" s="213" t="s">
        <v>102</v>
      </c>
      <c r="F8" s="214" t="s">
        <v>103</v>
      </c>
      <c r="G8" s="867" t="s">
        <v>122</v>
      </c>
      <c r="H8" s="868"/>
      <c r="I8" s="868"/>
      <c r="J8" s="868"/>
      <c r="K8" s="868"/>
      <c r="L8" s="868"/>
      <c r="M8" s="868"/>
      <c r="N8" s="868"/>
      <c r="O8" s="868"/>
      <c r="P8" s="868"/>
      <c r="Q8" s="868"/>
      <c r="R8" s="868"/>
      <c r="S8" s="868"/>
      <c r="T8" s="868"/>
      <c r="U8" s="868"/>
      <c r="V8" s="868"/>
      <c r="W8" s="868"/>
      <c r="X8" s="868"/>
      <c r="Y8" s="868"/>
      <c r="Z8" s="868"/>
      <c r="AA8" s="868"/>
      <c r="AB8" s="868"/>
      <c r="AC8" s="868"/>
      <c r="AD8" s="868"/>
      <c r="AE8" s="868"/>
      <c r="AF8" s="868"/>
      <c r="AG8" s="868"/>
      <c r="AH8" s="868"/>
      <c r="AI8" s="868"/>
      <c r="AJ8" s="868"/>
      <c r="AK8" s="868"/>
      <c r="AL8" s="868"/>
      <c r="AM8" s="868"/>
      <c r="AN8" s="868"/>
      <c r="AO8" s="868"/>
      <c r="AP8" s="868"/>
      <c r="AQ8" s="868"/>
      <c r="AR8" s="868"/>
      <c r="AS8" s="868"/>
      <c r="AT8" s="868"/>
      <c r="AU8" s="868"/>
      <c r="AV8" s="868"/>
      <c r="AW8" s="868"/>
      <c r="AX8" s="868"/>
      <c r="AY8" s="868"/>
      <c r="AZ8" s="868"/>
      <c r="BA8" s="868"/>
      <c r="BB8" s="868"/>
      <c r="BC8" s="868"/>
      <c r="BD8" s="868"/>
      <c r="BE8" s="868"/>
      <c r="BF8" s="868"/>
      <c r="BG8" s="868"/>
      <c r="BH8" s="868"/>
      <c r="BI8" s="868"/>
      <c r="BJ8" s="868"/>
      <c r="BK8" s="868"/>
      <c r="BL8" s="868"/>
      <c r="BM8" s="868"/>
      <c r="BN8" s="868"/>
      <c r="BO8" s="868"/>
      <c r="BP8" s="868"/>
      <c r="BQ8" s="868"/>
      <c r="BR8" s="868"/>
      <c r="BS8" s="868"/>
      <c r="BT8" s="868"/>
      <c r="BU8" s="868"/>
      <c r="BV8" s="868"/>
      <c r="BW8" s="868"/>
      <c r="BX8" s="868"/>
      <c r="BY8" s="868"/>
      <c r="BZ8" s="868"/>
      <c r="CA8" s="868"/>
      <c r="CB8" s="868"/>
      <c r="CC8" s="868"/>
      <c r="CD8" s="868"/>
      <c r="CE8" s="868"/>
      <c r="CF8" s="868"/>
      <c r="CG8" s="868"/>
      <c r="CH8" s="868"/>
      <c r="CI8" s="868"/>
      <c r="CJ8" s="868"/>
      <c r="CK8" s="868"/>
      <c r="CL8" s="868"/>
      <c r="CM8" s="868"/>
      <c r="CN8" s="868"/>
      <c r="CO8" s="868"/>
      <c r="CP8" s="868"/>
      <c r="CQ8" s="868"/>
      <c r="CR8" s="868"/>
      <c r="CS8" s="868"/>
      <c r="CT8" s="868"/>
      <c r="CU8" s="868"/>
      <c r="CV8" s="868"/>
      <c r="CW8" s="868"/>
      <c r="CX8" s="868"/>
      <c r="CY8" s="868"/>
      <c r="CZ8" s="868"/>
      <c r="DA8" s="868"/>
      <c r="DB8" s="868"/>
      <c r="DC8" s="868"/>
      <c r="DD8" s="868"/>
      <c r="DE8" s="868"/>
      <c r="DF8" s="868"/>
      <c r="DG8" s="868"/>
      <c r="DH8" s="869"/>
    </row>
    <row r="9" spans="1:174" s="2" customFormat="1" x14ac:dyDescent="0.2">
      <c r="A9" s="854" t="s">
        <v>74</v>
      </c>
      <c r="B9" s="855"/>
      <c r="C9" s="855"/>
      <c r="D9" s="856"/>
      <c r="E9" s="215">
        <v>257</v>
      </c>
      <c r="F9" s="216">
        <v>16</v>
      </c>
      <c r="G9" s="735">
        <v>0</v>
      </c>
      <c r="H9" s="736">
        <v>0</v>
      </c>
      <c r="I9" s="736">
        <v>0</v>
      </c>
      <c r="J9" s="736">
        <v>0</v>
      </c>
      <c r="K9" s="736">
        <v>5</v>
      </c>
      <c r="L9" s="736">
        <v>8</v>
      </c>
      <c r="M9" s="736">
        <v>39</v>
      </c>
      <c r="N9" s="736">
        <v>0</v>
      </c>
      <c r="O9" s="736">
        <v>0</v>
      </c>
      <c r="P9" s="736">
        <v>0</v>
      </c>
      <c r="Q9" s="736">
        <v>0</v>
      </c>
      <c r="R9" s="736">
        <v>0</v>
      </c>
      <c r="S9" s="736">
        <v>0</v>
      </c>
      <c r="T9" s="736">
        <v>0</v>
      </c>
      <c r="U9" s="736">
        <v>0</v>
      </c>
      <c r="V9" s="736">
        <v>0</v>
      </c>
      <c r="W9" s="736">
        <v>0</v>
      </c>
      <c r="X9" s="736">
        <v>0</v>
      </c>
      <c r="Y9" s="736">
        <v>26</v>
      </c>
      <c r="Z9" s="737">
        <v>0</v>
      </c>
      <c r="AA9" s="737">
        <v>0</v>
      </c>
      <c r="AB9" s="737">
        <v>19</v>
      </c>
      <c r="AC9" s="737">
        <v>0</v>
      </c>
      <c r="AD9" s="737">
        <v>0</v>
      </c>
      <c r="AE9" s="737">
        <v>4</v>
      </c>
      <c r="AF9" s="737">
        <v>0</v>
      </c>
      <c r="AG9" s="737">
        <v>70</v>
      </c>
      <c r="AH9" s="737">
        <v>0</v>
      </c>
      <c r="AI9" s="737">
        <v>0</v>
      </c>
      <c r="AJ9" s="737">
        <v>0</v>
      </c>
      <c r="AK9" s="737">
        <v>0</v>
      </c>
      <c r="AL9" s="737">
        <v>0</v>
      </c>
      <c r="AM9" s="737">
        <v>0</v>
      </c>
      <c r="AN9" s="737">
        <v>0</v>
      </c>
      <c r="AO9" s="737">
        <v>0</v>
      </c>
      <c r="AP9" s="737">
        <v>22</v>
      </c>
      <c r="AQ9" s="737">
        <v>0</v>
      </c>
      <c r="AR9" s="737">
        <v>0</v>
      </c>
      <c r="AS9" s="737">
        <v>0</v>
      </c>
      <c r="AT9" s="738">
        <v>0</v>
      </c>
      <c r="AU9" s="737">
        <v>40</v>
      </c>
      <c r="AV9" s="737">
        <v>0</v>
      </c>
      <c r="AW9" s="737">
        <v>0</v>
      </c>
      <c r="AX9" s="737">
        <v>0</v>
      </c>
      <c r="AY9" s="737">
        <v>0</v>
      </c>
      <c r="AZ9" s="737">
        <v>24</v>
      </c>
      <c r="BA9" s="737">
        <v>0</v>
      </c>
      <c r="BB9" s="737">
        <v>0</v>
      </c>
      <c r="BC9" s="737">
        <v>0</v>
      </c>
      <c r="BD9" s="737">
        <v>0</v>
      </c>
      <c r="BE9" s="737">
        <v>0</v>
      </c>
      <c r="BF9" s="737">
        <v>0</v>
      </c>
      <c r="BG9" s="737">
        <v>0</v>
      </c>
      <c r="BH9" s="737">
        <v>0</v>
      </c>
      <c r="BI9" s="737">
        <v>0</v>
      </c>
      <c r="BJ9" s="737">
        <v>0</v>
      </c>
      <c r="BK9" s="737">
        <v>0</v>
      </c>
      <c r="BL9" s="737">
        <v>0</v>
      </c>
      <c r="BM9" s="737">
        <v>0</v>
      </c>
      <c r="BN9" s="737">
        <v>0</v>
      </c>
      <c r="BO9" s="737">
        <v>0</v>
      </c>
      <c r="BP9" s="737">
        <v>0</v>
      </c>
      <c r="BQ9" s="737">
        <v>0</v>
      </c>
      <c r="BR9" s="737">
        <v>0</v>
      </c>
      <c r="BS9" s="737">
        <v>0</v>
      </c>
      <c r="BT9" s="739">
        <v>0</v>
      </c>
      <c r="BU9" s="737">
        <v>0</v>
      </c>
      <c r="BV9" s="737">
        <v>0</v>
      </c>
      <c r="BW9" s="737">
        <v>0</v>
      </c>
      <c r="BX9" s="737">
        <v>0</v>
      </c>
      <c r="BY9" s="737">
        <v>0</v>
      </c>
      <c r="BZ9" s="737">
        <v>0</v>
      </c>
      <c r="CA9" s="737">
        <v>0</v>
      </c>
      <c r="CB9" s="737">
        <v>0</v>
      </c>
      <c r="CC9" s="737">
        <v>0</v>
      </c>
      <c r="CD9" s="737">
        <v>0</v>
      </c>
      <c r="CE9" s="737">
        <v>0</v>
      </c>
      <c r="CF9" s="737">
        <v>0</v>
      </c>
      <c r="CG9" s="737">
        <v>0</v>
      </c>
      <c r="CH9" s="737">
        <v>0</v>
      </c>
      <c r="CI9" s="737">
        <v>0</v>
      </c>
      <c r="CJ9" s="737">
        <v>0</v>
      </c>
      <c r="CK9" s="737">
        <v>0</v>
      </c>
      <c r="CL9" s="737">
        <v>0</v>
      </c>
      <c r="CM9" s="737">
        <v>0</v>
      </c>
      <c r="CN9" s="737">
        <v>0</v>
      </c>
      <c r="CO9" s="737">
        <v>0</v>
      </c>
      <c r="CP9" s="737">
        <v>0</v>
      </c>
      <c r="CQ9" s="737">
        <v>0</v>
      </c>
      <c r="CR9" s="737">
        <v>0</v>
      </c>
      <c r="CS9" s="737">
        <v>0</v>
      </c>
      <c r="CT9" s="738">
        <v>0</v>
      </c>
      <c r="CU9" s="737">
        <v>0</v>
      </c>
      <c r="CV9" s="737">
        <v>0</v>
      </c>
      <c r="CW9" s="737">
        <v>0</v>
      </c>
      <c r="CX9" s="737">
        <v>0</v>
      </c>
      <c r="CY9" s="737">
        <v>0</v>
      </c>
      <c r="CZ9" s="737">
        <v>0</v>
      </c>
      <c r="DA9" s="737">
        <v>0</v>
      </c>
      <c r="DB9" s="737">
        <v>0</v>
      </c>
      <c r="DC9" s="737">
        <v>0</v>
      </c>
      <c r="DD9" s="737">
        <v>0</v>
      </c>
      <c r="DE9" s="737">
        <v>0</v>
      </c>
      <c r="DF9" s="737">
        <v>0</v>
      </c>
      <c r="DG9" s="738">
        <v>0</v>
      </c>
      <c r="DH9" s="737">
        <v>0</v>
      </c>
      <c r="DI9" s="737">
        <v>0</v>
      </c>
      <c r="DJ9" s="737">
        <v>0</v>
      </c>
      <c r="DK9" s="737">
        <v>0</v>
      </c>
      <c r="DL9" s="737">
        <v>0</v>
      </c>
      <c r="DM9" s="737">
        <v>0</v>
      </c>
      <c r="DN9" s="737">
        <v>0</v>
      </c>
      <c r="DO9" s="737">
        <v>0</v>
      </c>
      <c r="DP9" s="737">
        <v>0</v>
      </c>
      <c r="DQ9" s="737">
        <v>0</v>
      </c>
      <c r="DR9" s="737">
        <v>0</v>
      </c>
      <c r="DS9" s="737">
        <v>0</v>
      </c>
      <c r="DT9" s="737">
        <v>0</v>
      </c>
      <c r="DU9" s="737">
        <v>0</v>
      </c>
      <c r="DV9" s="737">
        <v>0</v>
      </c>
      <c r="DW9" s="737">
        <v>0</v>
      </c>
      <c r="DX9" s="737">
        <v>0</v>
      </c>
      <c r="DY9" s="737">
        <v>0</v>
      </c>
      <c r="DZ9" s="737">
        <v>0</v>
      </c>
      <c r="EA9" s="737">
        <v>0</v>
      </c>
      <c r="EB9" s="737">
        <v>0</v>
      </c>
      <c r="EC9" s="737">
        <v>0</v>
      </c>
      <c r="ED9" s="737">
        <v>0</v>
      </c>
      <c r="EE9" s="737">
        <v>0</v>
      </c>
      <c r="EF9" s="737">
        <v>0</v>
      </c>
      <c r="EG9" s="737">
        <v>16</v>
      </c>
      <c r="EH9" s="737">
        <v>0</v>
      </c>
      <c r="EI9" s="737">
        <v>0</v>
      </c>
      <c r="EJ9" s="737">
        <v>0</v>
      </c>
      <c r="EK9" s="737">
        <v>0</v>
      </c>
      <c r="EL9" s="737">
        <v>0</v>
      </c>
      <c r="EM9" s="737">
        <v>0</v>
      </c>
      <c r="EN9" s="737">
        <v>0</v>
      </c>
      <c r="EO9" s="737">
        <v>0</v>
      </c>
      <c r="EP9" s="737"/>
      <c r="EQ9" s="737">
        <v>0</v>
      </c>
      <c r="ER9" s="737">
        <v>0</v>
      </c>
      <c r="ES9" s="737">
        <v>0</v>
      </c>
      <c r="ET9" s="737">
        <v>0</v>
      </c>
      <c r="EU9" s="737">
        <v>0</v>
      </c>
      <c r="EV9" s="737">
        <v>0</v>
      </c>
      <c r="EW9" s="737">
        <v>0</v>
      </c>
      <c r="EX9" s="737">
        <v>0</v>
      </c>
      <c r="EY9" s="738">
        <v>0</v>
      </c>
      <c r="EZ9" s="737">
        <v>0</v>
      </c>
      <c r="FA9" s="737">
        <v>0</v>
      </c>
      <c r="FB9" s="737">
        <v>0</v>
      </c>
      <c r="FC9" s="737">
        <v>0</v>
      </c>
      <c r="FD9" s="738">
        <v>0</v>
      </c>
      <c r="FE9" s="737">
        <v>0</v>
      </c>
      <c r="FF9" s="737">
        <v>0</v>
      </c>
      <c r="FG9" s="737">
        <v>0</v>
      </c>
      <c r="FH9" s="737">
        <v>0</v>
      </c>
      <c r="FI9" s="737">
        <v>0</v>
      </c>
      <c r="FJ9" s="737">
        <v>0</v>
      </c>
      <c r="FK9" s="737">
        <v>0</v>
      </c>
      <c r="FL9" s="737">
        <v>0</v>
      </c>
      <c r="FM9" s="737">
        <v>0</v>
      </c>
      <c r="FN9" s="737">
        <v>0</v>
      </c>
      <c r="FO9" s="737">
        <v>0</v>
      </c>
      <c r="FP9" s="737">
        <v>32</v>
      </c>
      <c r="FQ9" s="737">
        <v>0</v>
      </c>
      <c r="FR9" s="740">
        <v>0</v>
      </c>
    </row>
    <row r="10" spans="1:174" s="2" customFormat="1" ht="15.75" thickBot="1" x14ac:dyDescent="0.25">
      <c r="A10" s="857" t="s">
        <v>109</v>
      </c>
      <c r="B10" s="858"/>
      <c r="C10" s="858"/>
      <c r="D10" s="859"/>
      <c r="E10" s="217">
        <v>117</v>
      </c>
      <c r="F10" s="218">
        <v>0</v>
      </c>
      <c r="G10" s="219">
        <v>0</v>
      </c>
      <c r="H10" s="219">
        <v>0</v>
      </c>
      <c r="I10" s="219">
        <v>0</v>
      </c>
      <c r="J10" s="219">
        <v>0</v>
      </c>
      <c r="K10" s="219">
        <v>0</v>
      </c>
      <c r="L10" s="219">
        <v>0</v>
      </c>
      <c r="M10" s="219">
        <v>0</v>
      </c>
      <c r="N10" s="219">
        <v>0</v>
      </c>
      <c r="O10" s="219">
        <v>0</v>
      </c>
      <c r="P10" s="219">
        <v>0</v>
      </c>
      <c r="Q10" s="219">
        <v>0</v>
      </c>
      <c r="R10" s="219">
        <v>0</v>
      </c>
      <c r="S10" s="219">
        <v>0</v>
      </c>
      <c r="T10" s="219">
        <v>0</v>
      </c>
      <c r="U10" s="219">
        <v>0</v>
      </c>
      <c r="V10" s="219">
        <v>0</v>
      </c>
      <c r="W10" s="219">
        <v>0</v>
      </c>
      <c r="X10" s="219">
        <v>0</v>
      </c>
      <c r="Y10" s="219">
        <v>0</v>
      </c>
      <c r="Z10" s="219">
        <v>28</v>
      </c>
      <c r="AA10" s="219">
        <v>0</v>
      </c>
      <c r="AB10" s="219">
        <v>11</v>
      </c>
      <c r="AC10" s="219">
        <v>0</v>
      </c>
      <c r="AD10" s="219">
        <v>0</v>
      </c>
      <c r="AE10" s="219">
        <v>4</v>
      </c>
      <c r="AF10" s="219">
        <v>0</v>
      </c>
      <c r="AG10" s="219">
        <v>0</v>
      </c>
      <c r="AH10" s="219">
        <v>0</v>
      </c>
      <c r="AI10" s="219">
        <v>0</v>
      </c>
      <c r="AJ10" s="219">
        <v>0</v>
      </c>
      <c r="AK10" s="219">
        <v>0</v>
      </c>
      <c r="AL10" s="219">
        <v>0</v>
      </c>
      <c r="AM10" s="219">
        <v>0</v>
      </c>
      <c r="AN10" s="219">
        <v>0</v>
      </c>
      <c r="AO10" s="219">
        <v>0</v>
      </c>
      <c r="AP10" s="219">
        <v>11</v>
      </c>
      <c r="AQ10" s="219">
        <v>0</v>
      </c>
      <c r="AR10" s="219">
        <v>0</v>
      </c>
      <c r="AS10" s="219">
        <v>0</v>
      </c>
      <c r="AT10" s="219">
        <v>0</v>
      </c>
      <c r="AU10" s="219">
        <v>39</v>
      </c>
      <c r="AV10" s="219">
        <v>0</v>
      </c>
      <c r="AW10" s="219">
        <v>0</v>
      </c>
      <c r="AX10" s="219">
        <v>0</v>
      </c>
      <c r="AY10" s="219">
        <v>0</v>
      </c>
      <c r="AZ10" s="219">
        <v>24</v>
      </c>
      <c r="BA10" s="219">
        <v>0</v>
      </c>
      <c r="BB10" s="219">
        <v>0</v>
      </c>
      <c r="BC10" s="219">
        <v>0</v>
      </c>
      <c r="BD10" s="219">
        <v>0</v>
      </c>
      <c r="BE10" s="219">
        <v>0</v>
      </c>
      <c r="BF10" s="219">
        <v>0</v>
      </c>
      <c r="BG10" s="219">
        <v>0</v>
      </c>
      <c r="BH10" s="219">
        <v>0</v>
      </c>
      <c r="BI10" s="219">
        <v>0</v>
      </c>
      <c r="BJ10" s="219">
        <v>0</v>
      </c>
      <c r="BK10" s="219">
        <v>0</v>
      </c>
      <c r="BL10" s="219">
        <v>0</v>
      </c>
      <c r="BM10" s="219">
        <v>0</v>
      </c>
      <c r="BN10" s="219">
        <v>0</v>
      </c>
      <c r="BO10" s="219">
        <v>0</v>
      </c>
      <c r="BP10" s="219">
        <v>0</v>
      </c>
      <c r="BQ10" s="219">
        <v>0</v>
      </c>
      <c r="BR10" s="219">
        <v>0</v>
      </c>
      <c r="BS10" s="219">
        <v>0</v>
      </c>
      <c r="BT10" s="219">
        <v>0</v>
      </c>
      <c r="BU10" s="219">
        <v>0</v>
      </c>
      <c r="BV10" s="219">
        <v>0</v>
      </c>
      <c r="BW10" s="219">
        <v>0</v>
      </c>
      <c r="BX10" s="219">
        <v>0</v>
      </c>
      <c r="BY10" s="219">
        <v>0</v>
      </c>
      <c r="BZ10" s="219">
        <v>0</v>
      </c>
      <c r="CA10" s="219">
        <v>0</v>
      </c>
      <c r="CB10" s="219">
        <v>0</v>
      </c>
      <c r="CC10" s="219">
        <v>0</v>
      </c>
      <c r="CD10" s="219">
        <v>0</v>
      </c>
      <c r="CE10" s="219">
        <v>0</v>
      </c>
      <c r="CF10" s="219">
        <v>0</v>
      </c>
      <c r="CG10" s="219">
        <v>0</v>
      </c>
      <c r="CH10" s="219">
        <v>0</v>
      </c>
      <c r="CI10" s="219">
        <v>0</v>
      </c>
      <c r="CJ10" s="219">
        <v>0</v>
      </c>
      <c r="CK10" s="219">
        <v>0</v>
      </c>
      <c r="CL10" s="219">
        <v>0</v>
      </c>
      <c r="CM10" s="219">
        <v>0</v>
      </c>
      <c r="CN10" s="219">
        <v>0</v>
      </c>
      <c r="CO10" s="219">
        <v>0</v>
      </c>
      <c r="CP10" s="219">
        <v>0</v>
      </c>
      <c r="CQ10" s="219">
        <v>0</v>
      </c>
      <c r="CR10" s="219">
        <v>0</v>
      </c>
      <c r="CS10" s="219">
        <v>0</v>
      </c>
      <c r="CT10" s="219">
        <v>0</v>
      </c>
      <c r="CU10" s="220">
        <v>0</v>
      </c>
      <c r="CV10" s="219">
        <v>0</v>
      </c>
      <c r="CW10" s="219">
        <v>0</v>
      </c>
      <c r="CX10" s="219">
        <v>0</v>
      </c>
      <c r="CY10" s="219">
        <v>0</v>
      </c>
      <c r="CZ10" s="219">
        <v>0</v>
      </c>
      <c r="DA10" s="219">
        <v>0</v>
      </c>
      <c r="DB10" s="219">
        <v>0</v>
      </c>
      <c r="DC10" s="219">
        <v>0</v>
      </c>
      <c r="DD10" s="219">
        <v>0</v>
      </c>
      <c r="DE10" s="219">
        <v>0</v>
      </c>
      <c r="DF10" s="219">
        <v>0</v>
      </c>
      <c r="DG10" s="219">
        <v>0</v>
      </c>
      <c r="DH10" s="221">
        <v>0</v>
      </c>
      <c r="DI10" s="221">
        <v>0</v>
      </c>
      <c r="DJ10" s="221">
        <v>0</v>
      </c>
      <c r="DK10" s="221">
        <v>0</v>
      </c>
      <c r="DL10" s="221">
        <v>0</v>
      </c>
      <c r="DM10" s="221">
        <v>0</v>
      </c>
      <c r="DN10" s="221">
        <v>0</v>
      </c>
      <c r="DO10" s="221">
        <v>0</v>
      </c>
      <c r="DP10" s="221">
        <v>0</v>
      </c>
      <c r="DQ10" s="221">
        <v>0</v>
      </c>
      <c r="DR10" s="221">
        <v>0</v>
      </c>
      <c r="DS10" s="221">
        <v>0</v>
      </c>
      <c r="DT10" s="221">
        <v>0</v>
      </c>
      <c r="DU10" s="221">
        <v>0</v>
      </c>
      <c r="DV10" s="221">
        <v>0</v>
      </c>
      <c r="DW10" s="221">
        <v>0</v>
      </c>
      <c r="DX10" s="221">
        <v>0</v>
      </c>
      <c r="DY10" s="221">
        <v>0</v>
      </c>
      <c r="DZ10" s="221">
        <v>0</v>
      </c>
      <c r="EA10" s="221">
        <v>0</v>
      </c>
      <c r="EB10" s="221">
        <v>0</v>
      </c>
      <c r="EC10" s="221">
        <v>0</v>
      </c>
      <c r="ED10" s="221">
        <v>0</v>
      </c>
      <c r="EE10" s="221">
        <v>0</v>
      </c>
      <c r="EF10" s="221">
        <v>0</v>
      </c>
      <c r="EG10" s="221">
        <v>0</v>
      </c>
      <c r="EH10" s="221">
        <v>0</v>
      </c>
      <c r="EI10" s="221">
        <v>0</v>
      </c>
      <c r="EJ10" s="221">
        <v>0</v>
      </c>
      <c r="EK10" s="221">
        <v>0</v>
      </c>
      <c r="EL10" s="221">
        <v>0</v>
      </c>
      <c r="EM10" s="221">
        <v>0</v>
      </c>
      <c r="EN10" s="221">
        <v>0</v>
      </c>
      <c r="EO10" s="221">
        <v>0</v>
      </c>
    </row>
    <row r="11" spans="1:174" s="2" customFormat="1" ht="15.75" thickBot="1" x14ac:dyDescent="0.25">
      <c r="A11" s="844" t="s">
        <v>110</v>
      </c>
      <c r="B11" s="845"/>
      <c r="C11" s="845"/>
      <c r="D11" s="845"/>
      <c r="E11" s="222">
        <f>SUM(E9:E10)</f>
        <v>374</v>
      </c>
      <c r="F11" s="223">
        <f>SUM(F9:F10)</f>
        <v>16</v>
      </c>
      <c r="G11" s="224">
        <f>SUM(G9:G10)</f>
        <v>0</v>
      </c>
      <c r="H11" s="224">
        <f t="shared" ref="H11:BT11" si="0">SUM(H9:H10)</f>
        <v>0</v>
      </c>
      <c r="I11" s="224">
        <f t="shared" si="0"/>
        <v>0</v>
      </c>
      <c r="J11" s="224">
        <f t="shared" si="0"/>
        <v>0</v>
      </c>
      <c r="K11" s="224">
        <f t="shared" si="0"/>
        <v>5</v>
      </c>
      <c r="L11" s="224">
        <f t="shared" si="0"/>
        <v>8</v>
      </c>
      <c r="M11" s="224">
        <f t="shared" si="0"/>
        <v>39</v>
      </c>
      <c r="N11" s="224">
        <f t="shared" si="0"/>
        <v>0</v>
      </c>
      <c r="O11" s="224">
        <f t="shared" si="0"/>
        <v>0</v>
      </c>
      <c r="P11" s="224">
        <f t="shared" si="0"/>
        <v>0</v>
      </c>
      <c r="Q11" s="224">
        <f t="shared" si="0"/>
        <v>0</v>
      </c>
      <c r="R11" s="224">
        <f t="shared" si="0"/>
        <v>0</v>
      </c>
      <c r="S11" s="224">
        <f t="shared" si="0"/>
        <v>0</v>
      </c>
      <c r="T11" s="224">
        <f t="shared" si="0"/>
        <v>0</v>
      </c>
      <c r="U11" s="224">
        <f t="shared" si="0"/>
        <v>0</v>
      </c>
      <c r="V11" s="224">
        <f t="shared" si="0"/>
        <v>0</v>
      </c>
      <c r="W11" s="224">
        <f t="shared" si="0"/>
        <v>0</v>
      </c>
      <c r="X11" s="224">
        <f t="shared" si="0"/>
        <v>0</v>
      </c>
      <c r="Y11" s="224">
        <f t="shared" ref="Y11:Z11" si="1">SUM(Y9:Y10)</f>
        <v>26</v>
      </c>
      <c r="Z11" s="224">
        <f t="shared" si="1"/>
        <v>28</v>
      </c>
      <c r="AA11" s="224">
        <f t="shared" si="0"/>
        <v>0</v>
      </c>
      <c r="AB11" s="224">
        <f t="shared" si="0"/>
        <v>30</v>
      </c>
      <c r="AC11" s="224">
        <f t="shared" si="0"/>
        <v>0</v>
      </c>
      <c r="AD11" s="224">
        <f t="shared" si="0"/>
        <v>0</v>
      </c>
      <c r="AE11" s="224">
        <f t="shared" si="0"/>
        <v>8</v>
      </c>
      <c r="AF11" s="224">
        <f t="shared" si="0"/>
        <v>0</v>
      </c>
      <c r="AG11" s="224">
        <f t="shared" si="0"/>
        <v>70</v>
      </c>
      <c r="AH11" s="224">
        <f t="shared" si="0"/>
        <v>0</v>
      </c>
      <c r="AI11" s="224">
        <f t="shared" si="0"/>
        <v>0</v>
      </c>
      <c r="AJ11" s="224">
        <f t="shared" si="0"/>
        <v>0</v>
      </c>
      <c r="AK11" s="224">
        <f t="shared" si="0"/>
        <v>0</v>
      </c>
      <c r="AL11" s="224">
        <f t="shared" si="0"/>
        <v>0</v>
      </c>
      <c r="AM11" s="224">
        <f t="shared" si="0"/>
        <v>0</v>
      </c>
      <c r="AN11" s="224">
        <f t="shared" si="0"/>
        <v>0</v>
      </c>
      <c r="AO11" s="224">
        <f t="shared" si="0"/>
        <v>0</v>
      </c>
      <c r="AP11" s="224">
        <f t="shared" si="0"/>
        <v>33</v>
      </c>
      <c r="AQ11" s="224">
        <f t="shared" si="0"/>
        <v>0</v>
      </c>
      <c r="AR11" s="224">
        <f t="shared" si="0"/>
        <v>0</v>
      </c>
      <c r="AS11" s="224">
        <f t="shared" si="0"/>
        <v>0</v>
      </c>
      <c r="AT11" s="224">
        <f t="shared" si="0"/>
        <v>0</v>
      </c>
      <c r="AU11" s="224">
        <f t="shared" si="0"/>
        <v>79</v>
      </c>
      <c r="AV11" s="224">
        <f t="shared" si="0"/>
        <v>0</v>
      </c>
      <c r="AW11" s="224">
        <f t="shared" si="0"/>
        <v>0</v>
      </c>
      <c r="AX11" s="224">
        <f t="shared" si="0"/>
        <v>0</v>
      </c>
      <c r="AY11" s="224">
        <f t="shared" si="0"/>
        <v>0</v>
      </c>
      <c r="AZ11" s="224">
        <f t="shared" si="0"/>
        <v>48</v>
      </c>
      <c r="BA11" s="224">
        <f t="shared" si="0"/>
        <v>0</v>
      </c>
      <c r="BB11" s="224">
        <f t="shared" si="0"/>
        <v>0</v>
      </c>
      <c r="BC11" s="224">
        <f t="shared" si="0"/>
        <v>0</v>
      </c>
      <c r="BD11" s="224">
        <f t="shared" si="0"/>
        <v>0</v>
      </c>
      <c r="BE11" s="224">
        <f t="shared" si="0"/>
        <v>0</v>
      </c>
      <c r="BF11" s="224">
        <f t="shared" si="0"/>
        <v>0</v>
      </c>
      <c r="BG11" s="224">
        <f t="shared" si="0"/>
        <v>0</v>
      </c>
      <c r="BH11" s="224">
        <f t="shared" si="0"/>
        <v>0</v>
      </c>
      <c r="BI11" s="224">
        <f t="shared" si="0"/>
        <v>0</v>
      </c>
      <c r="BJ11" s="224">
        <f t="shared" si="0"/>
        <v>0</v>
      </c>
      <c r="BK11" s="224">
        <f t="shared" si="0"/>
        <v>0</v>
      </c>
      <c r="BL11" s="224">
        <f t="shared" si="0"/>
        <v>0</v>
      </c>
      <c r="BM11" s="224">
        <f t="shared" si="0"/>
        <v>0</v>
      </c>
      <c r="BN11" s="224">
        <f t="shared" si="0"/>
        <v>0</v>
      </c>
      <c r="BO11" s="224">
        <f t="shared" si="0"/>
        <v>0</v>
      </c>
      <c r="BP11" s="224">
        <f t="shared" si="0"/>
        <v>0</v>
      </c>
      <c r="BQ11" s="224">
        <f t="shared" si="0"/>
        <v>0</v>
      </c>
      <c r="BR11" s="224">
        <f t="shared" si="0"/>
        <v>0</v>
      </c>
      <c r="BS11" s="224">
        <f t="shared" si="0"/>
        <v>0</v>
      </c>
      <c r="BT11" s="224">
        <f t="shared" si="0"/>
        <v>0</v>
      </c>
      <c r="BU11" s="224">
        <f t="shared" ref="BU11:DH11" si="2">SUM(BU9:BU10)</f>
        <v>0</v>
      </c>
      <c r="BV11" s="224">
        <f t="shared" si="2"/>
        <v>0</v>
      </c>
      <c r="BW11" s="224">
        <f t="shared" si="2"/>
        <v>0</v>
      </c>
      <c r="BX11" s="224">
        <f t="shared" si="2"/>
        <v>0</v>
      </c>
      <c r="BY11" s="224">
        <f t="shared" si="2"/>
        <v>0</v>
      </c>
      <c r="BZ11" s="224">
        <f t="shared" si="2"/>
        <v>0</v>
      </c>
      <c r="CA11" s="224">
        <f t="shared" si="2"/>
        <v>0</v>
      </c>
      <c r="CB11" s="224">
        <f t="shared" si="2"/>
        <v>0</v>
      </c>
      <c r="CC11" s="224">
        <f t="shared" si="2"/>
        <v>0</v>
      </c>
      <c r="CD11" s="224">
        <f t="shared" si="2"/>
        <v>0</v>
      </c>
      <c r="CE11" s="224">
        <f t="shared" si="2"/>
        <v>0</v>
      </c>
      <c r="CF11" s="224">
        <f t="shared" si="2"/>
        <v>0</v>
      </c>
      <c r="CG11" s="224">
        <f t="shared" si="2"/>
        <v>0</v>
      </c>
      <c r="CH11" s="224">
        <f t="shared" si="2"/>
        <v>0</v>
      </c>
      <c r="CI11" s="224">
        <f t="shared" si="2"/>
        <v>0</v>
      </c>
      <c r="CJ11" s="224">
        <f t="shared" si="2"/>
        <v>0</v>
      </c>
      <c r="CK11" s="224">
        <f t="shared" si="2"/>
        <v>0</v>
      </c>
      <c r="CL11" s="224">
        <f t="shared" si="2"/>
        <v>0</v>
      </c>
      <c r="CM11" s="224">
        <f t="shared" si="2"/>
        <v>0</v>
      </c>
      <c r="CN11" s="224">
        <f t="shared" si="2"/>
        <v>0</v>
      </c>
      <c r="CO11" s="224">
        <f t="shared" si="2"/>
        <v>0</v>
      </c>
      <c r="CP11" s="224">
        <f t="shared" si="2"/>
        <v>0</v>
      </c>
      <c r="CQ11" s="224">
        <f t="shared" si="2"/>
        <v>0</v>
      </c>
      <c r="CR11" s="224">
        <f t="shared" si="2"/>
        <v>0</v>
      </c>
      <c r="CS11" s="224">
        <f t="shared" si="2"/>
        <v>0</v>
      </c>
      <c r="CT11" s="224">
        <f t="shared" si="2"/>
        <v>0</v>
      </c>
      <c r="CU11" s="224">
        <f t="shared" si="2"/>
        <v>0</v>
      </c>
      <c r="CV11" s="224">
        <f t="shared" si="2"/>
        <v>0</v>
      </c>
      <c r="CW11" s="224">
        <f t="shared" si="2"/>
        <v>0</v>
      </c>
      <c r="CX11" s="224">
        <f t="shared" si="2"/>
        <v>0</v>
      </c>
      <c r="CY11" s="224">
        <f t="shared" si="2"/>
        <v>0</v>
      </c>
      <c r="CZ11" s="224">
        <f t="shared" si="2"/>
        <v>0</v>
      </c>
      <c r="DA11" s="224">
        <f t="shared" si="2"/>
        <v>0</v>
      </c>
      <c r="DB11" s="224">
        <f t="shared" si="2"/>
        <v>0</v>
      </c>
      <c r="DC11" s="224">
        <f t="shared" si="2"/>
        <v>0</v>
      </c>
      <c r="DD11" s="224">
        <f t="shared" si="2"/>
        <v>0</v>
      </c>
      <c r="DE11" s="224">
        <f t="shared" si="2"/>
        <v>0</v>
      </c>
      <c r="DF11" s="224">
        <f t="shared" si="2"/>
        <v>0</v>
      </c>
      <c r="DG11" s="224">
        <f t="shared" si="2"/>
        <v>0</v>
      </c>
      <c r="DH11" s="224">
        <f t="shared" si="2"/>
        <v>0</v>
      </c>
      <c r="DI11" s="224"/>
      <c r="DJ11" s="224"/>
      <c r="DK11" s="224"/>
      <c r="DL11" s="224"/>
      <c r="DM11" s="224"/>
      <c r="DN11" s="224"/>
      <c r="DO11" s="224"/>
      <c r="DP11" s="224"/>
      <c r="DQ11" s="224"/>
      <c r="DR11" s="224"/>
      <c r="DS11" s="224"/>
      <c r="DT11" s="224"/>
      <c r="DU11" s="224"/>
      <c r="DV11" s="224"/>
      <c r="DW11" s="224"/>
      <c r="DX11" s="224"/>
      <c r="DY11" s="224"/>
      <c r="DZ11" s="224"/>
      <c r="EA11" s="224"/>
      <c r="EB11" s="224"/>
      <c r="EC11" s="224"/>
      <c r="ED11" s="224"/>
      <c r="EE11" s="224"/>
      <c r="EF11" s="224"/>
      <c r="EG11" s="224"/>
      <c r="EH11" s="224"/>
      <c r="EI11" s="224"/>
      <c r="EJ11" s="224"/>
      <c r="EK11" s="224"/>
      <c r="EL11" s="224"/>
      <c r="EM11" s="224"/>
      <c r="EN11" s="224"/>
      <c r="EO11" s="224"/>
    </row>
    <row r="12" spans="1:174" s="2" customFormat="1" ht="14.45" customHeight="1" thickBot="1" x14ac:dyDescent="0.25">
      <c r="A12" s="230" t="s">
        <v>613</v>
      </c>
      <c r="B12" s="232">
        <f>+B8+7</f>
        <v>45607</v>
      </c>
      <c r="C12" s="231" t="s">
        <v>614</v>
      </c>
      <c r="D12" s="233">
        <f>+D8+7</f>
        <v>45611</v>
      </c>
      <c r="E12" s="213" t="s">
        <v>102</v>
      </c>
      <c r="F12" s="214" t="s">
        <v>103</v>
      </c>
      <c r="G12" s="219"/>
      <c r="H12" s="219"/>
      <c r="I12" s="219"/>
      <c r="J12" s="219"/>
      <c r="K12" s="219"/>
      <c r="L12" s="219"/>
      <c r="M12" s="219"/>
      <c r="N12" s="219"/>
      <c r="O12" s="219"/>
      <c r="P12" s="219"/>
      <c r="Q12" s="219"/>
      <c r="R12" s="219"/>
      <c r="S12" s="219"/>
      <c r="T12" s="219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19"/>
      <c r="AI12" s="219"/>
      <c r="AJ12" s="219"/>
      <c r="AK12" s="219"/>
      <c r="AL12" s="219"/>
      <c r="AM12" s="219"/>
      <c r="AN12" s="219"/>
      <c r="AO12" s="219"/>
      <c r="AP12" s="219"/>
      <c r="AQ12" s="219"/>
      <c r="AR12" s="219"/>
      <c r="AS12" s="219"/>
      <c r="AT12" s="219"/>
      <c r="AU12" s="219"/>
      <c r="AV12" s="219"/>
      <c r="AW12" s="219"/>
      <c r="AX12" s="219"/>
      <c r="AY12" s="219"/>
      <c r="AZ12" s="219"/>
      <c r="BA12" s="219"/>
      <c r="BB12" s="219"/>
      <c r="BC12" s="219"/>
      <c r="BD12" s="219"/>
      <c r="BE12" s="219"/>
      <c r="BF12" s="219"/>
      <c r="BG12" s="219"/>
      <c r="BH12" s="219"/>
      <c r="BI12" s="219"/>
      <c r="BJ12" s="219"/>
      <c r="BK12" s="219"/>
      <c r="BL12" s="219"/>
      <c r="BM12" s="219"/>
      <c r="BN12" s="219"/>
      <c r="BO12" s="219"/>
      <c r="BP12" s="219"/>
      <c r="BQ12" s="219"/>
      <c r="BR12" s="219"/>
      <c r="BS12" s="219"/>
      <c r="BT12" s="219"/>
      <c r="BU12" s="219"/>
      <c r="BV12" s="219"/>
      <c r="BW12" s="219"/>
      <c r="BX12" s="219"/>
      <c r="BY12" s="219"/>
      <c r="BZ12" s="219"/>
      <c r="CA12" s="219"/>
      <c r="CB12" s="219"/>
      <c r="CC12" s="219"/>
      <c r="CD12" s="219"/>
      <c r="CE12" s="219"/>
      <c r="CF12" s="219"/>
      <c r="CG12" s="219"/>
      <c r="CH12" s="219"/>
      <c r="CI12" s="219"/>
      <c r="CJ12" s="219"/>
      <c r="CK12" s="219"/>
      <c r="CL12" s="219"/>
      <c r="CM12" s="219"/>
      <c r="CN12" s="219"/>
      <c r="CO12" s="219"/>
      <c r="CP12" s="219"/>
      <c r="CQ12" s="219"/>
      <c r="CR12" s="219"/>
      <c r="CS12" s="219"/>
      <c r="CT12" s="219"/>
      <c r="CU12" s="220"/>
      <c r="CV12" s="219"/>
      <c r="CW12" s="219"/>
      <c r="CX12" s="219"/>
      <c r="CY12" s="219"/>
      <c r="CZ12" s="219"/>
      <c r="DA12" s="219"/>
      <c r="DB12" s="219"/>
      <c r="DC12" s="219"/>
      <c r="DD12" s="219"/>
      <c r="DE12" s="219"/>
      <c r="DF12" s="219"/>
      <c r="DG12" s="219"/>
      <c r="DH12" s="221"/>
      <c r="DI12" s="221"/>
      <c r="DJ12" s="221"/>
      <c r="DK12" s="221"/>
      <c r="DL12" s="221"/>
      <c r="DM12" s="221"/>
      <c r="DN12" s="221"/>
      <c r="DO12" s="221"/>
      <c r="DP12" s="221"/>
      <c r="DQ12" s="221"/>
      <c r="DR12" s="221"/>
      <c r="DS12" s="221"/>
      <c r="DT12" s="221"/>
      <c r="DU12" s="221"/>
      <c r="DV12" s="221"/>
      <c r="DW12" s="221"/>
      <c r="DX12" s="221"/>
      <c r="DY12" s="221"/>
      <c r="DZ12" s="221"/>
      <c r="EA12" s="221"/>
      <c r="EB12" s="221"/>
      <c r="EC12" s="221"/>
      <c r="ED12" s="221"/>
      <c r="EE12" s="221"/>
      <c r="EF12" s="221"/>
      <c r="EG12" s="221"/>
      <c r="EH12" s="221"/>
      <c r="EI12" s="221"/>
      <c r="EJ12" s="221"/>
      <c r="EK12" s="221"/>
      <c r="EL12" s="221"/>
      <c r="EM12" s="221"/>
      <c r="EN12" s="221"/>
      <c r="EO12" s="221"/>
    </row>
    <row r="13" spans="1:174" s="2" customFormat="1" x14ac:dyDescent="0.2">
      <c r="A13" s="854" t="s">
        <v>74</v>
      </c>
      <c r="B13" s="855"/>
      <c r="C13" s="855"/>
      <c r="D13" s="856"/>
      <c r="E13" s="215">
        <v>209</v>
      </c>
      <c r="F13" s="216">
        <v>64</v>
      </c>
      <c r="G13" s="735">
        <v>0</v>
      </c>
      <c r="H13" s="736">
        <v>0</v>
      </c>
      <c r="I13" s="736">
        <v>0</v>
      </c>
      <c r="J13" s="736">
        <v>5</v>
      </c>
      <c r="K13" s="736">
        <v>0</v>
      </c>
      <c r="L13" s="736">
        <v>0</v>
      </c>
      <c r="M13" s="736">
        <v>31</v>
      </c>
      <c r="N13" s="736">
        <v>0</v>
      </c>
      <c r="O13" s="736">
        <v>0</v>
      </c>
      <c r="P13" s="736">
        <v>0</v>
      </c>
      <c r="Q13" s="736">
        <v>0</v>
      </c>
      <c r="R13" s="736">
        <v>0</v>
      </c>
      <c r="S13" s="736">
        <v>0</v>
      </c>
      <c r="T13" s="736">
        <v>0</v>
      </c>
      <c r="U13" s="736">
        <v>0</v>
      </c>
      <c r="V13" s="736">
        <v>0</v>
      </c>
      <c r="W13" s="736">
        <v>0</v>
      </c>
      <c r="X13" s="736">
        <v>0</v>
      </c>
      <c r="Y13" s="736">
        <v>26</v>
      </c>
      <c r="Z13" s="737">
        <v>0</v>
      </c>
      <c r="AA13" s="737">
        <v>0</v>
      </c>
      <c r="AB13" s="737">
        <v>8</v>
      </c>
      <c r="AC13" s="737">
        <v>0</v>
      </c>
      <c r="AD13" s="737">
        <v>19</v>
      </c>
      <c r="AE13" s="737">
        <v>0</v>
      </c>
      <c r="AF13" s="737">
        <v>0</v>
      </c>
      <c r="AG13" s="737">
        <v>54</v>
      </c>
      <c r="AH13" s="737">
        <v>0</v>
      </c>
      <c r="AI13" s="737">
        <v>0</v>
      </c>
      <c r="AJ13" s="737">
        <v>0</v>
      </c>
      <c r="AK13" s="737">
        <v>0</v>
      </c>
      <c r="AL13" s="737">
        <v>0</v>
      </c>
      <c r="AM13" s="737">
        <v>0</v>
      </c>
      <c r="AN13" s="737">
        <v>0</v>
      </c>
      <c r="AO13" s="737">
        <v>0</v>
      </c>
      <c r="AP13" s="737">
        <v>44</v>
      </c>
      <c r="AQ13" s="737">
        <v>0</v>
      </c>
      <c r="AR13" s="737">
        <v>0</v>
      </c>
      <c r="AS13" s="737">
        <v>0</v>
      </c>
      <c r="AT13" s="738">
        <v>0</v>
      </c>
      <c r="AU13" s="737">
        <v>11</v>
      </c>
      <c r="AV13" s="737">
        <v>0</v>
      </c>
      <c r="AW13" s="737">
        <v>0</v>
      </c>
      <c r="AX13" s="737">
        <v>0</v>
      </c>
      <c r="AY13" s="737">
        <v>11</v>
      </c>
      <c r="AZ13" s="737">
        <v>0</v>
      </c>
      <c r="BA13" s="737">
        <v>0</v>
      </c>
      <c r="BB13" s="737">
        <v>0</v>
      </c>
      <c r="BC13" s="737">
        <v>0</v>
      </c>
      <c r="BD13" s="737">
        <v>0</v>
      </c>
      <c r="BE13" s="737">
        <v>0</v>
      </c>
      <c r="BF13" s="737">
        <v>0</v>
      </c>
      <c r="BG13" s="737">
        <v>0</v>
      </c>
      <c r="BH13" s="737">
        <v>0</v>
      </c>
      <c r="BI13" s="219">
        <v>0</v>
      </c>
      <c r="BJ13" s="219">
        <v>0</v>
      </c>
      <c r="BK13" s="219">
        <v>0</v>
      </c>
      <c r="BL13" s="219">
        <v>0</v>
      </c>
      <c r="BM13" s="219">
        <v>0</v>
      </c>
      <c r="BN13" s="219">
        <v>0</v>
      </c>
      <c r="BO13" s="219">
        <v>0</v>
      </c>
      <c r="BP13" s="219">
        <v>0</v>
      </c>
      <c r="BQ13" s="219">
        <v>0</v>
      </c>
      <c r="BR13" s="219">
        <v>0</v>
      </c>
      <c r="BS13" s="219">
        <v>0</v>
      </c>
      <c r="BT13" s="219">
        <v>0</v>
      </c>
      <c r="BU13" s="219">
        <v>0</v>
      </c>
      <c r="BV13" s="219">
        <v>0</v>
      </c>
      <c r="BW13" s="219">
        <v>0</v>
      </c>
      <c r="BX13" s="219">
        <v>0</v>
      </c>
      <c r="BY13" s="219">
        <v>0</v>
      </c>
      <c r="BZ13" s="219">
        <v>0</v>
      </c>
      <c r="CA13" s="219">
        <v>0</v>
      </c>
      <c r="CB13" s="219">
        <v>0</v>
      </c>
      <c r="CC13" s="219">
        <v>0</v>
      </c>
      <c r="CD13" s="219">
        <v>0</v>
      </c>
      <c r="CE13" s="219">
        <v>0</v>
      </c>
      <c r="CF13" s="219">
        <v>0</v>
      </c>
      <c r="CG13" s="219">
        <v>0</v>
      </c>
      <c r="CH13" s="219">
        <v>0</v>
      </c>
      <c r="CI13" s="219">
        <v>0</v>
      </c>
      <c r="CJ13" s="219">
        <v>0</v>
      </c>
      <c r="CK13" s="219">
        <v>0</v>
      </c>
      <c r="CL13" s="219">
        <v>0</v>
      </c>
      <c r="CM13" s="219">
        <v>0</v>
      </c>
      <c r="CN13" s="219">
        <v>0</v>
      </c>
      <c r="CO13" s="219">
        <v>0</v>
      </c>
      <c r="CP13" s="219">
        <v>0</v>
      </c>
      <c r="CQ13" s="219">
        <v>0</v>
      </c>
      <c r="CR13" s="219">
        <v>0</v>
      </c>
      <c r="CS13" s="219">
        <v>0</v>
      </c>
      <c r="CT13" s="219">
        <v>0</v>
      </c>
      <c r="CU13" s="220">
        <v>0</v>
      </c>
      <c r="CV13" s="219">
        <v>0</v>
      </c>
      <c r="CW13" s="219">
        <v>0</v>
      </c>
      <c r="CX13" s="219">
        <v>0</v>
      </c>
      <c r="CY13" s="219">
        <v>0</v>
      </c>
      <c r="CZ13" s="219">
        <v>0</v>
      </c>
      <c r="DA13" s="219">
        <v>0</v>
      </c>
      <c r="DB13" s="219">
        <v>0</v>
      </c>
      <c r="DC13" s="219">
        <v>0</v>
      </c>
      <c r="DD13" s="219">
        <v>0</v>
      </c>
      <c r="DE13" s="219">
        <v>0</v>
      </c>
      <c r="DF13" s="219">
        <v>0</v>
      </c>
      <c r="DG13" s="219">
        <v>0</v>
      </c>
      <c r="DH13" s="221">
        <v>0</v>
      </c>
      <c r="DI13" s="221">
        <v>0</v>
      </c>
      <c r="DJ13" s="221">
        <v>0</v>
      </c>
      <c r="DK13" s="221">
        <v>0</v>
      </c>
      <c r="DL13" s="221">
        <v>0</v>
      </c>
      <c r="DM13" s="221">
        <v>0</v>
      </c>
      <c r="DN13" s="221">
        <v>0</v>
      </c>
      <c r="DO13" s="221">
        <v>0</v>
      </c>
      <c r="DP13" s="221">
        <v>0</v>
      </c>
      <c r="DQ13" s="221">
        <v>0</v>
      </c>
      <c r="DR13" s="221">
        <v>0</v>
      </c>
      <c r="DS13" s="221">
        <v>0</v>
      </c>
      <c r="DT13" s="221">
        <v>0</v>
      </c>
      <c r="DU13" s="221">
        <v>0</v>
      </c>
      <c r="DV13" s="221">
        <v>0</v>
      </c>
      <c r="DW13" s="221">
        <v>0</v>
      </c>
      <c r="DX13" s="221">
        <v>0</v>
      </c>
      <c r="DY13" s="221">
        <v>0</v>
      </c>
      <c r="DZ13" s="221">
        <v>0</v>
      </c>
      <c r="EA13" s="221">
        <v>0</v>
      </c>
      <c r="EB13" s="221">
        <v>0</v>
      </c>
      <c r="EC13" s="221">
        <v>0</v>
      </c>
      <c r="ED13" s="221">
        <v>0</v>
      </c>
      <c r="EE13" s="221">
        <v>0</v>
      </c>
      <c r="EF13" s="221">
        <v>0</v>
      </c>
      <c r="EG13" s="221">
        <v>8</v>
      </c>
      <c r="EH13" s="221">
        <v>0</v>
      </c>
      <c r="EI13" s="221">
        <v>0</v>
      </c>
      <c r="EJ13" s="221">
        <v>0</v>
      </c>
      <c r="EK13" s="221">
        <v>0</v>
      </c>
      <c r="EL13" s="221">
        <v>0</v>
      </c>
      <c r="EM13" s="221">
        <v>0</v>
      </c>
      <c r="EN13" s="221">
        <v>0</v>
      </c>
      <c r="EO13" s="221">
        <v>56</v>
      </c>
    </row>
    <row r="14" spans="1:174" s="2" customFormat="1" ht="15.75" thickBot="1" x14ac:dyDescent="0.25">
      <c r="A14" s="857" t="s">
        <v>109</v>
      </c>
      <c r="B14" s="858"/>
      <c r="C14" s="858"/>
      <c r="D14" s="859"/>
      <c r="E14" s="217">
        <v>85</v>
      </c>
      <c r="F14" s="218">
        <v>32</v>
      </c>
      <c r="G14" s="219">
        <v>0</v>
      </c>
      <c r="H14" s="219">
        <v>0</v>
      </c>
      <c r="I14" s="219">
        <v>0</v>
      </c>
      <c r="J14" s="219">
        <v>0</v>
      </c>
      <c r="K14" s="219">
        <v>0</v>
      </c>
      <c r="L14" s="219">
        <v>0</v>
      </c>
      <c r="M14" s="219">
        <v>0</v>
      </c>
      <c r="N14" s="219">
        <v>0</v>
      </c>
      <c r="O14" s="219">
        <v>0</v>
      </c>
      <c r="P14" s="219">
        <v>0</v>
      </c>
      <c r="Q14" s="219">
        <v>0</v>
      </c>
      <c r="R14" s="219">
        <v>0</v>
      </c>
      <c r="S14" s="219">
        <v>0</v>
      </c>
      <c r="T14" s="219">
        <v>0</v>
      </c>
      <c r="U14" s="219">
        <v>0</v>
      </c>
      <c r="V14" s="219">
        <v>0</v>
      </c>
      <c r="W14" s="219">
        <v>0</v>
      </c>
      <c r="X14" s="219">
        <v>0</v>
      </c>
      <c r="Y14" s="219">
        <v>0</v>
      </c>
      <c r="Z14" s="219">
        <v>23</v>
      </c>
      <c r="AA14" s="219">
        <v>0</v>
      </c>
      <c r="AB14" s="219">
        <v>8</v>
      </c>
      <c r="AC14" s="219">
        <v>0</v>
      </c>
      <c r="AD14" s="219">
        <v>19</v>
      </c>
      <c r="AE14" s="219">
        <v>0</v>
      </c>
      <c r="AF14" s="219">
        <v>0</v>
      </c>
      <c r="AG14" s="219">
        <v>0</v>
      </c>
      <c r="AH14" s="219">
        <v>0</v>
      </c>
      <c r="AI14" s="219">
        <v>0</v>
      </c>
      <c r="AJ14" s="219">
        <v>0</v>
      </c>
      <c r="AK14" s="219">
        <v>0</v>
      </c>
      <c r="AL14" s="219">
        <v>0</v>
      </c>
      <c r="AM14" s="219">
        <v>0</v>
      </c>
      <c r="AN14" s="219">
        <v>0</v>
      </c>
      <c r="AO14" s="219">
        <v>0</v>
      </c>
      <c r="AP14" s="219">
        <v>20</v>
      </c>
      <c r="AQ14" s="219">
        <v>0</v>
      </c>
      <c r="AR14" s="219">
        <v>0</v>
      </c>
      <c r="AS14" s="219">
        <v>0</v>
      </c>
      <c r="AT14" s="219">
        <v>0</v>
      </c>
      <c r="AU14" s="219">
        <v>11</v>
      </c>
      <c r="AV14" s="219">
        <v>0</v>
      </c>
      <c r="AW14" s="219">
        <v>0</v>
      </c>
      <c r="AX14" s="219">
        <v>0</v>
      </c>
      <c r="AY14" s="219">
        <v>4</v>
      </c>
      <c r="AZ14" s="219">
        <v>0</v>
      </c>
      <c r="BA14" s="219">
        <v>0</v>
      </c>
      <c r="BB14" s="219">
        <v>0</v>
      </c>
      <c r="BC14" s="219">
        <v>0</v>
      </c>
      <c r="BD14" s="219">
        <v>0</v>
      </c>
      <c r="BE14" s="219">
        <v>0</v>
      </c>
      <c r="BF14" s="219">
        <v>0</v>
      </c>
      <c r="BG14" s="219">
        <v>0</v>
      </c>
      <c r="BH14" s="219">
        <v>0</v>
      </c>
      <c r="BI14" s="219">
        <v>0</v>
      </c>
      <c r="BJ14" s="219">
        <v>0</v>
      </c>
      <c r="BK14" s="219">
        <v>0</v>
      </c>
      <c r="BL14" s="219">
        <v>0</v>
      </c>
      <c r="BM14" s="219">
        <v>0</v>
      </c>
      <c r="BN14" s="219">
        <v>0</v>
      </c>
      <c r="BO14" s="219">
        <v>0</v>
      </c>
      <c r="BP14" s="219">
        <v>0</v>
      </c>
      <c r="BQ14" s="219">
        <v>0</v>
      </c>
      <c r="BR14" s="219">
        <v>0</v>
      </c>
      <c r="BS14" s="219">
        <v>0</v>
      </c>
      <c r="BT14" s="219">
        <v>0</v>
      </c>
      <c r="BU14" s="219">
        <v>0</v>
      </c>
      <c r="BV14" s="219">
        <v>0</v>
      </c>
      <c r="BW14" s="219">
        <v>0</v>
      </c>
      <c r="BX14" s="219">
        <v>0</v>
      </c>
      <c r="BY14" s="219">
        <v>0</v>
      </c>
      <c r="BZ14" s="219">
        <v>0</v>
      </c>
      <c r="CA14" s="219">
        <v>0</v>
      </c>
      <c r="CB14" s="219">
        <v>0</v>
      </c>
      <c r="CC14" s="219">
        <v>0</v>
      </c>
      <c r="CD14" s="219">
        <v>0</v>
      </c>
      <c r="CE14" s="219">
        <v>0</v>
      </c>
      <c r="CF14" s="219">
        <v>0</v>
      </c>
      <c r="CG14" s="219">
        <v>0</v>
      </c>
      <c r="CH14" s="219">
        <v>0</v>
      </c>
      <c r="CI14" s="219">
        <v>0</v>
      </c>
      <c r="CJ14" s="219">
        <v>0</v>
      </c>
      <c r="CK14" s="219">
        <v>0</v>
      </c>
      <c r="CL14" s="219">
        <v>0</v>
      </c>
      <c r="CM14" s="219">
        <v>0</v>
      </c>
      <c r="CN14" s="219">
        <v>0</v>
      </c>
      <c r="CO14" s="219">
        <v>0</v>
      </c>
      <c r="CP14" s="219">
        <v>0</v>
      </c>
      <c r="CQ14" s="219">
        <v>0</v>
      </c>
      <c r="CR14" s="219">
        <v>0</v>
      </c>
      <c r="CS14" s="219">
        <v>0</v>
      </c>
      <c r="CT14" s="219">
        <v>0</v>
      </c>
      <c r="CU14" s="220">
        <v>0</v>
      </c>
      <c r="CV14" s="219">
        <v>0</v>
      </c>
      <c r="CW14" s="219">
        <v>0</v>
      </c>
      <c r="CX14" s="219">
        <v>0</v>
      </c>
      <c r="CY14" s="219">
        <v>0</v>
      </c>
      <c r="CZ14" s="219">
        <v>0</v>
      </c>
      <c r="DA14" s="219">
        <v>0</v>
      </c>
      <c r="DB14" s="219">
        <v>0</v>
      </c>
      <c r="DC14" s="219">
        <v>0</v>
      </c>
      <c r="DD14" s="219">
        <v>0</v>
      </c>
      <c r="DE14" s="219">
        <v>0</v>
      </c>
      <c r="DF14" s="219">
        <v>0</v>
      </c>
      <c r="DG14" s="219">
        <v>0</v>
      </c>
      <c r="DH14" s="221">
        <v>0</v>
      </c>
      <c r="DI14" s="221">
        <v>0</v>
      </c>
      <c r="DJ14" s="221">
        <v>0</v>
      </c>
      <c r="DK14" s="221">
        <v>0</v>
      </c>
      <c r="DL14" s="221">
        <v>0</v>
      </c>
      <c r="DM14" s="221">
        <v>0</v>
      </c>
      <c r="DN14" s="221">
        <v>0</v>
      </c>
      <c r="DO14" s="221">
        <v>0</v>
      </c>
      <c r="DP14" s="221">
        <v>0</v>
      </c>
      <c r="DQ14" s="221">
        <v>0</v>
      </c>
      <c r="DR14" s="221">
        <v>0</v>
      </c>
      <c r="DS14" s="221">
        <v>0</v>
      </c>
      <c r="DT14" s="221">
        <v>0</v>
      </c>
      <c r="DU14" s="221">
        <v>0</v>
      </c>
      <c r="DV14" s="221">
        <v>0</v>
      </c>
      <c r="DW14" s="221">
        <v>0</v>
      </c>
      <c r="DX14" s="221">
        <v>0</v>
      </c>
      <c r="DY14" s="221">
        <v>0</v>
      </c>
      <c r="DZ14" s="221">
        <v>0</v>
      </c>
      <c r="EA14" s="221">
        <v>0</v>
      </c>
      <c r="EB14" s="221">
        <v>0</v>
      </c>
      <c r="EC14" s="221">
        <v>0</v>
      </c>
      <c r="ED14" s="221">
        <v>0</v>
      </c>
      <c r="EE14" s="221">
        <v>0</v>
      </c>
      <c r="EF14" s="221">
        <v>0</v>
      </c>
      <c r="EG14" s="221">
        <v>8</v>
      </c>
      <c r="EH14" s="221">
        <v>0</v>
      </c>
      <c r="EI14" s="221">
        <v>0</v>
      </c>
      <c r="EJ14" s="221">
        <v>0</v>
      </c>
      <c r="EK14" s="221">
        <v>0</v>
      </c>
      <c r="EL14" s="221">
        <v>0</v>
      </c>
      <c r="EM14" s="221">
        <v>0</v>
      </c>
      <c r="EN14" s="221">
        <v>0</v>
      </c>
      <c r="EO14" s="221">
        <v>24</v>
      </c>
    </row>
    <row r="15" spans="1:174" s="2" customFormat="1" ht="15.75" thickBot="1" x14ac:dyDescent="0.25">
      <c r="A15" s="844" t="s">
        <v>110</v>
      </c>
      <c r="B15" s="845"/>
      <c r="C15" s="845"/>
      <c r="D15" s="845"/>
      <c r="E15" s="222">
        <f>SUM(E13:E14)</f>
        <v>294</v>
      </c>
      <c r="F15" s="223">
        <f>SUM(F13:F14)</f>
        <v>96</v>
      </c>
      <c r="G15" s="224">
        <f t="shared" ref="G15:BS15" si="3">SUM(G13:G14)</f>
        <v>0</v>
      </c>
      <c r="H15" s="224">
        <f t="shared" si="3"/>
        <v>0</v>
      </c>
      <c r="I15" s="224">
        <f t="shared" si="3"/>
        <v>0</v>
      </c>
      <c r="J15" s="224">
        <f t="shared" si="3"/>
        <v>5</v>
      </c>
      <c r="K15" s="224">
        <f t="shared" si="3"/>
        <v>0</v>
      </c>
      <c r="L15" s="224">
        <f t="shared" si="3"/>
        <v>0</v>
      </c>
      <c r="M15" s="224">
        <f t="shared" si="3"/>
        <v>31</v>
      </c>
      <c r="N15" s="224">
        <f t="shared" si="3"/>
        <v>0</v>
      </c>
      <c r="O15" s="224">
        <f t="shared" si="3"/>
        <v>0</v>
      </c>
      <c r="P15" s="224">
        <f t="shared" si="3"/>
        <v>0</v>
      </c>
      <c r="Q15" s="224">
        <f t="shared" si="3"/>
        <v>0</v>
      </c>
      <c r="R15" s="224">
        <f t="shared" si="3"/>
        <v>0</v>
      </c>
      <c r="S15" s="224">
        <f t="shared" si="3"/>
        <v>0</v>
      </c>
      <c r="T15" s="224">
        <f t="shared" si="3"/>
        <v>0</v>
      </c>
      <c r="U15" s="224">
        <f t="shared" si="3"/>
        <v>0</v>
      </c>
      <c r="V15" s="224">
        <f t="shared" si="3"/>
        <v>0</v>
      </c>
      <c r="W15" s="224">
        <f t="shared" si="3"/>
        <v>0</v>
      </c>
      <c r="X15" s="224">
        <f t="shared" si="3"/>
        <v>0</v>
      </c>
      <c r="Y15" s="224">
        <f t="shared" si="3"/>
        <v>26</v>
      </c>
      <c r="Z15" s="224">
        <f t="shared" si="3"/>
        <v>23</v>
      </c>
      <c r="AA15" s="224">
        <f t="shared" si="3"/>
        <v>0</v>
      </c>
      <c r="AB15" s="224">
        <f t="shared" si="3"/>
        <v>16</v>
      </c>
      <c r="AC15" s="224">
        <f t="shared" si="3"/>
        <v>0</v>
      </c>
      <c r="AD15" s="224">
        <f t="shared" si="3"/>
        <v>38</v>
      </c>
      <c r="AE15" s="224">
        <f t="shared" si="3"/>
        <v>0</v>
      </c>
      <c r="AF15" s="224">
        <f t="shared" si="3"/>
        <v>0</v>
      </c>
      <c r="AG15" s="224">
        <f t="shared" si="3"/>
        <v>54</v>
      </c>
      <c r="AH15" s="224">
        <f t="shared" si="3"/>
        <v>0</v>
      </c>
      <c r="AI15" s="224">
        <f t="shared" si="3"/>
        <v>0</v>
      </c>
      <c r="AJ15" s="224">
        <f t="shared" si="3"/>
        <v>0</v>
      </c>
      <c r="AK15" s="224">
        <f t="shared" si="3"/>
        <v>0</v>
      </c>
      <c r="AL15" s="224">
        <f t="shared" si="3"/>
        <v>0</v>
      </c>
      <c r="AM15" s="224">
        <f t="shared" si="3"/>
        <v>0</v>
      </c>
      <c r="AN15" s="224">
        <f t="shared" si="3"/>
        <v>0</v>
      </c>
      <c r="AO15" s="224">
        <f t="shared" si="3"/>
        <v>0</v>
      </c>
      <c r="AP15" s="224">
        <f t="shared" si="3"/>
        <v>64</v>
      </c>
      <c r="AQ15" s="224">
        <f t="shared" si="3"/>
        <v>0</v>
      </c>
      <c r="AR15" s="224">
        <f t="shared" si="3"/>
        <v>0</v>
      </c>
      <c r="AS15" s="224">
        <f t="shared" si="3"/>
        <v>0</v>
      </c>
      <c r="AT15" s="224">
        <f t="shared" si="3"/>
        <v>0</v>
      </c>
      <c r="AU15" s="224">
        <f t="shared" si="3"/>
        <v>22</v>
      </c>
      <c r="AV15" s="224">
        <f t="shared" si="3"/>
        <v>0</v>
      </c>
      <c r="AW15" s="224">
        <f t="shared" si="3"/>
        <v>0</v>
      </c>
      <c r="AX15" s="224">
        <f t="shared" si="3"/>
        <v>0</v>
      </c>
      <c r="AY15" s="224">
        <f t="shared" si="3"/>
        <v>15</v>
      </c>
      <c r="AZ15" s="224">
        <f t="shared" si="3"/>
        <v>0</v>
      </c>
      <c r="BA15" s="224">
        <f t="shared" si="3"/>
        <v>0</v>
      </c>
      <c r="BB15" s="224">
        <f t="shared" si="3"/>
        <v>0</v>
      </c>
      <c r="BC15" s="224">
        <f t="shared" si="3"/>
        <v>0</v>
      </c>
      <c r="BD15" s="224">
        <f t="shared" si="3"/>
        <v>0</v>
      </c>
      <c r="BE15" s="224">
        <f t="shared" si="3"/>
        <v>0</v>
      </c>
      <c r="BF15" s="224">
        <f t="shared" si="3"/>
        <v>0</v>
      </c>
      <c r="BG15" s="224">
        <f t="shared" si="3"/>
        <v>0</v>
      </c>
      <c r="BH15" s="224">
        <f t="shared" si="3"/>
        <v>0</v>
      </c>
      <c r="BI15" s="224">
        <f t="shared" si="3"/>
        <v>0</v>
      </c>
      <c r="BJ15" s="224">
        <f t="shared" si="3"/>
        <v>0</v>
      </c>
      <c r="BK15" s="224">
        <f t="shared" si="3"/>
        <v>0</v>
      </c>
      <c r="BL15" s="224">
        <f t="shared" si="3"/>
        <v>0</v>
      </c>
      <c r="BM15" s="224">
        <f t="shared" si="3"/>
        <v>0</v>
      </c>
      <c r="BN15" s="224">
        <f t="shared" si="3"/>
        <v>0</v>
      </c>
      <c r="BO15" s="224">
        <f t="shared" si="3"/>
        <v>0</v>
      </c>
      <c r="BP15" s="224">
        <f t="shared" si="3"/>
        <v>0</v>
      </c>
      <c r="BQ15" s="224">
        <f t="shared" si="3"/>
        <v>0</v>
      </c>
      <c r="BR15" s="224">
        <f t="shared" si="3"/>
        <v>0</v>
      </c>
      <c r="BS15" s="224">
        <f t="shared" si="3"/>
        <v>0</v>
      </c>
      <c r="BT15" s="224">
        <f t="shared" ref="BT15:DH15" si="4">SUM(BT13:BT14)</f>
        <v>0</v>
      </c>
      <c r="BU15" s="224">
        <f t="shared" si="4"/>
        <v>0</v>
      </c>
      <c r="BV15" s="224">
        <f t="shared" si="4"/>
        <v>0</v>
      </c>
      <c r="BW15" s="224">
        <f t="shared" si="4"/>
        <v>0</v>
      </c>
      <c r="BX15" s="224">
        <f t="shared" si="4"/>
        <v>0</v>
      </c>
      <c r="BY15" s="224">
        <f t="shared" si="4"/>
        <v>0</v>
      </c>
      <c r="BZ15" s="224">
        <f t="shared" si="4"/>
        <v>0</v>
      </c>
      <c r="CA15" s="224">
        <f t="shared" si="4"/>
        <v>0</v>
      </c>
      <c r="CB15" s="224">
        <f t="shared" si="4"/>
        <v>0</v>
      </c>
      <c r="CC15" s="224">
        <f t="shared" si="4"/>
        <v>0</v>
      </c>
      <c r="CD15" s="224">
        <f t="shared" si="4"/>
        <v>0</v>
      </c>
      <c r="CE15" s="224">
        <f t="shared" si="4"/>
        <v>0</v>
      </c>
      <c r="CF15" s="224">
        <f t="shared" si="4"/>
        <v>0</v>
      </c>
      <c r="CG15" s="224">
        <f t="shared" si="4"/>
        <v>0</v>
      </c>
      <c r="CH15" s="224">
        <f t="shared" si="4"/>
        <v>0</v>
      </c>
      <c r="CI15" s="224">
        <f t="shared" si="4"/>
        <v>0</v>
      </c>
      <c r="CJ15" s="224">
        <f t="shared" si="4"/>
        <v>0</v>
      </c>
      <c r="CK15" s="224">
        <f t="shared" si="4"/>
        <v>0</v>
      </c>
      <c r="CL15" s="224">
        <f t="shared" si="4"/>
        <v>0</v>
      </c>
      <c r="CM15" s="224">
        <f t="shared" si="4"/>
        <v>0</v>
      </c>
      <c r="CN15" s="224">
        <f t="shared" si="4"/>
        <v>0</v>
      </c>
      <c r="CO15" s="224">
        <f t="shared" si="4"/>
        <v>0</v>
      </c>
      <c r="CP15" s="224">
        <f t="shared" si="4"/>
        <v>0</v>
      </c>
      <c r="CQ15" s="224">
        <f t="shared" si="4"/>
        <v>0</v>
      </c>
      <c r="CR15" s="224">
        <f t="shared" si="4"/>
        <v>0</v>
      </c>
      <c r="CS15" s="224">
        <f t="shared" si="4"/>
        <v>0</v>
      </c>
      <c r="CT15" s="224">
        <f t="shared" si="4"/>
        <v>0</v>
      </c>
      <c r="CU15" s="224">
        <f t="shared" si="4"/>
        <v>0</v>
      </c>
      <c r="CV15" s="224">
        <f t="shared" si="4"/>
        <v>0</v>
      </c>
      <c r="CW15" s="224">
        <f t="shared" si="4"/>
        <v>0</v>
      </c>
      <c r="CX15" s="224">
        <f t="shared" si="4"/>
        <v>0</v>
      </c>
      <c r="CY15" s="224">
        <f t="shared" si="4"/>
        <v>0</v>
      </c>
      <c r="CZ15" s="224">
        <f t="shared" si="4"/>
        <v>0</v>
      </c>
      <c r="DA15" s="224">
        <f t="shared" si="4"/>
        <v>0</v>
      </c>
      <c r="DB15" s="224">
        <f t="shared" si="4"/>
        <v>0</v>
      </c>
      <c r="DC15" s="224">
        <f t="shared" si="4"/>
        <v>0</v>
      </c>
      <c r="DD15" s="224">
        <f t="shared" si="4"/>
        <v>0</v>
      </c>
      <c r="DE15" s="224">
        <f t="shared" si="4"/>
        <v>0</v>
      </c>
      <c r="DF15" s="224">
        <f t="shared" si="4"/>
        <v>0</v>
      </c>
      <c r="DG15" s="224">
        <f t="shared" si="4"/>
        <v>0</v>
      </c>
      <c r="DH15" s="224">
        <f t="shared" si="4"/>
        <v>0</v>
      </c>
      <c r="DI15" s="224"/>
      <c r="DJ15" s="224"/>
      <c r="DK15" s="224"/>
      <c r="DL15" s="224"/>
      <c r="DM15" s="224"/>
      <c r="DN15" s="224"/>
      <c r="DO15" s="224"/>
      <c r="DP15" s="224"/>
      <c r="DQ15" s="224"/>
      <c r="DR15" s="224"/>
      <c r="DS15" s="224"/>
      <c r="DT15" s="224"/>
      <c r="DU15" s="224"/>
      <c r="DV15" s="224"/>
      <c r="DW15" s="224"/>
      <c r="DX15" s="224"/>
      <c r="DY15" s="224"/>
      <c r="DZ15" s="224"/>
      <c r="EA15" s="224"/>
      <c r="EB15" s="224"/>
      <c r="EC15" s="224"/>
      <c r="ED15" s="224"/>
      <c r="EE15" s="224"/>
      <c r="EF15" s="224"/>
      <c r="EG15" s="224"/>
      <c r="EH15" s="224"/>
      <c r="EI15" s="224"/>
      <c r="EJ15" s="224"/>
      <c r="EK15" s="224"/>
      <c r="EL15" s="224"/>
      <c r="EM15" s="224"/>
      <c r="EN15" s="224"/>
      <c r="EO15" s="224"/>
    </row>
    <row r="16" spans="1:174" s="2" customFormat="1" ht="14.45" customHeight="1" thickBot="1" x14ac:dyDescent="0.25">
      <c r="A16" s="230" t="s">
        <v>613</v>
      </c>
      <c r="B16" s="232">
        <f>+B12+7</f>
        <v>45614</v>
      </c>
      <c r="C16" s="231" t="s">
        <v>614</v>
      </c>
      <c r="D16" s="233">
        <f>+D12+7</f>
        <v>45618</v>
      </c>
      <c r="E16" s="213" t="s">
        <v>102</v>
      </c>
      <c r="F16" s="214" t="s">
        <v>103</v>
      </c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  <c r="BE16" s="219"/>
      <c r="BF16" s="219"/>
      <c r="BG16" s="219"/>
      <c r="BH16" s="219"/>
      <c r="BI16" s="219"/>
      <c r="BJ16" s="219"/>
      <c r="BK16" s="219"/>
      <c r="BL16" s="219"/>
      <c r="BM16" s="219"/>
      <c r="BN16" s="219"/>
      <c r="BO16" s="219"/>
      <c r="BP16" s="219"/>
      <c r="BQ16" s="219"/>
      <c r="BR16" s="219"/>
      <c r="BS16" s="219"/>
      <c r="BT16" s="219"/>
      <c r="BU16" s="219"/>
      <c r="BV16" s="219"/>
      <c r="BW16" s="219"/>
      <c r="BX16" s="219"/>
      <c r="BY16" s="219"/>
      <c r="BZ16" s="219"/>
      <c r="CA16" s="219"/>
      <c r="CB16" s="219"/>
      <c r="CC16" s="219"/>
      <c r="CD16" s="219"/>
      <c r="CE16" s="219"/>
      <c r="CF16" s="219"/>
      <c r="CG16" s="219"/>
      <c r="CH16" s="219"/>
      <c r="CI16" s="219"/>
      <c r="CJ16" s="219"/>
      <c r="CK16" s="219"/>
      <c r="CL16" s="219"/>
      <c r="CM16" s="219"/>
      <c r="CN16" s="219"/>
      <c r="CO16" s="219"/>
      <c r="CP16" s="219"/>
      <c r="CQ16" s="219"/>
      <c r="CR16" s="219"/>
      <c r="CS16" s="219"/>
      <c r="CT16" s="219"/>
      <c r="CU16" s="220"/>
      <c r="CV16" s="219"/>
      <c r="CW16" s="219"/>
      <c r="CX16" s="219"/>
      <c r="CY16" s="219"/>
      <c r="CZ16" s="219"/>
      <c r="DA16" s="219"/>
      <c r="DB16" s="219"/>
      <c r="DC16" s="219"/>
      <c r="DD16" s="219"/>
      <c r="DE16" s="219"/>
      <c r="DF16" s="219"/>
      <c r="DG16" s="219"/>
      <c r="DH16" s="221"/>
      <c r="DI16" s="221"/>
      <c r="DJ16" s="221"/>
      <c r="DK16" s="221"/>
      <c r="DL16" s="221"/>
      <c r="DM16" s="221"/>
      <c r="DN16" s="221"/>
      <c r="DO16" s="221"/>
      <c r="DP16" s="221"/>
      <c r="DQ16" s="221"/>
      <c r="DR16" s="221"/>
      <c r="DS16" s="221"/>
      <c r="DT16" s="221"/>
      <c r="DU16" s="221"/>
      <c r="DV16" s="221"/>
      <c r="DW16" s="221"/>
      <c r="DX16" s="221"/>
      <c r="DY16" s="221"/>
      <c r="DZ16" s="221"/>
      <c r="EA16" s="221"/>
      <c r="EB16" s="221"/>
      <c r="EC16" s="221"/>
      <c r="ED16" s="221"/>
      <c r="EE16" s="221"/>
      <c r="EF16" s="221"/>
      <c r="EG16" s="221"/>
      <c r="EH16" s="221"/>
      <c r="EI16" s="221"/>
      <c r="EJ16" s="221"/>
      <c r="EK16" s="221"/>
      <c r="EL16" s="221"/>
      <c r="EM16" s="221"/>
      <c r="EN16" s="221"/>
      <c r="EO16" s="221"/>
    </row>
    <row r="17" spans="1:146" s="2" customFormat="1" x14ac:dyDescent="0.2">
      <c r="A17" s="854" t="s">
        <v>74</v>
      </c>
      <c r="B17" s="855"/>
      <c r="C17" s="855"/>
      <c r="D17" s="856"/>
      <c r="E17" s="215">
        <v>77</v>
      </c>
      <c r="F17" s="216">
        <v>196</v>
      </c>
      <c r="G17" s="735">
        <v>0</v>
      </c>
      <c r="H17" s="736">
        <v>0</v>
      </c>
      <c r="I17" s="736">
        <v>0</v>
      </c>
      <c r="J17" s="736">
        <v>0</v>
      </c>
      <c r="K17" s="736">
        <v>0</v>
      </c>
      <c r="L17" s="736"/>
      <c r="M17" s="736">
        <v>10</v>
      </c>
      <c r="N17" s="736">
        <v>0</v>
      </c>
      <c r="O17" s="736">
        <v>0</v>
      </c>
      <c r="P17" s="736">
        <v>0</v>
      </c>
      <c r="Q17" s="736">
        <v>0</v>
      </c>
      <c r="R17" s="736">
        <v>0</v>
      </c>
      <c r="S17" s="736">
        <v>0</v>
      </c>
      <c r="T17" s="736">
        <v>0</v>
      </c>
      <c r="U17" s="736">
        <v>0</v>
      </c>
      <c r="V17" s="736">
        <v>0</v>
      </c>
      <c r="W17" s="736">
        <v>0</v>
      </c>
      <c r="X17" s="736">
        <v>0</v>
      </c>
      <c r="Y17" s="736">
        <v>12.5</v>
      </c>
      <c r="Z17" s="737">
        <v>2</v>
      </c>
      <c r="AA17" s="737">
        <v>0</v>
      </c>
      <c r="AB17" s="737">
        <v>0</v>
      </c>
      <c r="AC17" s="737">
        <v>0</v>
      </c>
      <c r="AD17" s="737">
        <v>20.5</v>
      </c>
      <c r="AE17" s="737">
        <v>0</v>
      </c>
      <c r="AF17" s="737">
        <v>0</v>
      </c>
      <c r="AG17" s="737">
        <v>2</v>
      </c>
      <c r="AH17" s="737">
        <v>0</v>
      </c>
      <c r="AI17" s="737">
        <v>0</v>
      </c>
      <c r="AJ17" s="737">
        <v>0</v>
      </c>
      <c r="AK17" s="737">
        <v>0</v>
      </c>
      <c r="AL17" s="737">
        <v>0</v>
      </c>
      <c r="AM17" s="737">
        <v>0</v>
      </c>
      <c r="AN17" s="737">
        <v>0</v>
      </c>
      <c r="AO17" s="737">
        <v>0</v>
      </c>
      <c r="AP17" s="737">
        <v>8</v>
      </c>
      <c r="AQ17" s="737">
        <v>0</v>
      </c>
      <c r="AR17" s="737">
        <v>0</v>
      </c>
      <c r="AS17" s="737">
        <v>0</v>
      </c>
      <c r="AT17" s="738">
        <v>0</v>
      </c>
      <c r="AU17" s="737">
        <v>0</v>
      </c>
      <c r="AV17" s="737">
        <v>0</v>
      </c>
      <c r="AW17" s="737">
        <v>0</v>
      </c>
      <c r="AX17" s="737">
        <v>0</v>
      </c>
      <c r="AY17" s="737">
        <v>18.5</v>
      </c>
      <c r="AZ17" s="737">
        <v>0</v>
      </c>
      <c r="BA17" s="737">
        <v>4</v>
      </c>
      <c r="BB17" s="737">
        <v>0</v>
      </c>
      <c r="BC17" s="737">
        <v>0</v>
      </c>
      <c r="BD17" s="737">
        <v>0</v>
      </c>
      <c r="BE17" s="737">
        <v>0</v>
      </c>
      <c r="BF17" s="737">
        <v>0</v>
      </c>
      <c r="BG17" s="737">
        <v>0</v>
      </c>
      <c r="BH17" s="737">
        <v>0</v>
      </c>
      <c r="BI17" s="219">
        <v>0</v>
      </c>
      <c r="BJ17" s="219">
        <v>0</v>
      </c>
      <c r="BK17" s="219">
        <v>0</v>
      </c>
      <c r="BL17" s="219">
        <v>0</v>
      </c>
      <c r="BM17" s="219">
        <v>0</v>
      </c>
      <c r="BN17" s="219">
        <v>0</v>
      </c>
      <c r="BO17" s="219">
        <v>0</v>
      </c>
      <c r="BP17" s="219">
        <v>0</v>
      </c>
      <c r="BQ17" s="219">
        <v>0</v>
      </c>
      <c r="BR17" s="219">
        <v>0</v>
      </c>
      <c r="BS17" s="219">
        <v>0</v>
      </c>
      <c r="BT17" s="219">
        <v>0</v>
      </c>
      <c r="BU17" s="219">
        <v>0</v>
      </c>
      <c r="BV17" s="219">
        <v>0</v>
      </c>
      <c r="BW17" s="219">
        <v>0</v>
      </c>
      <c r="BX17" s="219">
        <v>0</v>
      </c>
      <c r="BY17" s="219">
        <v>0</v>
      </c>
      <c r="BZ17" s="219">
        <v>0</v>
      </c>
      <c r="CA17" s="219">
        <v>0</v>
      </c>
      <c r="CB17" s="219">
        <v>0</v>
      </c>
      <c r="CC17" s="219">
        <v>0</v>
      </c>
      <c r="CD17" s="219">
        <v>0</v>
      </c>
      <c r="CE17" s="219">
        <v>0</v>
      </c>
      <c r="CF17" s="219">
        <v>0</v>
      </c>
      <c r="CG17" s="219">
        <v>0</v>
      </c>
      <c r="CH17" s="219">
        <v>0</v>
      </c>
      <c r="CI17" s="219">
        <v>0</v>
      </c>
      <c r="CJ17" s="219">
        <v>0</v>
      </c>
      <c r="CK17" s="219">
        <v>0</v>
      </c>
      <c r="CL17" s="219">
        <v>0</v>
      </c>
      <c r="CM17" s="219">
        <v>0</v>
      </c>
      <c r="CN17" s="219">
        <v>0</v>
      </c>
      <c r="CO17" s="219">
        <v>0</v>
      </c>
      <c r="CP17" s="219">
        <v>0</v>
      </c>
      <c r="CQ17" s="219">
        <v>0</v>
      </c>
      <c r="CR17" s="219">
        <v>0</v>
      </c>
      <c r="CS17" s="219">
        <v>0</v>
      </c>
      <c r="CT17" s="219">
        <v>0</v>
      </c>
      <c r="CU17" s="220">
        <v>0</v>
      </c>
      <c r="CV17" s="219">
        <v>0</v>
      </c>
      <c r="CW17" s="219">
        <v>0</v>
      </c>
      <c r="CX17" s="219">
        <v>0</v>
      </c>
      <c r="CY17" s="219">
        <v>0</v>
      </c>
      <c r="CZ17" s="219">
        <v>0</v>
      </c>
      <c r="DA17" s="219">
        <v>0</v>
      </c>
      <c r="DB17" s="219">
        <v>0</v>
      </c>
      <c r="DC17" s="219">
        <v>0</v>
      </c>
      <c r="DD17" s="219">
        <v>0</v>
      </c>
      <c r="DE17" s="219">
        <v>0</v>
      </c>
      <c r="DF17" s="219">
        <v>0</v>
      </c>
      <c r="DG17" s="219">
        <v>0</v>
      </c>
      <c r="DH17" s="221">
        <v>0</v>
      </c>
      <c r="DI17" s="221">
        <v>0</v>
      </c>
      <c r="DJ17" s="221">
        <v>0</v>
      </c>
      <c r="DK17" s="221">
        <v>0</v>
      </c>
      <c r="DL17" s="221">
        <v>0</v>
      </c>
      <c r="DM17" s="221">
        <v>0</v>
      </c>
      <c r="DN17" s="221">
        <v>0</v>
      </c>
      <c r="DO17" s="221">
        <v>0</v>
      </c>
      <c r="DP17" s="221">
        <v>0</v>
      </c>
      <c r="DQ17" s="221">
        <v>0</v>
      </c>
      <c r="DR17" s="221">
        <v>0</v>
      </c>
      <c r="DS17" s="221">
        <v>0</v>
      </c>
      <c r="DT17" s="221">
        <v>0</v>
      </c>
      <c r="DU17" s="221">
        <v>0</v>
      </c>
      <c r="DV17" s="221">
        <v>0</v>
      </c>
      <c r="DW17" s="221">
        <v>0</v>
      </c>
      <c r="DX17" s="221">
        <v>0</v>
      </c>
      <c r="DY17" s="221">
        <v>0</v>
      </c>
      <c r="DZ17" s="221">
        <v>0</v>
      </c>
      <c r="EA17" s="221">
        <v>0</v>
      </c>
      <c r="EB17" s="221">
        <v>0</v>
      </c>
      <c r="EC17" s="221">
        <v>3</v>
      </c>
      <c r="ED17" s="221">
        <v>0</v>
      </c>
      <c r="EE17" s="221">
        <v>0</v>
      </c>
      <c r="EF17" s="221">
        <v>0</v>
      </c>
      <c r="EG17" s="221">
        <v>0</v>
      </c>
      <c r="EH17" s="221">
        <v>0</v>
      </c>
      <c r="EI17" s="221">
        <v>0</v>
      </c>
      <c r="EJ17" s="221">
        <v>0</v>
      </c>
      <c r="EK17" s="221">
        <v>0</v>
      </c>
      <c r="EL17" s="221">
        <v>0</v>
      </c>
      <c r="EM17" s="221">
        <v>169</v>
      </c>
      <c r="EN17" s="221">
        <v>24</v>
      </c>
      <c r="EO17" s="221">
        <v>0</v>
      </c>
    </row>
    <row r="18" spans="1:146" s="2" customFormat="1" ht="15.75" thickBot="1" x14ac:dyDescent="0.25">
      <c r="A18" s="857" t="s">
        <v>109</v>
      </c>
      <c r="B18" s="858"/>
      <c r="C18" s="858"/>
      <c r="D18" s="859"/>
      <c r="E18" s="217">
        <v>37.5</v>
      </c>
      <c r="F18" s="218">
        <v>79.5</v>
      </c>
      <c r="G18" s="219">
        <v>0</v>
      </c>
      <c r="H18" s="219">
        <v>0</v>
      </c>
      <c r="I18" s="219">
        <v>0</v>
      </c>
      <c r="J18" s="219">
        <v>0</v>
      </c>
      <c r="K18" s="219">
        <v>0</v>
      </c>
      <c r="L18" s="219">
        <v>0</v>
      </c>
      <c r="M18" s="219">
        <v>0</v>
      </c>
      <c r="N18" s="219">
        <v>0</v>
      </c>
      <c r="O18" s="219">
        <v>0</v>
      </c>
      <c r="P18" s="219">
        <v>0</v>
      </c>
      <c r="Q18" s="219">
        <v>0</v>
      </c>
      <c r="R18" s="219">
        <v>0</v>
      </c>
      <c r="S18" s="219">
        <v>0</v>
      </c>
      <c r="T18" s="219">
        <v>0</v>
      </c>
      <c r="U18" s="219">
        <v>0</v>
      </c>
      <c r="V18" s="219">
        <v>0</v>
      </c>
      <c r="W18" s="219">
        <v>0</v>
      </c>
      <c r="X18" s="219">
        <v>0</v>
      </c>
      <c r="Y18" s="219">
        <v>0</v>
      </c>
      <c r="Z18" s="219">
        <v>2</v>
      </c>
      <c r="AA18" s="219">
        <v>0</v>
      </c>
      <c r="AB18" s="219">
        <v>0</v>
      </c>
      <c r="AC18" s="219">
        <v>0</v>
      </c>
      <c r="AD18" s="219">
        <v>12.5</v>
      </c>
      <c r="AE18" s="219">
        <v>0</v>
      </c>
      <c r="AF18" s="219">
        <v>0</v>
      </c>
      <c r="AG18" s="219">
        <v>10.5</v>
      </c>
      <c r="AH18" s="219">
        <v>0</v>
      </c>
      <c r="AI18" s="219">
        <v>0</v>
      </c>
      <c r="AJ18" s="219">
        <v>0</v>
      </c>
      <c r="AK18" s="219">
        <v>0</v>
      </c>
      <c r="AL18" s="219">
        <v>0</v>
      </c>
      <c r="AM18" s="219">
        <v>0</v>
      </c>
      <c r="AN18" s="219">
        <v>0</v>
      </c>
      <c r="AO18" s="219">
        <v>0</v>
      </c>
      <c r="AP18" s="219">
        <v>1</v>
      </c>
      <c r="AQ18" s="219">
        <v>0</v>
      </c>
      <c r="AR18" s="219">
        <v>0</v>
      </c>
      <c r="AS18" s="219">
        <v>0</v>
      </c>
      <c r="AT18" s="219">
        <v>0</v>
      </c>
      <c r="AU18" s="219">
        <v>0</v>
      </c>
      <c r="AV18" s="219">
        <v>0</v>
      </c>
      <c r="AW18" s="219">
        <v>0</v>
      </c>
      <c r="AX18" s="219">
        <v>0</v>
      </c>
      <c r="AY18" s="219">
        <v>8</v>
      </c>
      <c r="AZ18" s="219">
        <v>0</v>
      </c>
      <c r="BA18" s="219">
        <v>3.5</v>
      </c>
      <c r="BB18" s="219">
        <v>0</v>
      </c>
      <c r="BC18" s="219">
        <v>0</v>
      </c>
      <c r="BD18" s="219">
        <v>0</v>
      </c>
      <c r="BE18" s="219">
        <v>0</v>
      </c>
      <c r="BF18" s="219">
        <v>0</v>
      </c>
      <c r="BG18" s="219">
        <v>0</v>
      </c>
      <c r="BH18" s="219">
        <v>0</v>
      </c>
      <c r="BI18" s="219">
        <v>0</v>
      </c>
      <c r="BJ18" s="219">
        <v>0</v>
      </c>
      <c r="BK18" s="219">
        <v>0</v>
      </c>
      <c r="BL18" s="219">
        <v>0</v>
      </c>
      <c r="BM18" s="219">
        <v>0</v>
      </c>
      <c r="BN18" s="219">
        <v>0</v>
      </c>
      <c r="BO18" s="219">
        <v>0</v>
      </c>
      <c r="BP18" s="219">
        <v>0</v>
      </c>
      <c r="BQ18" s="219">
        <v>0</v>
      </c>
      <c r="BR18" s="219">
        <v>0</v>
      </c>
      <c r="BS18" s="219">
        <v>0</v>
      </c>
      <c r="BT18" s="219">
        <v>0</v>
      </c>
      <c r="BU18" s="219">
        <v>0</v>
      </c>
      <c r="BV18" s="219">
        <v>0</v>
      </c>
      <c r="BW18" s="219">
        <v>0</v>
      </c>
      <c r="BX18" s="219">
        <v>0</v>
      </c>
      <c r="BY18" s="219">
        <v>0</v>
      </c>
      <c r="BZ18" s="219">
        <v>0</v>
      </c>
      <c r="CA18" s="219">
        <v>0</v>
      </c>
      <c r="CB18" s="219">
        <v>0</v>
      </c>
      <c r="CC18" s="219">
        <v>0</v>
      </c>
      <c r="CD18" s="219">
        <v>0</v>
      </c>
      <c r="CE18" s="219">
        <v>0</v>
      </c>
      <c r="CF18" s="219">
        <v>0</v>
      </c>
      <c r="CG18" s="219">
        <v>0</v>
      </c>
      <c r="CH18" s="219">
        <v>0</v>
      </c>
      <c r="CI18" s="219">
        <v>0</v>
      </c>
      <c r="CJ18" s="219">
        <v>0</v>
      </c>
      <c r="CK18" s="219">
        <v>0</v>
      </c>
      <c r="CL18" s="219">
        <v>0</v>
      </c>
      <c r="CM18" s="219">
        <v>0</v>
      </c>
      <c r="CN18" s="219">
        <v>0</v>
      </c>
      <c r="CO18" s="219">
        <v>0</v>
      </c>
      <c r="CP18" s="219">
        <v>0</v>
      </c>
      <c r="CQ18" s="219">
        <v>0</v>
      </c>
      <c r="CR18" s="219">
        <v>0</v>
      </c>
      <c r="CS18" s="219">
        <v>0</v>
      </c>
      <c r="CT18" s="219">
        <v>0</v>
      </c>
      <c r="CU18" s="220">
        <v>0</v>
      </c>
      <c r="CV18" s="219">
        <v>0</v>
      </c>
      <c r="CW18" s="219">
        <v>0</v>
      </c>
      <c r="CX18" s="219">
        <v>0</v>
      </c>
      <c r="CY18" s="219">
        <v>0</v>
      </c>
      <c r="CZ18" s="219">
        <v>0</v>
      </c>
      <c r="DA18" s="219">
        <v>0</v>
      </c>
      <c r="DB18" s="219">
        <v>0</v>
      </c>
      <c r="DC18" s="219">
        <v>0</v>
      </c>
      <c r="DD18" s="219">
        <v>0</v>
      </c>
      <c r="DE18" s="219">
        <v>0</v>
      </c>
      <c r="DF18" s="219">
        <v>0</v>
      </c>
      <c r="DG18" s="219">
        <v>0</v>
      </c>
      <c r="DH18" s="221">
        <v>0</v>
      </c>
      <c r="DI18" s="221">
        <v>0</v>
      </c>
      <c r="DJ18" s="221">
        <v>0</v>
      </c>
      <c r="DK18" s="221">
        <v>0</v>
      </c>
      <c r="DL18" s="221">
        <v>0</v>
      </c>
      <c r="DM18" s="221">
        <v>0</v>
      </c>
      <c r="DN18" s="221">
        <v>0</v>
      </c>
      <c r="DO18" s="221">
        <v>0</v>
      </c>
      <c r="DP18" s="221">
        <v>0</v>
      </c>
      <c r="DQ18" s="221">
        <v>0</v>
      </c>
      <c r="DR18" s="221">
        <v>0</v>
      </c>
      <c r="DS18" s="221">
        <v>0</v>
      </c>
      <c r="DT18" s="221">
        <v>0</v>
      </c>
      <c r="DU18" s="221">
        <v>0</v>
      </c>
      <c r="DV18" s="221">
        <v>0</v>
      </c>
      <c r="DW18" s="221">
        <v>0</v>
      </c>
      <c r="DX18" s="221">
        <v>0</v>
      </c>
      <c r="DY18" s="221">
        <v>0</v>
      </c>
      <c r="DZ18" s="221">
        <v>0</v>
      </c>
      <c r="EA18" s="221">
        <v>0</v>
      </c>
      <c r="EB18" s="221">
        <v>0</v>
      </c>
      <c r="EC18" s="221">
        <v>0</v>
      </c>
      <c r="ED18" s="221">
        <v>0</v>
      </c>
      <c r="EE18" s="221">
        <v>0</v>
      </c>
      <c r="EF18" s="221">
        <v>0</v>
      </c>
      <c r="EG18" s="221">
        <v>0</v>
      </c>
      <c r="EH18" s="221">
        <v>0</v>
      </c>
      <c r="EI18" s="221">
        <v>0</v>
      </c>
      <c r="EJ18" s="221">
        <v>0</v>
      </c>
      <c r="EK18" s="221">
        <v>0</v>
      </c>
      <c r="EL18" s="221">
        <v>0</v>
      </c>
      <c r="EM18" s="221">
        <v>79.5</v>
      </c>
      <c r="EN18" s="221">
        <v>0</v>
      </c>
      <c r="EO18" s="221">
        <v>0</v>
      </c>
    </row>
    <row r="19" spans="1:146" s="2" customFormat="1" ht="15.75" thickBot="1" x14ac:dyDescent="0.25">
      <c r="A19" s="844" t="s">
        <v>110</v>
      </c>
      <c r="B19" s="845"/>
      <c r="C19" s="845"/>
      <c r="D19" s="845"/>
      <c r="E19" s="222">
        <f>SUM(E17:E18)</f>
        <v>114.5</v>
      </c>
      <c r="F19" s="223">
        <f>SUM(F17:F18)</f>
        <v>275.5</v>
      </c>
      <c r="G19" s="224">
        <f t="shared" ref="G19:BS19" si="5">SUM(G17:G18)</f>
        <v>0</v>
      </c>
      <c r="H19" s="224">
        <f t="shared" si="5"/>
        <v>0</v>
      </c>
      <c r="I19" s="224">
        <f t="shared" si="5"/>
        <v>0</v>
      </c>
      <c r="J19" s="224">
        <f t="shared" si="5"/>
        <v>0</v>
      </c>
      <c r="K19" s="224">
        <f t="shared" si="5"/>
        <v>0</v>
      </c>
      <c r="L19" s="224">
        <f t="shared" si="5"/>
        <v>0</v>
      </c>
      <c r="M19" s="224">
        <f t="shared" si="5"/>
        <v>10</v>
      </c>
      <c r="N19" s="224">
        <f t="shared" si="5"/>
        <v>0</v>
      </c>
      <c r="O19" s="224">
        <f t="shared" si="5"/>
        <v>0</v>
      </c>
      <c r="P19" s="224">
        <f t="shared" si="5"/>
        <v>0</v>
      </c>
      <c r="Q19" s="224">
        <f t="shared" si="5"/>
        <v>0</v>
      </c>
      <c r="R19" s="224">
        <f t="shared" si="5"/>
        <v>0</v>
      </c>
      <c r="S19" s="224">
        <f t="shared" si="5"/>
        <v>0</v>
      </c>
      <c r="T19" s="224">
        <f t="shared" si="5"/>
        <v>0</v>
      </c>
      <c r="U19" s="224">
        <f t="shared" si="5"/>
        <v>0</v>
      </c>
      <c r="V19" s="224">
        <f t="shared" si="5"/>
        <v>0</v>
      </c>
      <c r="W19" s="224">
        <f t="shared" si="5"/>
        <v>0</v>
      </c>
      <c r="X19" s="224">
        <f t="shared" si="5"/>
        <v>0</v>
      </c>
      <c r="Y19" s="224">
        <f t="shared" si="5"/>
        <v>12.5</v>
      </c>
      <c r="Z19" s="224">
        <f t="shared" si="5"/>
        <v>4</v>
      </c>
      <c r="AA19" s="224">
        <f t="shared" si="5"/>
        <v>0</v>
      </c>
      <c r="AB19" s="224">
        <f t="shared" si="5"/>
        <v>0</v>
      </c>
      <c r="AC19" s="224">
        <f t="shared" si="5"/>
        <v>0</v>
      </c>
      <c r="AD19" s="224">
        <f t="shared" si="5"/>
        <v>33</v>
      </c>
      <c r="AE19" s="224">
        <f t="shared" si="5"/>
        <v>0</v>
      </c>
      <c r="AF19" s="224">
        <f t="shared" si="5"/>
        <v>0</v>
      </c>
      <c r="AG19" s="224">
        <f t="shared" si="5"/>
        <v>12.5</v>
      </c>
      <c r="AH19" s="224">
        <f t="shared" si="5"/>
        <v>0</v>
      </c>
      <c r="AI19" s="224">
        <f t="shared" si="5"/>
        <v>0</v>
      </c>
      <c r="AJ19" s="224">
        <f t="shared" si="5"/>
        <v>0</v>
      </c>
      <c r="AK19" s="224">
        <f t="shared" si="5"/>
        <v>0</v>
      </c>
      <c r="AL19" s="224">
        <f t="shared" si="5"/>
        <v>0</v>
      </c>
      <c r="AM19" s="224">
        <f t="shared" si="5"/>
        <v>0</v>
      </c>
      <c r="AN19" s="224">
        <f t="shared" si="5"/>
        <v>0</v>
      </c>
      <c r="AO19" s="224">
        <f t="shared" si="5"/>
        <v>0</v>
      </c>
      <c r="AP19" s="224">
        <f t="shared" si="5"/>
        <v>9</v>
      </c>
      <c r="AQ19" s="224">
        <f t="shared" si="5"/>
        <v>0</v>
      </c>
      <c r="AR19" s="224">
        <f t="shared" si="5"/>
        <v>0</v>
      </c>
      <c r="AS19" s="224">
        <f t="shared" si="5"/>
        <v>0</v>
      </c>
      <c r="AT19" s="224">
        <f t="shared" si="5"/>
        <v>0</v>
      </c>
      <c r="AU19" s="224">
        <f t="shared" si="5"/>
        <v>0</v>
      </c>
      <c r="AV19" s="224">
        <f t="shared" si="5"/>
        <v>0</v>
      </c>
      <c r="AW19" s="224">
        <f t="shared" si="5"/>
        <v>0</v>
      </c>
      <c r="AX19" s="224">
        <f t="shared" si="5"/>
        <v>0</v>
      </c>
      <c r="AY19" s="224">
        <f t="shared" si="5"/>
        <v>26.5</v>
      </c>
      <c r="AZ19" s="224">
        <f t="shared" si="5"/>
        <v>0</v>
      </c>
      <c r="BA19" s="224">
        <f t="shared" si="5"/>
        <v>7.5</v>
      </c>
      <c r="BB19" s="224">
        <f t="shared" si="5"/>
        <v>0</v>
      </c>
      <c r="BC19" s="224">
        <f t="shared" si="5"/>
        <v>0</v>
      </c>
      <c r="BD19" s="224">
        <f t="shared" si="5"/>
        <v>0</v>
      </c>
      <c r="BE19" s="224">
        <f t="shared" si="5"/>
        <v>0</v>
      </c>
      <c r="BF19" s="224">
        <f t="shared" si="5"/>
        <v>0</v>
      </c>
      <c r="BG19" s="224">
        <f t="shared" si="5"/>
        <v>0</v>
      </c>
      <c r="BH19" s="224">
        <f t="shared" si="5"/>
        <v>0</v>
      </c>
      <c r="BI19" s="224">
        <f t="shared" si="5"/>
        <v>0</v>
      </c>
      <c r="BJ19" s="224">
        <f t="shared" si="5"/>
        <v>0</v>
      </c>
      <c r="BK19" s="224">
        <f t="shared" si="5"/>
        <v>0</v>
      </c>
      <c r="BL19" s="224">
        <f t="shared" si="5"/>
        <v>0</v>
      </c>
      <c r="BM19" s="224">
        <f t="shared" si="5"/>
        <v>0</v>
      </c>
      <c r="BN19" s="224">
        <f t="shared" si="5"/>
        <v>0</v>
      </c>
      <c r="BO19" s="224">
        <f t="shared" si="5"/>
        <v>0</v>
      </c>
      <c r="BP19" s="224">
        <f t="shared" si="5"/>
        <v>0</v>
      </c>
      <c r="BQ19" s="224">
        <f t="shared" si="5"/>
        <v>0</v>
      </c>
      <c r="BR19" s="224">
        <f t="shared" si="5"/>
        <v>0</v>
      </c>
      <c r="BS19" s="224">
        <f t="shared" si="5"/>
        <v>0</v>
      </c>
      <c r="BT19" s="224">
        <f t="shared" ref="BT19:DH19" si="6">SUM(BT17:BT18)</f>
        <v>0</v>
      </c>
      <c r="BU19" s="224">
        <f t="shared" si="6"/>
        <v>0</v>
      </c>
      <c r="BV19" s="224">
        <f t="shared" si="6"/>
        <v>0</v>
      </c>
      <c r="BW19" s="224">
        <f t="shared" si="6"/>
        <v>0</v>
      </c>
      <c r="BX19" s="224">
        <f t="shared" si="6"/>
        <v>0</v>
      </c>
      <c r="BY19" s="224">
        <f t="shared" si="6"/>
        <v>0</v>
      </c>
      <c r="BZ19" s="224">
        <f t="shared" si="6"/>
        <v>0</v>
      </c>
      <c r="CA19" s="224">
        <f t="shared" si="6"/>
        <v>0</v>
      </c>
      <c r="CB19" s="224">
        <f t="shared" si="6"/>
        <v>0</v>
      </c>
      <c r="CC19" s="224">
        <f t="shared" si="6"/>
        <v>0</v>
      </c>
      <c r="CD19" s="224">
        <f t="shared" si="6"/>
        <v>0</v>
      </c>
      <c r="CE19" s="224">
        <f t="shared" si="6"/>
        <v>0</v>
      </c>
      <c r="CF19" s="224">
        <f t="shared" si="6"/>
        <v>0</v>
      </c>
      <c r="CG19" s="224">
        <f t="shared" si="6"/>
        <v>0</v>
      </c>
      <c r="CH19" s="224">
        <f t="shared" si="6"/>
        <v>0</v>
      </c>
      <c r="CI19" s="224">
        <f t="shared" si="6"/>
        <v>0</v>
      </c>
      <c r="CJ19" s="224">
        <f t="shared" si="6"/>
        <v>0</v>
      </c>
      <c r="CK19" s="224">
        <f t="shared" si="6"/>
        <v>0</v>
      </c>
      <c r="CL19" s="224">
        <f t="shared" si="6"/>
        <v>0</v>
      </c>
      <c r="CM19" s="224">
        <f t="shared" si="6"/>
        <v>0</v>
      </c>
      <c r="CN19" s="224">
        <f t="shared" si="6"/>
        <v>0</v>
      </c>
      <c r="CO19" s="224">
        <f t="shared" si="6"/>
        <v>0</v>
      </c>
      <c r="CP19" s="224">
        <f t="shared" si="6"/>
        <v>0</v>
      </c>
      <c r="CQ19" s="224">
        <f t="shared" si="6"/>
        <v>0</v>
      </c>
      <c r="CR19" s="224">
        <f t="shared" si="6"/>
        <v>0</v>
      </c>
      <c r="CS19" s="224">
        <f t="shared" si="6"/>
        <v>0</v>
      </c>
      <c r="CT19" s="224">
        <f t="shared" si="6"/>
        <v>0</v>
      </c>
      <c r="CU19" s="224">
        <f t="shared" si="6"/>
        <v>0</v>
      </c>
      <c r="CV19" s="224">
        <f t="shared" si="6"/>
        <v>0</v>
      </c>
      <c r="CW19" s="224">
        <f t="shared" si="6"/>
        <v>0</v>
      </c>
      <c r="CX19" s="224">
        <f t="shared" si="6"/>
        <v>0</v>
      </c>
      <c r="CY19" s="224">
        <f t="shared" si="6"/>
        <v>0</v>
      </c>
      <c r="CZ19" s="224">
        <f t="shared" si="6"/>
        <v>0</v>
      </c>
      <c r="DA19" s="224">
        <f t="shared" si="6"/>
        <v>0</v>
      </c>
      <c r="DB19" s="224">
        <f t="shared" si="6"/>
        <v>0</v>
      </c>
      <c r="DC19" s="224">
        <f t="shared" si="6"/>
        <v>0</v>
      </c>
      <c r="DD19" s="224">
        <f t="shared" si="6"/>
        <v>0</v>
      </c>
      <c r="DE19" s="224">
        <f t="shared" si="6"/>
        <v>0</v>
      </c>
      <c r="DF19" s="224">
        <f t="shared" si="6"/>
        <v>0</v>
      </c>
      <c r="DG19" s="224">
        <f t="shared" si="6"/>
        <v>0</v>
      </c>
      <c r="DH19" s="224">
        <f t="shared" si="6"/>
        <v>0</v>
      </c>
      <c r="DI19" s="224"/>
      <c r="DJ19" s="224"/>
      <c r="DK19" s="224"/>
      <c r="DL19" s="224"/>
      <c r="DM19" s="224"/>
      <c r="DN19" s="224"/>
      <c r="DO19" s="224"/>
      <c r="DP19" s="224"/>
      <c r="DQ19" s="224"/>
      <c r="DR19" s="224"/>
      <c r="DS19" s="224"/>
      <c r="DT19" s="224"/>
      <c r="DU19" s="224"/>
      <c r="DV19" s="224"/>
      <c r="DW19" s="224"/>
      <c r="DX19" s="224"/>
      <c r="DY19" s="224"/>
      <c r="DZ19" s="224"/>
      <c r="EA19" s="224"/>
      <c r="EB19" s="224"/>
      <c r="EC19" s="224"/>
      <c r="ED19" s="224"/>
      <c r="EE19" s="224"/>
      <c r="EF19" s="224"/>
      <c r="EG19" s="224"/>
      <c r="EH19" s="224"/>
      <c r="EI19" s="224"/>
      <c r="EJ19" s="224"/>
      <c r="EK19" s="224"/>
      <c r="EL19" s="224"/>
      <c r="EM19" s="224"/>
      <c r="EN19" s="224"/>
      <c r="EO19" s="224"/>
    </row>
    <row r="20" spans="1:146" s="2" customFormat="1" ht="14.45" customHeight="1" thickBot="1" x14ac:dyDescent="0.25">
      <c r="A20" s="230" t="s">
        <v>613</v>
      </c>
      <c r="B20" s="232">
        <f>+B16+7</f>
        <v>45621</v>
      </c>
      <c r="C20" s="231" t="s">
        <v>614</v>
      </c>
      <c r="D20" s="233">
        <f>+D16+7</f>
        <v>45625</v>
      </c>
      <c r="E20" s="213" t="s">
        <v>102</v>
      </c>
      <c r="F20" s="214" t="s">
        <v>103</v>
      </c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19"/>
      <c r="BK20" s="219"/>
      <c r="BL20" s="219"/>
      <c r="BM20" s="219"/>
      <c r="BN20" s="219"/>
      <c r="BO20" s="219"/>
      <c r="BP20" s="219"/>
      <c r="BQ20" s="219"/>
      <c r="BR20" s="219"/>
      <c r="BS20" s="219"/>
      <c r="BT20" s="219"/>
      <c r="BU20" s="219"/>
      <c r="BV20" s="219"/>
      <c r="BW20" s="219"/>
      <c r="BX20" s="219"/>
      <c r="BY20" s="219"/>
      <c r="BZ20" s="219"/>
      <c r="CA20" s="219"/>
      <c r="CB20" s="219"/>
      <c r="CC20" s="219"/>
      <c r="CD20" s="219"/>
      <c r="CE20" s="219"/>
      <c r="CF20" s="219"/>
      <c r="CG20" s="219"/>
      <c r="CH20" s="219"/>
      <c r="CI20" s="219"/>
      <c r="CJ20" s="219"/>
      <c r="CK20" s="219"/>
      <c r="CL20" s="219"/>
      <c r="CM20" s="219"/>
      <c r="CN20" s="219"/>
      <c r="CO20" s="219"/>
      <c r="CP20" s="219"/>
      <c r="CQ20" s="219"/>
      <c r="CR20" s="219"/>
      <c r="CS20" s="219"/>
      <c r="CT20" s="219"/>
      <c r="CU20" s="220"/>
      <c r="CV20" s="219"/>
      <c r="CW20" s="219"/>
      <c r="CX20" s="219"/>
      <c r="CY20" s="219"/>
      <c r="CZ20" s="219"/>
      <c r="DA20" s="219"/>
      <c r="DB20" s="219"/>
      <c r="DC20" s="219"/>
      <c r="DD20" s="219"/>
      <c r="DE20" s="219"/>
      <c r="DF20" s="219"/>
      <c r="DG20" s="219"/>
      <c r="DH20" s="221"/>
      <c r="DI20" s="221"/>
      <c r="DJ20" s="221"/>
      <c r="DK20" s="221"/>
      <c r="DL20" s="221"/>
      <c r="DM20" s="221"/>
      <c r="DN20" s="221"/>
      <c r="DO20" s="221"/>
      <c r="DP20" s="221"/>
      <c r="DQ20" s="221"/>
      <c r="DR20" s="221"/>
      <c r="DS20" s="221"/>
      <c r="DT20" s="221"/>
      <c r="DU20" s="221"/>
      <c r="DV20" s="221"/>
      <c r="DW20" s="221"/>
      <c r="DX20" s="221"/>
      <c r="DY20" s="221"/>
      <c r="DZ20" s="221"/>
      <c r="EA20" s="221"/>
      <c r="EB20" s="221"/>
      <c r="EC20" s="221"/>
      <c r="ED20" s="221"/>
      <c r="EE20" s="221"/>
      <c r="EF20" s="221"/>
      <c r="EG20" s="221"/>
      <c r="EH20" s="221"/>
      <c r="EI20" s="221"/>
      <c r="EJ20" s="221"/>
      <c r="EK20" s="221"/>
      <c r="EL20" s="221"/>
      <c r="EM20" s="221"/>
      <c r="EN20" s="221"/>
      <c r="EO20" s="221"/>
    </row>
    <row r="21" spans="1:146" s="2" customFormat="1" x14ac:dyDescent="0.2">
      <c r="A21" s="854" t="s">
        <v>74</v>
      </c>
      <c r="B21" s="855"/>
      <c r="C21" s="855"/>
      <c r="D21" s="856"/>
      <c r="E21" s="215">
        <v>195</v>
      </c>
      <c r="F21" s="216">
        <v>78</v>
      </c>
      <c r="G21" s="735">
        <v>0</v>
      </c>
      <c r="H21" s="736">
        <v>0</v>
      </c>
      <c r="I21" s="736">
        <v>0</v>
      </c>
      <c r="J21" s="736">
        <v>0</v>
      </c>
      <c r="K21" s="736">
        <v>0</v>
      </c>
      <c r="L21" s="736"/>
      <c r="M21" s="736">
        <v>39</v>
      </c>
      <c r="N21" s="736">
        <v>0</v>
      </c>
      <c r="O21" s="736">
        <v>0</v>
      </c>
      <c r="P21" s="736">
        <v>0</v>
      </c>
      <c r="Q21" s="736">
        <v>0</v>
      </c>
      <c r="R21" s="736">
        <v>0</v>
      </c>
      <c r="S21" s="736">
        <v>0</v>
      </c>
      <c r="T21" s="736">
        <v>0</v>
      </c>
      <c r="U21" s="736">
        <v>0</v>
      </c>
      <c r="V21" s="736">
        <v>0</v>
      </c>
      <c r="W21" s="736">
        <v>0</v>
      </c>
      <c r="X21" s="736">
        <v>0</v>
      </c>
      <c r="Y21" s="736">
        <v>39</v>
      </c>
      <c r="Z21" s="737">
        <v>24</v>
      </c>
      <c r="AA21" s="737">
        <v>0</v>
      </c>
      <c r="AB21" s="737">
        <v>23</v>
      </c>
      <c r="AC21" s="737">
        <v>0</v>
      </c>
      <c r="AD21" s="737">
        <v>0</v>
      </c>
      <c r="AE21" s="737">
        <v>0</v>
      </c>
      <c r="AF21" s="737">
        <v>0</v>
      </c>
      <c r="AG21" s="737">
        <v>8</v>
      </c>
      <c r="AH21" s="737">
        <v>0</v>
      </c>
      <c r="AI21" s="737">
        <v>0</v>
      </c>
      <c r="AJ21" s="737">
        <v>0</v>
      </c>
      <c r="AK21" s="737">
        <v>0</v>
      </c>
      <c r="AL21" s="737">
        <v>0</v>
      </c>
      <c r="AM21" s="737">
        <v>0</v>
      </c>
      <c r="AN21" s="219">
        <v>0</v>
      </c>
      <c r="AO21" s="219">
        <v>0</v>
      </c>
      <c r="AP21" s="219">
        <v>0</v>
      </c>
      <c r="AQ21" s="219">
        <v>0</v>
      </c>
      <c r="AR21" s="219">
        <v>0</v>
      </c>
      <c r="AS21" s="219">
        <v>0</v>
      </c>
      <c r="AT21" s="219">
        <v>15</v>
      </c>
      <c r="AU21" s="219">
        <v>16</v>
      </c>
      <c r="AV21" s="219">
        <v>0</v>
      </c>
      <c r="AW21" s="219">
        <v>0</v>
      </c>
      <c r="AX21" s="219">
        <v>0</v>
      </c>
      <c r="AY21" s="219">
        <v>0</v>
      </c>
      <c r="AZ21" s="219">
        <v>0</v>
      </c>
      <c r="BA21" s="219">
        <v>31</v>
      </c>
      <c r="BB21" s="219">
        <v>0</v>
      </c>
      <c r="BC21" s="219">
        <v>0</v>
      </c>
      <c r="BD21" s="219">
        <v>0</v>
      </c>
      <c r="BE21" s="219">
        <v>0</v>
      </c>
      <c r="BF21" s="219">
        <v>0</v>
      </c>
      <c r="BG21" s="219">
        <v>0</v>
      </c>
      <c r="BH21" s="219">
        <v>0</v>
      </c>
      <c r="BI21" s="219">
        <v>0</v>
      </c>
      <c r="BJ21" s="219">
        <v>0</v>
      </c>
      <c r="BK21" s="219">
        <v>0</v>
      </c>
      <c r="BL21" s="219">
        <v>0</v>
      </c>
      <c r="BM21" s="219">
        <v>0</v>
      </c>
      <c r="BN21" s="219">
        <v>0</v>
      </c>
      <c r="BO21" s="219">
        <v>0</v>
      </c>
      <c r="BP21" s="219">
        <v>0</v>
      </c>
      <c r="BQ21" s="219">
        <v>0</v>
      </c>
      <c r="BR21" s="219">
        <v>0</v>
      </c>
      <c r="BS21" s="219">
        <v>0</v>
      </c>
      <c r="BT21" s="219">
        <v>0</v>
      </c>
      <c r="BU21" s="219">
        <v>0</v>
      </c>
      <c r="BV21" s="219">
        <v>0</v>
      </c>
      <c r="BW21" s="219">
        <v>0</v>
      </c>
      <c r="BX21" s="219">
        <v>0</v>
      </c>
      <c r="BY21" s="219">
        <v>0</v>
      </c>
      <c r="BZ21" s="219">
        <v>0</v>
      </c>
      <c r="CA21" s="219">
        <v>0</v>
      </c>
      <c r="CB21" s="219">
        <v>0</v>
      </c>
      <c r="CC21" s="219">
        <v>0</v>
      </c>
      <c r="CD21" s="219">
        <v>0</v>
      </c>
      <c r="CE21" s="219">
        <v>0</v>
      </c>
      <c r="CF21" s="219">
        <v>0</v>
      </c>
      <c r="CG21" s="219">
        <v>0</v>
      </c>
      <c r="CH21" s="219">
        <v>0</v>
      </c>
      <c r="CI21" s="219">
        <v>0</v>
      </c>
      <c r="CJ21" s="219">
        <v>0</v>
      </c>
      <c r="CK21" s="219">
        <v>0</v>
      </c>
      <c r="CL21" s="219">
        <v>0</v>
      </c>
      <c r="CM21" s="219">
        <v>0</v>
      </c>
      <c r="CN21" s="219">
        <v>0</v>
      </c>
      <c r="CO21" s="219">
        <v>0</v>
      </c>
      <c r="CP21" s="219">
        <v>0</v>
      </c>
      <c r="CQ21" s="219">
        <v>0</v>
      </c>
      <c r="CR21" s="219">
        <v>0</v>
      </c>
      <c r="CS21" s="219">
        <v>0</v>
      </c>
      <c r="CT21" s="219">
        <v>0</v>
      </c>
      <c r="CU21" s="220">
        <v>0</v>
      </c>
      <c r="CV21" s="219">
        <v>0</v>
      </c>
      <c r="CW21" s="219">
        <v>0</v>
      </c>
      <c r="CX21" s="219">
        <v>0</v>
      </c>
      <c r="CY21" s="219">
        <v>0</v>
      </c>
      <c r="CZ21" s="219">
        <v>0</v>
      </c>
      <c r="DA21" s="219">
        <v>0</v>
      </c>
      <c r="DB21" s="219">
        <v>0</v>
      </c>
      <c r="DC21" s="219">
        <v>0</v>
      </c>
      <c r="DD21" s="219">
        <v>0</v>
      </c>
      <c r="DE21" s="219">
        <v>0</v>
      </c>
      <c r="DF21" s="219">
        <v>0</v>
      </c>
      <c r="DG21" s="219">
        <v>0</v>
      </c>
      <c r="DH21" s="221">
        <v>0</v>
      </c>
      <c r="DI21" s="221">
        <v>0</v>
      </c>
      <c r="DJ21" s="221">
        <v>0</v>
      </c>
      <c r="DK21" s="221">
        <v>0</v>
      </c>
      <c r="DL21" s="221">
        <v>0</v>
      </c>
      <c r="DM21" s="221">
        <v>0</v>
      </c>
      <c r="DN21" s="221">
        <v>0</v>
      </c>
      <c r="DO21" s="221">
        <v>0</v>
      </c>
      <c r="DP21" s="221">
        <v>0</v>
      </c>
      <c r="DQ21" s="221">
        <v>0</v>
      </c>
      <c r="DR21" s="221">
        <v>0</v>
      </c>
      <c r="DS21" s="221">
        <v>0</v>
      </c>
      <c r="DT21" s="221">
        <v>0</v>
      </c>
      <c r="DU21" s="221">
        <v>0</v>
      </c>
      <c r="DV21" s="221">
        <v>0</v>
      </c>
      <c r="DW21" s="221">
        <v>0</v>
      </c>
      <c r="DX21" s="221">
        <v>0</v>
      </c>
      <c r="DY21" s="221">
        <v>0</v>
      </c>
      <c r="DZ21" s="221">
        <v>0</v>
      </c>
      <c r="EA21" s="221">
        <v>0</v>
      </c>
      <c r="EB21" s="221">
        <v>62</v>
      </c>
      <c r="EC21" s="221">
        <v>0</v>
      </c>
      <c r="ED21" s="221">
        <v>0</v>
      </c>
      <c r="EE21" s="221">
        <v>0</v>
      </c>
      <c r="EF21" s="221">
        <v>0</v>
      </c>
      <c r="EG21" s="221">
        <v>0</v>
      </c>
      <c r="EH21" s="221">
        <v>0</v>
      </c>
      <c r="EI21" s="221">
        <v>0</v>
      </c>
      <c r="EJ21" s="221">
        <v>0</v>
      </c>
      <c r="EK21" s="221">
        <v>0</v>
      </c>
      <c r="EL21" s="221">
        <v>0</v>
      </c>
      <c r="EM21" s="221">
        <v>0</v>
      </c>
      <c r="EN21" s="221">
        <v>16</v>
      </c>
      <c r="EO21" s="221">
        <v>0</v>
      </c>
    </row>
    <row r="22" spans="1:146" s="2" customFormat="1" ht="15.75" thickBot="1" x14ac:dyDescent="0.25">
      <c r="A22" s="857" t="s">
        <v>109</v>
      </c>
      <c r="B22" s="858"/>
      <c r="C22" s="858"/>
      <c r="D22" s="859"/>
      <c r="E22" s="217">
        <v>78</v>
      </c>
      <c r="F22" s="218">
        <v>39</v>
      </c>
      <c r="G22" s="219">
        <v>0</v>
      </c>
      <c r="H22" s="219">
        <v>0</v>
      </c>
      <c r="I22" s="219">
        <v>0</v>
      </c>
      <c r="J22" s="219">
        <v>0</v>
      </c>
      <c r="K22" s="219">
        <v>0</v>
      </c>
      <c r="L22" s="219">
        <v>0</v>
      </c>
      <c r="M22" s="219">
        <v>0</v>
      </c>
      <c r="N22" s="219">
        <v>0</v>
      </c>
      <c r="O22" s="219">
        <v>0</v>
      </c>
      <c r="P22" s="219">
        <v>0</v>
      </c>
      <c r="Q22" s="219">
        <v>0</v>
      </c>
      <c r="R22" s="219">
        <v>0</v>
      </c>
      <c r="S22" s="219">
        <v>0</v>
      </c>
      <c r="T22" s="219">
        <v>0</v>
      </c>
      <c r="U22" s="219">
        <v>0</v>
      </c>
      <c r="V22" s="219">
        <v>0</v>
      </c>
      <c r="W22" s="219">
        <v>0</v>
      </c>
      <c r="X22" s="219">
        <v>0</v>
      </c>
      <c r="Y22" s="219">
        <v>0</v>
      </c>
      <c r="Z22" s="219">
        <v>20</v>
      </c>
      <c r="AA22" s="219">
        <v>8</v>
      </c>
      <c r="AB22" s="219">
        <v>0</v>
      </c>
      <c r="AC22" s="219">
        <v>0</v>
      </c>
      <c r="AD22" s="219">
        <v>0</v>
      </c>
      <c r="AE22" s="219">
        <v>0</v>
      </c>
      <c r="AF22" s="219">
        <v>0</v>
      </c>
      <c r="AG22" s="219">
        <v>0</v>
      </c>
      <c r="AH22" s="219">
        <v>0</v>
      </c>
      <c r="AI22" s="219">
        <v>0</v>
      </c>
      <c r="AJ22" s="219">
        <v>0</v>
      </c>
      <c r="AK22" s="219">
        <v>0</v>
      </c>
      <c r="AL22" s="219">
        <v>0</v>
      </c>
      <c r="AM22" s="219">
        <v>0</v>
      </c>
      <c r="AN22" s="219">
        <v>0</v>
      </c>
      <c r="AO22" s="219">
        <v>0</v>
      </c>
      <c r="AP22" s="219">
        <v>11</v>
      </c>
      <c r="AQ22" s="219">
        <v>0</v>
      </c>
      <c r="AR22" s="219">
        <v>0</v>
      </c>
      <c r="AS22" s="219">
        <v>0</v>
      </c>
      <c r="AT22" s="219">
        <v>0</v>
      </c>
      <c r="AU22" s="219">
        <v>8</v>
      </c>
      <c r="AV22" s="219">
        <v>0</v>
      </c>
      <c r="AW22" s="219">
        <v>0</v>
      </c>
      <c r="AX22" s="219">
        <v>0</v>
      </c>
      <c r="AY22" s="219">
        <v>0</v>
      </c>
      <c r="AZ22" s="219">
        <v>0</v>
      </c>
      <c r="BA22" s="219">
        <v>31</v>
      </c>
      <c r="BB22" s="219">
        <v>0</v>
      </c>
      <c r="BC22" s="219">
        <v>0</v>
      </c>
      <c r="BD22" s="219">
        <v>0</v>
      </c>
      <c r="BE22" s="219">
        <v>0</v>
      </c>
      <c r="BF22" s="219">
        <v>0</v>
      </c>
      <c r="BG22" s="219">
        <v>0</v>
      </c>
      <c r="BH22" s="219">
        <v>0</v>
      </c>
      <c r="BI22" s="219">
        <v>0</v>
      </c>
      <c r="BJ22" s="219">
        <v>0</v>
      </c>
      <c r="BK22" s="219">
        <v>0</v>
      </c>
      <c r="BL22" s="219">
        <v>0</v>
      </c>
      <c r="BM22" s="219">
        <v>0</v>
      </c>
      <c r="BN22" s="219">
        <v>0</v>
      </c>
      <c r="BO22" s="219">
        <v>0</v>
      </c>
      <c r="BP22" s="219">
        <v>0</v>
      </c>
      <c r="BQ22" s="219">
        <v>0</v>
      </c>
      <c r="BR22" s="219">
        <v>0</v>
      </c>
      <c r="BS22" s="219">
        <v>0</v>
      </c>
      <c r="BT22" s="219">
        <v>0</v>
      </c>
      <c r="BU22" s="219">
        <v>0</v>
      </c>
      <c r="BV22" s="219">
        <v>0</v>
      </c>
      <c r="BW22" s="219">
        <v>0</v>
      </c>
      <c r="BX22" s="219">
        <v>0</v>
      </c>
      <c r="BY22" s="219">
        <v>0</v>
      </c>
      <c r="BZ22" s="219">
        <v>0</v>
      </c>
      <c r="CA22" s="219">
        <v>0</v>
      </c>
      <c r="CB22" s="219">
        <v>0</v>
      </c>
      <c r="CC22" s="219">
        <v>0</v>
      </c>
      <c r="CD22" s="219">
        <v>0</v>
      </c>
      <c r="CE22" s="219">
        <v>0</v>
      </c>
      <c r="CF22" s="219">
        <v>0</v>
      </c>
      <c r="CG22" s="219">
        <v>0</v>
      </c>
      <c r="CH22" s="219">
        <v>0</v>
      </c>
      <c r="CI22" s="219">
        <v>0</v>
      </c>
      <c r="CJ22" s="219">
        <v>0</v>
      </c>
      <c r="CK22" s="219">
        <v>0</v>
      </c>
      <c r="CL22" s="219">
        <v>0</v>
      </c>
      <c r="CM22" s="219">
        <v>0</v>
      </c>
      <c r="CN22" s="219">
        <v>0</v>
      </c>
      <c r="CO22" s="219">
        <v>0</v>
      </c>
      <c r="CP22" s="219">
        <v>0</v>
      </c>
      <c r="CQ22" s="219">
        <v>0</v>
      </c>
      <c r="CR22" s="219">
        <v>0</v>
      </c>
      <c r="CS22" s="219">
        <v>0</v>
      </c>
      <c r="CT22" s="219">
        <v>0</v>
      </c>
      <c r="CU22" s="220">
        <v>0</v>
      </c>
      <c r="CV22" s="219">
        <v>0</v>
      </c>
      <c r="CW22" s="219">
        <v>0</v>
      </c>
      <c r="CX22" s="219">
        <v>0</v>
      </c>
      <c r="CY22" s="219">
        <v>0</v>
      </c>
      <c r="CZ22" s="219">
        <v>0</v>
      </c>
      <c r="DA22" s="219">
        <v>0</v>
      </c>
      <c r="DB22" s="219">
        <v>0</v>
      </c>
      <c r="DC22" s="219">
        <v>0</v>
      </c>
      <c r="DD22" s="219">
        <v>0</v>
      </c>
      <c r="DE22" s="219">
        <v>0</v>
      </c>
      <c r="DF22" s="219">
        <v>0</v>
      </c>
      <c r="DG22" s="219">
        <v>0</v>
      </c>
      <c r="DH22" s="221">
        <v>0</v>
      </c>
      <c r="DI22" s="221">
        <v>0</v>
      </c>
      <c r="DJ22" s="221">
        <v>0</v>
      </c>
      <c r="DK22" s="221">
        <v>0</v>
      </c>
      <c r="DL22" s="221">
        <v>0</v>
      </c>
      <c r="DM22" s="221">
        <v>0</v>
      </c>
      <c r="DN22" s="221">
        <v>0</v>
      </c>
      <c r="DO22" s="221">
        <v>0</v>
      </c>
      <c r="DP22" s="221">
        <v>0</v>
      </c>
      <c r="DQ22" s="221">
        <v>0</v>
      </c>
      <c r="DR22" s="221">
        <v>0</v>
      </c>
      <c r="DS22" s="221">
        <v>0</v>
      </c>
      <c r="DT22" s="221">
        <v>0</v>
      </c>
      <c r="DU22" s="221">
        <v>0</v>
      </c>
      <c r="DV22" s="221">
        <v>0</v>
      </c>
      <c r="DW22" s="221">
        <v>0</v>
      </c>
      <c r="DX22" s="221">
        <v>0</v>
      </c>
      <c r="DY22" s="221">
        <v>0</v>
      </c>
      <c r="DZ22" s="221">
        <v>0</v>
      </c>
      <c r="EA22" s="221">
        <v>0</v>
      </c>
      <c r="EB22" s="221">
        <v>31</v>
      </c>
      <c r="EC22" s="221">
        <v>0</v>
      </c>
      <c r="ED22" s="221">
        <v>0</v>
      </c>
      <c r="EE22" s="221">
        <v>0</v>
      </c>
      <c r="EF22" s="221">
        <v>0</v>
      </c>
      <c r="EG22" s="221">
        <v>0</v>
      </c>
      <c r="EH22" s="221">
        <v>8</v>
      </c>
      <c r="EI22" s="221">
        <v>0</v>
      </c>
      <c r="EJ22" s="221">
        <v>0</v>
      </c>
      <c r="EK22" s="221">
        <v>0</v>
      </c>
      <c r="EL22" s="221">
        <v>0</v>
      </c>
      <c r="EM22" s="221">
        <v>0</v>
      </c>
      <c r="EN22" s="221">
        <v>0</v>
      </c>
      <c r="EO22" s="221">
        <v>0</v>
      </c>
    </row>
    <row r="23" spans="1:146" s="2" customFormat="1" ht="15.75" thickBot="1" x14ac:dyDescent="0.25">
      <c r="A23" s="844" t="s">
        <v>110</v>
      </c>
      <c r="B23" s="845"/>
      <c r="C23" s="845"/>
      <c r="D23" s="845"/>
      <c r="E23" s="222">
        <f>SUM(E21:E22)</f>
        <v>273</v>
      </c>
      <c r="F23" s="223">
        <f>SUM(F21:F22)</f>
        <v>117</v>
      </c>
      <c r="G23" s="224">
        <f t="shared" ref="G23:BS23" si="7">SUM(G21:G22)</f>
        <v>0</v>
      </c>
      <c r="H23" s="224">
        <f t="shared" si="7"/>
        <v>0</v>
      </c>
      <c r="I23" s="224">
        <f t="shared" si="7"/>
        <v>0</v>
      </c>
      <c r="J23" s="224">
        <f t="shared" si="7"/>
        <v>0</v>
      </c>
      <c r="K23" s="224">
        <f t="shared" si="7"/>
        <v>0</v>
      </c>
      <c r="L23" s="224">
        <f t="shared" si="7"/>
        <v>0</v>
      </c>
      <c r="M23" s="224">
        <f t="shared" si="7"/>
        <v>39</v>
      </c>
      <c r="N23" s="224">
        <f t="shared" si="7"/>
        <v>0</v>
      </c>
      <c r="O23" s="224">
        <f t="shared" si="7"/>
        <v>0</v>
      </c>
      <c r="P23" s="224">
        <f t="shared" si="7"/>
        <v>0</v>
      </c>
      <c r="Q23" s="224">
        <f t="shared" si="7"/>
        <v>0</v>
      </c>
      <c r="R23" s="224">
        <f t="shared" si="7"/>
        <v>0</v>
      </c>
      <c r="S23" s="224">
        <f t="shared" si="7"/>
        <v>0</v>
      </c>
      <c r="T23" s="224">
        <f t="shared" si="7"/>
        <v>0</v>
      </c>
      <c r="U23" s="224">
        <f t="shared" si="7"/>
        <v>0</v>
      </c>
      <c r="V23" s="224">
        <f t="shared" si="7"/>
        <v>0</v>
      </c>
      <c r="W23" s="224">
        <f t="shared" si="7"/>
        <v>0</v>
      </c>
      <c r="X23" s="224">
        <f t="shared" si="7"/>
        <v>0</v>
      </c>
      <c r="Y23" s="224">
        <f t="shared" si="7"/>
        <v>39</v>
      </c>
      <c r="Z23" s="224">
        <f t="shared" si="7"/>
        <v>44</v>
      </c>
      <c r="AA23" s="224">
        <f t="shared" si="7"/>
        <v>8</v>
      </c>
      <c r="AB23" s="224">
        <f t="shared" si="7"/>
        <v>23</v>
      </c>
      <c r="AC23" s="224">
        <f t="shared" si="7"/>
        <v>0</v>
      </c>
      <c r="AD23" s="224">
        <f t="shared" si="7"/>
        <v>0</v>
      </c>
      <c r="AE23" s="224">
        <f t="shared" si="7"/>
        <v>0</v>
      </c>
      <c r="AF23" s="224">
        <f t="shared" si="7"/>
        <v>0</v>
      </c>
      <c r="AG23" s="224">
        <f t="shared" si="7"/>
        <v>8</v>
      </c>
      <c r="AH23" s="224">
        <f t="shared" si="7"/>
        <v>0</v>
      </c>
      <c r="AI23" s="224">
        <f t="shared" si="7"/>
        <v>0</v>
      </c>
      <c r="AJ23" s="224">
        <f t="shared" si="7"/>
        <v>0</v>
      </c>
      <c r="AK23" s="224">
        <f t="shared" si="7"/>
        <v>0</v>
      </c>
      <c r="AL23" s="224">
        <f t="shared" si="7"/>
        <v>0</v>
      </c>
      <c r="AM23" s="224">
        <f t="shared" si="7"/>
        <v>0</v>
      </c>
      <c r="AN23" s="224">
        <f t="shared" si="7"/>
        <v>0</v>
      </c>
      <c r="AO23" s="224">
        <f t="shared" si="7"/>
        <v>0</v>
      </c>
      <c r="AP23" s="224">
        <f t="shared" si="7"/>
        <v>11</v>
      </c>
      <c r="AQ23" s="224">
        <f t="shared" si="7"/>
        <v>0</v>
      </c>
      <c r="AR23" s="224">
        <f t="shared" si="7"/>
        <v>0</v>
      </c>
      <c r="AS23" s="224">
        <f t="shared" si="7"/>
        <v>0</v>
      </c>
      <c r="AT23" s="224">
        <f t="shared" si="7"/>
        <v>15</v>
      </c>
      <c r="AU23" s="224">
        <f t="shared" si="7"/>
        <v>24</v>
      </c>
      <c r="AV23" s="224">
        <f t="shared" si="7"/>
        <v>0</v>
      </c>
      <c r="AW23" s="224">
        <f t="shared" si="7"/>
        <v>0</v>
      </c>
      <c r="AX23" s="224">
        <f t="shared" si="7"/>
        <v>0</v>
      </c>
      <c r="AY23" s="224">
        <f t="shared" si="7"/>
        <v>0</v>
      </c>
      <c r="AZ23" s="224">
        <f t="shared" si="7"/>
        <v>0</v>
      </c>
      <c r="BA23" s="224">
        <f t="shared" si="7"/>
        <v>62</v>
      </c>
      <c r="BB23" s="224">
        <f t="shared" si="7"/>
        <v>0</v>
      </c>
      <c r="BC23" s="224">
        <f t="shared" si="7"/>
        <v>0</v>
      </c>
      <c r="BD23" s="224">
        <f t="shared" si="7"/>
        <v>0</v>
      </c>
      <c r="BE23" s="224">
        <f t="shared" si="7"/>
        <v>0</v>
      </c>
      <c r="BF23" s="224">
        <f t="shared" si="7"/>
        <v>0</v>
      </c>
      <c r="BG23" s="224">
        <f t="shared" si="7"/>
        <v>0</v>
      </c>
      <c r="BH23" s="224">
        <f t="shared" si="7"/>
        <v>0</v>
      </c>
      <c r="BI23" s="224">
        <f t="shared" si="7"/>
        <v>0</v>
      </c>
      <c r="BJ23" s="224">
        <f t="shared" si="7"/>
        <v>0</v>
      </c>
      <c r="BK23" s="224">
        <f t="shared" si="7"/>
        <v>0</v>
      </c>
      <c r="BL23" s="224">
        <f t="shared" si="7"/>
        <v>0</v>
      </c>
      <c r="BM23" s="224">
        <f t="shared" si="7"/>
        <v>0</v>
      </c>
      <c r="BN23" s="224">
        <f t="shared" si="7"/>
        <v>0</v>
      </c>
      <c r="BO23" s="224">
        <f t="shared" si="7"/>
        <v>0</v>
      </c>
      <c r="BP23" s="224">
        <f t="shared" si="7"/>
        <v>0</v>
      </c>
      <c r="BQ23" s="224">
        <f t="shared" si="7"/>
        <v>0</v>
      </c>
      <c r="BR23" s="224">
        <f t="shared" si="7"/>
        <v>0</v>
      </c>
      <c r="BS23" s="224">
        <f t="shared" si="7"/>
        <v>0</v>
      </c>
      <c r="BT23" s="224">
        <f t="shared" ref="BT23:DH23" si="8">SUM(BT21:BT22)</f>
        <v>0</v>
      </c>
      <c r="BU23" s="224">
        <f t="shared" si="8"/>
        <v>0</v>
      </c>
      <c r="BV23" s="224">
        <f t="shared" si="8"/>
        <v>0</v>
      </c>
      <c r="BW23" s="224">
        <f t="shared" si="8"/>
        <v>0</v>
      </c>
      <c r="BX23" s="224">
        <f t="shared" si="8"/>
        <v>0</v>
      </c>
      <c r="BY23" s="224">
        <f t="shared" si="8"/>
        <v>0</v>
      </c>
      <c r="BZ23" s="224">
        <f t="shared" si="8"/>
        <v>0</v>
      </c>
      <c r="CA23" s="224">
        <f t="shared" si="8"/>
        <v>0</v>
      </c>
      <c r="CB23" s="224">
        <f t="shared" si="8"/>
        <v>0</v>
      </c>
      <c r="CC23" s="224">
        <f t="shared" si="8"/>
        <v>0</v>
      </c>
      <c r="CD23" s="224">
        <f t="shared" si="8"/>
        <v>0</v>
      </c>
      <c r="CE23" s="224">
        <f t="shared" si="8"/>
        <v>0</v>
      </c>
      <c r="CF23" s="224">
        <f t="shared" si="8"/>
        <v>0</v>
      </c>
      <c r="CG23" s="224">
        <f t="shared" si="8"/>
        <v>0</v>
      </c>
      <c r="CH23" s="224">
        <f t="shared" si="8"/>
        <v>0</v>
      </c>
      <c r="CI23" s="224">
        <f t="shared" si="8"/>
        <v>0</v>
      </c>
      <c r="CJ23" s="224">
        <f t="shared" si="8"/>
        <v>0</v>
      </c>
      <c r="CK23" s="224">
        <f t="shared" si="8"/>
        <v>0</v>
      </c>
      <c r="CL23" s="224">
        <f t="shared" si="8"/>
        <v>0</v>
      </c>
      <c r="CM23" s="224">
        <f t="shared" si="8"/>
        <v>0</v>
      </c>
      <c r="CN23" s="224">
        <f t="shared" si="8"/>
        <v>0</v>
      </c>
      <c r="CO23" s="224">
        <f t="shared" si="8"/>
        <v>0</v>
      </c>
      <c r="CP23" s="224">
        <f t="shared" si="8"/>
        <v>0</v>
      </c>
      <c r="CQ23" s="224">
        <f t="shared" si="8"/>
        <v>0</v>
      </c>
      <c r="CR23" s="224">
        <f t="shared" si="8"/>
        <v>0</v>
      </c>
      <c r="CS23" s="224">
        <f t="shared" si="8"/>
        <v>0</v>
      </c>
      <c r="CT23" s="224">
        <f t="shared" si="8"/>
        <v>0</v>
      </c>
      <c r="CU23" s="224">
        <f t="shared" si="8"/>
        <v>0</v>
      </c>
      <c r="CV23" s="224">
        <f t="shared" si="8"/>
        <v>0</v>
      </c>
      <c r="CW23" s="224">
        <f t="shared" si="8"/>
        <v>0</v>
      </c>
      <c r="CX23" s="224">
        <f t="shared" si="8"/>
        <v>0</v>
      </c>
      <c r="CY23" s="224">
        <f t="shared" si="8"/>
        <v>0</v>
      </c>
      <c r="CZ23" s="224">
        <f t="shared" si="8"/>
        <v>0</v>
      </c>
      <c r="DA23" s="224">
        <f t="shared" si="8"/>
        <v>0</v>
      </c>
      <c r="DB23" s="224">
        <f t="shared" si="8"/>
        <v>0</v>
      </c>
      <c r="DC23" s="224">
        <f t="shared" si="8"/>
        <v>0</v>
      </c>
      <c r="DD23" s="224">
        <f t="shared" si="8"/>
        <v>0</v>
      </c>
      <c r="DE23" s="224">
        <f t="shared" si="8"/>
        <v>0</v>
      </c>
      <c r="DF23" s="224">
        <f t="shared" si="8"/>
        <v>0</v>
      </c>
      <c r="DG23" s="224">
        <f t="shared" si="8"/>
        <v>0</v>
      </c>
      <c r="DH23" s="224">
        <f t="shared" si="8"/>
        <v>0</v>
      </c>
      <c r="DI23" s="224"/>
      <c r="DJ23" s="224"/>
      <c r="DK23" s="224"/>
      <c r="DL23" s="224"/>
      <c r="DM23" s="224"/>
      <c r="DN23" s="224"/>
      <c r="DO23" s="224"/>
      <c r="DP23" s="224"/>
      <c r="DQ23" s="224"/>
      <c r="DR23" s="224"/>
      <c r="DS23" s="224"/>
      <c r="DT23" s="224"/>
      <c r="DU23" s="224"/>
      <c r="DV23" s="224"/>
      <c r="DW23" s="224"/>
      <c r="DX23" s="224"/>
      <c r="DY23" s="224"/>
      <c r="DZ23" s="224"/>
      <c r="EA23" s="224"/>
      <c r="EB23" s="224"/>
      <c r="EC23" s="224"/>
      <c r="ED23" s="224"/>
      <c r="EE23" s="224"/>
      <c r="EF23" s="224"/>
      <c r="EG23" s="224"/>
      <c r="EH23" s="224"/>
      <c r="EI23" s="224"/>
      <c r="EJ23" s="224"/>
      <c r="EK23" s="224"/>
      <c r="EL23" s="224"/>
      <c r="EM23" s="224"/>
      <c r="EN23" s="224"/>
      <c r="EO23" s="224"/>
    </row>
    <row r="24" spans="1:146" s="2" customFormat="1" ht="14.45" customHeight="1" thickBot="1" x14ac:dyDescent="0.25">
      <c r="A24" s="230" t="s">
        <v>613</v>
      </c>
      <c r="B24" s="232"/>
      <c r="C24" s="231" t="s">
        <v>614</v>
      </c>
      <c r="D24" s="233"/>
      <c r="E24" s="213" t="s">
        <v>102</v>
      </c>
      <c r="F24" s="214" t="s">
        <v>103</v>
      </c>
      <c r="G24" s="219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19"/>
      <c r="AE24" s="219"/>
      <c r="AF24" s="219"/>
      <c r="AG24" s="219"/>
      <c r="AH24" s="219"/>
      <c r="AI24" s="219"/>
      <c r="AJ24" s="219"/>
      <c r="AK24" s="219"/>
      <c r="AL24" s="219"/>
      <c r="AM24" s="219"/>
      <c r="AN24" s="219"/>
      <c r="AO24" s="219"/>
      <c r="AP24" s="219"/>
      <c r="AQ24" s="219"/>
      <c r="AR24" s="219"/>
      <c r="AS24" s="219"/>
      <c r="AT24" s="219"/>
      <c r="AU24" s="219"/>
      <c r="AV24" s="219"/>
      <c r="AW24" s="219"/>
      <c r="AX24" s="219"/>
      <c r="AY24" s="219"/>
      <c r="AZ24" s="219"/>
      <c r="BA24" s="219"/>
      <c r="BB24" s="219"/>
      <c r="BC24" s="219"/>
      <c r="BD24" s="219"/>
      <c r="BE24" s="219"/>
      <c r="BF24" s="219"/>
      <c r="BG24" s="219"/>
      <c r="BH24" s="219"/>
      <c r="BI24" s="219"/>
      <c r="BJ24" s="219"/>
      <c r="BK24" s="219"/>
      <c r="BL24" s="219"/>
      <c r="BM24" s="219"/>
      <c r="BN24" s="219"/>
      <c r="BO24" s="219"/>
      <c r="BP24" s="219"/>
      <c r="BQ24" s="219"/>
      <c r="BR24" s="219"/>
      <c r="BS24" s="219"/>
      <c r="BT24" s="219"/>
      <c r="BU24" s="219"/>
      <c r="BV24" s="219"/>
      <c r="BW24" s="219"/>
      <c r="BX24" s="219"/>
      <c r="BY24" s="219"/>
      <c r="BZ24" s="219"/>
      <c r="CA24" s="219"/>
      <c r="CB24" s="219"/>
      <c r="CC24" s="219"/>
      <c r="CD24" s="219"/>
      <c r="CE24" s="219"/>
      <c r="CF24" s="219"/>
      <c r="CG24" s="219"/>
      <c r="CH24" s="219"/>
      <c r="CI24" s="219"/>
      <c r="CJ24" s="219"/>
      <c r="CK24" s="219"/>
      <c r="CL24" s="219"/>
      <c r="CM24" s="219"/>
      <c r="CN24" s="219"/>
      <c r="CO24" s="219"/>
      <c r="CP24" s="219"/>
      <c r="CQ24" s="219"/>
      <c r="CR24" s="219"/>
      <c r="CS24" s="219"/>
      <c r="CT24" s="219"/>
      <c r="CU24" s="220"/>
      <c r="CV24" s="219"/>
      <c r="CW24" s="219"/>
      <c r="CX24" s="219"/>
      <c r="CY24" s="219"/>
      <c r="CZ24" s="219"/>
      <c r="DA24" s="219"/>
      <c r="DB24" s="219"/>
      <c r="DC24" s="219"/>
      <c r="DD24" s="219"/>
      <c r="DE24" s="219"/>
      <c r="DF24" s="219"/>
      <c r="DG24" s="219"/>
      <c r="DH24" s="221"/>
      <c r="DI24" s="221"/>
      <c r="DJ24" s="221"/>
      <c r="DK24" s="221"/>
      <c r="DL24" s="221"/>
      <c r="DM24" s="221"/>
      <c r="DN24" s="221"/>
      <c r="DO24" s="221"/>
      <c r="DP24" s="221"/>
      <c r="DQ24" s="221"/>
      <c r="DR24" s="221"/>
      <c r="DS24" s="221"/>
      <c r="DT24" s="221"/>
      <c r="DU24" s="221"/>
      <c r="DV24" s="221"/>
      <c r="DW24" s="221"/>
      <c r="DX24" s="221"/>
      <c r="DY24" s="221"/>
      <c r="DZ24" s="221"/>
      <c r="EA24" s="221"/>
      <c r="EB24" s="221"/>
      <c r="EC24" s="221"/>
      <c r="ED24" s="221"/>
      <c r="EE24" s="221"/>
      <c r="EF24" s="221"/>
      <c r="EG24" s="221"/>
      <c r="EH24" s="221"/>
      <c r="EI24" s="221"/>
      <c r="EJ24" s="221"/>
      <c r="EK24" s="221"/>
      <c r="EL24" s="221"/>
      <c r="EM24" s="221"/>
      <c r="EN24" s="221"/>
      <c r="EO24" s="221"/>
    </row>
    <row r="25" spans="1:146" s="2" customFormat="1" x14ac:dyDescent="0.2">
      <c r="A25" s="854" t="s">
        <v>74</v>
      </c>
      <c r="B25" s="855"/>
      <c r="C25" s="855"/>
      <c r="D25" s="856"/>
      <c r="E25" s="215"/>
      <c r="F25" s="216"/>
      <c r="G25" s="219"/>
      <c r="H25" s="219"/>
      <c r="I25" s="219"/>
      <c r="J25" s="219"/>
      <c r="K25" s="219"/>
      <c r="L25" s="219"/>
      <c r="M25" s="219"/>
      <c r="N25" s="219"/>
      <c r="O25" s="219"/>
      <c r="P25" s="219"/>
      <c r="Q25" s="219"/>
      <c r="R25" s="219"/>
      <c r="S25" s="219"/>
      <c r="T25" s="219"/>
      <c r="U25" s="219"/>
      <c r="V25" s="219"/>
      <c r="W25" s="219"/>
      <c r="X25" s="219"/>
      <c r="Y25" s="219"/>
      <c r="Z25" s="219"/>
      <c r="AA25" s="219"/>
      <c r="AB25" s="219"/>
      <c r="AC25" s="219"/>
      <c r="AD25" s="219"/>
      <c r="AE25" s="219"/>
      <c r="AF25" s="219"/>
      <c r="AG25" s="219"/>
      <c r="AH25" s="219"/>
      <c r="AI25" s="219"/>
      <c r="AJ25" s="219"/>
      <c r="AK25" s="219"/>
      <c r="AL25" s="219"/>
      <c r="AM25" s="219"/>
      <c r="AN25" s="219"/>
      <c r="AO25" s="219"/>
      <c r="AP25" s="219"/>
      <c r="AQ25" s="219"/>
      <c r="AR25" s="219"/>
      <c r="AS25" s="219"/>
      <c r="AT25" s="219"/>
      <c r="AU25" s="219"/>
      <c r="AV25" s="219"/>
      <c r="AW25" s="219"/>
      <c r="AX25" s="219"/>
      <c r="AY25" s="219"/>
      <c r="AZ25" s="219"/>
      <c r="BA25" s="219"/>
      <c r="BB25" s="219"/>
      <c r="BC25" s="219"/>
      <c r="BD25" s="219"/>
      <c r="BE25" s="219"/>
      <c r="BF25" s="219"/>
      <c r="BG25" s="219"/>
      <c r="BH25" s="219"/>
      <c r="BI25" s="219"/>
      <c r="BJ25" s="219"/>
      <c r="BK25" s="219"/>
      <c r="BL25" s="219"/>
      <c r="BM25" s="219"/>
      <c r="BN25" s="219"/>
      <c r="BO25" s="219"/>
      <c r="BP25" s="219"/>
      <c r="BQ25" s="219"/>
      <c r="BR25" s="219"/>
      <c r="BS25" s="219"/>
      <c r="BT25" s="219"/>
      <c r="BU25" s="219"/>
      <c r="BV25" s="219"/>
      <c r="BW25" s="219"/>
      <c r="BX25" s="219"/>
      <c r="BY25" s="219"/>
      <c r="BZ25" s="219"/>
      <c r="CA25" s="219"/>
      <c r="CB25" s="219"/>
      <c r="CC25" s="219"/>
      <c r="CD25" s="219"/>
      <c r="CE25" s="219"/>
      <c r="CF25" s="219"/>
      <c r="CG25" s="219"/>
      <c r="CH25" s="219"/>
      <c r="CI25" s="219"/>
      <c r="CJ25" s="219"/>
      <c r="CK25" s="219"/>
      <c r="CL25" s="219"/>
      <c r="CM25" s="219"/>
      <c r="CN25" s="219"/>
      <c r="CO25" s="219"/>
      <c r="CP25" s="219"/>
      <c r="CQ25" s="219"/>
      <c r="CR25" s="219"/>
      <c r="CS25" s="219"/>
      <c r="CT25" s="219"/>
      <c r="CU25" s="220">
        <v>0</v>
      </c>
      <c r="CV25" s="219">
        <v>0</v>
      </c>
      <c r="CW25" s="219">
        <v>0</v>
      </c>
      <c r="CX25" s="219">
        <v>0</v>
      </c>
      <c r="CY25" s="219">
        <v>0</v>
      </c>
      <c r="CZ25" s="219">
        <v>0</v>
      </c>
      <c r="DA25" s="219">
        <v>0</v>
      </c>
      <c r="DB25" s="219">
        <v>0</v>
      </c>
      <c r="DC25" s="219">
        <v>0</v>
      </c>
      <c r="DD25" s="219">
        <v>0</v>
      </c>
      <c r="DE25" s="219">
        <v>0</v>
      </c>
      <c r="DF25" s="219">
        <v>0</v>
      </c>
      <c r="DG25" s="219">
        <v>0</v>
      </c>
      <c r="DH25" s="221">
        <v>0</v>
      </c>
      <c r="DI25" s="221">
        <v>0</v>
      </c>
      <c r="DJ25" s="221">
        <v>0</v>
      </c>
      <c r="DK25" s="221">
        <v>0</v>
      </c>
      <c r="DL25" s="221">
        <v>0</v>
      </c>
      <c r="DM25" s="221">
        <v>0</v>
      </c>
      <c r="DN25" s="221">
        <v>0</v>
      </c>
      <c r="DO25" s="221">
        <v>0</v>
      </c>
      <c r="DP25" s="221">
        <v>0</v>
      </c>
      <c r="DQ25" s="221">
        <v>0</v>
      </c>
      <c r="DR25" s="221">
        <v>0</v>
      </c>
      <c r="DS25" s="221">
        <v>0</v>
      </c>
      <c r="DT25" s="221">
        <v>0</v>
      </c>
      <c r="DU25" s="221">
        <v>0</v>
      </c>
      <c r="DV25" s="221">
        <v>0</v>
      </c>
      <c r="DW25" s="221">
        <v>0</v>
      </c>
      <c r="DX25" s="221">
        <v>0</v>
      </c>
      <c r="DY25" s="221">
        <v>0</v>
      </c>
      <c r="DZ25" s="221">
        <v>0</v>
      </c>
      <c r="EA25" s="221">
        <v>0</v>
      </c>
      <c r="EB25" s="221">
        <v>0</v>
      </c>
      <c r="EC25" s="221">
        <v>0</v>
      </c>
      <c r="ED25" s="221">
        <v>0</v>
      </c>
      <c r="EE25" s="221">
        <v>0</v>
      </c>
      <c r="EF25" s="221">
        <v>0</v>
      </c>
      <c r="EG25" s="221">
        <v>0</v>
      </c>
      <c r="EH25" s="221">
        <v>0</v>
      </c>
      <c r="EI25" s="221">
        <v>0</v>
      </c>
      <c r="EJ25" s="221">
        <v>0</v>
      </c>
      <c r="EK25" s="221">
        <v>0</v>
      </c>
      <c r="EL25" s="221">
        <v>0</v>
      </c>
      <c r="EM25" s="221">
        <v>0</v>
      </c>
      <c r="EN25" s="221">
        <v>0</v>
      </c>
      <c r="EO25" s="221">
        <v>49</v>
      </c>
    </row>
    <row r="26" spans="1:146" s="2" customFormat="1" ht="15.75" thickBot="1" x14ac:dyDescent="0.25">
      <c r="A26" s="857" t="s">
        <v>109</v>
      </c>
      <c r="B26" s="858"/>
      <c r="C26" s="858"/>
      <c r="D26" s="859"/>
      <c r="E26" s="217"/>
      <c r="F26" s="218"/>
      <c r="G26" s="219"/>
      <c r="H26" s="219"/>
      <c r="I26" s="219"/>
      <c r="J26" s="219"/>
      <c r="K26" s="219"/>
      <c r="L26" s="219"/>
      <c r="M26" s="219"/>
      <c r="N26" s="219"/>
      <c r="O26" s="219"/>
      <c r="P26" s="219"/>
      <c r="Q26" s="219"/>
      <c r="R26" s="219"/>
      <c r="S26" s="219"/>
      <c r="T26" s="219"/>
      <c r="U26" s="219"/>
      <c r="V26" s="219"/>
      <c r="W26" s="219"/>
      <c r="X26" s="219"/>
      <c r="Y26" s="219"/>
      <c r="Z26" s="219"/>
      <c r="AA26" s="219"/>
      <c r="AB26" s="219"/>
      <c r="AC26" s="219"/>
      <c r="AD26" s="219"/>
      <c r="AE26" s="219"/>
      <c r="AF26" s="219"/>
      <c r="AG26" s="219"/>
      <c r="AH26" s="219"/>
      <c r="AI26" s="219"/>
      <c r="AJ26" s="219"/>
      <c r="AK26" s="219"/>
      <c r="AL26" s="219"/>
      <c r="AM26" s="219"/>
      <c r="AN26" s="219"/>
      <c r="AO26" s="219"/>
      <c r="AP26" s="219"/>
      <c r="AQ26" s="219"/>
      <c r="AR26" s="219"/>
      <c r="AS26" s="219"/>
      <c r="AT26" s="219"/>
      <c r="AU26" s="219"/>
      <c r="AV26" s="219"/>
      <c r="AW26" s="219"/>
      <c r="AX26" s="219"/>
      <c r="AY26" s="219"/>
      <c r="AZ26" s="219"/>
      <c r="BA26" s="219"/>
      <c r="BB26" s="219"/>
      <c r="BC26" s="219"/>
      <c r="BD26" s="219"/>
      <c r="BE26" s="219"/>
      <c r="BF26" s="219"/>
      <c r="BG26" s="219"/>
      <c r="BH26" s="219"/>
      <c r="BI26" s="219"/>
      <c r="BJ26" s="219"/>
      <c r="BK26" s="219"/>
      <c r="BL26" s="219"/>
      <c r="BM26" s="219"/>
      <c r="BN26" s="219"/>
      <c r="BO26" s="219"/>
      <c r="BP26" s="219"/>
      <c r="BQ26" s="219"/>
      <c r="BR26" s="219"/>
      <c r="BS26" s="219"/>
      <c r="BT26" s="219"/>
      <c r="BU26" s="219"/>
      <c r="BV26" s="219"/>
      <c r="BW26" s="219"/>
      <c r="BX26" s="219"/>
      <c r="BY26" s="219"/>
      <c r="BZ26" s="219"/>
      <c r="CA26" s="219"/>
      <c r="CB26" s="219"/>
      <c r="CC26" s="219"/>
      <c r="CD26" s="219"/>
      <c r="CE26" s="219"/>
      <c r="CF26" s="219"/>
      <c r="CG26" s="219"/>
      <c r="CH26" s="219"/>
      <c r="CI26" s="219"/>
      <c r="CJ26" s="219"/>
      <c r="CK26" s="219"/>
      <c r="CL26" s="219"/>
      <c r="CM26" s="219"/>
      <c r="CN26" s="219"/>
      <c r="CO26" s="219"/>
      <c r="CP26" s="219"/>
      <c r="CQ26" s="219"/>
      <c r="CR26" s="219"/>
      <c r="CS26" s="219"/>
      <c r="CT26" s="219"/>
      <c r="CU26" s="220">
        <v>0</v>
      </c>
      <c r="CV26" s="219">
        <v>0</v>
      </c>
      <c r="CW26" s="219">
        <v>0</v>
      </c>
      <c r="CX26" s="219">
        <v>0</v>
      </c>
      <c r="CY26" s="219">
        <v>0</v>
      </c>
      <c r="CZ26" s="219">
        <v>0</v>
      </c>
      <c r="DA26" s="219">
        <v>0</v>
      </c>
      <c r="DB26" s="219">
        <v>0</v>
      </c>
      <c r="DC26" s="219">
        <v>0</v>
      </c>
      <c r="DD26" s="219">
        <v>0</v>
      </c>
      <c r="DE26" s="219">
        <v>0</v>
      </c>
      <c r="DF26" s="219">
        <v>0</v>
      </c>
      <c r="DG26" s="219">
        <v>0</v>
      </c>
      <c r="DH26" s="221">
        <v>0</v>
      </c>
      <c r="DI26" s="221">
        <v>0</v>
      </c>
      <c r="DJ26" s="221">
        <v>0</v>
      </c>
      <c r="DK26" s="221">
        <v>0</v>
      </c>
      <c r="DL26" s="221">
        <v>0</v>
      </c>
      <c r="DM26" s="221">
        <v>0</v>
      </c>
      <c r="DN26" s="221">
        <v>0</v>
      </c>
      <c r="DO26" s="221">
        <v>0</v>
      </c>
      <c r="DP26" s="221">
        <v>0</v>
      </c>
      <c r="DQ26" s="221">
        <v>0</v>
      </c>
      <c r="DR26" s="221">
        <v>0</v>
      </c>
      <c r="DS26" s="221">
        <v>0</v>
      </c>
      <c r="DT26" s="221">
        <v>0</v>
      </c>
      <c r="DU26" s="221">
        <v>0</v>
      </c>
      <c r="DV26" s="221">
        <v>0</v>
      </c>
      <c r="DW26" s="221">
        <v>0</v>
      </c>
      <c r="DX26" s="221">
        <v>0</v>
      </c>
      <c r="DY26" s="221">
        <v>0</v>
      </c>
      <c r="DZ26" s="221">
        <v>0</v>
      </c>
      <c r="EA26" s="221">
        <v>0</v>
      </c>
      <c r="EB26" s="221">
        <v>39</v>
      </c>
      <c r="EC26" s="221">
        <v>0</v>
      </c>
      <c r="ED26" s="221">
        <v>0</v>
      </c>
      <c r="EE26" s="221">
        <v>0</v>
      </c>
      <c r="EF26" s="221">
        <v>0</v>
      </c>
      <c r="EG26" s="221">
        <v>0</v>
      </c>
      <c r="EH26" s="221">
        <v>0</v>
      </c>
      <c r="EI26" s="221">
        <v>0</v>
      </c>
      <c r="EJ26" s="221">
        <v>0</v>
      </c>
      <c r="EK26" s="221">
        <v>0</v>
      </c>
      <c r="EL26" s="221">
        <v>0</v>
      </c>
      <c r="EM26" s="221">
        <v>0</v>
      </c>
      <c r="EN26" s="221">
        <v>0</v>
      </c>
      <c r="EO26" s="221">
        <v>14</v>
      </c>
    </row>
    <row r="27" spans="1:146" s="2" customFormat="1" ht="15.75" thickBot="1" x14ac:dyDescent="0.25">
      <c r="A27" s="844" t="s">
        <v>110</v>
      </c>
      <c r="B27" s="845"/>
      <c r="C27" s="845"/>
      <c r="D27" s="845"/>
      <c r="E27" s="225">
        <f>SUM(E25:E26)</f>
        <v>0</v>
      </c>
      <c r="F27" s="226">
        <f>SUM(F25:F26)</f>
        <v>0</v>
      </c>
      <c r="G27" s="224">
        <f>SUM(G25:G26)</f>
        <v>0</v>
      </c>
      <c r="H27" s="224">
        <f t="shared" ref="H27:BT27" si="9">SUM(H25:H26)</f>
        <v>0</v>
      </c>
      <c r="I27" s="224">
        <f t="shared" si="9"/>
        <v>0</v>
      </c>
      <c r="J27" s="224">
        <f t="shared" si="9"/>
        <v>0</v>
      </c>
      <c r="K27" s="224">
        <f t="shared" si="9"/>
        <v>0</v>
      </c>
      <c r="L27" s="224">
        <f t="shared" si="9"/>
        <v>0</v>
      </c>
      <c r="M27" s="224">
        <f t="shared" si="9"/>
        <v>0</v>
      </c>
      <c r="N27" s="224">
        <f t="shared" si="9"/>
        <v>0</v>
      </c>
      <c r="O27" s="224">
        <f t="shared" si="9"/>
        <v>0</v>
      </c>
      <c r="P27" s="224">
        <f t="shared" si="9"/>
        <v>0</v>
      </c>
      <c r="Q27" s="224">
        <f t="shared" si="9"/>
        <v>0</v>
      </c>
      <c r="R27" s="224">
        <f t="shared" si="9"/>
        <v>0</v>
      </c>
      <c r="S27" s="224">
        <f t="shared" si="9"/>
        <v>0</v>
      </c>
      <c r="T27" s="224">
        <f t="shared" si="9"/>
        <v>0</v>
      </c>
      <c r="U27" s="224">
        <f t="shared" si="9"/>
        <v>0</v>
      </c>
      <c r="V27" s="224">
        <f t="shared" si="9"/>
        <v>0</v>
      </c>
      <c r="W27" s="224">
        <f t="shared" si="9"/>
        <v>0</v>
      </c>
      <c r="X27" s="224">
        <f t="shared" si="9"/>
        <v>0</v>
      </c>
      <c r="Y27" s="224"/>
      <c r="Z27" s="224">
        <f t="shared" si="9"/>
        <v>0</v>
      </c>
      <c r="AA27" s="224">
        <f t="shared" si="9"/>
        <v>0</v>
      </c>
      <c r="AB27" s="224">
        <f t="shared" si="9"/>
        <v>0</v>
      </c>
      <c r="AC27" s="224">
        <f t="shared" si="9"/>
        <v>0</v>
      </c>
      <c r="AD27" s="224">
        <f t="shared" si="9"/>
        <v>0</v>
      </c>
      <c r="AE27" s="224">
        <f t="shared" si="9"/>
        <v>0</v>
      </c>
      <c r="AF27" s="224">
        <f t="shared" si="9"/>
        <v>0</v>
      </c>
      <c r="AG27" s="224">
        <f t="shared" si="9"/>
        <v>0</v>
      </c>
      <c r="AH27" s="224">
        <f t="shared" si="9"/>
        <v>0</v>
      </c>
      <c r="AI27" s="224">
        <f t="shared" si="9"/>
        <v>0</v>
      </c>
      <c r="AJ27" s="224">
        <f t="shared" si="9"/>
        <v>0</v>
      </c>
      <c r="AK27" s="224">
        <f t="shared" si="9"/>
        <v>0</v>
      </c>
      <c r="AL27" s="224">
        <f t="shared" si="9"/>
        <v>0</v>
      </c>
      <c r="AM27" s="224">
        <f t="shared" si="9"/>
        <v>0</v>
      </c>
      <c r="AN27" s="224">
        <f t="shared" si="9"/>
        <v>0</v>
      </c>
      <c r="AO27" s="224">
        <f t="shared" si="9"/>
        <v>0</v>
      </c>
      <c r="AP27" s="224">
        <f t="shared" si="9"/>
        <v>0</v>
      </c>
      <c r="AQ27" s="224">
        <f t="shared" si="9"/>
        <v>0</v>
      </c>
      <c r="AR27" s="224">
        <f t="shared" si="9"/>
        <v>0</v>
      </c>
      <c r="AS27" s="224">
        <f t="shared" si="9"/>
        <v>0</v>
      </c>
      <c r="AT27" s="224">
        <f t="shared" si="9"/>
        <v>0</v>
      </c>
      <c r="AU27" s="224">
        <f t="shared" si="9"/>
        <v>0</v>
      </c>
      <c r="AV27" s="224">
        <f t="shared" si="9"/>
        <v>0</v>
      </c>
      <c r="AW27" s="224">
        <f t="shared" si="9"/>
        <v>0</v>
      </c>
      <c r="AX27" s="224">
        <f t="shared" si="9"/>
        <v>0</v>
      </c>
      <c r="AY27" s="224">
        <f t="shared" si="9"/>
        <v>0</v>
      </c>
      <c r="AZ27" s="224">
        <f t="shared" si="9"/>
        <v>0</v>
      </c>
      <c r="BA27" s="224">
        <f t="shared" si="9"/>
        <v>0</v>
      </c>
      <c r="BB27" s="224">
        <f t="shared" si="9"/>
        <v>0</v>
      </c>
      <c r="BC27" s="224">
        <f t="shared" si="9"/>
        <v>0</v>
      </c>
      <c r="BD27" s="224">
        <f t="shared" si="9"/>
        <v>0</v>
      </c>
      <c r="BE27" s="224">
        <f t="shared" si="9"/>
        <v>0</v>
      </c>
      <c r="BF27" s="224">
        <f t="shared" si="9"/>
        <v>0</v>
      </c>
      <c r="BG27" s="224">
        <f t="shared" si="9"/>
        <v>0</v>
      </c>
      <c r="BH27" s="224">
        <f t="shared" si="9"/>
        <v>0</v>
      </c>
      <c r="BI27" s="224">
        <f t="shared" si="9"/>
        <v>0</v>
      </c>
      <c r="BJ27" s="224">
        <f t="shared" si="9"/>
        <v>0</v>
      </c>
      <c r="BK27" s="224">
        <f t="shared" si="9"/>
        <v>0</v>
      </c>
      <c r="BL27" s="224">
        <f t="shared" si="9"/>
        <v>0</v>
      </c>
      <c r="BM27" s="224">
        <f t="shared" si="9"/>
        <v>0</v>
      </c>
      <c r="BN27" s="224">
        <f t="shared" si="9"/>
        <v>0</v>
      </c>
      <c r="BO27" s="224">
        <f t="shared" si="9"/>
        <v>0</v>
      </c>
      <c r="BP27" s="224">
        <f t="shared" si="9"/>
        <v>0</v>
      </c>
      <c r="BQ27" s="224">
        <f t="shared" si="9"/>
        <v>0</v>
      </c>
      <c r="BR27" s="224">
        <f t="shared" si="9"/>
        <v>0</v>
      </c>
      <c r="BS27" s="224">
        <f t="shared" si="9"/>
        <v>0</v>
      </c>
      <c r="BT27" s="224">
        <f t="shared" si="9"/>
        <v>0</v>
      </c>
      <c r="BU27" s="224">
        <f t="shared" ref="BU27:DH27" si="10">SUM(BU25:BU26)</f>
        <v>0</v>
      </c>
      <c r="BV27" s="224">
        <f t="shared" si="10"/>
        <v>0</v>
      </c>
      <c r="BW27" s="224">
        <f t="shared" si="10"/>
        <v>0</v>
      </c>
      <c r="BX27" s="224">
        <f t="shared" si="10"/>
        <v>0</v>
      </c>
      <c r="BY27" s="224">
        <f t="shared" si="10"/>
        <v>0</v>
      </c>
      <c r="BZ27" s="224">
        <f t="shared" si="10"/>
        <v>0</v>
      </c>
      <c r="CA27" s="224">
        <f t="shared" si="10"/>
        <v>0</v>
      </c>
      <c r="CB27" s="224">
        <f t="shared" si="10"/>
        <v>0</v>
      </c>
      <c r="CC27" s="224">
        <f t="shared" si="10"/>
        <v>0</v>
      </c>
      <c r="CD27" s="224">
        <f t="shared" si="10"/>
        <v>0</v>
      </c>
      <c r="CE27" s="224">
        <f t="shared" si="10"/>
        <v>0</v>
      </c>
      <c r="CF27" s="224">
        <f t="shared" si="10"/>
        <v>0</v>
      </c>
      <c r="CG27" s="224">
        <f t="shared" si="10"/>
        <v>0</v>
      </c>
      <c r="CH27" s="224">
        <f t="shared" si="10"/>
        <v>0</v>
      </c>
      <c r="CI27" s="224">
        <f t="shared" si="10"/>
        <v>0</v>
      </c>
      <c r="CJ27" s="224">
        <f t="shared" si="10"/>
        <v>0</v>
      </c>
      <c r="CK27" s="224">
        <f t="shared" si="10"/>
        <v>0</v>
      </c>
      <c r="CL27" s="224">
        <f t="shared" si="10"/>
        <v>0</v>
      </c>
      <c r="CM27" s="224">
        <f t="shared" si="10"/>
        <v>0</v>
      </c>
      <c r="CN27" s="224">
        <f t="shared" si="10"/>
        <v>0</v>
      </c>
      <c r="CO27" s="224">
        <f t="shared" si="10"/>
        <v>0</v>
      </c>
      <c r="CP27" s="224">
        <f t="shared" si="10"/>
        <v>0</v>
      </c>
      <c r="CQ27" s="224">
        <f t="shared" si="10"/>
        <v>0</v>
      </c>
      <c r="CR27" s="224">
        <f t="shared" si="10"/>
        <v>0</v>
      </c>
      <c r="CS27" s="224">
        <f t="shared" si="10"/>
        <v>0</v>
      </c>
      <c r="CT27" s="224">
        <f t="shared" si="10"/>
        <v>0</v>
      </c>
      <c r="CU27" s="224">
        <f t="shared" si="10"/>
        <v>0</v>
      </c>
      <c r="CV27" s="224">
        <f t="shared" si="10"/>
        <v>0</v>
      </c>
      <c r="CW27" s="224">
        <f t="shared" si="10"/>
        <v>0</v>
      </c>
      <c r="CX27" s="224">
        <f t="shared" si="10"/>
        <v>0</v>
      </c>
      <c r="CY27" s="224">
        <f t="shared" si="10"/>
        <v>0</v>
      </c>
      <c r="CZ27" s="224">
        <f t="shared" si="10"/>
        <v>0</v>
      </c>
      <c r="DA27" s="224">
        <f t="shared" si="10"/>
        <v>0</v>
      </c>
      <c r="DB27" s="224">
        <f t="shared" si="10"/>
        <v>0</v>
      </c>
      <c r="DC27" s="224">
        <f t="shared" si="10"/>
        <v>0</v>
      </c>
      <c r="DD27" s="224">
        <f t="shared" si="10"/>
        <v>0</v>
      </c>
      <c r="DE27" s="224">
        <f t="shared" si="10"/>
        <v>0</v>
      </c>
      <c r="DF27" s="224">
        <f t="shared" si="10"/>
        <v>0</v>
      </c>
      <c r="DG27" s="224">
        <f t="shared" si="10"/>
        <v>0</v>
      </c>
      <c r="DH27" s="224">
        <f t="shared" si="10"/>
        <v>0</v>
      </c>
      <c r="DI27" s="224"/>
      <c r="DJ27" s="224"/>
      <c r="DK27" s="224"/>
      <c r="DL27" s="224"/>
      <c r="DM27" s="224"/>
      <c r="DN27" s="224"/>
      <c r="DO27" s="224"/>
      <c r="DP27" s="224"/>
      <c r="DQ27" s="224"/>
      <c r="DR27" s="224"/>
      <c r="DS27" s="224"/>
      <c r="DT27" s="224"/>
      <c r="DU27" s="224"/>
      <c r="DV27" s="224"/>
      <c r="DW27" s="224"/>
      <c r="DX27" s="224"/>
      <c r="DY27" s="224"/>
      <c r="DZ27" s="224"/>
      <c r="EA27" s="224"/>
      <c r="EB27" s="224"/>
      <c r="EC27" s="224"/>
      <c r="ED27" s="224"/>
      <c r="EE27" s="224"/>
      <c r="EF27" s="224"/>
      <c r="EG27" s="224"/>
      <c r="EH27" s="224"/>
      <c r="EI27" s="224"/>
      <c r="EJ27" s="224"/>
      <c r="EK27" s="224"/>
      <c r="EL27" s="224"/>
      <c r="EM27" s="224"/>
      <c r="EN27" s="224"/>
      <c r="EO27" s="224"/>
    </row>
    <row r="28" spans="1:146" s="2" customFormat="1" ht="15.75" thickBot="1" x14ac:dyDescent="0.25">
      <c r="A28" s="846" t="s">
        <v>582</v>
      </c>
      <c r="B28" s="847"/>
      <c r="C28" s="847"/>
      <c r="D28" s="848"/>
      <c r="E28" s="227">
        <f>+E9+E13+E17+E21+E25</f>
        <v>738</v>
      </c>
      <c r="F28" s="227">
        <f t="shared" ref="F28:F29" si="11">+F9+F13+F17+F21+F25</f>
        <v>354</v>
      </c>
      <c r="G28" s="227">
        <f>+G9+G13+G17+G21+G25</f>
        <v>0</v>
      </c>
      <c r="H28" s="227">
        <f t="shared" ref="H28:BT29" si="12">+H9+H13+H17+H21+H25</f>
        <v>0</v>
      </c>
      <c r="I28" s="227">
        <f t="shared" si="12"/>
        <v>0</v>
      </c>
      <c r="J28" s="227">
        <f t="shared" si="12"/>
        <v>5</v>
      </c>
      <c r="K28" s="227">
        <f t="shared" si="12"/>
        <v>5</v>
      </c>
      <c r="L28" s="227">
        <f t="shared" si="12"/>
        <v>8</v>
      </c>
      <c r="M28" s="227">
        <f t="shared" si="12"/>
        <v>119</v>
      </c>
      <c r="N28" s="227">
        <f t="shared" si="12"/>
        <v>0</v>
      </c>
      <c r="O28" s="227">
        <f t="shared" si="12"/>
        <v>0</v>
      </c>
      <c r="P28" s="227">
        <f t="shared" si="12"/>
        <v>0</v>
      </c>
      <c r="Q28" s="227">
        <f t="shared" si="12"/>
        <v>0</v>
      </c>
      <c r="R28" s="227">
        <f t="shared" si="12"/>
        <v>0</v>
      </c>
      <c r="S28" s="227">
        <f t="shared" si="12"/>
        <v>0</v>
      </c>
      <c r="T28" s="227">
        <f t="shared" si="12"/>
        <v>0</v>
      </c>
      <c r="U28" s="227">
        <f t="shared" si="12"/>
        <v>0</v>
      </c>
      <c r="V28" s="227">
        <f t="shared" si="12"/>
        <v>0</v>
      </c>
      <c r="W28" s="227">
        <f t="shared" si="12"/>
        <v>0</v>
      </c>
      <c r="X28" s="227">
        <f t="shared" si="12"/>
        <v>0</v>
      </c>
      <c r="Y28" s="227">
        <f t="shared" si="12"/>
        <v>103.5</v>
      </c>
      <c r="Z28" s="227">
        <f t="shared" si="12"/>
        <v>26</v>
      </c>
      <c r="AA28" s="227">
        <f t="shared" si="12"/>
        <v>0</v>
      </c>
      <c r="AB28" s="227">
        <f t="shared" si="12"/>
        <v>50</v>
      </c>
      <c r="AC28" s="227">
        <f t="shared" si="12"/>
        <v>0</v>
      </c>
      <c r="AD28" s="227">
        <f t="shared" si="12"/>
        <v>39.5</v>
      </c>
      <c r="AE28" s="227">
        <f t="shared" si="12"/>
        <v>4</v>
      </c>
      <c r="AF28" s="227">
        <f t="shared" si="12"/>
        <v>0</v>
      </c>
      <c r="AG28" s="227">
        <f t="shared" si="12"/>
        <v>134</v>
      </c>
      <c r="AH28" s="227">
        <f t="shared" si="12"/>
        <v>0</v>
      </c>
      <c r="AI28" s="227">
        <f t="shared" si="12"/>
        <v>0</v>
      </c>
      <c r="AJ28" s="227">
        <f t="shared" si="12"/>
        <v>0</v>
      </c>
      <c r="AK28" s="227">
        <f t="shared" si="12"/>
        <v>0</v>
      </c>
      <c r="AL28" s="227">
        <f t="shared" si="12"/>
        <v>0</v>
      </c>
      <c r="AM28" s="227">
        <f t="shared" si="12"/>
        <v>0</v>
      </c>
      <c r="AN28" s="227">
        <f t="shared" si="12"/>
        <v>0</v>
      </c>
      <c r="AO28" s="227">
        <f t="shared" si="12"/>
        <v>0</v>
      </c>
      <c r="AP28" s="227">
        <f t="shared" si="12"/>
        <v>74</v>
      </c>
      <c r="AQ28" s="227">
        <f t="shared" si="12"/>
        <v>0</v>
      </c>
      <c r="AR28" s="227">
        <f t="shared" si="12"/>
        <v>0</v>
      </c>
      <c r="AS28" s="227">
        <f t="shared" si="12"/>
        <v>0</v>
      </c>
      <c r="AT28" s="227">
        <f t="shared" si="12"/>
        <v>15</v>
      </c>
      <c r="AU28" s="227">
        <f t="shared" si="12"/>
        <v>67</v>
      </c>
      <c r="AV28" s="227">
        <f t="shared" si="12"/>
        <v>0</v>
      </c>
      <c r="AW28" s="227">
        <f t="shared" si="12"/>
        <v>0</v>
      </c>
      <c r="AX28" s="227">
        <f t="shared" si="12"/>
        <v>0</v>
      </c>
      <c r="AY28" s="227">
        <f t="shared" si="12"/>
        <v>29.5</v>
      </c>
      <c r="AZ28" s="227">
        <f t="shared" si="12"/>
        <v>24</v>
      </c>
      <c r="BA28" s="227">
        <f t="shared" si="12"/>
        <v>35</v>
      </c>
      <c r="BB28" s="227">
        <f t="shared" si="12"/>
        <v>0</v>
      </c>
      <c r="BC28" s="227">
        <f t="shared" si="12"/>
        <v>0</v>
      </c>
      <c r="BD28" s="227">
        <f t="shared" si="12"/>
        <v>0</v>
      </c>
      <c r="BE28" s="227">
        <f t="shared" si="12"/>
        <v>0</v>
      </c>
      <c r="BF28" s="227">
        <f t="shared" si="12"/>
        <v>0</v>
      </c>
      <c r="BG28" s="227">
        <f t="shared" si="12"/>
        <v>0</v>
      </c>
      <c r="BH28" s="227">
        <f t="shared" si="12"/>
        <v>0</v>
      </c>
      <c r="BI28" s="227">
        <f t="shared" si="12"/>
        <v>0</v>
      </c>
      <c r="BJ28" s="227">
        <f t="shared" si="12"/>
        <v>0</v>
      </c>
      <c r="BK28" s="227">
        <f t="shared" si="12"/>
        <v>0</v>
      </c>
      <c r="BL28" s="227">
        <f t="shared" si="12"/>
        <v>0</v>
      </c>
      <c r="BM28" s="227">
        <f t="shared" si="12"/>
        <v>0</v>
      </c>
      <c r="BN28" s="227">
        <f t="shared" si="12"/>
        <v>0</v>
      </c>
      <c r="BO28" s="227">
        <f t="shared" si="12"/>
        <v>0</v>
      </c>
      <c r="BP28" s="227">
        <f t="shared" si="12"/>
        <v>0</v>
      </c>
      <c r="BQ28" s="227">
        <f t="shared" si="12"/>
        <v>0</v>
      </c>
      <c r="BR28" s="227">
        <f t="shared" si="12"/>
        <v>0</v>
      </c>
      <c r="BS28" s="227">
        <f t="shared" si="12"/>
        <v>0</v>
      </c>
      <c r="BT28" s="227">
        <f t="shared" si="12"/>
        <v>0</v>
      </c>
      <c r="BU28" s="227">
        <f t="shared" ref="BU28:EF29" si="13">+BU9+BU13+BU17+BU21+BU25</f>
        <v>0</v>
      </c>
      <c r="BV28" s="227">
        <f t="shared" si="13"/>
        <v>0</v>
      </c>
      <c r="BW28" s="227">
        <f t="shared" si="13"/>
        <v>0</v>
      </c>
      <c r="BX28" s="227">
        <f t="shared" si="13"/>
        <v>0</v>
      </c>
      <c r="BY28" s="227">
        <f t="shared" si="13"/>
        <v>0</v>
      </c>
      <c r="BZ28" s="227">
        <f t="shared" si="13"/>
        <v>0</v>
      </c>
      <c r="CA28" s="227">
        <f t="shared" si="13"/>
        <v>0</v>
      </c>
      <c r="CB28" s="227">
        <f t="shared" si="13"/>
        <v>0</v>
      </c>
      <c r="CC28" s="227">
        <f t="shared" si="13"/>
        <v>0</v>
      </c>
      <c r="CD28" s="227">
        <f t="shared" si="13"/>
        <v>0</v>
      </c>
      <c r="CE28" s="227">
        <f t="shared" si="13"/>
        <v>0</v>
      </c>
      <c r="CF28" s="227">
        <f t="shared" si="13"/>
        <v>0</v>
      </c>
      <c r="CG28" s="227">
        <f t="shared" si="13"/>
        <v>0</v>
      </c>
      <c r="CH28" s="227">
        <f t="shared" si="13"/>
        <v>0</v>
      </c>
      <c r="CI28" s="227">
        <f t="shared" si="13"/>
        <v>0</v>
      </c>
      <c r="CJ28" s="227">
        <f t="shared" si="13"/>
        <v>0</v>
      </c>
      <c r="CK28" s="227">
        <f t="shared" si="13"/>
        <v>0</v>
      </c>
      <c r="CL28" s="227">
        <f t="shared" si="13"/>
        <v>0</v>
      </c>
      <c r="CM28" s="227">
        <f t="shared" si="13"/>
        <v>0</v>
      </c>
      <c r="CN28" s="227">
        <f t="shared" si="13"/>
        <v>0</v>
      </c>
      <c r="CO28" s="227">
        <f t="shared" si="13"/>
        <v>0</v>
      </c>
      <c r="CP28" s="227">
        <f t="shared" si="13"/>
        <v>0</v>
      </c>
      <c r="CQ28" s="227">
        <f t="shared" si="13"/>
        <v>0</v>
      </c>
      <c r="CR28" s="227">
        <f t="shared" si="13"/>
        <v>0</v>
      </c>
      <c r="CS28" s="227">
        <f t="shared" si="13"/>
        <v>0</v>
      </c>
      <c r="CT28" s="227">
        <f t="shared" si="13"/>
        <v>0</v>
      </c>
      <c r="CU28" s="227">
        <f t="shared" si="13"/>
        <v>0</v>
      </c>
      <c r="CV28" s="227">
        <f t="shared" si="13"/>
        <v>0</v>
      </c>
      <c r="CW28" s="227">
        <f t="shared" si="13"/>
        <v>0</v>
      </c>
      <c r="CX28" s="227">
        <f t="shared" si="13"/>
        <v>0</v>
      </c>
      <c r="CY28" s="227">
        <f t="shared" si="13"/>
        <v>0</v>
      </c>
      <c r="CZ28" s="227">
        <f t="shared" si="13"/>
        <v>0</v>
      </c>
      <c r="DA28" s="227">
        <f t="shared" si="13"/>
        <v>0</v>
      </c>
      <c r="DB28" s="227">
        <f t="shared" si="13"/>
        <v>0</v>
      </c>
      <c r="DC28" s="227">
        <f t="shared" si="13"/>
        <v>0</v>
      </c>
      <c r="DD28" s="227">
        <f t="shared" si="13"/>
        <v>0</v>
      </c>
      <c r="DE28" s="227">
        <f t="shared" si="13"/>
        <v>0</v>
      </c>
      <c r="DF28" s="227">
        <f t="shared" si="13"/>
        <v>0</v>
      </c>
      <c r="DG28" s="227">
        <f t="shared" si="13"/>
        <v>0</v>
      </c>
      <c r="DH28" s="227">
        <f t="shared" si="13"/>
        <v>0</v>
      </c>
      <c r="DI28" s="227">
        <f t="shared" si="13"/>
        <v>0</v>
      </c>
      <c r="DJ28" s="227">
        <f t="shared" si="13"/>
        <v>0</v>
      </c>
      <c r="DK28" s="227">
        <f t="shared" si="13"/>
        <v>0</v>
      </c>
      <c r="DL28" s="227">
        <f t="shared" si="13"/>
        <v>0</v>
      </c>
      <c r="DM28" s="227">
        <f t="shared" si="13"/>
        <v>0</v>
      </c>
      <c r="DN28" s="227">
        <f t="shared" si="13"/>
        <v>0</v>
      </c>
      <c r="DO28" s="227">
        <f t="shared" si="13"/>
        <v>0</v>
      </c>
      <c r="DP28" s="227">
        <f t="shared" si="13"/>
        <v>0</v>
      </c>
      <c r="DQ28" s="227">
        <f t="shared" si="13"/>
        <v>0</v>
      </c>
      <c r="DR28" s="227">
        <f t="shared" si="13"/>
        <v>0</v>
      </c>
      <c r="DS28" s="227">
        <f t="shared" si="13"/>
        <v>0</v>
      </c>
      <c r="DT28" s="227">
        <f t="shared" si="13"/>
        <v>0</v>
      </c>
      <c r="DU28" s="227">
        <f t="shared" si="13"/>
        <v>0</v>
      </c>
      <c r="DV28" s="227">
        <f t="shared" si="13"/>
        <v>0</v>
      </c>
      <c r="DW28" s="227">
        <f t="shared" si="13"/>
        <v>0</v>
      </c>
      <c r="DX28" s="227">
        <f t="shared" si="13"/>
        <v>0</v>
      </c>
      <c r="DY28" s="227">
        <f t="shared" si="13"/>
        <v>0</v>
      </c>
      <c r="DZ28" s="227">
        <f t="shared" si="13"/>
        <v>0</v>
      </c>
      <c r="EA28" s="227">
        <f t="shared" si="13"/>
        <v>0</v>
      </c>
      <c r="EB28" s="227">
        <f t="shared" si="13"/>
        <v>62</v>
      </c>
      <c r="EC28" s="227">
        <f t="shared" si="13"/>
        <v>3</v>
      </c>
      <c r="ED28" s="227">
        <f t="shared" si="13"/>
        <v>0</v>
      </c>
      <c r="EE28" s="227">
        <f t="shared" si="13"/>
        <v>0</v>
      </c>
      <c r="EF28" s="227">
        <f t="shared" si="13"/>
        <v>0</v>
      </c>
      <c r="EG28" s="227">
        <f t="shared" ref="EG28:EO29" si="14">+EG9+EG13+EG17+EG21+EG25</f>
        <v>24</v>
      </c>
      <c r="EH28" s="227">
        <f t="shared" si="14"/>
        <v>0</v>
      </c>
      <c r="EI28" s="227">
        <f t="shared" si="14"/>
        <v>0</v>
      </c>
      <c r="EJ28" s="227">
        <f t="shared" si="14"/>
        <v>0</v>
      </c>
      <c r="EK28" s="227">
        <f t="shared" si="14"/>
        <v>0</v>
      </c>
      <c r="EL28" s="227">
        <f t="shared" si="14"/>
        <v>0</v>
      </c>
      <c r="EM28" s="227">
        <f t="shared" si="14"/>
        <v>169</v>
      </c>
      <c r="EN28" s="227">
        <f t="shared" si="14"/>
        <v>40</v>
      </c>
      <c r="EO28" s="227">
        <f t="shared" si="14"/>
        <v>105</v>
      </c>
    </row>
    <row r="29" spans="1:146" s="2" customFormat="1" ht="15.75" thickBot="1" x14ac:dyDescent="0.25">
      <c r="A29" s="846" t="s">
        <v>583</v>
      </c>
      <c r="B29" s="847"/>
      <c r="C29" s="847"/>
      <c r="D29" s="848"/>
      <c r="E29" s="227">
        <f>+E10+E14+E18+E22+E26</f>
        <v>317.5</v>
      </c>
      <c r="F29" s="227">
        <f t="shared" si="11"/>
        <v>150.5</v>
      </c>
      <c r="G29" s="227">
        <f>+G10+G14+G18+G22+G26</f>
        <v>0</v>
      </c>
      <c r="H29" s="227">
        <f t="shared" si="12"/>
        <v>0</v>
      </c>
      <c r="I29" s="227">
        <f t="shared" si="12"/>
        <v>0</v>
      </c>
      <c r="J29" s="227">
        <f t="shared" si="12"/>
        <v>0</v>
      </c>
      <c r="K29" s="227">
        <f t="shared" si="12"/>
        <v>0</v>
      </c>
      <c r="L29" s="227">
        <f t="shared" si="12"/>
        <v>0</v>
      </c>
      <c r="M29" s="227">
        <f t="shared" si="12"/>
        <v>0</v>
      </c>
      <c r="N29" s="227">
        <f t="shared" si="12"/>
        <v>0</v>
      </c>
      <c r="O29" s="227">
        <f t="shared" si="12"/>
        <v>0</v>
      </c>
      <c r="P29" s="227">
        <f t="shared" si="12"/>
        <v>0</v>
      </c>
      <c r="Q29" s="227">
        <f t="shared" si="12"/>
        <v>0</v>
      </c>
      <c r="R29" s="227">
        <f t="shared" si="12"/>
        <v>0</v>
      </c>
      <c r="S29" s="227">
        <f t="shared" si="12"/>
        <v>0</v>
      </c>
      <c r="T29" s="227">
        <f t="shared" si="12"/>
        <v>0</v>
      </c>
      <c r="U29" s="227">
        <f t="shared" si="12"/>
        <v>0</v>
      </c>
      <c r="V29" s="227">
        <f t="shared" si="12"/>
        <v>0</v>
      </c>
      <c r="W29" s="227">
        <f t="shared" si="12"/>
        <v>0</v>
      </c>
      <c r="X29" s="227">
        <f t="shared" si="12"/>
        <v>0</v>
      </c>
      <c r="Y29" s="227">
        <f t="shared" si="12"/>
        <v>0</v>
      </c>
      <c r="Z29" s="227">
        <f t="shared" si="12"/>
        <v>73</v>
      </c>
      <c r="AA29" s="227">
        <f t="shared" si="12"/>
        <v>8</v>
      </c>
      <c r="AB29" s="227">
        <f t="shared" si="12"/>
        <v>19</v>
      </c>
      <c r="AC29" s="227">
        <f t="shared" si="12"/>
        <v>0</v>
      </c>
      <c r="AD29" s="227">
        <f t="shared" si="12"/>
        <v>31.5</v>
      </c>
      <c r="AE29" s="227">
        <f t="shared" si="12"/>
        <v>4</v>
      </c>
      <c r="AF29" s="227">
        <f t="shared" si="12"/>
        <v>0</v>
      </c>
      <c r="AG29" s="227">
        <f t="shared" si="12"/>
        <v>10.5</v>
      </c>
      <c r="AH29" s="227">
        <f t="shared" si="12"/>
        <v>0</v>
      </c>
      <c r="AI29" s="227">
        <f t="shared" si="12"/>
        <v>0</v>
      </c>
      <c r="AJ29" s="227">
        <f t="shared" si="12"/>
        <v>0</v>
      </c>
      <c r="AK29" s="227">
        <f t="shared" si="12"/>
        <v>0</v>
      </c>
      <c r="AL29" s="227">
        <f t="shared" si="12"/>
        <v>0</v>
      </c>
      <c r="AM29" s="227">
        <f t="shared" si="12"/>
        <v>0</v>
      </c>
      <c r="AN29" s="227">
        <f t="shared" si="12"/>
        <v>0</v>
      </c>
      <c r="AO29" s="227">
        <f t="shared" si="12"/>
        <v>0</v>
      </c>
      <c r="AP29" s="227">
        <f t="shared" si="12"/>
        <v>43</v>
      </c>
      <c r="AQ29" s="227">
        <f t="shared" si="12"/>
        <v>0</v>
      </c>
      <c r="AR29" s="227">
        <f t="shared" si="12"/>
        <v>0</v>
      </c>
      <c r="AS29" s="227">
        <f t="shared" si="12"/>
        <v>0</v>
      </c>
      <c r="AT29" s="227">
        <f t="shared" si="12"/>
        <v>0</v>
      </c>
      <c r="AU29" s="227">
        <f t="shared" si="12"/>
        <v>58</v>
      </c>
      <c r="AV29" s="227">
        <f t="shared" si="12"/>
        <v>0</v>
      </c>
      <c r="AW29" s="227">
        <f t="shared" si="12"/>
        <v>0</v>
      </c>
      <c r="AX29" s="227">
        <f t="shared" si="12"/>
        <v>0</v>
      </c>
      <c r="AY29" s="227">
        <f t="shared" si="12"/>
        <v>12</v>
      </c>
      <c r="AZ29" s="227">
        <f t="shared" si="12"/>
        <v>24</v>
      </c>
      <c r="BA29" s="227">
        <f t="shared" si="12"/>
        <v>34.5</v>
      </c>
      <c r="BB29" s="227">
        <f t="shared" si="12"/>
        <v>0</v>
      </c>
      <c r="BC29" s="227">
        <f t="shared" si="12"/>
        <v>0</v>
      </c>
      <c r="BD29" s="227">
        <f t="shared" si="12"/>
        <v>0</v>
      </c>
      <c r="BE29" s="227">
        <f t="shared" si="12"/>
        <v>0</v>
      </c>
      <c r="BF29" s="227">
        <f t="shared" si="12"/>
        <v>0</v>
      </c>
      <c r="BG29" s="227">
        <f t="shared" si="12"/>
        <v>0</v>
      </c>
      <c r="BH29" s="227">
        <f t="shared" si="12"/>
        <v>0</v>
      </c>
      <c r="BI29" s="227">
        <f t="shared" si="12"/>
        <v>0</v>
      </c>
      <c r="BJ29" s="227">
        <f t="shared" si="12"/>
        <v>0</v>
      </c>
      <c r="BK29" s="227">
        <f t="shared" si="12"/>
        <v>0</v>
      </c>
      <c r="BL29" s="227">
        <f t="shared" si="12"/>
        <v>0</v>
      </c>
      <c r="BM29" s="227">
        <f t="shared" si="12"/>
        <v>0</v>
      </c>
      <c r="BN29" s="227">
        <f t="shared" si="12"/>
        <v>0</v>
      </c>
      <c r="BO29" s="227">
        <f t="shared" si="12"/>
        <v>0</v>
      </c>
      <c r="BP29" s="227">
        <f t="shared" si="12"/>
        <v>0</v>
      </c>
      <c r="BQ29" s="227">
        <f t="shared" si="12"/>
        <v>0</v>
      </c>
      <c r="BR29" s="227">
        <f t="shared" si="12"/>
        <v>0</v>
      </c>
      <c r="BS29" s="227">
        <f t="shared" si="12"/>
        <v>0</v>
      </c>
      <c r="BT29" s="227">
        <f t="shared" si="12"/>
        <v>0</v>
      </c>
      <c r="BU29" s="227">
        <f t="shared" si="13"/>
        <v>0</v>
      </c>
      <c r="BV29" s="227">
        <f t="shared" si="13"/>
        <v>0</v>
      </c>
      <c r="BW29" s="227">
        <f t="shared" si="13"/>
        <v>0</v>
      </c>
      <c r="BX29" s="227">
        <f t="shared" si="13"/>
        <v>0</v>
      </c>
      <c r="BY29" s="227">
        <f t="shared" si="13"/>
        <v>0</v>
      </c>
      <c r="BZ29" s="227">
        <f t="shared" si="13"/>
        <v>0</v>
      </c>
      <c r="CA29" s="227">
        <f t="shared" si="13"/>
        <v>0</v>
      </c>
      <c r="CB29" s="227">
        <f t="shared" si="13"/>
        <v>0</v>
      </c>
      <c r="CC29" s="227">
        <f t="shared" si="13"/>
        <v>0</v>
      </c>
      <c r="CD29" s="227">
        <f t="shared" si="13"/>
        <v>0</v>
      </c>
      <c r="CE29" s="227">
        <f t="shared" si="13"/>
        <v>0</v>
      </c>
      <c r="CF29" s="227">
        <f t="shared" si="13"/>
        <v>0</v>
      </c>
      <c r="CG29" s="227">
        <f t="shared" si="13"/>
        <v>0</v>
      </c>
      <c r="CH29" s="227">
        <f t="shared" si="13"/>
        <v>0</v>
      </c>
      <c r="CI29" s="227">
        <f t="shared" si="13"/>
        <v>0</v>
      </c>
      <c r="CJ29" s="227">
        <f t="shared" si="13"/>
        <v>0</v>
      </c>
      <c r="CK29" s="227">
        <f t="shared" si="13"/>
        <v>0</v>
      </c>
      <c r="CL29" s="227">
        <f t="shared" si="13"/>
        <v>0</v>
      </c>
      <c r="CM29" s="227">
        <f t="shared" si="13"/>
        <v>0</v>
      </c>
      <c r="CN29" s="227">
        <f t="shared" si="13"/>
        <v>0</v>
      </c>
      <c r="CO29" s="227">
        <f t="shared" si="13"/>
        <v>0</v>
      </c>
      <c r="CP29" s="227">
        <f t="shared" si="13"/>
        <v>0</v>
      </c>
      <c r="CQ29" s="227">
        <f t="shared" si="13"/>
        <v>0</v>
      </c>
      <c r="CR29" s="227">
        <f t="shared" si="13"/>
        <v>0</v>
      </c>
      <c r="CS29" s="227">
        <f t="shared" si="13"/>
        <v>0</v>
      </c>
      <c r="CT29" s="227">
        <f t="shared" si="13"/>
        <v>0</v>
      </c>
      <c r="CU29" s="227">
        <f t="shared" si="13"/>
        <v>0</v>
      </c>
      <c r="CV29" s="227">
        <f t="shared" si="13"/>
        <v>0</v>
      </c>
      <c r="CW29" s="227">
        <f t="shared" si="13"/>
        <v>0</v>
      </c>
      <c r="CX29" s="227">
        <f t="shared" si="13"/>
        <v>0</v>
      </c>
      <c r="CY29" s="227">
        <f t="shared" si="13"/>
        <v>0</v>
      </c>
      <c r="CZ29" s="227">
        <f t="shared" si="13"/>
        <v>0</v>
      </c>
      <c r="DA29" s="227">
        <f t="shared" si="13"/>
        <v>0</v>
      </c>
      <c r="DB29" s="227">
        <f t="shared" si="13"/>
        <v>0</v>
      </c>
      <c r="DC29" s="227">
        <f t="shared" si="13"/>
        <v>0</v>
      </c>
      <c r="DD29" s="227">
        <f t="shared" si="13"/>
        <v>0</v>
      </c>
      <c r="DE29" s="227">
        <f t="shared" si="13"/>
        <v>0</v>
      </c>
      <c r="DF29" s="227">
        <f t="shared" si="13"/>
        <v>0</v>
      </c>
      <c r="DG29" s="227">
        <f t="shared" si="13"/>
        <v>0</v>
      </c>
      <c r="DH29" s="227">
        <f t="shared" si="13"/>
        <v>0</v>
      </c>
      <c r="DI29" s="227">
        <f t="shared" si="13"/>
        <v>0</v>
      </c>
      <c r="DJ29" s="227">
        <f t="shared" si="13"/>
        <v>0</v>
      </c>
      <c r="DK29" s="227">
        <f t="shared" si="13"/>
        <v>0</v>
      </c>
      <c r="DL29" s="227">
        <f t="shared" si="13"/>
        <v>0</v>
      </c>
      <c r="DM29" s="227">
        <f t="shared" si="13"/>
        <v>0</v>
      </c>
      <c r="DN29" s="227">
        <f t="shared" si="13"/>
        <v>0</v>
      </c>
      <c r="DO29" s="227">
        <f t="shared" si="13"/>
        <v>0</v>
      </c>
      <c r="DP29" s="227">
        <f t="shared" si="13"/>
        <v>0</v>
      </c>
      <c r="DQ29" s="227">
        <f t="shared" si="13"/>
        <v>0</v>
      </c>
      <c r="DR29" s="227">
        <f t="shared" si="13"/>
        <v>0</v>
      </c>
      <c r="DS29" s="227">
        <f t="shared" si="13"/>
        <v>0</v>
      </c>
      <c r="DT29" s="227">
        <f t="shared" si="13"/>
        <v>0</v>
      </c>
      <c r="DU29" s="227">
        <f t="shared" si="13"/>
        <v>0</v>
      </c>
      <c r="DV29" s="227">
        <f t="shared" si="13"/>
        <v>0</v>
      </c>
      <c r="DW29" s="227">
        <f t="shared" si="13"/>
        <v>0</v>
      </c>
      <c r="DX29" s="227">
        <f t="shared" si="13"/>
        <v>0</v>
      </c>
      <c r="DY29" s="227">
        <f t="shared" si="13"/>
        <v>0</v>
      </c>
      <c r="DZ29" s="227">
        <f t="shared" si="13"/>
        <v>0</v>
      </c>
      <c r="EA29" s="227">
        <f t="shared" si="13"/>
        <v>0</v>
      </c>
      <c r="EB29" s="227">
        <f t="shared" si="13"/>
        <v>70</v>
      </c>
      <c r="EC29" s="227">
        <f t="shared" si="13"/>
        <v>0</v>
      </c>
      <c r="ED29" s="227">
        <f t="shared" si="13"/>
        <v>0</v>
      </c>
      <c r="EE29" s="227">
        <f t="shared" si="13"/>
        <v>0</v>
      </c>
      <c r="EF29" s="227">
        <f t="shared" si="13"/>
        <v>0</v>
      </c>
      <c r="EG29" s="227">
        <f t="shared" si="14"/>
        <v>8</v>
      </c>
      <c r="EH29" s="227">
        <f t="shared" si="14"/>
        <v>8</v>
      </c>
      <c r="EI29" s="227">
        <f t="shared" si="14"/>
        <v>0</v>
      </c>
      <c r="EJ29" s="227">
        <f t="shared" si="14"/>
        <v>0</v>
      </c>
      <c r="EK29" s="227">
        <f t="shared" si="14"/>
        <v>0</v>
      </c>
      <c r="EL29" s="227">
        <f t="shared" si="14"/>
        <v>0</v>
      </c>
      <c r="EM29" s="227">
        <f t="shared" si="14"/>
        <v>79.5</v>
      </c>
      <c r="EN29" s="227">
        <f t="shared" si="14"/>
        <v>0</v>
      </c>
      <c r="EO29" s="227">
        <f t="shared" si="14"/>
        <v>38</v>
      </c>
    </row>
    <row r="30" spans="1:146" s="2" customFormat="1" ht="15.75" thickBot="1" x14ac:dyDescent="0.25">
      <c r="A30" s="849" t="s">
        <v>584</v>
      </c>
      <c r="B30" s="850"/>
      <c r="C30" s="850"/>
      <c r="D30" s="851"/>
      <c r="E30" s="228">
        <f>+SUM(E9:E27)/2</f>
        <v>1055.5</v>
      </c>
      <c r="F30" s="228">
        <f>+SUM(F9:F26)/2</f>
        <v>504.5</v>
      </c>
      <c r="G30" s="228">
        <f>+SUM(G9:G26)/2</f>
        <v>0</v>
      </c>
      <c r="H30" s="228">
        <f t="shared" ref="H30:BT30" si="15">+SUM(H9:H26)/2</f>
        <v>0</v>
      </c>
      <c r="I30" s="228">
        <f t="shared" si="15"/>
        <v>0</v>
      </c>
      <c r="J30" s="228">
        <f t="shared" si="15"/>
        <v>5</v>
      </c>
      <c r="K30" s="228">
        <f t="shared" si="15"/>
        <v>5</v>
      </c>
      <c r="L30" s="228">
        <f t="shared" si="15"/>
        <v>8</v>
      </c>
      <c r="M30" s="228">
        <f t="shared" si="15"/>
        <v>119</v>
      </c>
      <c r="N30" s="228">
        <f t="shared" si="15"/>
        <v>0</v>
      </c>
      <c r="O30" s="228">
        <f t="shared" si="15"/>
        <v>0</v>
      </c>
      <c r="P30" s="228">
        <f t="shared" si="15"/>
        <v>0</v>
      </c>
      <c r="Q30" s="228">
        <f t="shared" si="15"/>
        <v>0</v>
      </c>
      <c r="R30" s="228">
        <f t="shared" si="15"/>
        <v>0</v>
      </c>
      <c r="S30" s="228">
        <f t="shared" si="15"/>
        <v>0</v>
      </c>
      <c r="T30" s="228">
        <f t="shared" si="15"/>
        <v>0</v>
      </c>
      <c r="U30" s="228">
        <f t="shared" si="15"/>
        <v>0</v>
      </c>
      <c r="V30" s="228">
        <f t="shared" si="15"/>
        <v>0</v>
      </c>
      <c r="W30" s="228">
        <f t="shared" si="15"/>
        <v>0</v>
      </c>
      <c r="X30" s="228">
        <f t="shared" si="15"/>
        <v>0</v>
      </c>
      <c r="Y30" s="228">
        <f t="shared" si="15"/>
        <v>103.5</v>
      </c>
      <c r="Z30" s="228">
        <f t="shared" si="15"/>
        <v>99</v>
      </c>
      <c r="AA30" s="228">
        <f t="shared" si="15"/>
        <v>8</v>
      </c>
      <c r="AB30" s="228">
        <f t="shared" si="15"/>
        <v>69</v>
      </c>
      <c r="AC30" s="228">
        <f t="shared" si="15"/>
        <v>0</v>
      </c>
      <c r="AD30" s="228">
        <f t="shared" si="15"/>
        <v>71</v>
      </c>
      <c r="AE30" s="228">
        <f t="shared" si="15"/>
        <v>8</v>
      </c>
      <c r="AF30" s="228">
        <f t="shared" si="15"/>
        <v>0</v>
      </c>
      <c r="AG30" s="228">
        <f t="shared" si="15"/>
        <v>144.5</v>
      </c>
      <c r="AH30" s="228">
        <f t="shared" si="15"/>
        <v>0</v>
      </c>
      <c r="AI30" s="228">
        <f t="shared" si="15"/>
        <v>0</v>
      </c>
      <c r="AJ30" s="228">
        <f t="shared" si="15"/>
        <v>0</v>
      </c>
      <c r="AK30" s="228">
        <f t="shared" si="15"/>
        <v>0</v>
      </c>
      <c r="AL30" s="228">
        <f t="shared" si="15"/>
        <v>0</v>
      </c>
      <c r="AM30" s="228">
        <f t="shared" si="15"/>
        <v>0</v>
      </c>
      <c r="AN30" s="228">
        <f t="shared" si="15"/>
        <v>0</v>
      </c>
      <c r="AO30" s="228">
        <f t="shared" si="15"/>
        <v>0</v>
      </c>
      <c r="AP30" s="228">
        <f t="shared" si="15"/>
        <v>117</v>
      </c>
      <c r="AQ30" s="228">
        <f t="shared" si="15"/>
        <v>0</v>
      </c>
      <c r="AR30" s="228">
        <f t="shared" si="15"/>
        <v>0</v>
      </c>
      <c r="AS30" s="228">
        <f t="shared" si="15"/>
        <v>0</v>
      </c>
      <c r="AT30" s="228">
        <f t="shared" si="15"/>
        <v>15</v>
      </c>
      <c r="AU30" s="228">
        <f t="shared" si="15"/>
        <v>125</v>
      </c>
      <c r="AV30" s="228">
        <f t="shared" si="15"/>
        <v>0</v>
      </c>
      <c r="AW30" s="228">
        <f t="shared" si="15"/>
        <v>0</v>
      </c>
      <c r="AX30" s="228">
        <f t="shared" si="15"/>
        <v>0</v>
      </c>
      <c r="AY30" s="228">
        <f t="shared" si="15"/>
        <v>41.5</v>
      </c>
      <c r="AZ30" s="228">
        <f t="shared" si="15"/>
        <v>48</v>
      </c>
      <c r="BA30" s="228">
        <f t="shared" si="15"/>
        <v>69.5</v>
      </c>
      <c r="BB30" s="228">
        <f t="shared" si="15"/>
        <v>0</v>
      </c>
      <c r="BC30" s="228">
        <f t="shared" si="15"/>
        <v>0</v>
      </c>
      <c r="BD30" s="228">
        <f t="shared" si="15"/>
        <v>0</v>
      </c>
      <c r="BE30" s="228">
        <f t="shared" si="15"/>
        <v>0</v>
      </c>
      <c r="BF30" s="228">
        <f t="shared" si="15"/>
        <v>0</v>
      </c>
      <c r="BG30" s="228">
        <f t="shared" si="15"/>
        <v>0</v>
      </c>
      <c r="BH30" s="228">
        <f t="shared" si="15"/>
        <v>0</v>
      </c>
      <c r="BI30" s="228">
        <f t="shared" si="15"/>
        <v>0</v>
      </c>
      <c r="BJ30" s="228">
        <f t="shared" si="15"/>
        <v>0</v>
      </c>
      <c r="BK30" s="228">
        <f t="shared" si="15"/>
        <v>0</v>
      </c>
      <c r="BL30" s="228">
        <f t="shared" si="15"/>
        <v>0</v>
      </c>
      <c r="BM30" s="228">
        <f t="shared" si="15"/>
        <v>0</v>
      </c>
      <c r="BN30" s="228">
        <f t="shared" si="15"/>
        <v>0</v>
      </c>
      <c r="BO30" s="228">
        <f t="shared" si="15"/>
        <v>0</v>
      </c>
      <c r="BP30" s="228">
        <f t="shared" si="15"/>
        <v>0</v>
      </c>
      <c r="BQ30" s="228">
        <f t="shared" si="15"/>
        <v>0</v>
      </c>
      <c r="BR30" s="228">
        <f t="shared" si="15"/>
        <v>0</v>
      </c>
      <c r="BS30" s="228">
        <f t="shared" si="15"/>
        <v>0</v>
      </c>
      <c r="BT30" s="228">
        <f t="shared" si="15"/>
        <v>0</v>
      </c>
      <c r="BU30" s="228">
        <f t="shared" ref="BU30:EF30" si="16">+SUM(BU9:BU26)/2</f>
        <v>0</v>
      </c>
      <c r="BV30" s="228">
        <f t="shared" si="16"/>
        <v>0</v>
      </c>
      <c r="BW30" s="228">
        <f t="shared" si="16"/>
        <v>0</v>
      </c>
      <c r="BX30" s="228">
        <f t="shared" si="16"/>
        <v>0</v>
      </c>
      <c r="BY30" s="228">
        <f t="shared" si="16"/>
        <v>0</v>
      </c>
      <c r="BZ30" s="228">
        <f t="shared" si="16"/>
        <v>0</v>
      </c>
      <c r="CA30" s="228">
        <f t="shared" si="16"/>
        <v>0</v>
      </c>
      <c r="CB30" s="228">
        <f t="shared" si="16"/>
        <v>0</v>
      </c>
      <c r="CC30" s="228">
        <f t="shared" si="16"/>
        <v>0</v>
      </c>
      <c r="CD30" s="228">
        <f t="shared" si="16"/>
        <v>0</v>
      </c>
      <c r="CE30" s="228">
        <f t="shared" si="16"/>
        <v>0</v>
      </c>
      <c r="CF30" s="228">
        <f t="shared" si="16"/>
        <v>0</v>
      </c>
      <c r="CG30" s="228">
        <f t="shared" si="16"/>
        <v>0</v>
      </c>
      <c r="CH30" s="228">
        <f t="shared" si="16"/>
        <v>0</v>
      </c>
      <c r="CI30" s="228">
        <f t="shared" si="16"/>
        <v>0</v>
      </c>
      <c r="CJ30" s="228">
        <f t="shared" si="16"/>
        <v>0</v>
      </c>
      <c r="CK30" s="228">
        <f t="shared" si="16"/>
        <v>0</v>
      </c>
      <c r="CL30" s="228">
        <f t="shared" si="16"/>
        <v>0</v>
      </c>
      <c r="CM30" s="228">
        <f t="shared" si="16"/>
        <v>0</v>
      </c>
      <c r="CN30" s="228">
        <f t="shared" si="16"/>
        <v>0</v>
      </c>
      <c r="CO30" s="228">
        <f t="shared" si="16"/>
        <v>0</v>
      </c>
      <c r="CP30" s="228">
        <f t="shared" si="16"/>
        <v>0</v>
      </c>
      <c r="CQ30" s="228">
        <f t="shared" si="16"/>
        <v>0</v>
      </c>
      <c r="CR30" s="228">
        <f t="shared" si="16"/>
        <v>0</v>
      </c>
      <c r="CS30" s="228">
        <f t="shared" si="16"/>
        <v>0</v>
      </c>
      <c r="CT30" s="228">
        <f t="shared" si="16"/>
        <v>0</v>
      </c>
      <c r="CU30" s="228">
        <f t="shared" si="16"/>
        <v>0</v>
      </c>
      <c r="CV30" s="228">
        <f t="shared" si="16"/>
        <v>0</v>
      </c>
      <c r="CW30" s="228">
        <f t="shared" si="16"/>
        <v>0</v>
      </c>
      <c r="CX30" s="228">
        <f t="shared" si="16"/>
        <v>0</v>
      </c>
      <c r="CY30" s="228">
        <f t="shared" si="16"/>
        <v>0</v>
      </c>
      <c r="CZ30" s="228">
        <f t="shared" si="16"/>
        <v>0</v>
      </c>
      <c r="DA30" s="228">
        <f t="shared" si="16"/>
        <v>0</v>
      </c>
      <c r="DB30" s="228">
        <f t="shared" si="16"/>
        <v>0</v>
      </c>
      <c r="DC30" s="228">
        <f t="shared" si="16"/>
        <v>0</v>
      </c>
      <c r="DD30" s="228">
        <f t="shared" si="16"/>
        <v>0</v>
      </c>
      <c r="DE30" s="228">
        <f t="shared" si="16"/>
        <v>0</v>
      </c>
      <c r="DF30" s="228">
        <f t="shared" si="16"/>
        <v>0</v>
      </c>
      <c r="DG30" s="228">
        <f t="shared" si="16"/>
        <v>0</v>
      </c>
      <c r="DH30" s="228">
        <f t="shared" si="16"/>
        <v>0</v>
      </c>
      <c r="DI30" s="228">
        <f t="shared" si="16"/>
        <v>0</v>
      </c>
      <c r="DJ30" s="228">
        <f t="shared" si="16"/>
        <v>0</v>
      </c>
      <c r="DK30" s="228">
        <f t="shared" si="16"/>
        <v>0</v>
      </c>
      <c r="DL30" s="228">
        <f t="shared" si="16"/>
        <v>0</v>
      </c>
      <c r="DM30" s="228">
        <f t="shared" si="16"/>
        <v>0</v>
      </c>
      <c r="DN30" s="228">
        <f t="shared" si="16"/>
        <v>0</v>
      </c>
      <c r="DO30" s="228">
        <f t="shared" si="16"/>
        <v>0</v>
      </c>
      <c r="DP30" s="228">
        <f t="shared" si="16"/>
        <v>0</v>
      </c>
      <c r="DQ30" s="228">
        <f t="shared" si="16"/>
        <v>0</v>
      </c>
      <c r="DR30" s="228">
        <f t="shared" si="16"/>
        <v>0</v>
      </c>
      <c r="DS30" s="228">
        <f t="shared" si="16"/>
        <v>0</v>
      </c>
      <c r="DT30" s="228">
        <f t="shared" si="16"/>
        <v>0</v>
      </c>
      <c r="DU30" s="228">
        <f t="shared" si="16"/>
        <v>0</v>
      </c>
      <c r="DV30" s="228">
        <f t="shared" si="16"/>
        <v>0</v>
      </c>
      <c r="DW30" s="228">
        <f t="shared" si="16"/>
        <v>0</v>
      </c>
      <c r="DX30" s="228">
        <f t="shared" si="16"/>
        <v>0</v>
      </c>
      <c r="DY30" s="228">
        <f t="shared" si="16"/>
        <v>0</v>
      </c>
      <c r="DZ30" s="228">
        <f t="shared" si="16"/>
        <v>0</v>
      </c>
      <c r="EA30" s="228">
        <f t="shared" si="16"/>
        <v>0</v>
      </c>
      <c r="EB30" s="228">
        <f t="shared" si="16"/>
        <v>66</v>
      </c>
      <c r="EC30" s="228">
        <f t="shared" si="16"/>
        <v>1.5</v>
      </c>
      <c r="ED30" s="228">
        <f t="shared" si="16"/>
        <v>0</v>
      </c>
      <c r="EE30" s="228">
        <f t="shared" si="16"/>
        <v>0</v>
      </c>
      <c r="EF30" s="228">
        <f t="shared" si="16"/>
        <v>0</v>
      </c>
      <c r="EG30" s="228">
        <f t="shared" ref="EG30:EO30" si="17">+SUM(EG9:EG26)/2</f>
        <v>16</v>
      </c>
      <c r="EH30" s="228">
        <f t="shared" si="17"/>
        <v>4</v>
      </c>
      <c r="EI30" s="228">
        <f t="shared" si="17"/>
        <v>0</v>
      </c>
      <c r="EJ30" s="228">
        <f t="shared" si="17"/>
        <v>0</v>
      </c>
      <c r="EK30" s="228">
        <f t="shared" si="17"/>
        <v>0</v>
      </c>
      <c r="EL30" s="228">
        <f t="shared" si="17"/>
        <v>0</v>
      </c>
      <c r="EM30" s="228">
        <f t="shared" si="17"/>
        <v>124.25</v>
      </c>
      <c r="EN30" s="228">
        <f t="shared" si="17"/>
        <v>20</v>
      </c>
      <c r="EO30" s="228">
        <f t="shared" si="17"/>
        <v>71.5</v>
      </c>
      <c r="EP30" s="229">
        <f>+SUM(F30:EO30)</f>
        <v>1863.75</v>
      </c>
    </row>
    <row r="31" spans="1:146" s="2" customFormat="1" ht="15.75" thickBot="1" x14ac:dyDescent="0.25">
      <c r="A31" s="7"/>
      <c r="B31" s="7"/>
      <c r="C31" s="7"/>
      <c r="D31" s="7"/>
      <c r="E31" s="852">
        <f>+SUM(E30:F30)</f>
        <v>1560</v>
      </c>
      <c r="F31" s="853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</row>
    <row r="32" spans="1:146" s="2" customFormat="1" x14ac:dyDescent="0.2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</row>
    <row r="33" spans="1:112" s="2" customFormat="1" x14ac:dyDescent="0.2">
      <c r="A33" s="7"/>
      <c r="B33" s="7"/>
      <c r="C33" s="7"/>
      <c r="D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</row>
    <row r="34" spans="1:112" s="2" customFormat="1" x14ac:dyDescent="0.2">
      <c r="E34" s="7"/>
      <c r="F34" s="7"/>
    </row>
    <row r="35" spans="1:112" s="2" customFormat="1" x14ac:dyDescent="0.2"/>
    <row r="36" spans="1:112" s="2" customFormat="1" x14ac:dyDescent="0.2"/>
    <row r="37" spans="1:112" s="2" customFormat="1" x14ac:dyDescent="0.2"/>
    <row r="38" spans="1:112" s="2" customFormat="1" x14ac:dyDescent="0.2"/>
    <row r="39" spans="1:112" s="2" customFormat="1" x14ac:dyDescent="0.2"/>
    <row r="40" spans="1:112" s="2" customFormat="1" x14ac:dyDescent="0.2"/>
    <row r="41" spans="1:112" s="2" customFormat="1" x14ac:dyDescent="0.2"/>
    <row r="42" spans="1:112" s="2" customFormat="1" x14ac:dyDescent="0.2"/>
    <row r="43" spans="1:112" s="2" customFormat="1" x14ac:dyDescent="0.2"/>
    <row r="44" spans="1:112" s="2" customFormat="1" x14ac:dyDescent="0.2"/>
    <row r="45" spans="1:112" s="2" customFormat="1" x14ac:dyDescent="0.2"/>
    <row r="46" spans="1:112" s="2" customFormat="1" x14ac:dyDescent="0.2"/>
    <row r="47" spans="1:112" s="2" customFormat="1" x14ac:dyDescent="0.2"/>
    <row r="48" spans="1:112" s="2" customFormat="1" x14ac:dyDescent="0.2"/>
    <row r="49" s="2" customFormat="1" x14ac:dyDescent="0.2"/>
    <row r="50" s="2" customFormat="1" x14ac:dyDescent="0.2"/>
    <row r="51" s="2" customFormat="1" x14ac:dyDescent="0.2"/>
    <row r="52" s="2" customFormat="1" x14ac:dyDescent="0.2"/>
    <row r="53" s="2" customFormat="1" x14ac:dyDescent="0.2"/>
    <row r="54" s="2" customFormat="1" x14ac:dyDescent="0.2"/>
    <row r="55" s="2" customFormat="1" x14ac:dyDescent="0.2"/>
    <row r="56" s="2" customFormat="1" x14ac:dyDescent="0.2"/>
    <row r="57" s="2" customFormat="1" x14ac:dyDescent="0.2"/>
    <row r="58" s="2" customFormat="1" x14ac:dyDescent="0.2"/>
    <row r="59" s="2" customFormat="1" x14ac:dyDescent="0.2"/>
    <row r="60" s="2" customFormat="1" x14ac:dyDescent="0.2"/>
    <row r="61" s="2" customFormat="1" x14ac:dyDescent="0.2"/>
    <row r="62" s="2" customFormat="1" x14ac:dyDescent="0.2"/>
    <row r="63" s="2" customFormat="1" x14ac:dyDescent="0.2"/>
    <row r="64" s="2" customFormat="1" x14ac:dyDescent="0.2"/>
    <row r="65" s="2" customFormat="1" x14ac:dyDescent="0.2"/>
    <row r="66" s="2" customFormat="1" x14ac:dyDescent="0.2"/>
    <row r="67" s="2" customFormat="1" x14ac:dyDescent="0.2"/>
    <row r="68" s="2" customFormat="1" x14ac:dyDescent="0.2"/>
    <row r="69" s="2" customFormat="1" x14ac:dyDescent="0.2"/>
    <row r="70" s="2" customFormat="1" x14ac:dyDescent="0.2"/>
    <row r="71" s="2" customFormat="1" x14ac:dyDescent="0.2"/>
    <row r="72" s="2" customFormat="1" x14ac:dyDescent="0.2"/>
    <row r="73" s="2" customFormat="1" x14ac:dyDescent="0.2"/>
    <row r="74" s="2" customFormat="1" x14ac:dyDescent="0.2"/>
    <row r="75" s="2" customFormat="1" x14ac:dyDescent="0.2"/>
    <row r="76" s="2" customFormat="1" x14ac:dyDescent="0.2"/>
    <row r="77" s="2" customFormat="1" x14ac:dyDescent="0.2"/>
    <row r="78" s="2" customFormat="1" x14ac:dyDescent="0.2"/>
    <row r="79" s="2" customFormat="1" x14ac:dyDescent="0.2"/>
    <row r="80" s="2" customFormat="1" x14ac:dyDescent="0.2"/>
    <row r="81" s="2" customFormat="1" x14ac:dyDescent="0.2"/>
    <row r="82" s="2" customFormat="1" x14ac:dyDescent="0.2"/>
    <row r="83" s="2" customFormat="1" x14ac:dyDescent="0.2"/>
    <row r="84" s="2" customFormat="1" x14ac:dyDescent="0.2"/>
    <row r="85" s="2" customFormat="1" x14ac:dyDescent="0.2"/>
    <row r="86" s="2" customFormat="1" x14ac:dyDescent="0.2"/>
    <row r="87" s="2" customFormat="1" x14ac:dyDescent="0.2"/>
    <row r="88" s="2" customFormat="1" x14ac:dyDescent="0.2"/>
    <row r="89" s="2" customFormat="1" x14ac:dyDescent="0.2"/>
    <row r="90" s="2" customFormat="1" x14ac:dyDescent="0.2"/>
    <row r="91" s="2" customFormat="1" x14ac:dyDescent="0.2"/>
    <row r="92" s="2" customFormat="1" x14ac:dyDescent="0.2"/>
    <row r="93" s="2" customFormat="1" x14ac:dyDescent="0.2"/>
    <row r="94" s="2" customFormat="1" x14ac:dyDescent="0.2"/>
  </sheetData>
  <sheetProtection formatCells="0" formatColumns="0" formatRows="0" insertColumns="0" insertRows="0" insertHyperlinks="0" deleteColumns="0" deleteRows="0" sort="0" autoFilter="0" pivotTables="0"/>
  <mergeCells count="122">
    <mergeCell ref="J1:AK1"/>
    <mergeCell ref="G4:X4"/>
    <mergeCell ref="Z4:AT4"/>
    <mergeCell ref="AU4:BH4"/>
    <mergeCell ref="BI4:BT4"/>
    <mergeCell ref="BU4:CD4"/>
    <mergeCell ref="CE4:CL4"/>
    <mergeCell ref="CM4:CT4"/>
    <mergeCell ref="G5:G7"/>
    <mergeCell ref="H5:H7"/>
    <mergeCell ref="I5:I7"/>
    <mergeCell ref="J5:J7"/>
    <mergeCell ref="K5:K7"/>
    <mergeCell ref="L5:L7"/>
    <mergeCell ref="M5:M7"/>
    <mergeCell ref="N5:N7"/>
    <mergeCell ref="U5:U7"/>
    <mergeCell ref="V5:V7"/>
    <mergeCell ref="W5:W7"/>
    <mergeCell ref="X5:X7"/>
    <mergeCell ref="Z5:Z7"/>
    <mergeCell ref="AA5:AA7"/>
    <mergeCell ref="O5:O7"/>
    <mergeCell ref="P5:P7"/>
    <mergeCell ref="Q5:Q7"/>
    <mergeCell ref="R5:R7"/>
    <mergeCell ref="S5:S7"/>
    <mergeCell ref="T5:T7"/>
    <mergeCell ref="AH5:AH7"/>
    <mergeCell ref="AI5:AI7"/>
    <mergeCell ref="AJ5:AJ7"/>
    <mergeCell ref="AK5:AK7"/>
    <mergeCell ref="AL5:AL7"/>
    <mergeCell ref="Y5:Y7"/>
    <mergeCell ref="AM5:AM7"/>
    <mergeCell ref="AB5:AB7"/>
    <mergeCell ref="AC5:AC7"/>
    <mergeCell ref="AD5:AD7"/>
    <mergeCell ref="AE5:AE7"/>
    <mergeCell ref="AF5:AF7"/>
    <mergeCell ref="AG5:AG7"/>
    <mergeCell ref="AT5:AT7"/>
    <mergeCell ref="AU5:AU7"/>
    <mergeCell ref="AV5:AV7"/>
    <mergeCell ref="AW5:AW7"/>
    <mergeCell ref="AX5:AX7"/>
    <mergeCell ref="AY5:AY7"/>
    <mergeCell ref="AN5:AN7"/>
    <mergeCell ref="AO5:AO7"/>
    <mergeCell ref="AP5:AP7"/>
    <mergeCell ref="AQ5:AQ7"/>
    <mergeCell ref="AR5:AR7"/>
    <mergeCell ref="AS5:AS7"/>
    <mergeCell ref="BF5:BF7"/>
    <mergeCell ref="BG5:BG7"/>
    <mergeCell ref="BH5:BH7"/>
    <mergeCell ref="BI5:BI7"/>
    <mergeCell ref="BJ5:BJ7"/>
    <mergeCell ref="BK5:BK7"/>
    <mergeCell ref="AZ5:AZ7"/>
    <mergeCell ref="BA5:BA7"/>
    <mergeCell ref="BB5:BB7"/>
    <mergeCell ref="BC5:BC7"/>
    <mergeCell ref="BD5:BD7"/>
    <mergeCell ref="BE5:BE7"/>
    <mergeCell ref="BR5:BR7"/>
    <mergeCell ref="BS5:BS7"/>
    <mergeCell ref="BT5:BT7"/>
    <mergeCell ref="BU5:BU7"/>
    <mergeCell ref="BV5:BV7"/>
    <mergeCell ref="BW5:BW7"/>
    <mergeCell ref="BL5:BL7"/>
    <mergeCell ref="BM5:BM7"/>
    <mergeCell ref="BN5:BN7"/>
    <mergeCell ref="BO5:BO7"/>
    <mergeCell ref="BP5:BP7"/>
    <mergeCell ref="BQ5:BQ7"/>
    <mergeCell ref="CD5:CD7"/>
    <mergeCell ref="CE5:CE7"/>
    <mergeCell ref="CF5:CF7"/>
    <mergeCell ref="CG5:CG7"/>
    <mergeCell ref="CH5:CH7"/>
    <mergeCell ref="CI5:CI7"/>
    <mergeCell ref="BX5:BX7"/>
    <mergeCell ref="BY5:BY7"/>
    <mergeCell ref="BZ5:BZ7"/>
    <mergeCell ref="CA5:CA7"/>
    <mergeCell ref="CB5:CB7"/>
    <mergeCell ref="CC5:CC7"/>
    <mergeCell ref="A14:D14"/>
    <mergeCell ref="A15:D15"/>
    <mergeCell ref="A17:D17"/>
    <mergeCell ref="A18:D18"/>
    <mergeCell ref="A19:D19"/>
    <mergeCell ref="A21:D21"/>
    <mergeCell ref="E7:F7"/>
    <mergeCell ref="G8:DH8"/>
    <mergeCell ref="A9:D9"/>
    <mergeCell ref="A10:D10"/>
    <mergeCell ref="A11:D11"/>
    <mergeCell ref="A13:D13"/>
    <mergeCell ref="CP5:CP7"/>
    <mergeCell ref="CQ5:CQ7"/>
    <mergeCell ref="CR5:CR7"/>
    <mergeCell ref="CS5:CS7"/>
    <mergeCell ref="CT5:CT7"/>
    <mergeCell ref="CV6:DH6"/>
    <mergeCell ref="CJ5:CJ7"/>
    <mergeCell ref="CK5:CK7"/>
    <mergeCell ref="CL5:CL7"/>
    <mergeCell ref="CM5:CM7"/>
    <mergeCell ref="CN5:CN7"/>
    <mergeCell ref="CO5:CO7"/>
    <mergeCell ref="A29:D29"/>
    <mergeCell ref="A30:D30"/>
    <mergeCell ref="E31:F31"/>
    <mergeCell ref="A22:D22"/>
    <mergeCell ref="A23:D23"/>
    <mergeCell ref="A25:D25"/>
    <mergeCell ref="A26:D26"/>
    <mergeCell ref="A27:D27"/>
    <mergeCell ref="A28:D28"/>
  </mergeCells>
  <conditionalFormatting sqref="E31:F31">
    <cfRule type="cellIs" dxfId="5" priority="1" operator="notEqual">
      <formula>$DQ$30</formula>
    </cfRule>
    <cfRule type="cellIs" dxfId="4" priority="2" operator="equal">
      <formula>$DQ$30</formula>
    </cfRule>
  </conditionalFormatting>
  <printOptions horizontalCentered="1" verticalCentered="1"/>
  <pageMargins left="0" right="0" top="0.39370078740157483" bottom="0.39370078740157483" header="0" footer="0"/>
  <pageSetup paperSize="8" scale="65" orientation="landscape" r:id="rId1"/>
  <headerFooter alignWithMargins="0">
    <oddHeader>&amp;R&amp;T;&amp;D</oddHeader>
    <oddFooter>&amp;L&amp;Z&amp;F&amp;R&amp;P/&amp;N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55EDE-C508-4A7A-A5A2-4D6AC6153B78}">
  <sheetPr codeName="Feuil25">
    <tabColor theme="8"/>
    <pageSetUpPr fitToPage="1"/>
  </sheetPr>
  <dimension ref="A1:FS94"/>
  <sheetViews>
    <sheetView topLeftCell="A8" zoomScale="85" zoomScaleNormal="85" workbookViewId="0">
      <selection activeCell="AT13" sqref="AT13"/>
    </sheetView>
  </sheetViews>
  <sheetFormatPr baseColWidth="10" defaultColWidth="11.42578125" defaultRowHeight="15" x14ac:dyDescent="0.25"/>
  <cols>
    <col min="1" max="1" width="15.85546875" style="91" bestFit="1" customWidth="1"/>
    <col min="2" max="2" width="7.7109375" style="91" bestFit="1" customWidth="1"/>
    <col min="3" max="3" width="4.140625" style="91" bestFit="1" customWidth="1"/>
    <col min="4" max="4" width="7.7109375" style="91" bestFit="1" customWidth="1"/>
    <col min="5" max="5" width="9.28515625" style="91" bestFit="1" customWidth="1"/>
    <col min="6" max="6" width="4.28515625" style="91" bestFit="1" customWidth="1"/>
    <col min="7" max="99" width="5.28515625" style="91" customWidth="1"/>
    <col min="100" max="113" width="3.7109375" style="91" customWidth="1"/>
    <col min="114" max="114" width="3.28515625" style="91" customWidth="1"/>
    <col min="115" max="146" width="3.140625" style="91" customWidth="1"/>
    <col min="147" max="16384" width="11.42578125" style="91"/>
  </cols>
  <sheetData>
    <row r="1" spans="1:175" ht="16.5" thickBot="1" x14ac:dyDescent="0.3">
      <c r="A1" s="204" t="s">
        <v>96</v>
      </c>
      <c r="B1" s="69">
        <v>45627</v>
      </c>
      <c r="C1" s="205"/>
      <c r="D1" s="205"/>
      <c r="E1" s="206"/>
      <c r="F1" s="206"/>
      <c r="G1" s="206"/>
      <c r="H1" s="206"/>
      <c r="I1" s="206"/>
      <c r="J1" s="886" t="s">
        <v>97</v>
      </c>
      <c r="K1" s="887"/>
      <c r="L1" s="887"/>
      <c r="M1" s="887"/>
      <c r="N1" s="887"/>
      <c r="O1" s="887"/>
      <c r="P1" s="887"/>
      <c r="Q1" s="887"/>
      <c r="R1" s="887"/>
      <c r="S1" s="887"/>
      <c r="T1" s="887"/>
      <c r="U1" s="887"/>
      <c r="V1" s="887"/>
      <c r="W1" s="887"/>
      <c r="X1" s="887"/>
      <c r="Y1" s="887"/>
      <c r="Z1" s="887"/>
      <c r="AA1" s="887"/>
      <c r="AB1" s="887"/>
      <c r="AC1" s="887"/>
      <c r="AD1" s="887"/>
      <c r="AE1" s="887"/>
      <c r="AF1" s="887"/>
      <c r="AG1" s="887"/>
      <c r="AH1" s="887"/>
      <c r="AI1" s="887"/>
      <c r="AJ1" s="887"/>
      <c r="AK1" s="887"/>
      <c r="AL1" s="888"/>
      <c r="AM1" s="206"/>
      <c r="AN1" s="206"/>
      <c r="AO1" s="206"/>
      <c r="AP1" s="206"/>
      <c r="AQ1" s="206"/>
      <c r="AR1" s="206"/>
      <c r="AS1" s="206"/>
      <c r="AT1" s="206"/>
      <c r="AU1" s="206"/>
      <c r="AV1" s="206"/>
      <c r="AW1" s="206"/>
      <c r="AX1" s="206"/>
      <c r="AY1" s="206"/>
      <c r="AZ1" s="206"/>
      <c r="BA1" s="206"/>
      <c r="BB1" s="206"/>
      <c r="BC1" s="206"/>
      <c r="BD1" s="206"/>
      <c r="BE1" s="206"/>
      <c r="BF1" s="206"/>
      <c r="BG1" s="206"/>
      <c r="BH1" s="206"/>
      <c r="BI1" s="206"/>
      <c r="BJ1" s="206"/>
      <c r="BK1" s="206"/>
      <c r="BL1" s="206"/>
      <c r="BM1" s="206"/>
      <c r="BN1" s="206"/>
      <c r="BO1" s="206"/>
      <c r="BP1" s="206"/>
      <c r="BQ1" s="206"/>
      <c r="BR1" s="206"/>
      <c r="BS1" s="206"/>
      <c r="BT1" s="206"/>
      <c r="BU1" s="206"/>
      <c r="BV1" s="206"/>
      <c r="BW1" s="206"/>
      <c r="BX1" s="206"/>
      <c r="BY1" s="206"/>
      <c r="BZ1" s="206"/>
      <c r="CA1" s="206"/>
      <c r="CB1" s="206"/>
      <c r="CC1" s="206"/>
      <c r="CD1" s="206"/>
      <c r="CE1" s="206"/>
      <c r="CF1" s="206"/>
      <c r="CG1" s="206"/>
      <c r="CH1" s="206"/>
      <c r="CI1" s="206"/>
      <c r="CJ1" s="206"/>
      <c r="CK1" s="206"/>
      <c r="CL1" s="206"/>
      <c r="CM1" s="206"/>
      <c r="CN1" s="206"/>
      <c r="CO1" s="206"/>
      <c r="CP1" s="206"/>
      <c r="CQ1" s="206"/>
      <c r="CR1" s="206"/>
      <c r="CS1" s="206"/>
      <c r="CT1" s="206"/>
      <c r="CU1" s="206"/>
      <c r="DE1" s="206"/>
      <c r="DF1" s="206"/>
      <c r="DG1" s="206"/>
      <c r="DH1" s="206"/>
      <c r="DI1" s="206"/>
    </row>
    <row r="2" spans="1:175" x14ac:dyDescent="0.25">
      <c r="A2" s="207" t="s">
        <v>98</v>
      </c>
      <c r="B2" s="70">
        <v>45628</v>
      </c>
      <c r="C2" s="208" t="s">
        <v>99</v>
      </c>
      <c r="D2" s="70">
        <v>45653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</row>
    <row r="3" spans="1:175" ht="15.75" thickBot="1" x14ac:dyDescent="0.3">
      <c r="A3" s="207"/>
      <c r="B3" s="70"/>
      <c r="C3" s="208"/>
      <c r="D3" s="70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</row>
    <row r="4" spans="1:175" ht="15.75" thickBot="1" x14ac:dyDescent="0.3">
      <c r="A4" s="207"/>
      <c r="B4" s="70"/>
      <c r="C4" s="208"/>
      <c r="D4" s="70"/>
      <c r="E4" s="7"/>
      <c r="F4" s="7"/>
      <c r="G4" s="889" t="s">
        <v>975</v>
      </c>
      <c r="H4" s="890"/>
      <c r="I4" s="890"/>
      <c r="J4" s="890"/>
      <c r="K4" s="890"/>
      <c r="L4" s="890"/>
      <c r="M4" s="890"/>
      <c r="N4" s="890"/>
      <c r="O4" s="890"/>
      <c r="P4" s="890"/>
      <c r="Q4" s="890"/>
      <c r="R4" s="890"/>
      <c r="S4" s="890"/>
      <c r="T4" s="890"/>
      <c r="U4" s="890"/>
      <c r="V4" s="890"/>
      <c r="W4" s="890"/>
      <c r="X4" s="890"/>
      <c r="Y4" s="778"/>
      <c r="Z4" s="778"/>
      <c r="AA4" s="891" t="s">
        <v>976</v>
      </c>
      <c r="AB4" s="892"/>
      <c r="AC4" s="892"/>
      <c r="AD4" s="892"/>
      <c r="AE4" s="892"/>
      <c r="AF4" s="892"/>
      <c r="AG4" s="892"/>
      <c r="AH4" s="892"/>
      <c r="AI4" s="892"/>
      <c r="AJ4" s="892"/>
      <c r="AK4" s="892"/>
      <c r="AL4" s="892"/>
      <c r="AM4" s="892"/>
      <c r="AN4" s="892"/>
      <c r="AO4" s="892"/>
      <c r="AP4" s="892"/>
      <c r="AQ4" s="892"/>
      <c r="AR4" s="892"/>
      <c r="AS4" s="892"/>
      <c r="AT4" s="892"/>
      <c r="AU4" s="893"/>
      <c r="AV4" s="894" t="s">
        <v>977</v>
      </c>
      <c r="AW4" s="895"/>
      <c r="AX4" s="895"/>
      <c r="AY4" s="895"/>
      <c r="AZ4" s="895"/>
      <c r="BA4" s="895"/>
      <c r="BB4" s="895"/>
      <c r="BC4" s="895"/>
      <c r="BD4" s="895"/>
      <c r="BE4" s="895"/>
      <c r="BF4" s="895"/>
      <c r="BG4" s="895"/>
      <c r="BH4" s="895"/>
      <c r="BI4" s="895"/>
      <c r="BJ4" s="896" t="s">
        <v>978</v>
      </c>
      <c r="BK4" s="897"/>
      <c r="BL4" s="897"/>
      <c r="BM4" s="897"/>
      <c r="BN4" s="897"/>
      <c r="BO4" s="897"/>
      <c r="BP4" s="897"/>
      <c r="BQ4" s="897"/>
      <c r="BR4" s="897"/>
      <c r="BS4" s="897"/>
      <c r="BT4" s="897"/>
      <c r="BU4" s="897"/>
      <c r="BV4" s="898" t="s">
        <v>979</v>
      </c>
      <c r="BW4" s="899"/>
      <c r="BX4" s="899"/>
      <c r="BY4" s="899"/>
      <c r="BZ4" s="899"/>
      <c r="CA4" s="899"/>
      <c r="CB4" s="899"/>
      <c r="CC4" s="899"/>
      <c r="CD4" s="899"/>
      <c r="CE4" s="899"/>
      <c r="CF4" s="889" t="s">
        <v>980</v>
      </c>
      <c r="CG4" s="890"/>
      <c r="CH4" s="890"/>
      <c r="CI4" s="890"/>
      <c r="CJ4" s="890"/>
      <c r="CK4" s="890"/>
      <c r="CL4" s="890"/>
      <c r="CM4" s="890"/>
      <c r="CN4" s="894" t="s">
        <v>981</v>
      </c>
      <c r="CO4" s="895"/>
      <c r="CP4" s="895"/>
      <c r="CQ4" s="895"/>
      <c r="CR4" s="895"/>
      <c r="CS4" s="895"/>
      <c r="CT4" s="895"/>
      <c r="CU4" s="900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</row>
    <row r="5" spans="1:175" ht="13.9" customHeight="1" x14ac:dyDescent="0.25">
      <c r="E5" s="7"/>
      <c r="F5" s="7"/>
      <c r="G5" s="860" t="s">
        <v>656</v>
      </c>
      <c r="H5" s="860" t="s">
        <v>768</v>
      </c>
      <c r="I5" s="860" t="s">
        <v>769</v>
      </c>
      <c r="J5" s="860" t="s">
        <v>756</v>
      </c>
      <c r="K5" s="860" t="s">
        <v>757</v>
      </c>
      <c r="L5" s="860" t="s">
        <v>761</v>
      </c>
      <c r="M5" s="860" t="s">
        <v>770</v>
      </c>
      <c r="N5" s="860" t="s">
        <v>809</v>
      </c>
      <c r="O5" s="860" t="s">
        <v>811</v>
      </c>
      <c r="P5" s="860" t="s">
        <v>810</v>
      </c>
      <c r="Q5" s="860" t="s">
        <v>762</v>
      </c>
      <c r="R5" s="860" t="s">
        <v>763</v>
      </c>
      <c r="S5" s="860" t="s">
        <v>764</v>
      </c>
      <c r="T5" s="860" t="s">
        <v>837</v>
      </c>
      <c r="U5" s="860" t="s">
        <v>774</v>
      </c>
      <c r="V5" s="860" t="s">
        <v>782</v>
      </c>
      <c r="W5" s="860" t="s">
        <v>778</v>
      </c>
      <c r="X5" s="860" t="s">
        <v>882</v>
      </c>
      <c r="Y5" s="901" t="s">
        <v>1024</v>
      </c>
      <c r="Z5" s="904" t="s">
        <v>1026</v>
      </c>
      <c r="AA5" s="878" t="s">
        <v>657</v>
      </c>
      <c r="AB5" s="884" t="s">
        <v>658</v>
      </c>
      <c r="AC5" s="884" t="s">
        <v>659</v>
      </c>
      <c r="AD5" s="884" t="s">
        <v>660</v>
      </c>
      <c r="AE5" s="884" t="s">
        <v>967</v>
      </c>
      <c r="AF5" s="884" t="s">
        <v>968</v>
      </c>
      <c r="AG5" s="884" t="s">
        <v>789</v>
      </c>
      <c r="AH5" s="884" t="s">
        <v>969</v>
      </c>
      <c r="AI5" s="884" t="s">
        <v>746</v>
      </c>
      <c r="AJ5" s="884" t="s">
        <v>801</v>
      </c>
      <c r="AK5" s="884" t="s">
        <v>765</v>
      </c>
      <c r="AL5" s="884" t="s">
        <v>766</v>
      </c>
      <c r="AM5" s="884" t="s">
        <v>767</v>
      </c>
      <c r="AN5" s="884" t="s">
        <v>784</v>
      </c>
      <c r="AO5" s="884" t="s">
        <v>776</v>
      </c>
      <c r="AP5" s="884" t="s">
        <v>779</v>
      </c>
      <c r="AQ5" s="884" t="s">
        <v>970</v>
      </c>
      <c r="AR5" s="884"/>
      <c r="AS5" s="884"/>
      <c r="AT5" s="872" t="s">
        <v>1043</v>
      </c>
      <c r="AU5" s="882" t="s">
        <v>982</v>
      </c>
      <c r="AV5" s="880" t="s">
        <v>847</v>
      </c>
      <c r="AW5" s="880" t="s">
        <v>848</v>
      </c>
      <c r="AX5" s="880" t="s">
        <v>858</v>
      </c>
      <c r="AY5" s="880" t="s">
        <v>791</v>
      </c>
      <c r="AZ5" s="880" t="s">
        <v>849</v>
      </c>
      <c r="BA5" s="880" t="s">
        <v>850</v>
      </c>
      <c r="BB5" s="880" t="s">
        <v>856</v>
      </c>
      <c r="BC5" s="880" t="s">
        <v>854</v>
      </c>
      <c r="BD5" s="880" t="s">
        <v>853</v>
      </c>
      <c r="BE5" s="880" t="s">
        <v>859</v>
      </c>
      <c r="BF5" s="880" t="s">
        <v>851</v>
      </c>
      <c r="BG5" s="880" t="s">
        <v>852</v>
      </c>
      <c r="BH5" s="880" t="s">
        <v>796</v>
      </c>
      <c r="BI5" s="880" t="s">
        <v>797</v>
      </c>
      <c r="BJ5" s="876" t="s">
        <v>788</v>
      </c>
      <c r="BK5" s="876" t="s">
        <v>864</v>
      </c>
      <c r="BL5" s="876" t="s">
        <v>865</v>
      </c>
      <c r="BM5" s="876" t="s">
        <v>738</v>
      </c>
      <c r="BN5" s="876" t="s">
        <v>664</v>
      </c>
      <c r="BO5" s="876" t="s">
        <v>856</v>
      </c>
      <c r="BP5" s="876" t="s">
        <v>867</v>
      </c>
      <c r="BQ5" s="876" t="s">
        <v>868</v>
      </c>
      <c r="BR5" s="876" t="s">
        <v>866</v>
      </c>
      <c r="BS5" s="876" t="s">
        <v>869</v>
      </c>
      <c r="BT5" s="876" t="s">
        <v>796</v>
      </c>
      <c r="BU5" s="876" t="s">
        <v>797</v>
      </c>
      <c r="BV5" s="878" t="s">
        <v>786</v>
      </c>
      <c r="BW5" s="872" t="s">
        <v>738</v>
      </c>
      <c r="BX5" s="872" t="s">
        <v>664</v>
      </c>
      <c r="BY5" s="872" t="s">
        <v>971</v>
      </c>
      <c r="BZ5" s="872" t="s">
        <v>972</v>
      </c>
      <c r="CA5" s="872" t="s">
        <v>973</v>
      </c>
      <c r="CB5" s="872" t="s">
        <v>974</v>
      </c>
      <c r="CC5" s="872" t="s">
        <v>792</v>
      </c>
      <c r="CD5" s="872" t="s">
        <v>796</v>
      </c>
      <c r="CE5" s="872" t="s">
        <v>797</v>
      </c>
      <c r="CF5" s="874" t="s">
        <v>786</v>
      </c>
      <c r="CG5" s="870" t="s">
        <v>738</v>
      </c>
      <c r="CH5" s="870" t="s">
        <v>664</v>
      </c>
      <c r="CI5" s="870" t="s">
        <v>971</v>
      </c>
      <c r="CJ5" s="870" t="s">
        <v>974</v>
      </c>
      <c r="CK5" s="870" t="s">
        <v>792</v>
      </c>
      <c r="CL5" s="870" t="s">
        <v>796</v>
      </c>
      <c r="CM5" s="870" t="s">
        <v>797</v>
      </c>
      <c r="CN5" s="860" t="s">
        <v>879</v>
      </c>
      <c r="CO5" s="860" t="s">
        <v>655</v>
      </c>
      <c r="CP5" s="860"/>
      <c r="CQ5" s="860"/>
      <c r="CR5" s="860"/>
      <c r="CS5" s="860"/>
      <c r="CT5" s="860"/>
      <c r="CU5" s="860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</row>
    <row r="6" spans="1:175" s="53" customFormat="1" ht="15" customHeight="1" thickBot="1" x14ac:dyDescent="0.25">
      <c r="E6" s="7"/>
      <c r="F6" s="7"/>
      <c r="G6" s="860" t="s">
        <v>656</v>
      </c>
      <c r="H6" s="860" t="s">
        <v>768</v>
      </c>
      <c r="I6" s="860" t="s">
        <v>769</v>
      </c>
      <c r="J6" s="860" t="s">
        <v>756</v>
      </c>
      <c r="K6" s="860" t="s">
        <v>757</v>
      </c>
      <c r="L6" s="860" t="s">
        <v>761</v>
      </c>
      <c r="M6" s="860" t="s">
        <v>770</v>
      </c>
      <c r="N6" s="860" t="s">
        <v>809</v>
      </c>
      <c r="O6" s="860" t="s">
        <v>811</v>
      </c>
      <c r="P6" s="860" t="s">
        <v>810</v>
      </c>
      <c r="Q6" s="860" t="s">
        <v>762</v>
      </c>
      <c r="R6" s="860" t="s">
        <v>763</v>
      </c>
      <c r="S6" s="860" t="s">
        <v>764</v>
      </c>
      <c r="T6" s="860" t="s">
        <v>837</v>
      </c>
      <c r="U6" s="860" t="s">
        <v>774</v>
      </c>
      <c r="V6" s="860" t="s">
        <v>782</v>
      </c>
      <c r="W6" s="860" t="s">
        <v>778</v>
      </c>
      <c r="X6" s="860" t="s">
        <v>882</v>
      </c>
      <c r="Y6" s="902"/>
      <c r="Z6" s="905"/>
      <c r="AA6" s="878" t="s">
        <v>657</v>
      </c>
      <c r="AB6" s="884" t="s">
        <v>658</v>
      </c>
      <c r="AC6" s="884" t="s">
        <v>659</v>
      </c>
      <c r="AD6" s="884" t="s">
        <v>660</v>
      </c>
      <c r="AE6" s="884" t="s">
        <v>967</v>
      </c>
      <c r="AF6" s="884" t="s">
        <v>968</v>
      </c>
      <c r="AG6" s="884" t="s">
        <v>789</v>
      </c>
      <c r="AH6" s="884" t="s">
        <v>969</v>
      </c>
      <c r="AI6" s="884" t="s">
        <v>746</v>
      </c>
      <c r="AJ6" s="884" t="s">
        <v>801</v>
      </c>
      <c r="AK6" s="884" t="s">
        <v>765</v>
      </c>
      <c r="AL6" s="884" t="s">
        <v>766</v>
      </c>
      <c r="AM6" s="884" t="s">
        <v>767</v>
      </c>
      <c r="AN6" s="884" t="s">
        <v>784</v>
      </c>
      <c r="AO6" s="884" t="s">
        <v>776</v>
      </c>
      <c r="AP6" s="884" t="s">
        <v>779</v>
      </c>
      <c r="AQ6" s="884" t="s">
        <v>970</v>
      </c>
      <c r="AR6" s="884"/>
      <c r="AS6" s="884"/>
      <c r="AT6" s="872"/>
      <c r="AU6" s="882"/>
      <c r="AV6" s="880"/>
      <c r="AW6" s="880" t="s">
        <v>848</v>
      </c>
      <c r="AX6" s="880" t="s">
        <v>858</v>
      </c>
      <c r="AY6" s="880" t="s">
        <v>791</v>
      </c>
      <c r="AZ6" s="880" t="s">
        <v>849</v>
      </c>
      <c r="BA6" s="880" t="s">
        <v>850</v>
      </c>
      <c r="BB6" s="880" t="s">
        <v>856</v>
      </c>
      <c r="BC6" s="880" t="s">
        <v>854</v>
      </c>
      <c r="BD6" s="880" t="s">
        <v>853</v>
      </c>
      <c r="BE6" s="880" t="s">
        <v>859</v>
      </c>
      <c r="BF6" s="880" t="s">
        <v>851</v>
      </c>
      <c r="BG6" s="880" t="s">
        <v>852</v>
      </c>
      <c r="BH6" s="880" t="s">
        <v>796</v>
      </c>
      <c r="BI6" s="880" t="s">
        <v>797</v>
      </c>
      <c r="BJ6" s="876" t="s">
        <v>788</v>
      </c>
      <c r="BK6" s="876" t="s">
        <v>864</v>
      </c>
      <c r="BL6" s="876" t="s">
        <v>865</v>
      </c>
      <c r="BM6" s="876" t="s">
        <v>738</v>
      </c>
      <c r="BN6" s="876" t="s">
        <v>664</v>
      </c>
      <c r="BO6" s="876" t="s">
        <v>856</v>
      </c>
      <c r="BP6" s="876" t="s">
        <v>867</v>
      </c>
      <c r="BQ6" s="876" t="s">
        <v>868</v>
      </c>
      <c r="BR6" s="876" t="s">
        <v>866</v>
      </c>
      <c r="BS6" s="876" t="s">
        <v>869</v>
      </c>
      <c r="BT6" s="876" t="s">
        <v>796</v>
      </c>
      <c r="BU6" s="876" t="s">
        <v>797</v>
      </c>
      <c r="BV6" s="878" t="s">
        <v>786</v>
      </c>
      <c r="BW6" s="872" t="s">
        <v>738</v>
      </c>
      <c r="BX6" s="872" t="s">
        <v>664</v>
      </c>
      <c r="BY6" s="872" t="s">
        <v>971</v>
      </c>
      <c r="BZ6" s="872" t="s">
        <v>972</v>
      </c>
      <c r="CA6" s="872" t="s">
        <v>973</v>
      </c>
      <c r="CB6" s="872" t="s">
        <v>974</v>
      </c>
      <c r="CC6" s="872" t="s">
        <v>792</v>
      </c>
      <c r="CD6" s="872" t="s">
        <v>796</v>
      </c>
      <c r="CE6" s="872" t="s">
        <v>797</v>
      </c>
      <c r="CF6" s="874" t="s">
        <v>786</v>
      </c>
      <c r="CG6" s="870" t="s">
        <v>738</v>
      </c>
      <c r="CH6" s="870" t="s">
        <v>664</v>
      </c>
      <c r="CI6" s="870" t="s">
        <v>971</v>
      </c>
      <c r="CJ6" s="870" t="s">
        <v>974</v>
      </c>
      <c r="CK6" s="870" t="s">
        <v>792</v>
      </c>
      <c r="CL6" s="870" t="s">
        <v>796</v>
      </c>
      <c r="CM6" s="870" t="s">
        <v>797</v>
      </c>
      <c r="CN6" s="860" t="s">
        <v>879</v>
      </c>
      <c r="CO6" s="860" t="s">
        <v>655</v>
      </c>
      <c r="CP6" s="860"/>
      <c r="CQ6" s="860"/>
      <c r="CR6" s="860"/>
      <c r="CS6" s="860"/>
      <c r="CT6" s="860"/>
      <c r="CU6" s="860"/>
      <c r="CV6" s="67"/>
      <c r="CW6" s="862"/>
      <c r="CX6" s="863"/>
      <c r="CY6" s="863"/>
      <c r="CZ6" s="863"/>
      <c r="DA6" s="863"/>
      <c r="DB6" s="863"/>
      <c r="DC6" s="863"/>
      <c r="DD6" s="863"/>
      <c r="DE6" s="863"/>
      <c r="DF6" s="863"/>
      <c r="DG6" s="863"/>
      <c r="DH6" s="863"/>
      <c r="DI6" s="864"/>
    </row>
    <row r="7" spans="1:175" s="212" customFormat="1" ht="122.45" customHeight="1" thickBot="1" x14ac:dyDescent="0.25">
      <c r="A7" s="7"/>
      <c r="B7" s="7"/>
      <c r="C7" s="7"/>
      <c r="D7" s="7"/>
      <c r="E7" s="865" t="s">
        <v>100</v>
      </c>
      <c r="F7" s="866"/>
      <c r="G7" s="861" t="s">
        <v>656</v>
      </c>
      <c r="H7" s="861" t="s">
        <v>768</v>
      </c>
      <c r="I7" s="861" t="s">
        <v>769</v>
      </c>
      <c r="J7" s="861" t="s">
        <v>756</v>
      </c>
      <c r="K7" s="861" t="s">
        <v>757</v>
      </c>
      <c r="L7" s="861" t="s">
        <v>761</v>
      </c>
      <c r="M7" s="861" t="s">
        <v>770</v>
      </c>
      <c r="N7" s="861" t="s">
        <v>809</v>
      </c>
      <c r="O7" s="861" t="s">
        <v>811</v>
      </c>
      <c r="P7" s="861" t="s">
        <v>810</v>
      </c>
      <c r="Q7" s="861" t="s">
        <v>762</v>
      </c>
      <c r="R7" s="861" t="s">
        <v>763</v>
      </c>
      <c r="S7" s="861" t="s">
        <v>764</v>
      </c>
      <c r="T7" s="861" t="s">
        <v>837</v>
      </c>
      <c r="U7" s="861" t="s">
        <v>774</v>
      </c>
      <c r="V7" s="861" t="s">
        <v>782</v>
      </c>
      <c r="W7" s="861" t="s">
        <v>778</v>
      </c>
      <c r="X7" s="861" t="s">
        <v>882</v>
      </c>
      <c r="Y7" s="903"/>
      <c r="Z7" s="906"/>
      <c r="AA7" s="879" t="s">
        <v>657</v>
      </c>
      <c r="AB7" s="885" t="s">
        <v>658</v>
      </c>
      <c r="AC7" s="885" t="s">
        <v>659</v>
      </c>
      <c r="AD7" s="885" t="s">
        <v>660</v>
      </c>
      <c r="AE7" s="885" t="s">
        <v>967</v>
      </c>
      <c r="AF7" s="885" t="s">
        <v>968</v>
      </c>
      <c r="AG7" s="885" t="s">
        <v>789</v>
      </c>
      <c r="AH7" s="885" t="s">
        <v>969</v>
      </c>
      <c r="AI7" s="885" t="s">
        <v>746</v>
      </c>
      <c r="AJ7" s="885" t="s">
        <v>801</v>
      </c>
      <c r="AK7" s="885" t="s">
        <v>765</v>
      </c>
      <c r="AL7" s="885" t="s">
        <v>766</v>
      </c>
      <c r="AM7" s="885" t="s">
        <v>767</v>
      </c>
      <c r="AN7" s="885" t="s">
        <v>784</v>
      </c>
      <c r="AO7" s="885" t="s">
        <v>776</v>
      </c>
      <c r="AP7" s="885" t="s">
        <v>779</v>
      </c>
      <c r="AQ7" s="885" t="s">
        <v>970</v>
      </c>
      <c r="AR7" s="885"/>
      <c r="AS7" s="885"/>
      <c r="AT7" s="873"/>
      <c r="AU7" s="883"/>
      <c r="AV7" s="881"/>
      <c r="AW7" s="881" t="s">
        <v>848</v>
      </c>
      <c r="AX7" s="881" t="s">
        <v>858</v>
      </c>
      <c r="AY7" s="881" t="s">
        <v>791</v>
      </c>
      <c r="AZ7" s="881" t="s">
        <v>849</v>
      </c>
      <c r="BA7" s="881" t="s">
        <v>850</v>
      </c>
      <c r="BB7" s="881" t="s">
        <v>856</v>
      </c>
      <c r="BC7" s="881" t="s">
        <v>854</v>
      </c>
      <c r="BD7" s="881" t="s">
        <v>853</v>
      </c>
      <c r="BE7" s="881" t="s">
        <v>859</v>
      </c>
      <c r="BF7" s="881" t="s">
        <v>851</v>
      </c>
      <c r="BG7" s="881" t="s">
        <v>852</v>
      </c>
      <c r="BH7" s="881" t="s">
        <v>796</v>
      </c>
      <c r="BI7" s="881" t="s">
        <v>797</v>
      </c>
      <c r="BJ7" s="877" t="s">
        <v>788</v>
      </c>
      <c r="BK7" s="877" t="s">
        <v>864</v>
      </c>
      <c r="BL7" s="877" t="s">
        <v>865</v>
      </c>
      <c r="BM7" s="877" t="s">
        <v>738</v>
      </c>
      <c r="BN7" s="877" t="s">
        <v>664</v>
      </c>
      <c r="BO7" s="877" t="s">
        <v>856</v>
      </c>
      <c r="BP7" s="877" t="s">
        <v>867</v>
      </c>
      <c r="BQ7" s="877" t="s">
        <v>868</v>
      </c>
      <c r="BR7" s="877" t="s">
        <v>866</v>
      </c>
      <c r="BS7" s="877" t="s">
        <v>869</v>
      </c>
      <c r="BT7" s="877" t="s">
        <v>796</v>
      </c>
      <c r="BU7" s="877" t="s">
        <v>797</v>
      </c>
      <c r="BV7" s="879" t="s">
        <v>786</v>
      </c>
      <c r="BW7" s="873" t="s">
        <v>738</v>
      </c>
      <c r="BX7" s="873" t="s">
        <v>664</v>
      </c>
      <c r="BY7" s="873" t="s">
        <v>971</v>
      </c>
      <c r="BZ7" s="873" t="s">
        <v>972</v>
      </c>
      <c r="CA7" s="873" t="s">
        <v>973</v>
      </c>
      <c r="CB7" s="873" t="s">
        <v>974</v>
      </c>
      <c r="CC7" s="873" t="s">
        <v>792</v>
      </c>
      <c r="CD7" s="873" t="s">
        <v>796</v>
      </c>
      <c r="CE7" s="873" t="s">
        <v>797</v>
      </c>
      <c r="CF7" s="875" t="s">
        <v>786</v>
      </c>
      <c r="CG7" s="871" t="s">
        <v>738</v>
      </c>
      <c r="CH7" s="871" t="s">
        <v>664</v>
      </c>
      <c r="CI7" s="871" t="s">
        <v>971</v>
      </c>
      <c r="CJ7" s="871" t="s">
        <v>974</v>
      </c>
      <c r="CK7" s="871" t="s">
        <v>792</v>
      </c>
      <c r="CL7" s="871" t="s">
        <v>796</v>
      </c>
      <c r="CM7" s="871" t="s">
        <v>797</v>
      </c>
      <c r="CN7" s="861" t="s">
        <v>879</v>
      </c>
      <c r="CO7" s="861" t="s">
        <v>655</v>
      </c>
      <c r="CP7" s="861"/>
      <c r="CQ7" s="861"/>
      <c r="CR7" s="861"/>
      <c r="CS7" s="861"/>
      <c r="CT7" s="861"/>
      <c r="CU7" s="861"/>
      <c r="CV7" s="68"/>
      <c r="CW7" s="209"/>
      <c r="CX7" s="210"/>
      <c r="CY7" s="210"/>
      <c r="CZ7" s="210"/>
      <c r="DA7" s="210"/>
      <c r="DB7" s="210"/>
      <c r="DC7" s="210"/>
      <c r="DD7" s="210"/>
      <c r="DE7" s="210"/>
      <c r="DF7" s="210"/>
      <c r="DG7" s="210"/>
      <c r="DH7" s="210"/>
      <c r="DI7" s="211"/>
      <c r="DJ7" s="752"/>
      <c r="DK7" s="753"/>
      <c r="DL7" s="753"/>
      <c r="DM7" s="753"/>
      <c r="DN7" s="753"/>
      <c r="DO7" s="753"/>
      <c r="DP7" s="753"/>
      <c r="DQ7" s="753"/>
      <c r="DR7" s="753"/>
      <c r="DS7" s="753"/>
      <c r="DT7" s="753"/>
      <c r="DU7" s="753"/>
      <c r="DV7" s="754"/>
      <c r="DW7" s="752"/>
      <c r="DX7" s="753"/>
      <c r="DY7" s="753"/>
      <c r="DZ7" s="753"/>
      <c r="EA7" s="753"/>
      <c r="EB7" s="753"/>
      <c r="EC7" s="753"/>
      <c r="ED7" s="752" t="s">
        <v>101</v>
      </c>
      <c r="EE7" s="753" t="s">
        <v>23</v>
      </c>
      <c r="EF7" s="753" t="s">
        <v>24</v>
      </c>
      <c r="EG7" s="753" t="s">
        <v>25</v>
      </c>
      <c r="EH7" s="753" t="s">
        <v>26</v>
      </c>
      <c r="EI7" s="753" t="s">
        <v>27</v>
      </c>
      <c r="EJ7" s="753" t="s">
        <v>28</v>
      </c>
      <c r="EK7" s="753" t="s">
        <v>29</v>
      </c>
      <c r="EL7" s="753" t="s">
        <v>30</v>
      </c>
      <c r="EM7" s="753" t="s">
        <v>31</v>
      </c>
      <c r="EN7" s="753" t="s">
        <v>32</v>
      </c>
      <c r="EO7" s="753" t="s">
        <v>33</v>
      </c>
      <c r="EP7" s="754" t="s">
        <v>34</v>
      </c>
    </row>
    <row r="8" spans="1:175" s="212" customFormat="1" ht="29.25" thickBot="1" x14ac:dyDescent="0.25">
      <c r="A8" s="230" t="s">
        <v>613</v>
      </c>
      <c r="B8" s="232">
        <f>+B2</f>
        <v>45628</v>
      </c>
      <c r="C8" s="231" t="s">
        <v>614</v>
      </c>
      <c r="D8" s="233">
        <f>+B8+4</f>
        <v>45632</v>
      </c>
      <c r="E8" s="213" t="s">
        <v>102</v>
      </c>
      <c r="F8" s="214" t="s">
        <v>103</v>
      </c>
      <c r="G8" s="867" t="s">
        <v>122</v>
      </c>
      <c r="H8" s="868"/>
      <c r="I8" s="868"/>
      <c r="J8" s="868"/>
      <c r="K8" s="868"/>
      <c r="L8" s="868"/>
      <c r="M8" s="868"/>
      <c r="N8" s="868"/>
      <c r="O8" s="868"/>
      <c r="P8" s="868"/>
      <c r="Q8" s="868"/>
      <c r="R8" s="868"/>
      <c r="S8" s="868"/>
      <c r="T8" s="868"/>
      <c r="U8" s="868"/>
      <c r="V8" s="868"/>
      <c r="W8" s="868"/>
      <c r="X8" s="868"/>
      <c r="Y8" s="868"/>
      <c r="Z8" s="868"/>
      <c r="AA8" s="868"/>
      <c r="AB8" s="868"/>
      <c r="AC8" s="868"/>
      <c r="AD8" s="868"/>
      <c r="AE8" s="868"/>
      <c r="AF8" s="868"/>
      <c r="AG8" s="868"/>
      <c r="AH8" s="868"/>
      <c r="AI8" s="868"/>
      <c r="AJ8" s="868"/>
      <c r="AK8" s="868"/>
      <c r="AL8" s="868"/>
      <c r="AM8" s="868"/>
      <c r="AN8" s="868"/>
      <c r="AO8" s="868"/>
      <c r="AP8" s="868"/>
      <c r="AQ8" s="868"/>
      <c r="AR8" s="868"/>
      <c r="AS8" s="868"/>
      <c r="AT8" s="868"/>
      <c r="AU8" s="868"/>
      <c r="AV8" s="868"/>
      <c r="AW8" s="868"/>
      <c r="AX8" s="868"/>
      <c r="AY8" s="868"/>
      <c r="AZ8" s="868"/>
      <c r="BA8" s="868"/>
      <c r="BB8" s="868"/>
      <c r="BC8" s="868"/>
      <c r="BD8" s="868"/>
      <c r="BE8" s="868"/>
      <c r="BF8" s="868"/>
      <c r="BG8" s="868"/>
      <c r="BH8" s="868"/>
      <c r="BI8" s="868"/>
      <c r="BJ8" s="868"/>
      <c r="BK8" s="868"/>
      <c r="BL8" s="868"/>
      <c r="BM8" s="868"/>
      <c r="BN8" s="868"/>
      <c r="BO8" s="868"/>
      <c r="BP8" s="868"/>
      <c r="BQ8" s="868"/>
      <c r="BR8" s="868"/>
      <c r="BS8" s="868"/>
      <c r="BT8" s="868"/>
      <c r="BU8" s="868"/>
      <c r="BV8" s="868"/>
      <c r="BW8" s="868"/>
      <c r="BX8" s="868"/>
      <c r="BY8" s="868"/>
      <c r="BZ8" s="868"/>
      <c r="CA8" s="868"/>
      <c r="CB8" s="868"/>
      <c r="CC8" s="868"/>
      <c r="CD8" s="868"/>
      <c r="CE8" s="868"/>
      <c r="CF8" s="868"/>
      <c r="CG8" s="868"/>
      <c r="CH8" s="868"/>
      <c r="CI8" s="868"/>
      <c r="CJ8" s="868"/>
      <c r="CK8" s="868"/>
      <c r="CL8" s="868"/>
      <c r="CM8" s="868"/>
      <c r="CN8" s="868"/>
      <c r="CO8" s="868"/>
      <c r="CP8" s="868"/>
      <c r="CQ8" s="868"/>
      <c r="CR8" s="868"/>
      <c r="CS8" s="868"/>
      <c r="CT8" s="868"/>
      <c r="CU8" s="868"/>
      <c r="CV8" s="868"/>
      <c r="CW8" s="868"/>
      <c r="CX8" s="868"/>
      <c r="CY8" s="868"/>
      <c r="CZ8" s="868"/>
      <c r="DA8" s="868"/>
      <c r="DB8" s="868"/>
      <c r="DC8" s="868"/>
      <c r="DD8" s="868"/>
      <c r="DE8" s="868"/>
      <c r="DF8" s="868"/>
      <c r="DG8" s="868"/>
      <c r="DH8" s="868"/>
      <c r="DI8" s="869"/>
    </row>
    <row r="9" spans="1:175" s="2" customFormat="1" x14ac:dyDescent="0.2">
      <c r="A9" s="854" t="s">
        <v>74</v>
      </c>
      <c r="B9" s="855"/>
      <c r="C9" s="855"/>
      <c r="D9" s="856"/>
      <c r="E9" s="215">
        <v>179</v>
      </c>
      <c r="F9" s="216">
        <v>94</v>
      </c>
      <c r="G9" s="735">
        <v>0</v>
      </c>
      <c r="H9" s="736">
        <v>0</v>
      </c>
      <c r="I9" s="736">
        <v>0</v>
      </c>
      <c r="J9" s="736">
        <v>0</v>
      </c>
      <c r="K9" s="736">
        <v>0</v>
      </c>
      <c r="L9" s="736">
        <v>39</v>
      </c>
      <c r="M9" s="736">
        <v>0</v>
      </c>
      <c r="N9" s="736">
        <v>0</v>
      </c>
      <c r="O9" s="736">
        <v>0</v>
      </c>
      <c r="P9" s="736">
        <v>0</v>
      </c>
      <c r="Q9" s="736">
        <v>0</v>
      </c>
      <c r="R9" s="736">
        <v>0</v>
      </c>
      <c r="S9" s="736">
        <v>0</v>
      </c>
      <c r="T9" s="736">
        <v>0</v>
      </c>
      <c r="U9" s="736">
        <v>0</v>
      </c>
      <c r="V9" s="736">
        <v>0</v>
      </c>
      <c r="W9" s="736">
        <v>0</v>
      </c>
      <c r="X9" s="736">
        <v>0</v>
      </c>
      <c r="Y9" s="736">
        <v>39</v>
      </c>
      <c r="Z9" s="736">
        <v>0</v>
      </c>
      <c r="AA9" s="737">
        <v>7</v>
      </c>
      <c r="AB9" s="737">
        <v>0</v>
      </c>
      <c r="AC9" s="737">
        <v>0</v>
      </c>
      <c r="AD9" s="737">
        <v>0</v>
      </c>
      <c r="AE9" s="737">
        <v>0</v>
      </c>
      <c r="AF9" s="737">
        <v>0</v>
      </c>
      <c r="AG9" s="737">
        <v>0</v>
      </c>
      <c r="AH9" s="737">
        <v>32</v>
      </c>
      <c r="AI9" s="737">
        <v>0</v>
      </c>
      <c r="AJ9" s="737">
        <v>0</v>
      </c>
      <c r="AK9" s="737">
        <v>0</v>
      </c>
      <c r="AL9" s="737">
        <v>0</v>
      </c>
      <c r="AM9" s="737">
        <v>0</v>
      </c>
      <c r="AN9" s="737">
        <v>0</v>
      </c>
      <c r="AO9" s="737">
        <v>0</v>
      </c>
      <c r="AP9" s="737">
        <v>0</v>
      </c>
      <c r="AQ9" s="737">
        <v>0</v>
      </c>
      <c r="AR9" s="737">
        <v>0</v>
      </c>
      <c r="AS9" s="737">
        <v>0</v>
      </c>
      <c r="AT9" s="737">
        <v>0</v>
      </c>
      <c r="AU9" s="738">
        <v>16</v>
      </c>
      <c r="AV9" s="737">
        <v>0</v>
      </c>
      <c r="AW9" s="737">
        <v>7</v>
      </c>
      <c r="AX9" s="737">
        <v>0</v>
      </c>
      <c r="AY9" s="737">
        <v>0</v>
      </c>
      <c r="AZ9" s="737">
        <v>0</v>
      </c>
      <c r="BA9" s="737">
        <v>0</v>
      </c>
      <c r="BB9" s="737">
        <v>32</v>
      </c>
      <c r="BC9" s="737">
        <v>0</v>
      </c>
      <c r="BD9" s="737">
        <v>0</v>
      </c>
      <c r="BE9" s="737">
        <v>0</v>
      </c>
      <c r="BF9" s="737">
        <v>0</v>
      </c>
      <c r="BG9" s="737">
        <v>7</v>
      </c>
      <c r="BH9" s="737">
        <v>0</v>
      </c>
      <c r="BI9" s="737">
        <v>0</v>
      </c>
      <c r="BJ9" s="737">
        <v>0</v>
      </c>
      <c r="BK9" s="737">
        <v>0</v>
      </c>
      <c r="BL9" s="737">
        <v>0</v>
      </c>
      <c r="BM9" s="737">
        <v>0</v>
      </c>
      <c r="BN9" s="737">
        <v>0</v>
      </c>
      <c r="BO9" s="737">
        <v>0</v>
      </c>
      <c r="BP9" s="737">
        <v>0</v>
      </c>
      <c r="BQ9" s="737">
        <v>0</v>
      </c>
      <c r="BR9" s="737">
        <v>0</v>
      </c>
      <c r="BS9" s="737">
        <v>0</v>
      </c>
      <c r="BT9" s="737">
        <v>0</v>
      </c>
      <c r="BU9" s="739">
        <v>0</v>
      </c>
      <c r="BV9" s="737">
        <v>0</v>
      </c>
      <c r="BW9" s="737">
        <v>0</v>
      </c>
      <c r="BX9" s="737">
        <v>0</v>
      </c>
      <c r="BY9" s="737">
        <v>0</v>
      </c>
      <c r="BZ9" s="737">
        <v>0</v>
      </c>
      <c r="CA9" s="737">
        <v>0</v>
      </c>
      <c r="CB9" s="737">
        <v>0</v>
      </c>
      <c r="CC9" s="737">
        <v>0</v>
      </c>
      <c r="CD9" s="737">
        <v>0</v>
      </c>
      <c r="CE9" s="737">
        <v>0</v>
      </c>
      <c r="CF9" s="737">
        <v>0</v>
      </c>
      <c r="CG9" s="737">
        <v>0</v>
      </c>
      <c r="CH9" s="737">
        <v>0</v>
      </c>
      <c r="CI9" s="737">
        <v>0</v>
      </c>
      <c r="CJ9" s="737">
        <v>0</v>
      </c>
      <c r="CK9" s="737">
        <v>0</v>
      </c>
      <c r="CL9" s="737">
        <v>0</v>
      </c>
      <c r="CM9" s="737">
        <v>0</v>
      </c>
      <c r="CN9" s="737">
        <v>0</v>
      </c>
      <c r="CO9" s="737">
        <v>0</v>
      </c>
      <c r="CP9" s="737">
        <v>0</v>
      </c>
      <c r="CQ9" s="737">
        <v>0</v>
      </c>
      <c r="CR9" s="737">
        <v>0</v>
      </c>
      <c r="CS9" s="737">
        <v>0</v>
      </c>
      <c r="CT9" s="737">
        <v>0</v>
      </c>
      <c r="CU9" s="738">
        <v>0</v>
      </c>
      <c r="CV9" s="737">
        <v>0</v>
      </c>
      <c r="CW9" s="737">
        <v>0</v>
      </c>
      <c r="CX9" s="737">
        <v>0</v>
      </c>
      <c r="CY9" s="737">
        <v>0</v>
      </c>
      <c r="CZ9" s="737">
        <v>0</v>
      </c>
      <c r="DA9" s="737">
        <v>0</v>
      </c>
      <c r="DB9" s="737">
        <v>0</v>
      </c>
      <c r="DC9" s="737">
        <v>0</v>
      </c>
      <c r="DD9" s="737">
        <v>0</v>
      </c>
      <c r="DE9" s="737">
        <v>0</v>
      </c>
      <c r="DF9" s="737">
        <v>0</v>
      </c>
      <c r="DG9" s="737">
        <v>0</v>
      </c>
      <c r="DH9" s="738">
        <v>0</v>
      </c>
      <c r="DI9" s="737">
        <v>0</v>
      </c>
      <c r="DJ9" s="737">
        <v>0</v>
      </c>
      <c r="DK9" s="737">
        <v>0</v>
      </c>
      <c r="DL9" s="737">
        <v>0</v>
      </c>
      <c r="DM9" s="737">
        <v>0</v>
      </c>
      <c r="DN9" s="737">
        <v>0</v>
      </c>
      <c r="DO9" s="737">
        <v>0</v>
      </c>
      <c r="DP9" s="737">
        <v>0</v>
      </c>
      <c r="DQ9" s="737">
        <v>0</v>
      </c>
      <c r="DR9" s="737">
        <v>0</v>
      </c>
      <c r="DS9" s="737">
        <v>0</v>
      </c>
      <c r="DT9" s="737">
        <v>0</v>
      </c>
      <c r="DU9" s="737">
        <v>0</v>
      </c>
      <c r="DV9" s="737">
        <v>0</v>
      </c>
      <c r="DW9" s="737">
        <v>0</v>
      </c>
      <c r="DX9" s="737">
        <v>0</v>
      </c>
      <c r="DY9" s="737">
        <v>0</v>
      </c>
      <c r="DZ9" s="737">
        <v>0</v>
      </c>
      <c r="EA9" s="737">
        <v>0</v>
      </c>
      <c r="EB9" s="737">
        <v>0</v>
      </c>
      <c r="EC9" s="737">
        <v>78</v>
      </c>
      <c r="ED9" s="737">
        <v>0</v>
      </c>
      <c r="EE9" s="737">
        <v>16</v>
      </c>
      <c r="EF9" s="737">
        <v>0</v>
      </c>
      <c r="EG9" s="737">
        <v>0</v>
      </c>
      <c r="EH9" s="737">
        <v>0</v>
      </c>
      <c r="EI9" s="737">
        <v>0</v>
      </c>
      <c r="EJ9" s="737">
        <v>0</v>
      </c>
      <c r="EK9" s="737">
        <v>0</v>
      </c>
      <c r="EL9" s="737">
        <v>0</v>
      </c>
      <c r="EM9" s="737">
        <v>0</v>
      </c>
      <c r="EN9" s="737">
        <v>0</v>
      </c>
      <c r="EO9" s="737">
        <v>0</v>
      </c>
      <c r="EP9" s="737">
        <v>0</v>
      </c>
      <c r="EQ9" s="737"/>
      <c r="ER9" s="737">
        <v>0</v>
      </c>
      <c r="ES9" s="737">
        <v>0</v>
      </c>
      <c r="ET9" s="737">
        <v>0</v>
      </c>
      <c r="EU9" s="737">
        <v>0</v>
      </c>
      <c r="EV9" s="737">
        <v>0</v>
      </c>
      <c r="EW9" s="737">
        <v>0</v>
      </c>
      <c r="EX9" s="737">
        <v>0</v>
      </c>
      <c r="EY9" s="737">
        <v>0</v>
      </c>
      <c r="EZ9" s="738">
        <v>0</v>
      </c>
      <c r="FA9" s="737">
        <v>0</v>
      </c>
      <c r="FB9" s="737">
        <v>0</v>
      </c>
      <c r="FC9" s="737">
        <v>0</v>
      </c>
      <c r="FD9" s="737">
        <v>0</v>
      </c>
      <c r="FE9" s="738">
        <v>0</v>
      </c>
      <c r="FF9" s="737">
        <v>0</v>
      </c>
      <c r="FG9" s="737">
        <v>0</v>
      </c>
      <c r="FH9" s="737">
        <v>0</v>
      </c>
      <c r="FI9" s="737">
        <v>0</v>
      </c>
      <c r="FJ9" s="737">
        <v>0</v>
      </c>
      <c r="FK9" s="737">
        <v>0</v>
      </c>
      <c r="FL9" s="737">
        <v>0</v>
      </c>
      <c r="FM9" s="737">
        <v>0</v>
      </c>
      <c r="FN9" s="737">
        <v>0</v>
      </c>
      <c r="FO9" s="737">
        <v>0</v>
      </c>
      <c r="FP9" s="737">
        <v>0</v>
      </c>
      <c r="FQ9" s="737">
        <v>32</v>
      </c>
      <c r="FR9" s="737">
        <v>0</v>
      </c>
      <c r="FS9" s="740">
        <v>0</v>
      </c>
    </row>
    <row r="10" spans="1:175" s="2" customFormat="1" ht="15.75" thickBot="1" x14ac:dyDescent="0.25">
      <c r="A10" s="857" t="s">
        <v>109</v>
      </c>
      <c r="B10" s="858"/>
      <c r="C10" s="858"/>
      <c r="D10" s="859"/>
      <c r="E10" s="217">
        <v>77</v>
      </c>
      <c r="F10" s="218">
        <v>40</v>
      </c>
      <c r="G10" s="219">
        <v>0</v>
      </c>
      <c r="H10" s="219">
        <v>0</v>
      </c>
      <c r="I10" s="219">
        <v>0</v>
      </c>
      <c r="J10" s="219">
        <v>0</v>
      </c>
      <c r="K10" s="219">
        <v>0</v>
      </c>
      <c r="L10" s="219">
        <v>0</v>
      </c>
      <c r="M10" s="219">
        <v>0</v>
      </c>
      <c r="N10" s="219">
        <v>0</v>
      </c>
      <c r="O10" s="219">
        <v>0</v>
      </c>
      <c r="P10" s="219">
        <v>0</v>
      </c>
      <c r="Q10" s="219">
        <v>0</v>
      </c>
      <c r="R10" s="219">
        <v>0</v>
      </c>
      <c r="S10" s="219">
        <v>0</v>
      </c>
      <c r="T10" s="219">
        <v>0</v>
      </c>
      <c r="U10" s="219">
        <v>0</v>
      </c>
      <c r="V10" s="219">
        <v>0</v>
      </c>
      <c r="W10" s="219">
        <v>0</v>
      </c>
      <c r="X10" s="219">
        <v>0</v>
      </c>
      <c r="Y10" s="219">
        <v>0</v>
      </c>
      <c r="Z10" s="219">
        <v>0</v>
      </c>
      <c r="AA10" s="219">
        <v>38</v>
      </c>
      <c r="AB10" s="219">
        <v>0</v>
      </c>
      <c r="AC10" s="219">
        <v>0</v>
      </c>
      <c r="AD10" s="219">
        <v>0</v>
      </c>
      <c r="AE10" s="219">
        <v>0</v>
      </c>
      <c r="AF10" s="219">
        <v>0</v>
      </c>
      <c r="AG10" s="219">
        <v>0</v>
      </c>
      <c r="AH10" s="219">
        <v>0</v>
      </c>
      <c r="AI10" s="219">
        <v>0</v>
      </c>
      <c r="AJ10" s="219">
        <v>0</v>
      </c>
      <c r="AK10" s="219">
        <v>0</v>
      </c>
      <c r="AL10" s="219">
        <v>0</v>
      </c>
      <c r="AM10" s="219">
        <v>0</v>
      </c>
      <c r="AN10" s="219">
        <v>0</v>
      </c>
      <c r="AO10" s="219">
        <v>0</v>
      </c>
      <c r="AP10" s="219">
        <v>0</v>
      </c>
      <c r="AQ10" s="219">
        <v>0</v>
      </c>
      <c r="AR10" s="219">
        <v>0</v>
      </c>
      <c r="AS10" s="219">
        <v>0</v>
      </c>
      <c r="AT10" s="219">
        <v>0</v>
      </c>
      <c r="AU10" s="219">
        <v>0</v>
      </c>
      <c r="AV10" s="219">
        <v>0</v>
      </c>
      <c r="AW10" s="219">
        <v>0</v>
      </c>
      <c r="AX10" s="219">
        <v>0</v>
      </c>
      <c r="AY10" s="219">
        <v>0</v>
      </c>
      <c r="AZ10" s="219">
        <v>0</v>
      </c>
      <c r="BA10" s="219">
        <v>0</v>
      </c>
      <c r="BB10" s="219">
        <v>32</v>
      </c>
      <c r="BC10" s="219">
        <v>0</v>
      </c>
      <c r="BD10" s="219">
        <v>0</v>
      </c>
      <c r="BE10" s="219">
        <v>0</v>
      </c>
      <c r="BF10" s="219">
        <v>7</v>
      </c>
      <c r="BG10" s="219">
        <v>0</v>
      </c>
      <c r="BH10" s="219">
        <v>0</v>
      </c>
      <c r="BI10" s="219">
        <v>0</v>
      </c>
      <c r="BJ10" s="219">
        <v>0</v>
      </c>
      <c r="BK10" s="219">
        <v>0</v>
      </c>
      <c r="BL10" s="219">
        <v>0</v>
      </c>
      <c r="BM10" s="219">
        <v>0</v>
      </c>
      <c r="BN10" s="219">
        <v>0</v>
      </c>
      <c r="BO10" s="219">
        <v>0</v>
      </c>
      <c r="BP10" s="219">
        <v>0</v>
      </c>
      <c r="BQ10" s="219">
        <v>0</v>
      </c>
      <c r="BR10" s="219">
        <v>0</v>
      </c>
      <c r="BS10" s="219">
        <v>0</v>
      </c>
      <c r="BT10" s="219">
        <v>0</v>
      </c>
      <c r="BU10" s="219">
        <v>0</v>
      </c>
      <c r="BV10" s="219">
        <v>0</v>
      </c>
      <c r="BW10" s="219">
        <v>0</v>
      </c>
      <c r="BX10" s="219">
        <v>0</v>
      </c>
      <c r="BY10" s="219">
        <v>0</v>
      </c>
      <c r="BZ10" s="219">
        <v>0</v>
      </c>
      <c r="CA10" s="219">
        <v>0</v>
      </c>
      <c r="CB10" s="219">
        <v>0</v>
      </c>
      <c r="CC10" s="219">
        <v>0</v>
      </c>
      <c r="CD10" s="219">
        <v>0</v>
      </c>
      <c r="CE10" s="219">
        <v>0</v>
      </c>
      <c r="CF10" s="219">
        <v>0</v>
      </c>
      <c r="CG10" s="219">
        <v>0</v>
      </c>
      <c r="CH10" s="219">
        <v>0</v>
      </c>
      <c r="CI10" s="219">
        <v>0</v>
      </c>
      <c r="CJ10" s="219">
        <v>0</v>
      </c>
      <c r="CK10" s="219">
        <v>0</v>
      </c>
      <c r="CL10" s="219">
        <v>0</v>
      </c>
      <c r="CM10" s="219">
        <v>0</v>
      </c>
      <c r="CN10" s="219">
        <v>0</v>
      </c>
      <c r="CO10" s="219">
        <v>0</v>
      </c>
      <c r="CP10" s="219">
        <v>0</v>
      </c>
      <c r="CQ10" s="219">
        <v>0</v>
      </c>
      <c r="CR10" s="219">
        <v>0</v>
      </c>
      <c r="CS10" s="219">
        <v>0</v>
      </c>
      <c r="CT10" s="219">
        <v>0</v>
      </c>
      <c r="CU10" s="219">
        <v>0</v>
      </c>
      <c r="CV10" s="220">
        <v>0</v>
      </c>
      <c r="CW10" s="219">
        <v>0</v>
      </c>
      <c r="CX10" s="219">
        <v>0</v>
      </c>
      <c r="CY10" s="219">
        <v>0</v>
      </c>
      <c r="CZ10" s="219">
        <v>0</v>
      </c>
      <c r="DA10" s="219">
        <v>0</v>
      </c>
      <c r="DB10" s="219">
        <v>0</v>
      </c>
      <c r="DC10" s="219">
        <v>0</v>
      </c>
      <c r="DD10" s="219">
        <v>0</v>
      </c>
      <c r="DE10" s="219">
        <v>0</v>
      </c>
      <c r="DF10" s="219">
        <v>0</v>
      </c>
      <c r="DG10" s="219">
        <v>0</v>
      </c>
      <c r="DH10" s="219">
        <v>0</v>
      </c>
      <c r="DI10" s="221">
        <v>0</v>
      </c>
      <c r="DJ10" s="221">
        <v>0</v>
      </c>
      <c r="DK10" s="221">
        <v>0</v>
      </c>
      <c r="DL10" s="221">
        <v>0</v>
      </c>
      <c r="DM10" s="221">
        <v>0</v>
      </c>
      <c r="DN10" s="221">
        <v>0</v>
      </c>
      <c r="DO10" s="221">
        <v>0</v>
      </c>
      <c r="DP10" s="221">
        <v>0</v>
      </c>
      <c r="DQ10" s="221">
        <v>0</v>
      </c>
      <c r="DR10" s="221">
        <v>0</v>
      </c>
      <c r="DS10" s="221">
        <v>0</v>
      </c>
      <c r="DT10" s="221">
        <v>0</v>
      </c>
      <c r="DU10" s="221">
        <v>0</v>
      </c>
      <c r="DV10" s="221">
        <v>0</v>
      </c>
      <c r="DW10" s="221">
        <v>0</v>
      </c>
      <c r="DX10" s="221">
        <v>0</v>
      </c>
      <c r="DY10" s="221">
        <v>0</v>
      </c>
      <c r="DZ10" s="221">
        <v>0</v>
      </c>
      <c r="EA10" s="221">
        <v>0</v>
      </c>
      <c r="EB10" s="221">
        <v>0</v>
      </c>
      <c r="EC10" s="221">
        <v>39</v>
      </c>
      <c r="ED10" s="221">
        <v>0</v>
      </c>
      <c r="EE10" s="221">
        <v>1</v>
      </c>
      <c r="EF10" s="221">
        <v>0</v>
      </c>
      <c r="EG10" s="221">
        <v>0</v>
      </c>
      <c r="EH10" s="221">
        <v>0</v>
      </c>
      <c r="EI10" s="221">
        <v>0</v>
      </c>
      <c r="EJ10" s="221">
        <v>0</v>
      </c>
      <c r="EK10" s="221">
        <v>0</v>
      </c>
      <c r="EL10" s="221">
        <v>0</v>
      </c>
      <c r="EM10" s="221">
        <v>0</v>
      </c>
      <c r="EN10" s="221">
        <v>0</v>
      </c>
      <c r="EO10" s="221">
        <v>0</v>
      </c>
      <c r="EP10" s="221">
        <v>0</v>
      </c>
    </row>
    <row r="11" spans="1:175" s="2" customFormat="1" ht="15.75" thickBot="1" x14ac:dyDescent="0.25">
      <c r="A11" s="844" t="s">
        <v>110</v>
      </c>
      <c r="B11" s="845"/>
      <c r="C11" s="845"/>
      <c r="D11" s="845"/>
      <c r="E11" s="222">
        <f>SUM(E9:E10)</f>
        <v>256</v>
      </c>
      <c r="F11" s="223">
        <f>SUM(F9:F10)</f>
        <v>134</v>
      </c>
      <c r="G11" s="224">
        <f>SUM(G9:G10)</f>
        <v>0</v>
      </c>
      <c r="H11" s="224">
        <f t="shared" ref="H11:BU11" si="0">SUM(H9:H10)</f>
        <v>0</v>
      </c>
      <c r="I11" s="224">
        <f t="shared" si="0"/>
        <v>0</v>
      </c>
      <c r="J11" s="224">
        <f t="shared" si="0"/>
        <v>0</v>
      </c>
      <c r="K11" s="224">
        <f t="shared" si="0"/>
        <v>0</v>
      </c>
      <c r="L11" s="224">
        <f t="shared" si="0"/>
        <v>39</v>
      </c>
      <c r="M11" s="224">
        <f t="shared" si="0"/>
        <v>0</v>
      </c>
      <c r="N11" s="224">
        <f t="shared" si="0"/>
        <v>0</v>
      </c>
      <c r="O11" s="224">
        <f t="shared" si="0"/>
        <v>0</v>
      </c>
      <c r="P11" s="224">
        <f t="shared" si="0"/>
        <v>0</v>
      </c>
      <c r="Q11" s="224">
        <f t="shared" si="0"/>
        <v>0</v>
      </c>
      <c r="R11" s="224">
        <f t="shared" si="0"/>
        <v>0</v>
      </c>
      <c r="S11" s="224">
        <f t="shared" si="0"/>
        <v>0</v>
      </c>
      <c r="T11" s="224">
        <f t="shared" si="0"/>
        <v>0</v>
      </c>
      <c r="U11" s="224">
        <f t="shared" si="0"/>
        <v>0</v>
      </c>
      <c r="V11" s="224">
        <f t="shared" si="0"/>
        <v>0</v>
      </c>
      <c r="W11" s="224">
        <f t="shared" si="0"/>
        <v>0</v>
      </c>
      <c r="X11" s="224">
        <f t="shared" si="0"/>
        <v>0</v>
      </c>
      <c r="Y11" s="224">
        <f t="shared" si="0"/>
        <v>39</v>
      </c>
      <c r="Z11" s="224">
        <f t="shared" ref="Z11" si="1">SUM(Z9:Z10)</f>
        <v>0</v>
      </c>
      <c r="AA11" s="224">
        <f t="shared" si="0"/>
        <v>45</v>
      </c>
      <c r="AB11" s="224">
        <f t="shared" si="0"/>
        <v>0</v>
      </c>
      <c r="AC11" s="224">
        <f t="shared" si="0"/>
        <v>0</v>
      </c>
      <c r="AD11" s="224">
        <f t="shared" si="0"/>
        <v>0</v>
      </c>
      <c r="AE11" s="224">
        <f t="shared" si="0"/>
        <v>0</v>
      </c>
      <c r="AF11" s="224">
        <f t="shared" si="0"/>
        <v>0</v>
      </c>
      <c r="AG11" s="224">
        <f t="shared" si="0"/>
        <v>0</v>
      </c>
      <c r="AH11" s="224">
        <f t="shared" si="0"/>
        <v>32</v>
      </c>
      <c r="AI11" s="224">
        <f t="shared" si="0"/>
        <v>0</v>
      </c>
      <c r="AJ11" s="224">
        <f t="shared" si="0"/>
        <v>0</v>
      </c>
      <c r="AK11" s="224">
        <f t="shared" si="0"/>
        <v>0</v>
      </c>
      <c r="AL11" s="224">
        <f t="shared" si="0"/>
        <v>0</v>
      </c>
      <c r="AM11" s="224">
        <f t="shared" si="0"/>
        <v>0</v>
      </c>
      <c r="AN11" s="224">
        <f t="shared" si="0"/>
        <v>0</v>
      </c>
      <c r="AO11" s="224">
        <f t="shared" si="0"/>
        <v>0</v>
      </c>
      <c r="AP11" s="224">
        <f t="shared" si="0"/>
        <v>0</v>
      </c>
      <c r="AQ11" s="224">
        <f t="shared" si="0"/>
        <v>0</v>
      </c>
      <c r="AR11" s="224">
        <f t="shared" si="0"/>
        <v>0</v>
      </c>
      <c r="AS11" s="224">
        <f t="shared" si="0"/>
        <v>0</v>
      </c>
      <c r="AT11" s="224">
        <f t="shared" si="0"/>
        <v>0</v>
      </c>
      <c r="AU11" s="224">
        <f t="shared" si="0"/>
        <v>16</v>
      </c>
      <c r="AV11" s="224">
        <f t="shared" si="0"/>
        <v>0</v>
      </c>
      <c r="AW11" s="224">
        <f t="shared" si="0"/>
        <v>7</v>
      </c>
      <c r="AX11" s="224">
        <f t="shared" si="0"/>
        <v>0</v>
      </c>
      <c r="AY11" s="224">
        <f t="shared" si="0"/>
        <v>0</v>
      </c>
      <c r="AZ11" s="224">
        <f t="shared" si="0"/>
        <v>0</v>
      </c>
      <c r="BA11" s="224">
        <f t="shared" si="0"/>
        <v>0</v>
      </c>
      <c r="BB11" s="224">
        <f t="shared" si="0"/>
        <v>64</v>
      </c>
      <c r="BC11" s="224">
        <f t="shared" si="0"/>
        <v>0</v>
      </c>
      <c r="BD11" s="224">
        <f t="shared" si="0"/>
        <v>0</v>
      </c>
      <c r="BE11" s="224">
        <f t="shared" si="0"/>
        <v>0</v>
      </c>
      <c r="BF11" s="224">
        <f t="shared" si="0"/>
        <v>7</v>
      </c>
      <c r="BG11" s="224">
        <f t="shared" si="0"/>
        <v>7</v>
      </c>
      <c r="BH11" s="224">
        <f t="shared" si="0"/>
        <v>0</v>
      </c>
      <c r="BI11" s="224">
        <f t="shared" si="0"/>
        <v>0</v>
      </c>
      <c r="BJ11" s="224">
        <f t="shared" si="0"/>
        <v>0</v>
      </c>
      <c r="BK11" s="224">
        <f t="shared" si="0"/>
        <v>0</v>
      </c>
      <c r="BL11" s="224">
        <f t="shared" si="0"/>
        <v>0</v>
      </c>
      <c r="BM11" s="224">
        <f t="shared" si="0"/>
        <v>0</v>
      </c>
      <c r="BN11" s="224">
        <f t="shared" si="0"/>
        <v>0</v>
      </c>
      <c r="BO11" s="224">
        <f t="shared" si="0"/>
        <v>0</v>
      </c>
      <c r="BP11" s="224">
        <f t="shared" si="0"/>
        <v>0</v>
      </c>
      <c r="BQ11" s="224">
        <f t="shared" si="0"/>
        <v>0</v>
      </c>
      <c r="BR11" s="224">
        <f t="shared" si="0"/>
        <v>0</v>
      </c>
      <c r="BS11" s="224">
        <f t="shared" si="0"/>
        <v>0</v>
      </c>
      <c r="BT11" s="224">
        <f t="shared" si="0"/>
        <v>0</v>
      </c>
      <c r="BU11" s="224">
        <f t="shared" si="0"/>
        <v>0</v>
      </c>
      <c r="BV11" s="224">
        <f t="shared" ref="BV11:DI11" si="2">SUM(BV9:BV10)</f>
        <v>0</v>
      </c>
      <c r="BW11" s="224">
        <f t="shared" si="2"/>
        <v>0</v>
      </c>
      <c r="BX11" s="224">
        <f t="shared" si="2"/>
        <v>0</v>
      </c>
      <c r="BY11" s="224">
        <f t="shared" si="2"/>
        <v>0</v>
      </c>
      <c r="BZ11" s="224">
        <f t="shared" si="2"/>
        <v>0</v>
      </c>
      <c r="CA11" s="224">
        <f t="shared" si="2"/>
        <v>0</v>
      </c>
      <c r="CB11" s="224">
        <f t="shared" si="2"/>
        <v>0</v>
      </c>
      <c r="CC11" s="224">
        <f t="shared" si="2"/>
        <v>0</v>
      </c>
      <c r="CD11" s="224">
        <f t="shared" si="2"/>
        <v>0</v>
      </c>
      <c r="CE11" s="224">
        <f t="shared" si="2"/>
        <v>0</v>
      </c>
      <c r="CF11" s="224">
        <f t="shared" si="2"/>
        <v>0</v>
      </c>
      <c r="CG11" s="224">
        <f t="shared" si="2"/>
        <v>0</v>
      </c>
      <c r="CH11" s="224">
        <f t="shared" si="2"/>
        <v>0</v>
      </c>
      <c r="CI11" s="224">
        <f t="shared" si="2"/>
        <v>0</v>
      </c>
      <c r="CJ11" s="224">
        <f t="shared" si="2"/>
        <v>0</v>
      </c>
      <c r="CK11" s="224">
        <f t="shared" si="2"/>
        <v>0</v>
      </c>
      <c r="CL11" s="224">
        <f t="shared" si="2"/>
        <v>0</v>
      </c>
      <c r="CM11" s="224">
        <f t="shared" si="2"/>
        <v>0</v>
      </c>
      <c r="CN11" s="224">
        <f t="shared" si="2"/>
        <v>0</v>
      </c>
      <c r="CO11" s="224">
        <f t="shared" si="2"/>
        <v>0</v>
      </c>
      <c r="CP11" s="224">
        <f t="shared" si="2"/>
        <v>0</v>
      </c>
      <c r="CQ11" s="224">
        <f t="shared" si="2"/>
        <v>0</v>
      </c>
      <c r="CR11" s="224">
        <f t="shared" si="2"/>
        <v>0</v>
      </c>
      <c r="CS11" s="224">
        <f t="shared" si="2"/>
        <v>0</v>
      </c>
      <c r="CT11" s="224">
        <f t="shared" si="2"/>
        <v>0</v>
      </c>
      <c r="CU11" s="224">
        <f t="shared" si="2"/>
        <v>0</v>
      </c>
      <c r="CV11" s="224">
        <f t="shared" si="2"/>
        <v>0</v>
      </c>
      <c r="CW11" s="224">
        <f t="shared" si="2"/>
        <v>0</v>
      </c>
      <c r="CX11" s="224">
        <f t="shared" si="2"/>
        <v>0</v>
      </c>
      <c r="CY11" s="224">
        <f t="shared" si="2"/>
        <v>0</v>
      </c>
      <c r="CZ11" s="224">
        <f t="shared" si="2"/>
        <v>0</v>
      </c>
      <c r="DA11" s="224">
        <f t="shared" si="2"/>
        <v>0</v>
      </c>
      <c r="DB11" s="224">
        <f t="shared" si="2"/>
        <v>0</v>
      </c>
      <c r="DC11" s="224">
        <f t="shared" si="2"/>
        <v>0</v>
      </c>
      <c r="DD11" s="224">
        <f t="shared" si="2"/>
        <v>0</v>
      </c>
      <c r="DE11" s="224">
        <f t="shared" si="2"/>
        <v>0</v>
      </c>
      <c r="DF11" s="224">
        <f t="shared" si="2"/>
        <v>0</v>
      </c>
      <c r="DG11" s="224">
        <f t="shared" si="2"/>
        <v>0</v>
      </c>
      <c r="DH11" s="224">
        <f t="shared" si="2"/>
        <v>0</v>
      </c>
      <c r="DI11" s="224">
        <f t="shared" si="2"/>
        <v>0</v>
      </c>
      <c r="DJ11" s="224"/>
      <c r="DK11" s="224"/>
      <c r="DL11" s="224"/>
      <c r="DM11" s="224"/>
      <c r="DN11" s="224"/>
      <c r="DO11" s="224"/>
      <c r="DP11" s="224"/>
      <c r="DQ11" s="224"/>
      <c r="DR11" s="224"/>
      <c r="DS11" s="224"/>
      <c r="DT11" s="224"/>
      <c r="DU11" s="224"/>
      <c r="DV11" s="224"/>
      <c r="DW11" s="224"/>
      <c r="DX11" s="224"/>
      <c r="DY11" s="224"/>
      <c r="DZ11" s="224"/>
      <c r="EA11" s="224"/>
      <c r="EB11" s="224"/>
      <c r="EC11" s="224"/>
      <c r="ED11" s="224"/>
      <c r="EE11" s="224"/>
      <c r="EF11" s="224"/>
      <c r="EG11" s="224"/>
      <c r="EH11" s="224"/>
      <c r="EI11" s="224"/>
      <c r="EJ11" s="224"/>
      <c r="EK11" s="224"/>
      <c r="EL11" s="224"/>
      <c r="EM11" s="224"/>
      <c r="EN11" s="224"/>
      <c r="EO11" s="224"/>
      <c r="EP11" s="224"/>
    </row>
    <row r="12" spans="1:175" s="2" customFormat="1" ht="14.45" customHeight="1" thickBot="1" x14ac:dyDescent="0.25">
      <c r="A12" s="230" t="s">
        <v>613</v>
      </c>
      <c r="B12" s="232">
        <f>+B8+7</f>
        <v>45635</v>
      </c>
      <c r="C12" s="231" t="s">
        <v>614</v>
      </c>
      <c r="D12" s="233">
        <f>+D8+7</f>
        <v>45639</v>
      </c>
      <c r="E12" s="213" t="s">
        <v>102</v>
      </c>
      <c r="F12" s="214" t="s">
        <v>103</v>
      </c>
      <c r="G12" s="219"/>
      <c r="H12" s="219"/>
      <c r="I12" s="219"/>
      <c r="J12" s="219"/>
      <c r="K12" s="219"/>
      <c r="L12" s="219"/>
      <c r="M12" s="219"/>
      <c r="N12" s="219"/>
      <c r="O12" s="219"/>
      <c r="P12" s="219"/>
      <c r="Q12" s="219"/>
      <c r="R12" s="219"/>
      <c r="S12" s="219"/>
      <c r="T12" s="219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19"/>
      <c r="AI12" s="219"/>
      <c r="AJ12" s="219"/>
      <c r="AK12" s="219"/>
      <c r="AL12" s="219"/>
      <c r="AM12" s="219"/>
      <c r="AN12" s="219"/>
      <c r="AO12" s="219"/>
      <c r="AP12" s="219"/>
      <c r="AQ12" s="219"/>
      <c r="AR12" s="219"/>
      <c r="AS12" s="219"/>
      <c r="AT12" s="219"/>
      <c r="AU12" s="219"/>
      <c r="AV12" s="219"/>
      <c r="AW12" s="219"/>
      <c r="AX12" s="219"/>
      <c r="AY12" s="219"/>
      <c r="AZ12" s="219"/>
      <c r="BA12" s="219"/>
      <c r="BB12" s="219"/>
      <c r="BC12" s="219"/>
      <c r="BD12" s="219"/>
      <c r="BE12" s="219"/>
      <c r="BF12" s="219"/>
      <c r="BG12" s="219"/>
      <c r="BH12" s="219"/>
      <c r="BI12" s="219"/>
      <c r="BJ12" s="219"/>
      <c r="BK12" s="219"/>
      <c r="BL12" s="219"/>
      <c r="BM12" s="219"/>
      <c r="BN12" s="219"/>
      <c r="BO12" s="219"/>
      <c r="BP12" s="219"/>
      <c r="BQ12" s="219"/>
      <c r="BR12" s="219"/>
      <c r="BS12" s="219"/>
      <c r="BT12" s="219"/>
      <c r="BU12" s="219"/>
      <c r="BV12" s="219"/>
      <c r="BW12" s="219"/>
      <c r="BX12" s="219"/>
      <c r="BY12" s="219"/>
      <c r="BZ12" s="219"/>
      <c r="CA12" s="219"/>
      <c r="CB12" s="219"/>
      <c r="CC12" s="219"/>
      <c r="CD12" s="219"/>
      <c r="CE12" s="219"/>
      <c r="CF12" s="219"/>
      <c r="CG12" s="219"/>
      <c r="CH12" s="219"/>
      <c r="CI12" s="219"/>
      <c r="CJ12" s="219"/>
      <c r="CK12" s="219"/>
      <c r="CL12" s="219"/>
      <c r="CM12" s="219"/>
      <c r="CN12" s="219"/>
      <c r="CO12" s="219"/>
      <c r="CP12" s="219"/>
      <c r="CQ12" s="219"/>
      <c r="CR12" s="219"/>
      <c r="CS12" s="219"/>
      <c r="CT12" s="219"/>
      <c r="CU12" s="219"/>
      <c r="CV12" s="220"/>
      <c r="CW12" s="219"/>
      <c r="CX12" s="219"/>
      <c r="CY12" s="219"/>
      <c r="CZ12" s="219"/>
      <c r="DA12" s="219"/>
      <c r="DB12" s="219"/>
      <c r="DC12" s="219"/>
      <c r="DD12" s="219"/>
      <c r="DE12" s="219"/>
      <c r="DF12" s="219"/>
      <c r="DG12" s="219"/>
      <c r="DH12" s="219"/>
      <c r="DI12" s="221"/>
      <c r="DJ12" s="221"/>
      <c r="DK12" s="221"/>
      <c r="DL12" s="221"/>
      <c r="DM12" s="221"/>
      <c r="DN12" s="221"/>
      <c r="DO12" s="221"/>
      <c r="DP12" s="221"/>
      <c r="DQ12" s="221"/>
      <c r="DR12" s="221"/>
      <c r="DS12" s="221"/>
      <c r="DT12" s="221"/>
      <c r="DU12" s="221"/>
      <c r="DV12" s="221"/>
      <c r="DW12" s="221"/>
      <c r="DX12" s="221"/>
      <c r="DY12" s="221"/>
      <c r="DZ12" s="221"/>
      <c r="EA12" s="221"/>
      <c r="EB12" s="221"/>
      <c r="EC12" s="221"/>
      <c r="ED12" s="221"/>
      <c r="EE12" s="221"/>
      <c r="EF12" s="221"/>
      <c r="EG12" s="221"/>
      <c r="EH12" s="221"/>
      <c r="EI12" s="221"/>
      <c r="EJ12" s="221"/>
      <c r="EK12" s="221"/>
      <c r="EL12" s="221"/>
      <c r="EM12" s="221"/>
      <c r="EN12" s="221"/>
      <c r="EO12" s="221"/>
      <c r="EP12" s="221"/>
    </row>
    <row r="13" spans="1:175" s="2" customFormat="1" x14ac:dyDescent="0.2">
      <c r="A13" s="854" t="s">
        <v>74</v>
      </c>
      <c r="B13" s="855"/>
      <c r="C13" s="855"/>
      <c r="D13" s="856"/>
      <c r="E13" s="215">
        <v>187</v>
      </c>
      <c r="F13" s="216">
        <v>86</v>
      </c>
      <c r="G13" s="735">
        <v>0</v>
      </c>
      <c r="H13" s="736">
        <v>0</v>
      </c>
      <c r="I13" s="736">
        <v>0</v>
      </c>
      <c r="J13" s="736">
        <v>0</v>
      </c>
      <c r="K13" s="736">
        <v>0</v>
      </c>
      <c r="L13" s="736">
        <v>39</v>
      </c>
      <c r="M13" s="736">
        <v>0</v>
      </c>
      <c r="N13" s="736">
        <v>0</v>
      </c>
      <c r="O13" s="736">
        <v>4</v>
      </c>
      <c r="P13" s="736">
        <v>0</v>
      </c>
      <c r="Q13" s="736">
        <v>0</v>
      </c>
      <c r="R13" s="736">
        <v>0</v>
      </c>
      <c r="S13" s="736">
        <v>0</v>
      </c>
      <c r="T13" s="736">
        <v>0</v>
      </c>
      <c r="U13" s="736">
        <v>0</v>
      </c>
      <c r="V13" s="736">
        <v>0</v>
      </c>
      <c r="W13" s="736">
        <v>0</v>
      </c>
      <c r="X13" s="736">
        <v>0</v>
      </c>
      <c r="Y13" s="736">
        <v>25</v>
      </c>
      <c r="Z13" s="736">
        <v>8</v>
      </c>
      <c r="AA13" s="737">
        <v>3</v>
      </c>
      <c r="AB13" s="737">
        <v>4</v>
      </c>
      <c r="AC13" s="737">
        <v>0</v>
      </c>
      <c r="AD13" s="737">
        <v>0</v>
      </c>
      <c r="AE13" s="737">
        <v>0</v>
      </c>
      <c r="AF13" s="737">
        <v>0</v>
      </c>
      <c r="AG13" s="737">
        <v>0</v>
      </c>
      <c r="AH13" s="737">
        <v>0</v>
      </c>
      <c r="AI13" s="737">
        <v>0</v>
      </c>
      <c r="AJ13" s="737">
        <v>0</v>
      </c>
      <c r="AK13" s="737">
        <v>0</v>
      </c>
      <c r="AL13" s="737">
        <v>0</v>
      </c>
      <c r="AM13" s="737">
        <v>0</v>
      </c>
      <c r="AN13" s="737">
        <v>0</v>
      </c>
      <c r="AO13" s="737">
        <v>0</v>
      </c>
      <c r="AP13" s="737">
        <v>0</v>
      </c>
      <c r="AQ13" s="737">
        <v>58</v>
      </c>
      <c r="AR13" s="737">
        <v>0</v>
      </c>
      <c r="AS13" s="737">
        <v>0</v>
      </c>
      <c r="AT13" s="737">
        <v>8</v>
      </c>
      <c r="AU13" s="738">
        <v>0</v>
      </c>
      <c r="AV13" s="737">
        <v>2</v>
      </c>
      <c r="AW13" s="737">
        <v>28</v>
      </c>
      <c r="AX13" s="737">
        <v>0</v>
      </c>
      <c r="AY13" s="737">
        <v>0</v>
      </c>
      <c r="AZ13" s="737">
        <v>4</v>
      </c>
      <c r="BA13" s="737">
        <v>0</v>
      </c>
      <c r="BB13" s="737">
        <v>0</v>
      </c>
      <c r="BC13" s="737">
        <v>0</v>
      </c>
      <c r="BD13" s="737">
        <v>0</v>
      </c>
      <c r="BE13" s="737">
        <v>0</v>
      </c>
      <c r="BF13" s="737">
        <v>4</v>
      </c>
      <c r="BG13" s="737">
        <v>0</v>
      </c>
      <c r="BH13" s="737">
        <v>0</v>
      </c>
      <c r="BI13" s="737">
        <v>0</v>
      </c>
      <c r="BJ13" s="219">
        <v>0</v>
      </c>
      <c r="BK13" s="219">
        <v>0</v>
      </c>
      <c r="BL13" s="219">
        <v>0</v>
      </c>
      <c r="BM13" s="219">
        <v>0</v>
      </c>
      <c r="BN13" s="219">
        <v>0</v>
      </c>
      <c r="BO13" s="219">
        <v>0</v>
      </c>
      <c r="BP13" s="219">
        <v>0</v>
      </c>
      <c r="BQ13" s="219">
        <v>0</v>
      </c>
      <c r="BR13" s="219">
        <v>0</v>
      </c>
      <c r="BS13" s="219">
        <v>0</v>
      </c>
      <c r="BT13" s="219">
        <v>0</v>
      </c>
      <c r="BU13" s="219">
        <v>0</v>
      </c>
      <c r="BV13" s="219">
        <v>0</v>
      </c>
      <c r="BW13" s="219">
        <v>0</v>
      </c>
      <c r="BX13" s="219">
        <v>0</v>
      </c>
      <c r="BY13" s="219">
        <v>0</v>
      </c>
      <c r="BZ13" s="219">
        <v>0</v>
      </c>
      <c r="CA13" s="219">
        <v>0</v>
      </c>
      <c r="CB13" s="219">
        <v>0</v>
      </c>
      <c r="CC13" s="219">
        <v>0</v>
      </c>
      <c r="CD13" s="219">
        <v>0</v>
      </c>
      <c r="CE13" s="219">
        <v>0</v>
      </c>
      <c r="CF13" s="219">
        <v>0</v>
      </c>
      <c r="CG13" s="219">
        <v>0</v>
      </c>
      <c r="CH13" s="219">
        <v>0</v>
      </c>
      <c r="CI13" s="219">
        <v>0</v>
      </c>
      <c r="CJ13" s="219">
        <v>0</v>
      </c>
      <c r="CK13" s="219">
        <v>0</v>
      </c>
      <c r="CL13" s="219">
        <v>0</v>
      </c>
      <c r="CM13" s="219">
        <v>0</v>
      </c>
      <c r="CN13" s="219">
        <v>0</v>
      </c>
      <c r="CO13" s="219">
        <v>0</v>
      </c>
      <c r="CP13" s="219">
        <v>0</v>
      </c>
      <c r="CQ13" s="219">
        <v>0</v>
      </c>
      <c r="CR13" s="219">
        <v>0</v>
      </c>
      <c r="CS13" s="219">
        <v>0</v>
      </c>
      <c r="CT13" s="219">
        <v>0</v>
      </c>
      <c r="CU13" s="219">
        <v>0</v>
      </c>
      <c r="CV13" s="220">
        <v>0</v>
      </c>
      <c r="CW13" s="219">
        <v>0</v>
      </c>
      <c r="CX13" s="219">
        <v>0</v>
      </c>
      <c r="CY13" s="219">
        <v>0</v>
      </c>
      <c r="CZ13" s="219">
        <v>0</v>
      </c>
      <c r="DA13" s="219">
        <v>0</v>
      </c>
      <c r="DB13" s="219">
        <v>0</v>
      </c>
      <c r="DC13" s="219">
        <v>0</v>
      </c>
      <c r="DD13" s="219">
        <v>0</v>
      </c>
      <c r="DE13" s="219">
        <v>0</v>
      </c>
      <c r="DF13" s="219">
        <v>0</v>
      </c>
      <c r="DG13" s="219">
        <v>0</v>
      </c>
      <c r="DH13" s="219">
        <v>0</v>
      </c>
      <c r="DI13" s="221">
        <v>0</v>
      </c>
      <c r="DJ13" s="221">
        <v>0</v>
      </c>
      <c r="DK13" s="221">
        <v>0</v>
      </c>
      <c r="DL13" s="221">
        <v>0</v>
      </c>
      <c r="DM13" s="221">
        <v>0</v>
      </c>
      <c r="DN13" s="221">
        <v>0</v>
      </c>
      <c r="DO13" s="221">
        <v>0</v>
      </c>
      <c r="DP13" s="221">
        <v>0</v>
      </c>
      <c r="DQ13" s="221">
        <v>0</v>
      </c>
      <c r="DR13" s="221">
        <v>0</v>
      </c>
      <c r="DS13" s="221">
        <v>0</v>
      </c>
      <c r="DT13" s="221">
        <v>0</v>
      </c>
      <c r="DU13" s="221">
        <v>0</v>
      </c>
      <c r="DV13" s="221">
        <v>0</v>
      </c>
      <c r="DW13" s="221">
        <v>0</v>
      </c>
      <c r="DX13" s="221">
        <v>0</v>
      </c>
      <c r="DY13" s="221">
        <v>0</v>
      </c>
      <c r="DZ13" s="221">
        <v>0</v>
      </c>
      <c r="EA13" s="221">
        <v>0</v>
      </c>
      <c r="EB13" s="221">
        <v>0</v>
      </c>
      <c r="EC13" s="221">
        <v>78</v>
      </c>
      <c r="ED13" s="221">
        <v>0</v>
      </c>
      <c r="EE13" s="221">
        <v>0</v>
      </c>
      <c r="EF13" s="221">
        <v>0</v>
      </c>
      <c r="EG13" s="221">
        <v>0</v>
      </c>
      <c r="EH13" s="221">
        <v>0</v>
      </c>
      <c r="EI13" s="221">
        <v>0</v>
      </c>
      <c r="EJ13" s="221">
        <v>0</v>
      </c>
      <c r="EK13" s="221">
        <v>0</v>
      </c>
      <c r="EL13" s="221">
        <v>0</v>
      </c>
      <c r="EM13" s="221">
        <v>0</v>
      </c>
      <c r="EN13" s="221">
        <v>0</v>
      </c>
      <c r="EO13" s="221">
        <v>8</v>
      </c>
      <c r="EP13" s="221">
        <v>0</v>
      </c>
    </row>
    <row r="14" spans="1:175" s="2" customFormat="1" ht="15.75" thickBot="1" x14ac:dyDescent="0.25">
      <c r="A14" s="857" t="s">
        <v>109</v>
      </c>
      <c r="B14" s="858"/>
      <c r="C14" s="858"/>
      <c r="D14" s="859"/>
      <c r="E14" s="217">
        <v>70</v>
      </c>
      <c r="F14" s="218">
        <v>47</v>
      </c>
      <c r="G14" s="219">
        <v>0</v>
      </c>
      <c r="H14" s="219">
        <v>0</v>
      </c>
      <c r="I14" s="219">
        <v>0</v>
      </c>
      <c r="J14" s="219">
        <v>0</v>
      </c>
      <c r="K14" s="219">
        <v>0</v>
      </c>
      <c r="L14" s="219">
        <v>0</v>
      </c>
      <c r="M14" s="219">
        <v>0</v>
      </c>
      <c r="N14" s="219">
        <v>0</v>
      </c>
      <c r="O14" s="219">
        <v>0</v>
      </c>
      <c r="P14" s="219">
        <v>0</v>
      </c>
      <c r="Q14" s="219">
        <v>0</v>
      </c>
      <c r="R14" s="219">
        <v>0</v>
      </c>
      <c r="S14" s="219">
        <v>0</v>
      </c>
      <c r="T14" s="219">
        <v>0</v>
      </c>
      <c r="U14" s="219">
        <v>0</v>
      </c>
      <c r="V14" s="219">
        <v>0</v>
      </c>
      <c r="W14" s="219">
        <v>0</v>
      </c>
      <c r="X14" s="219">
        <v>0</v>
      </c>
      <c r="Y14" s="219">
        <v>0</v>
      </c>
      <c r="Z14" s="219">
        <v>0</v>
      </c>
      <c r="AA14" s="219">
        <v>31</v>
      </c>
      <c r="AB14" s="219">
        <v>0</v>
      </c>
      <c r="AC14" s="219">
        <v>0</v>
      </c>
      <c r="AD14" s="219">
        <v>0</v>
      </c>
      <c r="AE14" s="219">
        <v>0</v>
      </c>
      <c r="AF14" s="219">
        <v>8</v>
      </c>
      <c r="AG14" s="219">
        <v>0</v>
      </c>
      <c r="AH14" s="219">
        <v>0</v>
      </c>
      <c r="AI14" s="219">
        <v>0</v>
      </c>
      <c r="AJ14" s="219">
        <v>0</v>
      </c>
      <c r="AK14" s="219">
        <v>0</v>
      </c>
      <c r="AL14" s="219">
        <v>0</v>
      </c>
      <c r="AM14" s="219">
        <v>0</v>
      </c>
      <c r="AN14" s="219">
        <v>0</v>
      </c>
      <c r="AO14" s="219">
        <v>0</v>
      </c>
      <c r="AP14" s="219">
        <v>0</v>
      </c>
      <c r="AQ14" s="219">
        <v>4</v>
      </c>
      <c r="AR14" s="219">
        <v>0</v>
      </c>
      <c r="AS14" s="219">
        <v>0</v>
      </c>
      <c r="AT14" s="219">
        <v>0</v>
      </c>
      <c r="AU14" s="219">
        <v>0</v>
      </c>
      <c r="AV14" s="219">
        <v>0</v>
      </c>
      <c r="AW14" s="219">
        <v>8</v>
      </c>
      <c r="AX14" s="219">
        <v>0</v>
      </c>
      <c r="AY14" s="219">
        <v>0</v>
      </c>
      <c r="AZ14" s="219">
        <v>15</v>
      </c>
      <c r="BA14" s="219">
        <v>0</v>
      </c>
      <c r="BB14" s="219">
        <v>4</v>
      </c>
      <c r="BC14" s="219">
        <v>0</v>
      </c>
      <c r="BD14" s="219">
        <v>0</v>
      </c>
      <c r="BE14" s="219">
        <v>0</v>
      </c>
      <c r="BF14" s="219">
        <v>0</v>
      </c>
      <c r="BG14" s="219">
        <v>0</v>
      </c>
      <c r="BH14" s="219">
        <v>0</v>
      </c>
      <c r="BI14" s="219">
        <v>0</v>
      </c>
      <c r="BJ14" s="219">
        <v>0</v>
      </c>
      <c r="BK14" s="219">
        <v>0</v>
      </c>
      <c r="BL14" s="219">
        <v>0</v>
      </c>
      <c r="BM14" s="219">
        <v>0</v>
      </c>
      <c r="BN14" s="219">
        <v>0</v>
      </c>
      <c r="BO14" s="219">
        <v>0</v>
      </c>
      <c r="BP14" s="219">
        <v>0</v>
      </c>
      <c r="BQ14" s="219">
        <v>0</v>
      </c>
      <c r="BR14" s="219">
        <v>0</v>
      </c>
      <c r="BS14" s="219">
        <v>0</v>
      </c>
      <c r="BT14" s="219">
        <v>0</v>
      </c>
      <c r="BU14" s="219">
        <v>0</v>
      </c>
      <c r="BV14" s="219">
        <v>0</v>
      </c>
      <c r="BW14" s="219">
        <v>0</v>
      </c>
      <c r="BX14" s="219">
        <v>0</v>
      </c>
      <c r="BY14" s="219">
        <v>0</v>
      </c>
      <c r="BZ14" s="219">
        <v>0</v>
      </c>
      <c r="CA14" s="219">
        <v>0</v>
      </c>
      <c r="CB14" s="219">
        <v>0</v>
      </c>
      <c r="CC14" s="219">
        <v>0</v>
      </c>
      <c r="CD14" s="219">
        <v>0</v>
      </c>
      <c r="CE14" s="219">
        <v>0</v>
      </c>
      <c r="CF14" s="219">
        <v>0</v>
      </c>
      <c r="CG14" s="219">
        <v>0</v>
      </c>
      <c r="CH14" s="219">
        <v>0</v>
      </c>
      <c r="CI14" s="219">
        <v>0</v>
      </c>
      <c r="CJ14" s="219">
        <v>0</v>
      </c>
      <c r="CK14" s="219">
        <v>0</v>
      </c>
      <c r="CL14" s="219">
        <v>0</v>
      </c>
      <c r="CM14" s="219">
        <v>0</v>
      </c>
      <c r="CN14" s="219">
        <v>0</v>
      </c>
      <c r="CO14" s="219">
        <v>0</v>
      </c>
      <c r="CP14" s="219">
        <v>0</v>
      </c>
      <c r="CQ14" s="219">
        <v>0</v>
      </c>
      <c r="CR14" s="219">
        <v>0</v>
      </c>
      <c r="CS14" s="219">
        <v>0</v>
      </c>
      <c r="CT14" s="219">
        <v>0</v>
      </c>
      <c r="CU14" s="219">
        <v>0</v>
      </c>
      <c r="CV14" s="220">
        <v>0</v>
      </c>
      <c r="CW14" s="219">
        <v>0</v>
      </c>
      <c r="CX14" s="219">
        <v>0</v>
      </c>
      <c r="CY14" s="219">
        <v>0</v>
      </c>
      <c r="CZ14" s="219">
        <v>0</v>
      </c>
      <c r="DA14" s="219">
        <v>0</v>
      </c>
      <c r="DB14" s="219">
        <v>0</v>
      </c>
      <c r="DC14" s="219">
        <v>0</v>
      </c>
      <c r="DD14" s="219">
        <v>0</v>
      </c>
      <c r="DE14" s="219">
        <v>0</v>
      </c>
      <c r="DF14" s="219">
        <v>0</v>
      </c>
      <c r="DG14" s="219">
        <v>0</v>
      </c>
      <c r="DH14" s="219">
        <v>0</v>
      </c>
      <c r="DI14" s="221">
        <v>0</v>
      </c>
      <c r="DJ14" s="221">
        <v>0</v>
      </c>
      <c r="DK14" s="221">
        <v>0</v>
      </c>
      <c r="DL14" s="221">
        <v>0</v>
      </c>
      <c r="DM14" s="221">
        <v>0</v>
      </c>
      <c r="DN14" s="221">
        <v>0</v>
      </c>
      <c r="DO14" s="221">
        <v>0</v>
      </c>
      <c r="DP14" s="221">
        <v>0</v>
      </c>
      <c r="DQ14" s="221">
        <v>0</v>
      </c>
      <c r="DR14" s="221">
        <v>0</v>
      </c>
      <c r="DS14" s="221">
        <v>0</v>
      </c>
      <c r="DT14" s="221">
        <v>0</v>
      </c>
      <c r="DU14" s="221">
        <v>0</v>
      </c>
      <c r="DV14" s="221">
        <v>0</v>
      </c>
      <c r="DW14" s="221">
        <v>0</v>
      </c>
      <c r="DX14" s="221">
        <v>0</v>
      </c>
      <c r="DY14" s="221">
        <v>0</v>
      </c>
      <c r="DZ14" s="221">
        <v>0</v>
      </c>
      <c r="EA14" s="221">
        <v>0</v>
      </c>
      <c r="EB14" s="221">
        <v>0</v>
      </c>
      <c r="EC14" s="221">
        <v>39</v>
      </c>
      <c r="ED14" s="221">
        <v>0</v>
      </c>
      <c r="EE14" s="221">
        <v>0</v>
      </c>
      <c r="EF14" s="221">
        <v>0</v>
      </c>
      <c r="EG14" s="221">
        <v>0</v>
      </c>
      <c r="EH14" s="221">
        <v>8</v>
      </c>
      <c r="EI14" s="221">
        <v>0</v>
      </c>
      <c r="EJ14" s="221">
        <v>0</v>
      </c>
      <c r="EK14" s="221">
        <v>0</v>
      </c>
      <c r="EL14" s="221">
        <v>0</v>
      </c>
      <c r="EM14" s="221">
        <v>0</v>
      </c>
      <c r="EN14" s="221">
        <v>0</v>
      </c>
      <c r="EO14" s="221">
        <v>0</v>
      </c>
      <c r="EP14" s="221">
        <v>0</v>
      </c>
    </row>
    <row r="15" spans="1:175" s="2" customFormat="1" ht="15.75" thickBot="1" x14ac:dyDescent="0.25">
      <c r="A15" s="844" t="s">
        <v>110</v>
      </c>
      <c r="B15" s="845"/>
      <c r="C15" s="845"/>
      <c r="D15" s="845"/>
      <c r="E15" s="222">
        <f>SUM(E13:E14)</f>
        <v>257</v>
      </c>
      <c r="F15" s="223">
        <f>SUM(F13:F14)</f>
        <v>133</v>
      </c>
      <c r="G15" s="224">
        <f t="shared" ref="G15:BT15" si="3">SUM(G13:G14)</f>
        <v>0</v>
      </c>
      <c r="H15" s="224">
        <f t="shared" si="3"/>
        <v>0</v>
      </c>
      <c r="I15" s="224">
        <f t="shared" si="3"/>
        <v>0</v>
      </c>
      <c r="J15" s="224">
        <f t="shared" si="3"/>
        <v>0</v>
      </c>
      <c r="K15" s="224">
        <f t="shared" si="3"/>
        <v>0</v>
      </c>
      <c r="L15" s="224">
        <f t="shared" si="3"/>
        <v>39</v>
      </c>
      <c r="M15" s="224">
        <f t="shared" si="3"/>
        <v>0</v>
      </c>
      <c r="N15" s="224">
        <f t="shared" si="3"/>
        <v>0</v>
      </c>
      <c r="O15" s="224">
        <f t="shared" si="3"/>
        <v>4</v>
      </c>
      <c r="P15" s="224">
        <f t="shared" si="3"/>
        <v>0</v>
      </c>
      <c r="Q15" s="224">
        <f t="shared" si="3"/>
        <v>0</v>
      </c>
      <c r="R15" s="224">
        <f t="shared" si="3"/>
        <v>0</v>
      </c>
      <c r="S15" s="224">
        <f t="shared" si="3"/>
        <v>0</v>
      </c>
      <c r="T15" s="224">
        <f t="shared" si="3"/>
        <v>0</v>
      </c>
      <c r="U15" s="224">
        <f t="shared" si="3"/>
        <v>0</v>
      </c>
      <c r="V15" s="224">
        <f t="shared" si="3"/>
        <v>0</v>
      </c>
      <c r="W15" s="224">
        <f t="shared" si="3"/>
        <v>0</v>
      </c>
      <c r="X15" s="224">
        <f t="shared" si="3"/>
        <v>0</v>
      </c>
      <c r="Y15" s="224">
        <f t="shared" si="3"/>
        <v>25</v>
      </c>
      <c r="Z15" s="224">
        <f t="shared" ref="Z15" si="4">SUM(Z13:Z14)</f>
        <v>8</v>
      </c>
      <c r="AA15" s="224">
        <f t="shared" si="3"/>
        <v>34</v>
      </c>
      <c r="AB15" s="224">
        <f t="shared" si="3"/>
        <v>4</v>
      </c>
      <c r="AC15" s="224">
        <f t="shared" si="3"/>
        <v>0</v>
      </c>
      <c r="AD15" s="224">
        <f t="shared" si="3"/>
        <v>0</v>
      </c>
      <c r="AE15" s="224">
        <f t="shared" si="3"/>
        <v>0</v>
      </c>
      <c r="AF15" s="224">
        <f t="shared" si="3"/>
        <v>8</v>
      </c>
      <c r="AG15" s="224">
        <f t="shared" si="3"/>
        <v>0</v>
      </c>
      <c r="AH15" s="224">
        <f t="shared" si="3"/>
        <v>0</v>
      </c>
      <c r="AI15" s="224">
        <f t="shared" si="3"/>
        <v>0</v>
      </c>
      <c r="AJ15" s="224">
        <f t="shared" si="3"/>
        <v>0</v>
      </c>
      <c r="AK15" s="224">
        <f t="shared" si="3"/>
        <v>0</v>
      </c>
      <c r="AL15" s="224">
        <f t="shared" si="3"/>
        <v>0</v>
      </c>
      <c r="AM15" s="224">
        <f t="shared" si="3"/>
        <v>0</v>
      </c>
      <c r="AN15" s="224">
        <f t="shared" si="3"/>
        <v>0</v>
      </c>
      <c r="AO15" s="224">
        <f t="shared" si="3"/>
        <v>0</v>
      </c>
      <c r="AP15" s="224">
        <f t="shared" si="3"/>
        <v>0</v>
      </c>
      <c r="AQ15" s="224">
        <f t="shared" si="3"/>
        <v>62</v>
      </c>
      <c r="AR15" s="224">
        <f t="shared" si="3"/>
        <v>0</v>
      </c>
      <c r="AS15" s="224">
        <f t="shared" si="3"/>
        <v>0</v>
      </c>
      <c r="AT15" s="224">
        <f t="shared" si="3"/>
        <v>8</v>
      </c>
      <c r="AU15" s="224">
        <f t="shared" si="3"/>
        <v>0</v>
      </c>
      <c r="AV15" s="224">
        <f t="shared" si="3"/>
        <v>2</v>
      </c>
      <c r="AW15" s="224">
        <f t="shared" si="3"/>
        <v>36</v>
      </c>
      <c r="AX15" s="224">
        <f t="shared" si="3"/>
        <v>0</v>
      </c>
      <c r="AY15" s="224">
        <f t="shared" si="3"/>
        <v>0</v>
      </c>
      <c r="AZ15" s="224">
        <f t="shared" si="3"/>
        <v>19</v>
      </c>
      <c r="BA15" s="224">
        <f t="shared" si="3"/>
        <v>0</v>
      </c>
      <c r="BB15" s="224">
        <f t="shared" si="3"/>
        <v>4</v>
      </c>
      <c r="BC15" s="224">
        <f t="shared" si="3"/>
        <v>0</v>
      </c>
      <c r="BD15" s="224">
        <f t="shared" si="3"/>
        <v>0</v>
      </c>
      <c r="BE15" s="224">
        <f t="shared" si="3"/>
        <v>0</v>
      </c>
      <c r="BF15" s="224">
        <f t="shared" si="3"/>
        <v>4</v>
      </c>
      <c r="BG15" s="224">
        <f t="shared" si="3"/>
        <v>0</v>
      </c>
      <c r="BH15" s="224">
        <f t="shared" si="3"/>
        <v>0</v>
      </c>
      <c r="BI15" s="224">
        <f t="shared" si="3"/>
        <v>0</v>
      </c>
      <c r="BJ15" s="224">
        <f t="shared" si="3"/>
        <v>0</v>
      </c>
      <c r="BK15" s="224">
        <f t="shared" si="3"/>
        <v>0</v>
      </c>
      <c r="BL15" s="224">
        <f t="shared" si="3"/>
        <v>0</v>
      </c>
      <c r="BM15" s="224">
        <f t="shared" si="3"/>
        <v>0</v>
      </c>
      <c r="BN15" s="224">
        <f t="shared" si="3"/>
        <v>0</v>
      </c>
      <c r="BO15" s="224">
        <f t="shared" si="3"/>
        <v>0</v>
      </c>
      <c r="BP15" s="224">
        <f t="shared" si="3"/>
        <v>0</v>
      </c>
      <c r="BQ15" s="224">
        <f t="shared" si="3"/>
        <v>0</v>
      </c>
      <c r="BR15" s="224">
        <f t="shared" si="3"/>
        <v>0</v>
      </c>
      <c r="BS15" s="224">
        <f t="shared" si="3"/>
        <v>0</v>
      </c>
      <c r="BT15" s="224">
        <f t="shared" si="3"/>
        <v>0</v>
      </c>
      <c r="BU15" s="224">
        <f t="shared" ref="BU15:DI15" si="5">SUM(BU13:BU14)</f>
        <v>0</v>
      </c>
      <c r="BV15" s="224">
        <f t="shared" si="5"/>
        <v>0</v>
      </c>
      <c r="BW15" s="224">
        <f t="shared" si="5"/>
        <v>0</v>
      </c>
      <c r="BX15" s="224">
        <f t="shared" si="5"/>
        <v>0</v>
      </c>
      <c r="BY15" s="224">
        <f t="shared" si="5"/>
        <v>0</v>
      </c>
      <c r="BZ15" s="224">
        <f t="shared" si="5"/>
        <v>0</v>
      </c>
      <c r="CA15" s="224">
        <f t="shared" si="5"/>
        <v>0</v>
      </c>
      <c r="CB15" s="224">
        <f t="shared" si="5"/>
        <v>0</v>
      </c>
      <c r="CC15" s="224">
        <f t="shared" si="5"/>
        <v>0</v>
      </c>
      <c r="CD15" s="224">
        <f t="shared" si="5"/>
        <v>0</v>
      </c>
      <c r="CE15" s="224">
        <f t="shared" si="5"/>
        <v>0</v>
      </c>
      <c r="CF15" s="224">
        <f t="shared" si="5"/>
        <v>0</v>
      </c>
      <c r="CG15" s="224">
        <f t="shared" si="5"/>
        <v>0</v>
      </c>
      <c r="CH15" s="224">
        <f t="shared" si="5"/>
        <v>0</v>
      </c>
      <c r="CI15" s="224">
        <f t="shared" si="5"/>
        <v>0</v>
      </c>
      <c r="CJ15" s="224">
        <f t="shared" si="5"/>
        <v>0</v>
      </c>
      <c r="CK15" s="224">
        <f t="shared" si="5"/>
        <v>0</v>
      </c>
      <c r="CL15" s="224">
        <f t="shared" si="5"/>
        <v>0</v>
      </c>
      <c r="CM15" s="224">
        <f t="shared" si="5"/>
        <v>0</v>
      </c>
      <c r="CN15" s="224">
        <f t="shared" si="5"/>
        <v>0</v>
      </c>
      <c r="CO15" s="224">
        <f t="shared" si="5"/>
        <v>0</v>
      </c>
      <c r="CP15" s="224">
        <f t="shared" si="5"/>
        <v>0</v>
      </c>
      <c r="CQ15" s="224">
        <f t="shared" si="5"/>
        <v>0</v>
      </c>
      <c r="CR15" s="224">
        <f t="shared" si="5"/>
        <v>0</v>
      </c>
      <c r="CS15" s="224">
        <f t="shared" si="5"/>
        <v>0</v>
      </c>
      <c r="CT15" s="224">
        <f t="shared" si="5"/>
        <v>0</v>
      </c>
      <c r="CU15" s="224">
        <f t="shared" si="5"/>
        <v>0</v>
      </c>
      <c r="CV15" s="224">
        <f t="shared" si="5"/>
        <v>0</v>
      </c>
      <c r="CW15" s="224">
        <f t="shared" si="5"/>
        <v>0</v>
      </c>
      <c r="CX15" s="224">
        <f t="shared" si="5"/>
        <v>0</v>
      </c>
      <c r="CY15" s="224">
        <f t="shared" si="5"/>
        <v>0</v>
      </c>
      <c r="CZ15" s="224">
        <f t="shared" si="5"/>
        <v>0</v>
      </c>
      <c r="DA15" s="224">
        <f t="shared" si="5"/>
        <v>0</v>
      </c>
      <c r="DB15" s="224">
        <f t="shared" si="5"/>
        <v>0</v>
      </c>
      <c r="DC15" s="224">
        <f t="shared" si="5"/>
        <v>0</v>
      </c>
      <c r="DD15" s="224">
        <f t="shared" si="5"/>
        <v>0</v>
      </c>
      <c r="DE15" s="224">
        <f t="shared" si="5"/>
        <v>0</v>
      </c>
      <c r="DF15" s="224">
        <f t="shared" si="5"/>
        <v>0</v>
      </c>
      <c r="DG15" s="224">
        <f t="shared" si="5"/>
        <v>0</v>
      </c>
      <c r="DH15" s="224">
        <f t="shared" si="5"/>
        <v>0</v>
      </c>
      <c r="DI15" s="224">
        <f t="shared" si="5"/>
        <v>0</v>
      </c>
      <c r="DJ15" s="224"/>
      <c r="DK15" s="224"/>
      <c r="DL15" s="224"/>
      <c r="DM15" s="224"/>
      <c r="DN15" s="224"/>
      <c r="DO15" s="224"/>
      <c r="DP15" s="224"/>
      <c r="DQ15" s="224"/>
      <c r="DR15" s="224"/>
      <c r="DS15" s="224"/>
      <c r="DT15" s="224"/>
      <c r="DU15" s="224"/>
      <c r="DV15" s="224"/>
      <c r="DW15" s="224"/>
      <c r="DX15" s="224"/>
      <c r="DY15" s="224"/>
      <c r="DZ15" s="224"/>
      <c r="EA15" s="224"/>
      <c r="EB15" s="224"/>
      <c r="EC15" s="224"/>
      <c r="ED15" s="224"/>
      <c r="EE15" s="224"/>
      <c r="EF15" s="224"/>
      <c r="EG15" s="224"/>
      <c r="EH15" s="224"/>
      <c r="EI15" s="224"/>
      <c r="EJ15" s="224"/>
      <c r="EK15" s="224"/>
      <c r="EL15" s="224"/>
      <c r="EM15" s="224"/>
      <c r="EN15" s="224"/>
      <c r="EO15" s="224"/>
      <c r="EP15" s="224"/>
    </row>
    <row r="16" spans="1:175" s="2" customFormat="1" ht="14.45" customHeight="1" thickBot="1" x14ac:dyDescent="0.25">
      <c r="A16" s="230" t="s">
        <v>613</v>
      </c>
      <c r="B16" s="232">
        <f>+B12+7</f>
        <v>45642</v>
      </c>
      <c r="C16" s="231" t="s">
        <v>614</v>
      </c>
      <c r="D16" s="233">
        <f>+D12+7</f>
        <v>45646</v>
      </c>
      <c r="E16" s="213" t="s">
        <v>102</v>
      </c>
      <c r="F16" s="214" t="s">
        <v>103</v>
      </c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  <c r="BE16" s="219"/>
      <c r="BF16" s="219"/>
      <c r="BG16" s="219"/>
      <c r="BH16" s="219"/>
      <c r="BI16" s="219"/>
      <c r="BJ16" s="219"/>
      <c r="BK16" s="219"/>
      <c r="BL16" s="219"/>
      <c r="BM16" s="219"/>
      <c r="BN16" s="219"/>
      <c r="BO16" s="219"/>
      <c r="BP16" s="219"/>
      <c r="BQ16" s="219"/>
      <c r="BR16" s="219"/>
      <c r="BS16" s="219"/>
      <c r="BT16" s="219"/>
      <c r="BU16" s="219"/>
      <c r="BV16" s="219"/>
      <c r="BW16" s="219"/>
      <c r="BX16" s="219"/>
      <c r="BY16" s="219"/>
      <c r="BZ16" s="219"/>
      <c r="CA16" s="219"/>
      <c r="CB16" s="219"/>
      <c r="CC16" s="219"/>
      <c r="CD16" s="219"/>
      <c r="CE16" s="219"/>
      <c r="CF16" s="219"/>
      <c r="CG16" s="219"/>
      <c r="CH16" s="219"/>
      <c r="CI16" s="219"/>
      <c r="CJ16" s="219"/>
      <c r="CK16" s="219"/>
      <c r="CL16" s="219"/>
      <c r="CM16" s="219"/>
      <c r="CN16" s="219"/>
      <c r="CO16" s="219"/>
      <c r="CP16" s="219"/>
      <c r="CQ16" s="219"/>
      <c r="CR16" s="219"/>
      <c r="CS16" s="219"/>
      <c r="CT16" s="219"/>
      <c r="CU16" s="219"/>
      <c r="CV16" s="220"/>
      <c r="CW16" s="219"/>
      <c r="CX16" s="219"/>
      <c r="CY16" s="219"/>
      <c r="CZ16" s="219"/>
      <c r="DA16" s="219"/>
      <c r="DB16" s="219"/>
      <c r="DC16" s="219"/>
      <c r="DD16" s="219"/>
      <c r="DE16" s="219"/>
      <c r="DF16" s="219"/>
      <c r="DG16" s="219"/>
      <c r="DH16" s="219"/>
      <c r="DI16" s="221"/>
      <c r="DJ16" s="221"/>
      <c r="DK16" s="221"/>
      <c r="DL16" s="221"/>
      <c r="DM16" s="221"/>
      <c r="DN16" s="221"/>
      <c r="DO16" s="221"/>
      <c r="DP16" s="221"/>
      <c r="DQ16" s="221"/>
      <c r="DR16" s="221"/>
      <c r="DS16" s="221"/>
      <c r="DT16" s="221"/>
      <c r="DU16" s="221"/>
      <c r="DV16" s="221"/>
      <c r="DW16" s="221"/>
      <c r="DX16" s="221"/>
      <c r="DY16" s="221"/>
      <c r="DZ16" s="221"/>
      <c r="EA16" s="221"/>
      <c r="EB16" s="221"/>
      <c r="EC16" s="221"/>
      <c r="ED16" s="221"/>
      <c r="EE16" s="221"/>
      <c r="EF16" s="221"/>
      <c r="EG16" s="221"/>
      <c r="EH16" s="221"/>
      <c r="EI16" s="221"/>
      <c r="EJ16" s="221"/>
      <c r="EK16" s="221"/>
      <c r="EL16" s="221"/>
      <c r="EM16" s="221"/>
      <c r="EN16" s="221"/>
      <c r="EO16" s="221"/>
      <c r="EP16" s="221"/>
    </row>
    <row r="17" spans="1:147" s="2" customFormat="1" x14ac:dyDescent="0.2">
      <c r="A17" s="854" t="s">
        <v>74</v>
      </c>
      <c r="B17" s="855"/>
      <c r="C17" s="855"/>
      <c r="D17" s="856"/>
      <c r="E17" s="215">
        <v>187</v>
      </c>
      <c r="F17" s="216">
        <v>86</v>
      </c>
      <c r="G17" s="735">
        <v>0</v>
      </c>
      <c r="H17" s="736">
        <v>0</v>
      </c>
      <c r="I17" s="736">
        <v>0</v>
      </c>
      <c r="J17" s="736">
        <v>0</v>
      </c>
      <c r="K17" s="736">
        <v>0</v>
      </c>
      <c r="L17" s="736">
        <v>39</v>
      </c>
      <c r="M17" s="736">
        <v>0</v>
      </c>
      <c r="N17" s="736">
        <v>0</v>
      </c>
      <c r="O17" s="736">
        <v>0</v>
      </c>
      <c r="P17" s="736">
        <v>0</v>
      </c>
      <c r="Q17" s="736">
        <v>0</v>
      </c>
      <c r="R17" s="736">
        <v>0</v>
      </c>
      <c r="S17" s="736">
        <v>0</v>
      </c>
      <c r="T17" s="736">
        <v>0</v>
      </c>
      <c r="U17" s="736">
        <v>0</v>
      </c>
      <c r="V17" s="736">
        <v>0</v>
      </c>
      <c r="W17" s="736">
        <v>0</v>
      </c>
      <c r="X17" s="736">
        <v>0</v>
      </c>
      <c r="Y17" s="736">
        <v>23</v>
      </c>
      <c r="Z17" s="736">
        <v>0</v>
      </c>
      <c r="AA17" s="737">
        <v>0</v>
      </c>
      <c r="AB17" s="737">
        <v>0</v>
      </c>
      <c r="AC17" s="737">
        <v>0</v>
      </c>
      <c r="AD17" s="737">
        <v>0</v>
      </c>
      <c r="AE17" s="737">
        <v>0</v>
      </c>
      <c r="AF17" s="737">
        <v>0</v>
      </c>
      <c r="AG17" s="737">
        <v>0</v>
      </c>
      <c r="AH17" s="737">
        <v>0</v>
      </c>
      <c r="AI17" s="737">
        <v>0</v>
      </c>
      <c r="AJ17" s="737">
        <v>0</v>
      </c>
      <c r="AK17" s="737">
        <v>0</v>
      </c>
      <c r="AL17" s="737">
        <v>0</v>
      </c>
      <c r="AM17" s="737">
        <v>20</v>
      </c>
      <c r="AN17" s="737">
        <v>0</v>
      </c>
      <c r="AO17" s="737">
        <v>0</v>
      </c>
      <c r="AP17" s="737">
        <v>6</v>
      </c>
      <c r="AQ17" s="737">
        <v>8</v>
      </c>
      <c r="AR17" s="737">
        <v>0</v>
      </c>
      <c r="AS17" s="737">
        <v>0</v>
      </c>
      <c r="AT17" s="737">
        <v>72</v>
      </c>
      <c r="AU17" s="738">
        <v>0</v>
      </c>
      <c r="AV17" s="737">
        <v>0</v>
      </c>
      <c r="AW17" s="737">
        <v>0</v>
      </c>
      <c r="AX17" s="737">
        <v>0</v>
      </c>
      <c r="AY17" s="737">
        <v>0</v>
      </c>
      <c r="AZ17" s="737">
        <v>0</v>
      </c>
      <c r="BA17" s="737">
        <v>0</v>
      </c>
      <c r="BB17" s="737">
        <v>4</v>
      </c>
      <c r="BC17" s="737">
        <v>0</v>
      </c>
      <c r="BD17" s="737">
        <v>0</v>
      </c>
      <c r="BE17" s="737">
        <v>0</v>
      </c>
      <c r="BF17" s="737">
        <v>0</v>
      </c>
      <c r="BG17" s="737">
        <v>0</v>
      </c>
      <c r="BH17" s="737">
        <v>0</v>
      </c>
      <c r="BI17" s="737">
        <v>15</v>
      </c>
      <c r="BJ17" s="219">
        <v>0</v>
      </c>
      <c r="BK17" s="219">
        <v>0</v>
      </c>
      <c r="BL17" s="219">
        <v>0</v>
      </c>
      <c r="BM17" s="219">
        <v>0</v>
      </c>
      <c r="BN17" s="219">
        <v>0</v>
      </c>
      <c r="BO17" s="219">
        <v>0</v>
      </c>
      <c r="BP17" s="219">
        <v>0</v>
      </c>
      <c r="BQ17" s="219">
        <v>0</v>
      </c>
      <c r="BR17" s="219">
        <v>0</v>
      </c>
      <c r="BS17" s="219">
        <v>0</v>
      </c>
      <c r="BT17" s="219">
        <v>0</v>
      </c>
      <c r="BU17" s="219">
        <v>0</v>
      </c>
      <c r="BV17" s="219">
        <v>0</v>
      </c>
      <c r="BW17" s="219">
        <v>0</v>
      </c>
      <c r="BX17" s="219">
        <v>0</v>
      </c>
      <c r="BY17" s="219">
        <v>0</v>
      </c>
      <c r="BZ17" s="219">
        <v>0</v>
      </c>
      <c r="CA17" s="219">
        <v>0</v>
      </c>
      <c r="CB17" s="219">
        <v>0</v>
      </c>
      <c r="CC17" s="219">
        <v>0</v>
      </c>
      <c r="CD17" s="219">
        <v>0</v>
      </c>
      <c r="CE17" s="219">
        <v>0</v>
      </c>
      <c r="CF17" s="219">
        <v>0</v>
      </c>
      <c r="CG17" s="219">
        <v>0</v>
      </c>
      <c r="CH17" s="219">
        <v>0</v>
      </c>
      <c r="CI17" s="219">
        <v>0</v>
      </c>
      <c r="CJ17" s="219">
        <v>0</v>
      </c>
      <c r="CK17" s="219">
        <v>0</v>
      </c>
      <c r="CL17" s="219">
        <v>0</v>
      </c>
      <c r="CM17" s="219">
        <v>0</v>
      </c>
      <c r="CN17" s="219">
        <v>0</v>
      </c>
      <c r="CO17" s="219">
        <v>0</v>
      </c>
      <c r="CP17" s="219">
        <v>0</v>
      </c>
      <c r="CQ17" s="219">
        <v>0</v>
      </c>
      <c r="CR17" s="219">
        <v>0</v>
      </c>
      <c r="CS17" s="219">
        <v>0</v>
      </c>
      <c r="CT17" s="219">
        <v>0</v>
      </c>
      <c r="CU17" s="219">
        <v>0</v>
      </c>
      <c r="CV17" s="220">
        <v>0</v>
      </c>
      <c r="CW17" s="219">
        <v>0</v>
      </c>
      <c r="CX17" s="219">
        <v>0</v>
      </c>
      <c r="CY17" s="219">
        <v>0</v>
      </c>
      <c r="CZ17" s="219">
        <v>0</v>
      </c>
      <c r="DA17" s="219">
        <v>0</v>
      </c>
      <c r="DB17" s="219">
        <v>0</v>
      </c>
      <c r="DC17" s="219">
        <v>0</v>
      </c>
      <c r="DD17" s="219">
        <v>0</v>
      </c>
      <c r="DE17" s="219">
        <v>0</v>
      </c>
      <c r="DF17" s="219">
        <v>0</v>
      </c>
      <c r="DG17" s="219">
        <v>0</v>
      </c>
      <c r="DH17" s="219">
        <v>0</v>
      </c>
      <c r="DI17" s="221">
        <v>0</v>
      </c>
      <c r="DJ17" s="221">
        <v>0</v>
      </c>
      <c r="DK17" s="221">
        <v>0</v>
      </c>
      <c r="DL17" s="221">
        <v>0</v>
      </c>
      <c r="DM17" s="221">
        <v>0</v>
      </c>
      <c r="DN17" s="221">
        <v>0</v>
      </c>
      <c r="DO17" s="221">
        <v>0</v>
      </c>
      <c r="DP17" s="221">
        <v>0</v>
      </c>
      <c r="DQ17" s="221">
        <v>0</v>
      </c>
      <c r="DR17" s="221">
        <v>0</v>
      </c>
      <c r="DS17" s="221">
        <v>0</v>
      </c>
      <c r="DT17" s="221">
        <v>0</v>
      </c>
      <c r="DU17" s="221">
        <v>0</v>
      </c>
      <c r="DV17" s="221">
        <v>0</v>
      </c>
      <c r="DW17" s="221">
        <v>0</v>
      </c>
      <c r="DX17" s="221">
        <v>0</v>
      </c>
      <c r="DY17" s="221">
        <v>0</v>
      </c>
      <c r="DZ17" s="221">
        <v>0</v>
      </c>
      <c r="EA17" s="221">
        <v>0</v>
      </c>
      <c r="EB17" s="221">
        <v>0</v>
      </c>
      <c r="EC17" s="221">
        <v>78</v>
      </c>
      <c r="ED17" s="221">
        <v>0</v>
      </c>
      <c r="EE17" s="221">
        <v>0</v>
      </c>
      <c r="EF17" s="221">
        <v>0</v>
      </c>
      <c r="EG17" s="221">
        <v>0</v>
      </c>
      <c r="EH17" s="221">
        <v>0</v>
      </c>
      <c r="EI17" s="221">
        <v>8</v>
      </c>
      <c r="EJ17" s="221">
        <v>0</v>
      </c>
      <c r="EK17" s="221">
        <v>0</v>
      </c>
      <c r="EL17" s="221">
        <v>0</v>
      </c>
      <c r="EM17" s="221">
        <v>0</v>
      </c>
      <c r="EN17" s="221">
        <v>0</v>
      </c>
      <c r="EO17" s="221">
        <v>0</v>
      </c>
      <c r="EP17" s="221">
        <v>0</v>
      </c>
    </row>
    <row r="18" spans="1:147" s="2" customFormat="1" ht="15.75" thickBot="1" x14ac:dyDescent="0.25">
      <c r="A18" s="857" t="s">
        <v>109</v>
      </c>
      <c r="B18" s="858"/>
      <c r="C18" s="858"/>
      <c r="D18" s="859"/>
      <c r="E18" s="217">
        <v>75.5</v>
      </c>
      <c r="F18" s="218">
        <v>41.5</v>
      </c>
      <c r="G18" s="219">
        <v>0</v>
      </c>
      <c r="H18" s="219">
        <v>0</v>
      </c>
      <c r="I18" s="219">
        <v>0</v>
      </c>
      <c r="J18" s="219">
        <v>0</v>
      </c>
      <c r="K18" s="219">
        <v>0</v>
      </c>
      <c r="L18" s="219">
        <v>0</v>
      </c>
      <c r="M18" s="219">
        <v>0</v>
      </c>
      <c r="N18" s="219">
        <v>0</v>
      </c>
      <c r="O18" s="219">
        <v>0</v>
      </c>
      <c r="P18" s="219">
        <v>0</v>
      </c>
      <c r="Q18" s="219">
        <v>0</v>
      </c>
      <c r="R18" s="219">
        <v>0</v>
      </c>
      <c r="S18" s="219">
        <v>0</v>
      </c>
      <c r="T18" s="219">
        <v>0</v>
      </c>
      <c r="U18" s="219">
        <v>0</v>
      </c>
      <c r="V18" s="219">
        <v>0</v>
      </c>
      <c r="W18" s="219">
        <v>0</v>
      </c>
      <c r="X18" s="219">
        <v>0</v>
      </c>
      <c r="Y18" s="219">
        <v>0</v>
      </c>
      <c r="Z18" s="219">
        <v>0</v>
      </c>
      <c r="AA18" s="219">
        <v>22.5</v>
      </c>
      <c r="AB18" s="219">
        <v>0</v>
      </c>
      <c r="AC18" s="219">
        <v>0</v>
      </c>
      <c r="AD18" s="219">
        <v>0</v>
      </c>
      <c r="AE18" s="219">
        <v>0</v>
      </c>
      <c r="AF18" s="219">
        <v>0</v>
      </c>
      <c r="AG18" s="219">
        <v>0</v>
      </c>
      <c r="AH18" s="219">
        <v>3</v>
      </c>
      <c r="AI18" s="219">
        <v>0</v>
      </c>
      <c r="AJ18" s="219">
        <v>0</v>
      </c>
      <c r="AK18" s="219">
        <v>0</v>
      </c>
      <c r="AL18" s="219">
        <v>0</v>
      </c>
      <c r="AM18" s="219">
        <v>0</v>
      </c>
      <c r="AN18" s="219">
        <v>0</v>
      </c>
      <c r="AO18" s="219">
        <v>0</v>
      </c>
      <c r="AP18" s="219">
        <v>3</v>
      </c>
      <c r="AQ18" s="219">
        <v>0</v>
      </c>
      <c r="AR18" s="219">
        <v>0</v>
      </c>
      <c r="AS18" s="219">
        <v>0</v>
      </c>
      <c r="AT18" s="219">
        <v>8</v>
      </c>
      <c r="AU18" s="219">
        <v>0</v>
      </c>
      <c r="AV18" s="219">
        <v>0</v>
      </c>
      <c r="AW18" s="219">
        <v>0</v>
      </c>
      <c r="AX18" s="219">
        <v>0</v>
      </c>
      <c r="AY18" s="219">
        <v>0</v>
      </c>
      <c r="AZ18" s="219">
        <v>0</v>
      </c>
      <c r="BA18" s="219">
        <v>0</v>
      </c>
      <c r="BB18" s="219">
        <v>24</v>
      </c>
      <c r="BC18" s="219">
        <v>0</v>
      </c>
      <c r="BD18" s="219">
        <v>0</v>
      </c>
      <c r="BE18" s="219">
        <v>0</v>
      </c>
      <c r="BF18" s="219">
        <v>0</v>
      </c>
      <c r="BG18" s="219">
        <v>0</v>
      </c>
      <c r="BH18" s="219">
        <v>0</v>
      </c>
      <c r="BI18" s="219">
        <v>15</v>
      </c>
      <c r="BJ18" s="219">
        <v>0</v>
      </c>
      <c r="BK18" s="219">
        <v>0</v>
      </c>
      <c r="BL18" s="219">
        <v>0</v>
      </c>
      <c r="BM18" s="219">
        <v>0</v>
      </c>
      <c r="BN18" s="219">
        <v>0</v>
      </c>
      <c r="BO18" s="219">
        <v>0</v>
      </c>
      <c r="BP18" s="219">
        <v>0</v>
      </c>
      <c r="BQ18" s="219">
        <v>0</v>
      </c>
      <c r="BR18" s="219">
        <v>0</v>
      </c>
      <c r="BS18" s="219">
        <v>0</v>
      </c>
      <c r="BT18" s="219">
        <v>0</v>
      </c>
      <c r="BU18" s="219">
        <v>0</v>
      </c>
      <c r="BV18" s="219">
        <v>0</v>
      </c>
      <c r="BW18" s="219">
        <v>0</v>
      </c>
      <c r="BX18" s="219">
        <v>0</v>
      </c>
      <c r="BY18" s="219">
        <v>0</v>
      </c>
      <c r="BZ18" s="219">
        <v>0</v>
      </c>
      <c r="CA18" s="219">
        <v>0</v>
      </c>
      <c r="CB18" s="219">
        <v>0</v>
      </c>
      <c r="CC18" s="219">
        <v>0</v>
      </c>
      <c r="CD18" s="219">
        <v>0</v>
      </c>
      <c r="CE18" s="219">
        <v>0</v>
      </c>
      <c r="CF18" s="219">
        <v>0</v>
      </c>
      <c r="CG18" s="219">
        <v>0</v>
      </c>
      <c r="CH18" s="219">
        <v>0</v>
      </c>
      <c r="CI18" s="219">
        <v>0</v>
      </c>
      <c r="CJ18" s="219">
        <v>0</v>
      </c>
      <c r="CK18" s="219">
        <v>0</v>
      </c>
      <c r="CL18" s="219">
        <v>0</v>
      </c>
      <c r="CM18" s="219">
        <v>0</v>
      </c>
      <c r="CN18" s="219">
        <v>0</v>
      </c>
      <c r="CO18" s="219">
        <v>0</v>
      </c>
      <c r="CP18" s="219">
        <v>0</v>
      </c>
      <c r="CQ18" s="219">
        <v>0</v>
      </c>
      <c r="CR18" s="219">
        <v>0</v>
      </c>
      <c r="CS18" s="219">
        <v>0</v>
      </c>
      <c r="CT18" s="219">
        <v>0</v>
      </c>
      <c r="CU18" s="219">
        <v>0</v>
      </c>
      <c r="CV18" s="220">
        <v>0</v>
      </c>
      <c r="CW18" s="219">
        <v>0</v>
      </c>
      <c r="CX18" s="219">
        <v>0</v>
      </c>
      <c r="CY18" s="219">
        <v>0</v>
      </c>
      <c r="CZ18" s="219">
        <v>0</v>
      </c>
      <c r="DA18" s="219">
        <v>0</v>
      </c>
      <c r="DB18" s="219">
        <v>0</v>
      </c>
      <c r="DC18" s="219">
        <v>0</v>
      </c>
      <c r="DD18" s="219">
        <v>0</v>
      </c>
      <c r="DE18" s="219">
        <v>0</v>
      </c>
      <c r="DF18" s="219">
        <v>0</v>
      </c>
      <c r="DG18" s="219">
        <v>0</v>
      </c>
      <c r="DH18" s="219">
        <v>0</v>
      </c>
      <c r="DI18" s="221">
        <v>0</v>
      </c>
      <c r="DJ18" s="221">
        <v>0</v>
      </c>
      <c r="DK18" s="221">
        <v>0</v>
      </c>
      <c r="DL18" s="221">
        <v>0</v>
      </c>
      <c r="DM18" s="221">
        <v>0</v>
      </c>
      <c r="DN18" s="221">
        <v>0</v>
      </c>
      <c r="DO18" s="221">
        <v>0</v>
      </c>
      <c r="DP18" s="221">
        <v>0</v>
      </c>
      <c r="DQ18" s="221">
        <v>0</v>
      </c>
      <c r="DR18" s="221">
        <v>0</v>
      </c>
      <c r="DS18" s="221">
        <v>0</v>
      </c>
      <c r="DT18" s="221">
        <v>0</v>
      </c>
      <c r="DU18" s="221">
        <v>0</v>
      </c>
      <c r="DV18" s="221">
        <v>0</v>
      </c>
      <c r="DW18" s="221">
        <v>0</v>
      </c>
      <c r="DX18" s="221">
        <v>0</v>
      </c>
      <c r="DY18" s="221">
        <v>0</v>
      </c>
      <c r="DZ18" s="221">
        <v>0</v>
      </c>
      <c r="EA18" s="221">
        <v>0</v>
      </c>
      <c r="EB18" s="221">
        <v>0</v>
      </c>
      <c r="EC18" s="221">
        <v>39</v>
      </c>
      <c r="ED18" s="221">
        <v>0</v>
      </c>
      <c r="EE18" s="221">
        <v>0</v>
      </c>
      <c r="EF18" s="221">
        <v>0</v>
      </c>
      <c r="EG18" s="221">
        <v>0</v>
      </c>
      <c r="EH18" s="221">
        <v>2.5</v>
      </c>
      <c r="EI18" s="221">
        <v>0</v>
      </c>
      <c r="EJ18" s="221">
        <v>0</v>
      </c>
      <c r="EK18" s="221">
        <v>0</v>
      </c>
      <c r="EL18" s="221">
        <v>0</v>
      </c>
      <c r="EM18" s="221">
        <v>0</v>
      </c>
      <c r="EN18" s="221">
        <v>0</v>
      </c>
      <c r="EO18" s="221">
        <v>0</v>
      </c>
      <c r="EP18" s="221">
        <v>0</v>
      </c>
    </row>
    <row r="19" spans="1:147" s="2" customFormat="1" ht="15.75" thickBot="1" x14ac:dyDescent="0.25">
      <c r="A19" s="844" t="s">
        <v>110</v>
      </c>
      <c r="B19" s="845"/>
      <c r="C19" s="845"/>
      <c r="D19" s="845"/>
      <c r="E19" s="222">
        <f>SUM(E17:E18)</f>
        <v>262.5</v>
      </c>
      <c r="F19" s="223">
        <f>SUM(F17:F18)</f>
        <v>127.5</v>
      </c>
      <c r="G19" s="224">
        <f t="shared" ref="G19:BT19" si="6">SUM(G17:G18)</f>
        <v>0</v>
      </c>
      <c r="H19" s="224">
        <f t="shared" si="6"/>
        <v>0</v>
      </c>
      <c r="I19" s="224">
        <f t="shared" si="6"/>
        <v>0</v>
      </c>
      <c r="J19" s="224">
        <f t="shared" si="6"/>
        <v>0</v>
      </c>
      <c r="K19" s="224">
        <f t="shared" si="6"/>
        <v>0</v>
      </c>
      <c r="L19" s="224">
        <f t="shared" si="6"/>
        <v>39</v>
      </c>
      <c r="M19" s="224">
        <f t="shared" si="6"/>
        <v>0</v>
      </c>
      <c r="N19" s="224">
        <f t="shared" si="6"/>
        <v>0</v>
      </c>
      <c r="O19" s="224">
        <f t="shared" si="6"/>
        <v>0</v>
      </c>
      <c r="P19" s="224">
        <f t="shared" si="6"/>
        <v>0</v>
      </c>
      <c r="Q19" s="224">
        <f t="shared" si="6"/>
        <v>0</v>
      </c>
      <c r="R19" s="224">
        <f t="shared" si="6"/>
        <v>0</v>
      </c>
      <c r="S19" s="224">
        <f t="shared" si="6"/>
        <v>0</v>
      </c>
      <c r="T19" s="224">
        <f t="shared" si="6"/>
        <v>0</v>
      </c>
      <c r="U19" s="224">
        <f t="shared" si="6"/>
        <v>0</v>
      </c>
      <c r="V19" s="224">
        <f t="shared" si="6"/>
        <v>0</v>
      </c>
      <c r="W19" s="224">
        <f t="shared" si="6"/>
        <v>0</v>
      </c>
      <c r="X19" s="224">
        <f t="shared" si="6"/>
        <v>0</v>
      </c>
      <c r="Y19" s="224">
        <f t="shared" si="6"/>
        <v>23</v>
      </c>
      <c r="Z19" s="224">
        <f t="shared" ref="Z19" si="7">SUM(Z17:Z18)</f>
        <v>0</v>
      </c>
      <c r="AA19" s="224">
        <f t="shared" si="6"/>
        <v>22.5</v>
      </c>
      <c r="AB19" s="224">
        <f t="shared" si="6"/>
        <v>0</v>
      </c>
      <c r="AC19" s="224">
        <f t="shared" si="6"/>
        <v>0</v>
      </c>
      <c r="AD19" s="224">
        <f t="shared" si="6"/>
        <v>0</v>
      </c>
      <c r="AE19" s="224">
        <f t="shared" si="6"/>
        <v>0</v>
      </c>
      <c r="AF19" s="224">
        <f t="shared" si="6"/>
        <v>0</v>
      </c>
      <c r="AG19" s="224">
        <f t="shared" si="6"/>
        <v>0</v>
      </c>
      <c r="AH19" s="224">
        <f t="shared" si="6"/>
        <v>3</v>
      </c>
      <c r="AI19" s="224">
        <f t="shared" si="6"/>
        <v>0</v>
      </c>
      <c r="AJ19" s="224">
        <f t="shared" si="6"/>
        <v>0</v>
      </c>
      <c r="AK19" s="224">
        <f t="shared" si="6"/>
        <v>0</v>
      </c>
      <c r="AL19" s="224">
        <f t="shared" si="6"/>
        <v>0</v>
      </c>
      <c r="AM19" s="224">
        <f t="shared" si="6"/>
        <v>20</v>
      </c>
      <c r="AN19" s="224">
        <f t="shared" si="6"/>
        <v>0</v>
      </c>
      <c r="AO19" s="224">
        <f t="shared" si="6"/>
        <v>0</v>
      </c>
      <c r="AP19" s="224">
        <f t="shared" si="6"/>
        <v>9</v>
      </c>
      <c r="AQ19" s="224">
        <f t="shared" si="6"/>
        <v>8</v>
      </c>
      <c r="AR19" s="224">
        <f t="shared" si="6"/>
        <v>0</v>
      </c>
      <c r="AS19" s="224">
        <f t="shared" si="6"/>
        <v>0</v>
      </c>
      <c r="AT19" s="224">
        <f t="shared" si="6"/>
        <v>80</v>
      </c>
      <c r="AU19" s="224">
        <f t="shared" si="6"/>
        <v>0</v>
      </c>
      <c r="AV19" s="224">
        <f t="shared" si="6"/>
        <v>0</v>
      </c>
      <c r="AW19" s="224">
        <f t="shared" si="6"/>
        <v>0</v>
      </c>
      <c r="AX19" s="224">
        <f t="shared" si="6"/>
        <v>0</v>
      </c>
      <c r="AY19" s="224">
        <f t="shared" si="6"/>
        <v>0</v>
      </c>
      <c r="AZ19" s="224">
        <f t="shared" si="6"/>
        <v>0</v>
      </c>
      <c r="BA19" s="224">
        <f t="shared" si="6"/>
        <v>0</v>
      </c>
      <c r="BB19" s="224">
        <f t="shared" si="6"/>
        <v>28</v>
      </c>
      <c r="BC19" s="224">
        <f t="shared" si="6"/>
        <v>0</v>
      </c>
      <c r="BD19" s="224">
        <f t="shared" si="6"/>
        <v>0</v>
      </c>
      <c r="BE19" s="224">
        <f t="shared" si="6"/>
        <v>0</v>
      </c>
      <c r="BF19" s="224">
        <f t="shared" si="6"/>
        <v>0</v>
      </c>
      <c r="BG19" s="224">
        <f t="shared" si="6"/>
        <v>0</v>
      </c>
      <c r="BH19" s="224">
        <f t="shared" si="6"/>
        <v>0</v>
      </c>
      <c r="BI19" s="224">
        <f t="shared" si="6"/>
        <v>30</v>
      </c>
      <c r="BJ19" s="224">
        <f t="shared" si="6"/>
        <v>0</v>
      </c>
      <c r="BK19" s="224">
        <f t="shared" si="6"/>
        <v>0</v>
      </c>
      <c r="BL19" s="224">
        <f t="shared" si="6"/>
        <v>0</v>
      </c>
      <c r="BM19" s="224">
        <f t="shared" si="6"/>
        <v>0</v>
      </c>
      <c r="BN19" s="224">
        <f t="shared" si="6"/>
        <v>0</v>
      </c>
      <c r="BO19" s="224">
        <f t="shared" si="6"/>
        <v>0</v>
      </c>
      <c r="BP19" s="224">
        <f t="shared" si="6"/>
        <v>0</v>
      </c>
      <c r="BQ19" s="224">
        <f t="shared" si="6"/>
        <v>0</v>
      </c>
      <c r="BR19" s="224">
        <f t="shared" si="6"/>
        <v>0</v>
      </c>
      <c r="BS19" s="224">
        <f t="shared" si="6"/>
        <v>0</v>
      </c>
      <c r="BT19" s="224">
        <f t="shared" si="6"/>
        <v>0</v>
      </c>
      <c r="BU19" s="224">
        <f t="shared" ref="BU19:DI19" si="8">SUM(BU17:BU18)</f>
        <v>0</v>
      </c>
      <c r="BV19" s="224">
        <f t="shared" si="8"/>
        <v>0</v>
      </c>
      <c r="BW19" s="224">
        <f t="shared" si="8"/>
        <v>0</v>
      </c>
      <c r="BX19" s="224">
        <f t="shared" si="8"/>
        <v>0</v>
      </c>
      <c r="BY19" s="224">
        <f t="shared" si="8"/>
        <v>0</v>
      </c>
      <c r="BZ19" s="224">
        <f t="shared" si="8"/>
        <v>0</v>
      </c>
      <c r="CA19" s="224">
        <f t="shared" si="8"/>
        <v>0</v>
      </c>
      <c r="CB19" s="224">
        <f t="shared" si="8"/>
        <v>0</v>
      </c>
      <c r="CC19" s="224">
        <f t="shared" si="8"/>
        <v>0</v>
      </c>
      <c r="CD19" s="224">
        <f t="shared" si="8"/>
        <v>0</v>
      </c>
      <c r="CE19" s="224">
        <f t="shared" si="8"/>
        <v>0</v>
      </c>
      <c r="CF19" s="224">
        <f t="shared" si="8"/>
        <v>0</v>
      </c>
      <c r="CG19" s="224">
        <f t="shared" si="8"/>
        <v>0</v>
      </c>
      <c r="CH19" s="224">
        <f t="shared" si="8"/>
        <v>0</v>
      </c>
      <c r="CI19" s="224">
        <f t="shared" si="8"/>
        <v>0</v>
      </c>
      <c r="CJ19" s="224">
        <f t="shared" si="8"/>
        <v>0</v>
      </c>
      <c r="CK19" s="224">
        <f t="shared" si="8"/>
        <v>0</v>
      </c>
      <c r="CL19" s="224">
        <f t="shared" si="8"/>
        <v>0</v>
      </c>
      <c r="CM19" s="224">
        <f t="shared" si="8"/>
        <v>0</v>
      </c>
      <c r="CN19" s="224">
        <f t="shared" si="8"/>
        <v>0</v>
      </c>
      <c r="CO19" s="224">
        <f t="shared" si="8"/>
        <v>0</v>
      </c>
      <c r="CP19" s="224">
        <f t="shared" si="8"/>
        <v>0</v>
      </c>
      <c r="CQ19" s="224">
        <f t="shared" si="8"/>
        <v>0</v>
      </c>
      <c r="CR19" s="224">
        <f t="shared" si="8"/>
        <v>0</v>
      </c>
      <c r="CS19" s="224">
        <f t="shared" si="8"/>
        <v>0</v>
      </c>
      <c r="CT19" s="224">
        <f t="shared" si="8"/>
        <v>0</v>
      </c>
      <c r="CU19" s="224">
        <f t="shared" si="8"/>
        <v>0</v>
      </c>
      <c r="CV19" s="224">
        <f t="shared" si="8"/>
        <v>0</v>
      </c>
      <c r="CW19" s="224">
        <f t="shared" si="8"/>
        <v>0</v>
      </c>
      <c r="CX19" s="224">
        <f t="shared" si="8"/>
        <v>0</v>
      </c>
      <c r="CY19" s="224">
        <f t="shared" si="8"/>
        <v>0</v>
      </c>
      <c r="CZ19" s="224">
        <f t="shared" si="8"/>
        <v>0</v>
      </c>
      <c r="DA19" s="224">
        <f t="shared" si="8"/>
        <v>0</v>
      </c>
      <c r="DB19" s="224">
        <f t="shared" si="8"/>
        <v>0</v>
      </c>
      <c r="DC19" s="224">
        <f t="shared" si="8"/>
        <v>0</v>
      </c>
      <c r="DD19" s="224">
        <f t="shared" si="8"/>
        <v>0</v>
      </c>
      <c r="DE19" s="224">
        <f t="shared" si="8"/>
        <v>0</v>
      </c>
      <c r="DF19" s="224">
        <f t="shared" si="8"/>
        <v>0</v>
      </c>
      <c r="DG19" s="224">
        <f t="shared" si="8"/>
        <v>0</v>
      </c>
      <c r="DH19" s="224">
        <f t="shared" si="8"/>
        <v>0</v>
      </c>
      <c r="DI19" s="224">
        <f t="shared" si="8"/>
        <v>0</v>
      </c>
      <c r="DJ19" s="224"/>
      <c r="DK19" s="224"/>
      <c r="DL19" s="224"/>
      <c r="DM19" s="224"/>
      <c r="DN19" s="224"/>
      <c r="DO19" s="224"/>
      <c r="DP19" s="224"/>
      <c r="DQ19" s="224"/>
      <c r="DR19" s="224"/>
      <c r="DS19" s="224"/>
      <c r="DT19" s="224"/>
      <c r="DU19" s="224"/>
      <c r="DV19" s="224"/>
      <c r="DW19" s="224"/>
      <c r="DX19" s="224"/>
      <c r="DY19" s="224"/>
      <c r="DZ19" s="224"/>
      <c r="EA19" s="224"/>
      <c r="EB19" s="224"/>
      <c r="EC19" s="224"/>
      <c r="ED19" s="224"/>
      <c r="EE19" s="224"/>
      <c r="EF19" s="224"/>
      <c r="EG19" s="224"/>
      <c r="EH19" s="224"/>
      <c r="EI19" s="224"/>
      <c r="EJ19" s="224"/>
      <c r="EK19" s="224"/>
      <c r="EL19" s="224"/>
      <c r="EM19" s="224"/>
      <c r="EN19" s="224"/>
      <c r="EO19" s="224"/>
      <c r="EP19" s="224"/>
    </row>
    <row r="20" spans="1:147" s="2" customFormat="1" ht="14.45" customHeight="1" thickBot="1" x14ac:dyDescent="0.25">
      <c r="A20" s="230" t="s">
        <v>613</v>
      </c>
      <c r="B20" s="232">
        <f>+B16+7</f>
        <v>45649</v>
      </c>
      <c r="C20" s="231" t="s">
        <v>614</v>
      </c>
      <c r="D20" s="233">
        <f>+D16+7</f>
        <v>45653</v>
      </c>
      <c r="E20" s="213" t="s">
        <v>102</v>
      </c>
      <c r="F20" s="214" t="s">
        <v>103</v>
      </c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19"/>
      <c r="BK20" s="219"/>
      <c r="BL20" s="219"/>
      <c r="BM20" s="219"/>
      <c r="BN20" s="219"/>
      <c r="BO20" s="219"/>
      <c r="BP20" s="219"/>
      <c r="BQ20" s="219"/>
      <c r="BR20" s="219"/>
      <c r="BS20" s="219"/>
      <c r="BT20" s="219"/>
      <c r="BU20" s="219"/>
      <c r="BV20" s="219"/>
      <c r="BW20" s="219"/>
      <c r="BX20" s="219"/>
      <c r="BY20" s="219"/>
      <c r="BZ20" s="219"/>
      <c r="CA20" s="219"/>
      <c r="CB20" s="219"/>
      <c r="CC20" s="219"/>
      <c r="CD20" s="219"/>
      <c r="CE20" s="219"/>
      <c r="CF20" s="219"/>
      <c r="CG20" s="219"/>
      <c r="CH20" s="219"/>
      <c r="CI20" s="219"/>
      <c r="CJ20" s="219"/>
      <c r="CK20" s="219"/>
      <c r="CL20" s="219"/>
      <c r="CM20" s="219"/>
      <c r="CN20" s="219"/>
      <c r="CO20" s="219"/>
      <c r="CP20" s="219"/>
      <c r="CQ20" s="219"/>
      <c r="CR20" s="219"/>
      <c r="CS20" s="219"/>
      <c r="CT20" s="219"/>
      <c r="CU20" s="219"/>
      <c r="CV20" s="220"/>
      <c r="CW20" s="219"/>
      <c r="CX20" s="219"/>
      <c r="CY20" s="219"/>
      <c r="CZ20" s="219"/>
      <c r="DA20" s="219"/>
      <c r="DB20" s="219"/>
      <c r="DC20" s="219"/>
      <c r="DD20" s="219"/>
      <c r="DE20" s="219"/>
      <c r="DF20" s="219"/>
      <c r="DG20" s="219"/>
      <c r="DH20" s="219"/>
      <c r="DI20" s="221"/>
      <c r="DJ20" s="221"/>
      <c r="DK20" s="221"/>
      <c r="DL20" s="221"/>
      <c r="DM20" s="221"/>
      <c r="DN20" s="221"/>
      <c r="DO20" s="221"/>
      <c r="DP20" s="221"/>
      <c r="DQ20" s="221"/>
      <c r="DR20" s="221"/>
      <c r="DS20" s="221"/>
      <c r="DT20" s="221"/>
      <c r="DU20" s="221"/>
      <c r="DV20" s="221"/>
      <c r="DW20" s="221"/>
      <c r="DX20" s="221"/>
      <c r="DY20" s="221"/>
      <c r="DZ20" s="221"/>
      <c r="EA20" s="221"/>
      <c r="EB20" s="221"/>
      <c r="EC20" s="221"/>
      <c r="ED20" s="221"/>
      <c r="EE20" s="221"/>
      <c r="EF20" s="221"/>
      <c r="EG20" s="221"/>
      <c r="EH20" s="221"/>
      <c r="EI20" s="221"/>
      <c r="EJ20" s="221"/>
      <c r="EK20" s="221"/>
      <c r="EL20" s="221"/>
      <c r="EM20" s="221"/>
      <c r="EN20" s="221"/>
      <c r="EO20" s="221"/>
      <c r="EP20" s="221"/>
    </row>
    <row r="21" spans="1:147" s="2" customFormat="1" x14ac:dyDescent="0.2">
      <c r="A21" s="854" t="s">
        <v>74</v>
      </c>
      <c r="B21" s="855"/>
      <c r="C21" s="855"/>
      <c r="D21" s="856"/>
      <c r="E21" s="215"/>
      <c r="F21" s="216"/>
      <c r="G21" s="735"/>
      <c r="H21" s="736"/>
      <c r="I21" s="736"/>
      <c r="J21" s="736"/>
      <c r="K21" s="736"/>
      <c r="L21" s="736"/>
      <c r="M21" s="736"/>
      <c r="N21" s="736"/>
      <c r="O21" s="736"/>
      <c r="P21" s="736"/>
      <c r="Q21" s="736"/>
      <c r="R21" s="736"/>
      <c r="S21" s="736"/>
      <c r="T21" s="736"/>
      <c r="U21" s="736"/>
      <c r="V21" s="736"/>
      <c r="W21" s="736"/>
      <c r="X21" s="736"/>
      <c r="Y21" s="736"/>
      <c r="Z21" s="736"/>
      <c r="AA21" s="737"/>
      <c r="AB21" s="737"/>
      <c r="AC21" s="737"/>
      <c r="AD21" s="737"/>
      <c r="AE21" s="737"/>
      <c r="AF21" s="737"/>
      <c r="AG21" s="737"/>
      <c r="AH21" s="737"/>
      <c r="AI21" s="737"/>
      <c r="AJ21" s="737"/>
      <c r="AK21" s="737"/>
      <c r="AL21" s="737"/>
      <c r="AM21" s="737"/>
      <c r="AN21" s="737"/>
      <c r="AO21" s="219"/>
      <c r="AP21" s="219"/>
      <c r="AQ21" s="219"/>
      <c r="AR21" s="219"/>
      <c r="AS21" s="219"/>
      <c r="AT21" s="219"/>
      <c r="AU21" s="219"/>
      <c r="AV21" s="219"/>
      <c r="AW21" s="219"/>
      <c r="AX21" s="219"/>
      <c r="AY21" s="219"/>
      <c r="AZ21" s="219"/>
      <c r="BA21" s="219"/>
      <c r="BB21" s="219"/>
      <c r="BC21" s="219"/>
      <c r="BD21" s="219"/>
      <c r="BE21" s="219"/>
      <c r="BF21" s="219"/>
      <c r="BG21" s="219"/>
      <c r="BH21" s="219"/>
      <c r="BI21" s="219"/>
      <c r="BJ21" s="219"/>
      <c r="BK21" s="219"/>
      <c r="BL21" s="219"/>
      <c r="BM21" s="219"/>
      <c r="BN21" s="219"/>
      <c r="BO21" s="219"/>
      <c r="BP21" s="219"/>
      <c r="BQ21" s="219"/>
      <c r="BR21" s="219"/>
      <c r="BS21" s="219"/>
      <c r="BT21" s="219"/>
      <c r="BU21" s="219"/>
      <c r="BV21" s="219"/>
      <c r="BW21" s="219"/>
      <c r="BX21" s="219"/>
      <c r="BY21" s="219"/>
      <c r="BZ21" s="219"/>
      <c r="CA21" s="219"/>
      <c r="CB21" s="219"/>
      <c r="CC21" s="219"/>
      <c r="CD21" s="219"/>
      <c r="CE21" s="219"/>
      <c r="CF21" s="219"/>
      <c r="CG21" s="219"/>
      <c r="CH21" s="219"/>
      <c r="CI21" s="219"/>
      <c r="CJ21" s="219"/>
      <c r="CK21" s="219"/>
      <c r="CL21" s="219"/>
      <c r="CM21" s="219"/>
      <c r="CN21" s="219"/>
      <c r="CO21" s="219"/>
      <c r="CP21" s="219"/>
      <c r="CQ21" s="219"/>
      <c r="CR21" s="219"/>
      <c r="CS21" s="219"/>
      <c r="CT21" s="219"/>
      <c r="CU21" s="219"/>
      <c r="CV21" s="220"/>
      <c r="CW21" s="219"/>
      <c r="CX21" s="219"/>
      <c r="CY21" s="219"/>
      <c r="CZ21" s="219"/>
      <c r="DA21" s="219"/>
      <c r="DB21" s="219"/>
      <c r="DC21" s="219"/>
      <c r="DD21" s="219"/>
      <c r="DE21" s="219"/>
      <c r="DF21" s="219"/>
      <c r="DG21" s="219"/>
      <c r="DH21" s="219"/>
      <c r="DI21" s="221"/>
      <c r="DJ21" s="221"/>
      <c r="DK21" s="221"/>
      <c r="DL21" s="221"/>
      <c r="DM21" s="221"/>
      <c r="DN21" s="221"/>
      <c r="DO21" s="221"/>
      <c r="DP21" s="221"/>
      <c r="DQ21" s="221"/>
      <c r="DR21" s="221"/>
      <c r="DS21" s="221"/>
      <c r="DT21" s="221"/>
      <c r="DU21" s="221"/>
      <c r="DV21" s="221"/>
      <c r="DW21" s="221"/>
      <c r="DX21" s="221"/>
      <c r="DY21" s="221"/>
      <c r="DZ21" s="221"/>
      <c r="EA21" s="221"/>
      <c r="EB21" s="221"/>
      <c r="EC21" s="221"/>
      <c r="ED21" s="221"/>
      <c r="EE21" s="221"/>
      <c r="EF21" s="221"/>
      <c r="EG21" s="221"/>
      <c r="EH21" s="221"/>
      <c r="EI21" s="221"/>
      <c r="EJ21" s="221"/>
      <c r="EK21" s="221"/>
      <c r="EL21" s="221"/>
      <c r="EM21" s="221"/>
      <c r="EN21" s="221"/>
      <c r="EO21" s="221"/>
      <c r="EP21" s="221"/>
    </row>
    <row r="22" spans="1:147" s="2" customFormat="1" ht="15.75" thickBot="1" x14ac:dyDescent="0.25">
      <c r="A22" s="857" t="s">
        <v>109</v>
      </c>
      <c r="B22" s="858"/>
      <c r="C22" s="858"/>
      <c r="D22" s="859"/>
      <c r="E22" s="217"/>
      <c r="F22" s="218"/>
      <c r="G22" s="219"/>
      <c r="H22" s="219"/>
      <c r="I22" s="219"/>
      <c r="J22" s="219"/>
      <c r="K22" s="219"/>
      <c r="L22" s="219"/>
      <c r="M22" s="219"/>
      <c r="N22" s="219"/>
      <c r="O22" s="219"/>
      <c r="P22" s="219"/>
      <c r="Q22" s="219"/>
      <c r="R22" s="219"/>
      <c r="S22" s="219"/>
      <c r="T22" s="219"/>
      <c r="U22" s="219"/>
      <c r="V22" s="219"/>
      <c r="W22" s="219"/>
      <c r="X22" s="219"/>
      <c r="Y22" s="219"/>
      <c r="Z22" s="219"/>
      <c r="AA22" s="219"/>
      <c r="AB22" s="219"/>
      <c r="AC22" s="219"/>
      <c r="AD22" s="219"/>
      <c r="AE22" s="219"/>
      <c r="AF22" s="219"/>
      <c r="AG22" s="219"/>
      <c r="AH22" s="219"/>
      <c r="AI22" s="219"/>
      <c r="AJ22" s="219"/>
      <c r="AK22" s="219"/>
      <c r="AL22" s="219"/>
      <c r="AM22" s="219"/>
      <c r="AN22" s="219"/>
      <c r="AO22" s="219"/>
      <c r="AP22" s="219"/>
      <c r="AQ22" s="219"/>
      <c r="AR22" s="219"/>
      <c r="AS22" s="219"/>
      <c r="AT22" s="219"/>
      <c r="AU22" s="219"/>
      <c r="AV22" s="219"/>
      <c r="AW22" s="219"/>
      <c r="AX22" s="219"/>
      <c r="AY22" s="219"/>
      <c r="AZ22" s="219"/>
      <c r="BA22" s="219"/>
      <c r="BB22" s="219"/>
      <c r="BC22" s="219"/>
      <c r="BD22" s="219"/>
      <c r="BE22" s="219"/>
      <c r="BF22" s="219"/>
      <c r="BG22" s="219"/>
      <c r="BH22" s="219"/>
      <c r="BI22" s="219"/>
      <c r="BJ22" s="219"/>
      <c r="BK22" s="219"/>
      <c r="BL22" s="219"/>
      <c r="BM22" s="219"/>
      <c r="BN22" s="219"/>
      <c r="BO22" s="219"/>
      <c r="BP22" s="219"/>
      <c r="BQ22" s="219"/>
      <c r="BR22" s="219"/>
      <c r="BS22" s="219"/>
      <c r="BT22" s="219"/>
      <c r="BU22" s="219"/>
      <c r="BV22" s="219"/>
      <c r="BW22" s="219"/>
      <c r="BX22" s="219"/>
      <c r="BY22" s="219"/>
      <c r="BZ22" s="219"/>
      <c r="CA22" s="219"/>
      <c r="CB22" s="219"/>
      <c r="CC22" s="219"/>
      <c r="CD22" s="219"/>
      <c r="CE22" s="219"/>
      <c r="CF22" s="219"/>
      <c r="CG22" s="219"/>
      <c r="CH22" s="219"/>
      <c r="CI22" s="219"/>
      <c r="CJ22" s="219"/>
      <c r="CK22" s="219"/>
      <c r="CL22" s="219"/>
      <c r="CM22" s="219"/>
      <c r="CN22" s="219"/>
      <c r="CO22" s="219"/>
      <c r="CP22" s="219"/>
      <c r="CQ22" s="219"/>
      <c r="CR22" s="219"/>
      <c r="CS22" s="219"/>
      <c r="CT22" s="219"/>
      <c r="CU22" s="219"/>
      <c r="CV22" s="220"/>
      <c r="CW22" s="219"/>
      <c r="CX22" s="219"/>
      <c r="CY22" s="219"/>
      <c r="CZ22" s="219"/>
      <c r="DA22" s="219"/>
      <c r="DB22" s="219"/>
      <c r="DC22" s="219"/>
      <c r="DD22" s="219"/>
      <c r="DE22" s="219"/>
      <c r="DF22" s="219"/>
      <c r="DG22" s="219"/>
      <c r="DH22" s="219"/>
      <c r="DI22" s="221"/>
      <c r="DJ22" s="221"/>
      <c r="DK22" s="221"/>
      <c r="DL22" s="221"/>
      <c r="DM22" s="221"/>
      <c r="DN22" s="221"/>
      <c r="DO22" s="221"/>
      <c r="DP22" s="221"/>
      <c r="DQ22" s="221"/>
      <c r="DR22" s="221"/>
      <c r="DS22" s="221"/>
      <c r="DT22" s="221"/>
      <c r="DU22" s="221"/>
      <c r="DV22" s="221"/>
      <c r="DW22" s="221"/>
      <c r="DX22" s="221"/>
      <c r="DY22" s="221"/>
      <c r="DZ22" s="221"/>
      <c r="EA22" s="221"/>
      <c r="EB22" s="221"/>
      <c r="EC22" s="221"/>
      <c r="ED22" s="221"/>
      <c r="EE22" s="221"/>
      <c r="EF22" s="221"/>
      <c r="EG22" s="221"/>
      <c r="EH22" s="221"/>
      <c r="EI22" s="221"/>
      <c r="EJ22" s="221"/>
      <c r="EK22" s="221"/>
      <c r="EL22" s="221"/>
      <c r="EM22" s="221"/>
      <c r="EN22" s="221"/>
      <c r="EO22" s="221"/>
      <c r="EP22" s="221"/>
    </row>
    <row r="23" spans="1:147" s="2" customFormat="1" ht="15.75" thickBot="1" x14ac:dyDescent="0.25">
      <c r="A23" s="844" t="s">
        <v>110</v>
      </c>
      <c r="B23" s="845"/>
      <c r="C23" s="845"/>
      <c r="D23" s="845"/>
      <c r="E23" s="222">
        <f>SUM(E21:E22)</f>
        <v>0</v>
      </c>
      <c r="F23" s="223">
        <f>SUM(F21:F22)</f>
        <v>0</v>
      </c>
      <c r="G23" s="224">
        <f t="shared" ref="G23:BT23" si="9">SUM(G21:G22)</f>
        <v>0</v>
      </c>
      <c r="H23" s="224">
        <f t="shared" si="9"/>
        <v>0</v>
      </c>
      <c r="I23" s="224">
        <f t="shared" si="9"/>
        <v>0</v>
      </c>
      <c r="J23" s="224">
        <f t="shared" si="9"/>
        <v>0</v>
      </c>
      <c r="K23" s="224">
        <f t="shared" si="9"/>
        <v>0</v>
      </c>
      <c r="L23" s="224">
        <f t="shared" si="9"/>
        <v>0</v>
      </c>
      <c r="M23" s="224">
        <f t="shared" si="9"/>
        <v>0</v>
      </c>
      <c r="N23" s="224">
        <f t="shared" si="9"/>
        <v>0</v>
      </c>
      <c r="O23" s="224">
        <f t="shared" si="9"/>
        <v>0</v>
      </c>
      <c r="P23" s="224">
        <f t="shared" si="9"/>
        <v>0</v>
      </c>
      <c r="Q23" s="224">
        <f t="shared" si="9"/>
        <v>0</v>
      </c>
      <c r="R23" s="224">
        <f t="shared" si="9"/>
        <v>0</v>
      </c>
      <c r="S23" s="224">
        <f t="shared" si="9"/>
        <v>0</v>
      </c>
      <c r="T23" s="224">
        <f t="shared" si="9"/>
        <v>0</v>
      </c>
      <c r="U23" s="224">
        <f t="shared" si="9"/>
        <v>0</v>
      </c>
      <c r="V23" s="224">
        <f t="shared" si="9"/>
        <v>0</v>
      </c>
      <c r="W23" s="224">
        <f t="shared" si="9"/>
        <v>0</v>
      </c>
      <c r="X23" s="224">
        <f t="shared" si="9"/>
        <v>0</v>
      </c>
      <c r="Y23" s="224">
        <f t="shared" si="9"/>
        <v>0</v>
      </c>
      <c r="Z23" s="224">
        <f t="shared" ref="Z23" si="10">SUM(Z21:Z22)</f>
        <v>0</v>
      </c>
      <c r="AA23" s="224">
        <f t="shared" si="9"/>
        <v>0</v>
      </c>
      <c r="AB23" s="224">
        <f t="shared" si="9"/>
        <v>0</v>
      </c>
      <c r="AC23" s="224">
        <f t="shared" si="9"/>
        <v>0</v>
      </c>
      <c r="AD23" s="224">
        <f t="shared" si="9"/>
        <v>0</v>
      </c>
      <c r="AE23" s="224">
        <f t="shared" si="9"/>
        <v>0</v>
      </c>
      <c r="AF23" s="224">
        <f t="shared" si="9"/>
        <v>0</v>
      </c>
      <c r="AG23" s="224">
        <f t="shared" si="9"/>
        <v>0</v>
      </c>
      <c r="AH23" s="224">
        <f t="shared" si="9"/>
        <v>0</v>
      </c>
      <c r="AI23" s="224">
        <f t="shared" si="9"/>
        <v>0</v>
      </c>
      <c r="AJ23" s="224">
        <f t="shared" si="9"/>
        <v>0</v>
      </c>
      <c r="AK23" s="224">
        <f t="shared" si="9"/>
        <v>0</v>
      </c>
      <c r="AL23" s="224">
        <f t="shared" si="9"/>
        <v>0</v>
      </c>
      <c r="AM23" s="224">
        <f t="shared" si="9"/>
        <v>0</v>
      </c>
      <c r="AN23" s="224">
        <f t="shared" si="9"/>
        <v>0</v>
      </c>
      <c r="AO23" s="224">
        <f t="shared" si="9"/>
        <v>0</v>
      </c>
      <c r="AP23" s="224">
        <f t="shared" si="9"/>
        <v>0</v>
      </c>
      <c r="AQ23" s="224">
        <f t="shared" si="9"/>
        <v>0</v>
      </c>
      <c r="AR23" s="224">
        <f t="shared" si="9"/>
        <v>0</v>
      </c>
      <c r="AS23" s="224">
        <f t="shared" si="9"/>
        <v>0</v>
      </c>
      <c r="AT23" s="224">
        <f t="shared" si="9"/>
        <v>0</v>
      </c>
      <c r="AU23" s="224">
        <f t="shared" si="9"/>
        <v>0</v>
      </c>
      <c r="AV23" s="224">
        <f t="shared" si="9"/>
        <v>0</v>
      </c>
      <c r="AW23" s="224">
        <f t="shared" si="9"/>
        <v>0</v>
      </c>
      <c r="AX23" s="224">
        <f t="shared" si="9"/>
        <v>0</v>
      </c>
      <c r="AY23" s="224">
        <f t="shared" si="9"/>
        <v>0</v>
      </c>
      <c r="AZ23" s="224">
        <f t="shared" si="9"/>
        <v>0</v>
      </c>
      <c r="BA23" s="224">
        <f t="shared" si="9"/>
        <v>0</v>
      </c>
      <c r="BB23" s="224">
        <f t="shared" si="9"/>
        <v>0</v>
      </c>
      <c r="BC23" s="224">
        <f t="shared" si="9"/>
        <v>0</v>
      </c>
      <c r="BD23" s="224">
        <f t="shared" si="9"/>
        <v>0</v>
      </c>
      <c r="BE23" s="224">
        <f t="shared" si="9"/>
        <v>0</v>
      </c>
      <c r="BF23" s="224">
        <f t="shared" si="9"/>
        <v>0</v>
      </c>
      <c r="BG23" s="224">
        <f t="shared" si="9"/>
        <v>0</v>
      </c>
      <c r="BH23" s="224">
        <f t="shared" si="9"/>
        <v>0</v>
      </c>
      <c r="BI23" s="224">
        <f t="shared" si="9"/>
        <v>0</v>
      </c>
      <c r="BJ23" s="224">
        <f t="shared" si="9"/>
        <v>0</v>
      </c>
      <c r="BK23" s="224">
        <f t="shared" si="9"/>
        <v>0</v>
      </c>
      <c r="BL23" s="224">
        <f t="shared" si="9"/>
        <v>0</v>
      </c>
      <c r="BM23" s="224">
        <f t="shared" si="9"/>
        <v>0</v>
      </c>
      <c r="BN23" s="224">
        <f t="shared" si="9"/>
        <v>0</v>
      </c>
      <c r="BO23" s="224">
        <f t="shared" si="9"/>
        <v>0</v>
      </c>
      <c r="BP23" s="224">
        <f t="shared" si="9"/>
        <v>0</v>
      </c>
      <c r="BQ23" s="224">
        <f t="shared" si="9"/>
        <v>0</v>
      </c>
      <c r="BR23" s="224">
        <f t="shared" si="9"/>
        <v>0</v>
      </c>
      <c r="BS23" s="224">
        <f t="shared" si="9"/>
        <v>0</v>
      </c>
      <c r="BT23" s="224">
        <f t="shared" si="9"/>
        <v>0</v>
      </c>
      <c r="BU23" s="224">
        <f t="shared" ref="BU23:DI23" si="11">SUM(BU21:BU22)</f>
        <v>0</v>
      </c>
      <c r="BV23" s="224">
        <f t="shared" si="11"/>
        <v>0</v>
      </c>
      <c r="BW23" s="224">
        <f t="shared" si="11"/>
        <v>0</v>
      </c>
      <c r="BX23" s="224">
        <f t="shared" si="11"/>
        <v>0</v>
      </c>
      <c r="BY23" s="224">
        <f t="shared" si="11"/>
        <v>0</v>
      </c>
      <c r="BZ23" s="224">
        <f t="shared" si="11"/>
        <v>0</v>
      </c>
      <c r="CA23" s="224">
        <f t="shared" si="11"/>
        <v>0</v>
      </c>
      <c r="CB23" s="224">
        <f t="shared" si="11"/>
        <v>0</v>
      </c>
      <c r="CC23" s="224">
        <f t="shared" si="11"/>
        <v>0</v>
      </c>
      <c r="CD23" s="224">
        <f t="shared" si="11"/>
        <v>0</v>
      </c>
      <c r="CE23" s="224">
        <f t="shared" si="11"/>
        <v>0</v>
      </c>
      <c r="CF23" s="224">
        <f t="shared" si="11"/>
        <v>0</v>
      </c>
      <c r="CG23" s="224">
        <f t="shared" si="11"/>
        <v>0</v>
      </c>
      <c r="CH23" s="224">
        <f t="shared" si="11"/>
        <v>0</v>
      </c>
      <c r="CI23" s="224">
        <f t="shared" si="11"/>
        <v>0</v>
      </c>
      <c r="CJ23" s="224">
        <f t="shared" si="11"/>
        <v>0</v>
      </c>
      <c r="CK23" s="224">
        <f t="shared" si="11"/>
        <v>0</v>
      </c>
      <c r="CL23" s="224">
        <f t="shared" si="11"/>
        <v>0</v>
      </c>
      <c r="CM23" s="224">
        <f t="shared" si="11"/>
        <v>0</v>
      </c>
      <c r="CN23" s="224">
        <f t="shared" si="11"/>
        <v>0</v>
      </c>
      <c r="CO23" s="224">
        <f t="shared" si="11"/>
        <v>0</v>
      </c>
      <c r="CP23" s="224">
        <f t="shared" si="11"/>
        <v>0</v>
      </c>
      <c r="CQ23" s="224">
        <f t="shared" si="11"/>
        <v>0</v>
      </c>
      <c r="CR23" s="224">
        <f t="shared" si="11"/>
        <v>0</v>
      </c>
      <c r="CS23" s="224">
        <f t="shared" si="11"/>
        <v>0</v>
      </c>
      <c r="CT23" s="224">
        <f t="shared" si="11"/>
        <v>0</v>
      </c>
      <c r="CU23" s="224">
        <f t="shared" si="11"/>
        <v>0</v>
      </c>
      <c r="CV23" s="224">
        <f t="shared" si="11"/>
        <v>0</v>
      </c>
      <c r="CW23" s="224">
        <f t="shared" si="11"/>
        <v>0</v>
      </c>
      <c r="CX23" s="224">
        <f t="shared" si="11"/>
        <v>0</v>
      </c>
      <c r="CY23" s="224">
        <f t="shared" si="11"/>
        <v>0</v>
      </c>
      <c r="CZ23" s="224">
        <f t="shared" si="11"/>
        <v>0</v>
      </c>
      <c r="DA23" s="224">
        <f t="shared" si="11"/>
        <v>0</v>
      </c>
      <c r="DB23" s="224">
        <f t="shared" si="11"/>
        <v>0</v>
      </c>
      <c r="DC23" s="224">
        <f t="shared" si="11"/>
        <v>0</v>
      </c>
      <c r="DD23" s="224">
        <f t="shared" si="11"/>
        <v>0</v>
      </c>
      <c r="DE23" s="224">
        <f t="shared" si="11"/>
        <v>0</v>
      </c>
      <c r="DF23" s="224">
        <f t="shared" si="11"/>
        <v>0</v>
      </c>
      <c r="DG23" s="224">
        <f t="shared" si="11"/>
        <v>0</v>
      </c>
      <c r="DH23" s="224">
        <f t="shared" si="11"/>
        <v>0</v>
      </c>
      <c r="DI23" s="224">
        <f t="shared" si="11"/>
        <v>0</v>
      </c>
      <c r="DJ23" s="224"/>
      <c r="DK23" s="224"/>
      <c r="DL23" s="224"/>
      <c r="DM23" s="224"/>
      <c r="DN23" s="224"/>
      <c r="DO23" s="224"/>
      <c r="DP23" s="224"/>
      <c r="DQ23" s="224"/>
      <c r="DR23" s="224"/>
      <c r="DS23" s="224"/>
      <c r="DT23" s="224"/>
      <c r="DU23" s="224"/>
      <c r="DV23" s="224"/>
      <c r="DW23" s="224"/>
      <c r="DX23" s="224"/>
      <c r="DY23" s="224"/>
      <c r="DZ23" s="224"/>
      <c r="EA23" s="224"/>
      <c r="EB23" s="224"/>
      <c r="EC23" s="224"/>
      <c r="ED23" s="224"/>
      <c r="EE23" s="224"/>
      <c r="EF23" s="224"/>
      <c r="EG23" s="224"/>
      <c r="EH23" s="224"/>
      <c r="EI23" s="224"/>
      <c r="EJ23" s="224"/>
      <c r="EK23" s="224"/>
      <c r="EL23" s="224"/>
      <c r="EM23" s="224"/>
      <c r="EN23" s="224"/>
      <c r="EO23" s="224"/>
      <c r="EP23" s="224"/>
    </row>
    <row r="24" spans="1:147" s="2" customFormat="1" ht="14.45" customHeight="1" thickBot="1" x14ac:dyDescent="0.25">
      <c r="A24" s="230" t="s">
        <v>613</v>
      </c>
      <c r="B24" s="232"/>
      <c r="C24" s="231" t="s">
        <v>614</v>
      </c>
      <c r="D24" s="233"/>
      <c r="E24" s="213" t="s">
        <v>102</v>
      </c>
      <c r="F24" s="214" t="s">
        <v>103</v>
      </c>
      <c r="G24" s="219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19"/>
      <c r="AE24" s="219"/>
      <c r="AF24" s="219"/>
      <c r="AG24" s="219"/>
      <c r="AH24" s="219"/>
      <c r="AI24" s="219"/>
      <c r="AJ24" s="219"/>
      <c r="AK24" s="219"/>
      <c r="AL24" s="219"/>
      <c r="AM24" s="219"/>
      <c r="AN24" s="219"/>
      <c r="AO24" s="219"/>
      <c r="AP24" s="219"/>
      <c r="AQ24" s="219"/>
      <c r="AR24" s="219"/>
      <c r="AS24" s="219"/>
      <c r="AT24" s="219"/>
      <c r="AU24" s="219"/>
      <c r="AV24" s="219"/>
      <c r="AW24" s="219"/>
      <c r="AX24" s="219"/>
      <c r="AY24" s="219"/>
      <c r="AZ24" s="219"/>
      <c r="BA24" s="219"/>
      <c r="BB24" s="219"/>
      <c r="BC24" s="219"/>
      <c r="BD24" s="219"/>
      <c r="BE24" s="219"/>
      <c r="BF24" s="219"/>
      <c r="BG24" s="219"/>
      <c r="BH24" s="219"/>
      <c r="BI24" s="219"/>
      <c r="BJ24" s="219"/>
      <c r="BK24" s="219"/>
      <c r="BL24" s="219"/>
      <c r="BM24" s="219"/>
      <c r="BN24" s="219"/>
      <c r="BO24" s="219"/>
      <c r="BP24" s="219"/>
      <c r="BQ24" s="219"/>
      <c r="BR24" s="219"/>
      <c r="BS24" s="219"/>
      <c r="BT24" s="219"/>
      <c r="BU24" s="219"/>
      <c r="BV24" s="219"/>
      <c r="BW24" s="219"/>
      <c r="BX24" s="219"/>
      <c r="BY24" s="219"/>
      <c r="BZ24" s="219"/>
      <c r="CA24" s="219"/>
      <c r="CB24" s="219"/>
      <c r="CC24" s="219"/>
      <c r="CD24" s="219"/>
      <c r="CE24" s="219"/>
      <c r="CF24" s="219"/>
      <c r="CG24" s="219"/>
      <c r="CH24" s="219"/>
      <c r="CI24" s="219"/>
      <c r="CJ24" s="219"/>
      <c r="CK24" s="219"/>
      <c r="CL24" s="219"/>
      <c r="CM24" s="219"/>
      <c r="CN24" s="219"/>
      <c r="CO24" s="219"/>
      <c r="CP24" s="219"/>
      <c r="CQ24" s="219"/>
      <c r="CR24" s="219"/>
      <c r="CS24" s="219"/>
      <c r="CT24" s="219"/>
      <c r="CU24" s="219"/>
      <c r="CV24" s="220"/>
      <c r="CW24" s="219"/>
      <c r="CX24" s="219"/>
      <c r="CY24" s="219"/>
      <c r="CZ24" s="219"/>
      <c r="DA24" s="219"/>
      <c r="DB24" s="219"/>
      <c r="DC24" s="219"/>
      <c r="DD24" s="219"/>
      <c r="DE24" s="219"/>
      <c r="DF24" s="219"/>
      <c r="DG24" s="219"/>
      <c r="DH24" s="219"/>
      <c r="DI24" s="221"/>
      <c r="DJ24" s="221"/>
      <c r="DK24" s="221"/>
      <c r="DL24" s="221"/>
      <c r="DM24" s="221"/>
      <c r="DN24" s="221"/>
      <c r="DO24" s="221"/>
      <c r="DP24" s="221"/>
      <c r="DQ24" s="221"/>
      <c r="DR24" s="221"/>
      <c r="DS24" s="221"/>
      <c r="DT24" s="221"/>
      <c r="DU24" s="221"/>
      <c r="DV24" s="221"/>
      <c r="DW24" s="221"/>
      <c r="DX24" s="221"/>
      <c r="DY24" s="221"/>
      <c r="DZ24" s="221"/>
      <c r="EA24" s="221"/>
      <c r="EB24" s="221"/>
      <c r="EC24" s="221"/>
      <c r="ED24" s="221"/>
      <c r="EE24" s="221"/>
      <c r="EF24" s="221"/>
      <c r="EG24" s="221"/>
      <c r="EH24" s="221"/>
      <c r="EI24" s="221"/>
      <c r="EJ24" s="221"/>
      <c r="EK24" s="221"/>
      <c r="EL24" s="221"/>
      <c r="EM24" s="221"/>
      <c r="EN24" s="221"/>
      <c r="EO24" s="221"/>
      <c r="EP24" s="221"/>
    </row>
    <row r="25" spans="1:147" s="2" customFormat="1" x14ac:dyDescent="0.2">
      <c r="A25" s="854" t="s">
        <v>74</v>
      </c>
      <c r="B25" s="855"/>
      <c r="C25" s="855"/>
      <c r="D25" s="856"/>
      <c r="E25" s="215"/>
      <c r="F25" s="216"/>
      <c r="G25" s="219"/>
      <c r="H25" s="219"/>
      <c r="I25" s="219"/>
      <c r="J25" s="219"/>
      <c r="K25" s="219"/>
      <c r="L25" s="219"/>
      <c r="M25" s="219"/>
      <c r="N25" s="219"/>
      <c r="O25" s="219"/>
      <c r="P25" s="219"/>
      <c r="Q25" s="219"/>
      <c r="R25" s="219"/>
      <c r="S25" s="219"/>
      <c r="T25" s="219"/>
      <c r="U25" s="219"/>
      <c r="V25" s="219"/>
      <c r="W25" s="219"/>
      <c r="X25" s="219"/>
      <c r="Y25" s="219"/>
      <c r="Z25" s="219"/>
      <c r="AA25" s="219"/>
      <c r="AB25" s="219"/>
      <c r="AC25" s="219"/>
      <c r="AD25" s="219"/>
      <c r="AE25" s="219"/>
      <c r="AF25" s="219"/>
      <c r="AG25" s="219"/>
      <c r="AH25" s="219"/>
      <c r="AI25" s="219"/>
      <c r="AJ25" s="219"/>
      <c r="AK25" s="219"/>
      <c r="AL25" s="219"/>
      <c r="AM25" s="219"/>
      <c r="AN25" s="219"/>
      <c r="AO25" s="219"/>
      <c r="AP25" s="219"/>
      <c r="AQ25" s="219"/>
      <c r="AR25" s="219"/>
      <c r="AS25" s="219"/>
      <c r="AT25" s="219"/>
      <c r="AU25" s="219"/>
      <c r="AV25" s="219"/>
      <c r="AW25" s="219"/>
      <c r="AX25" s="219"/>
      <c r="AY25" s="219"/>
      <c r="AZ25" s="219"/>
      <c r="BA25" s="219"/>
      <c r="BB25" s="219"/>
      <c r="BC25" s="219"/>
      <c r="BD25" s="219"/>
      <c r="BE25" s="219"/>
      <c r="BF25" s="219"/>
      <c r="BG25" s="219"/>
      <c r="BH25" s="219"/>
      <c r="BI25" s="219"/>
      <c r="BJ25" s="219"/>
      <c r="BK25" s="219"/>
      <c r="BL25" s="219"/>
      <c r="BM25" s="219"/>
      <c r="BN25" s="219"/>
      <c r="BO25" s="219"/>
      <c r="BP25" s="219"/>
      <c r="BQ25" s="219"/>
      <c r="BR25" s="219"/>
      <c r="BS25" s="219"/>
      <c r="BT25" s="219"/>
      <c r="BU25" s="219"/>
      <c r="BV25" s="219"/>
      <c r="BW25" s="219"/>
      <c r="BX25" s="219"/>
      <c r="BY25" s="219"/>
      <c r="BZ25" s="219"/>
      <c r="CA25" s="219"/>
      <c r="CB25" s="219"/>
      <c r="CC25" s="219"/>
      <c r="CD25" s="219"/>
      <c r="CE25" s="219"/>
      <c r="CF25" s="219"/>
      <c r="CG25" s="219"/>
      <c r="CH25" s="219"/>
      <c r="CI25" s="219"/>
      <c r="CJ25" s="219"/>
      <c r="CK25" s="219"/>
      <c r="CL25" s="219"/>
      <c r="CM25" s="219"/>
      <c r="CN25" s="219"/>
      <c r="CO25" s="219"/>
      <c r="CP25" s="219"/>
      <c r="CQ25" s="219"/>
      <c r="CR25" s="219"/>
      <c r="CS25" s="219"/>
      <c r="CT25" s="219"/>
      <c r="CU25" s="219"/>
      <c r="CV25" s="220">
        <v>0</v>
      </c>
      <c r="CW25" s="219">
        <v>0</v>
      </c>
      <c r="CX25" s="219">
        <v>0</v>
      </c>
      <c r="CY25" s="219">
        <v>0</v>
      </c>
      <c r="CZ25" s="219">
        <v>0</v>
      </c>
      <c r="DA25" s="219">
        <v>0</v>
      </c>
      <c r="DB25" s="219">
        <v>0</v>
      </c>
      <c r="DC25" s="219">
        <v>0</v>
      </c>
      <c r="DD25" s="219">
        <v>0</v>
      </c>
      <c r="DE25" s="219">
        <v>0</v>
      </c>
      <c r="DF25" s="219">
        <v>0</v>
      </c>
      <c r="DG25" s="219">
        <v>0</v>
      </c>
      <c r="DH25" s="219">
        <v>0</v>
      </c>
      <c r="DI25" s="221">
        <v>0</v>
      </c>
      <c r="DJ25" s="221">
        <v>0</v>
      </c>
      <c r="DK25" s="221">
        <v>0</v>
      </c>
      <c r="DL25" s="221">
        <v>0</v>
      </c>
      <c r="DM25" s="221">
        <v>0</v>
      </c>
      <c r="DN25" s="221">
        <v>0</v>
      </c>
      <c r="DO25" s="221">
        <v>0</v>
      </c>
      <c r="DP25" s="221">
        <v>0</v>
      </c>
      <c r="DQ25" s="221">
        <v>0</v>
      </c>
      <c r="DR25" s="221">
        <v>0</v>
      </c>
      <c r="DS25" s="221">
        <v>0</v>
      </c>
      <c r="DT25" s="221">
        <v>0</v>
      </c>
      <c r="DU25" s="221">
        <v>0</v>
      </c>
      <c r="DV25" s="221">
        <v>0</v>
      </c>
      <c r="DW25" s="221">
        <v>0</v>
      </c>
      <c r="DX25" s="221">
        <v>0</v>
      </c>
      <c r="DY25" s="221">
        <v>0</v>
      </c>
      <c r="DZ25" s="221">
        <v>0</v>
      </c>
      <c r="EA25" s="221">
        <v>0</v>
      </c>
      <c r="EB25" s="221">
        <v>0</v>
      </c>
      <c r="EC25" s="221">
        <v>0</v>
      </c>
      <c r="ED25" s="221">
        <v>0</v>
      </c>
      <c r="EE25" s="221">
        <v>0</v>
      </c>
      <c r="EF25" s="221">
        <v>0</v>
      </c>
      <c r="EG25" s="221">
        <v>0</v>
      </c>
      <c r="EH25" s="221">
        <v>0</v>
      </c>
      <c r="EI25" s="221">
        <v>0</v>
      </c>
      <c r="EJ25" s="221">
        <v>0</v>
      </c>
      <c r="EK25" s="221">
        <v>0</v>
      </c>
      <c r="EL25" s="221">
        <v>0</v>
      </c>
      <c r="EM25" s="221">
        <v>0</v>
      </c>
      <c r="EN25" s="221">
        <v>0</v>
      </c>
      <c r="EO25" s="221">
        <v>0</v>
      </c>
      <c r="EP25" s="221">
        <v>49</v>
      </c>
    </row>
    <row r="26" spans="1:147" s="2" customFormat="1" ht="15.75" thickBot="1" x14ac:dyDescent="0.25">
      <c r="A26" s="857" t="s">
        <v>109</v>
      </c>
      <c r="B26" s="858"/>
      <c r="C26" s="858"/>
      <c r="D26" s="859"/>
      <c r="E26" s="217"/>
      <c r="F26" s="218"/>
      <c r="G26" s="219"/>
      <c r="H26" s="219"/>
      <c r="I26" s="219"/>
      <c r="J26" s="219"/>
      <c r="K26" s="219"/>
      <c r="L26" s="219"/>
      <c r="M26" s="219"/>
      <c r="N26" s="219"/>
      <c r="O26" s="219"/>
      <c r="P26" s="219"/>
      <c r="Q26" s="219"/>
      <c r="R26" s="219"/>
      <c r="S26" s="219"/>
      <c r="T26" s="219"/>
      <c r="U26" s="219"/>
      <c r="V26" s="219"/>
      <c r="W26" s="219"/>
      <c r="X26" s="219"/>
      <c r="Y26" s="219"/>
      <c r="Z26" s="219"/>
      <c r="AA26" s="219"/>
      <c r="AB26" s="219"/>
      <c r="AC26" s="219"/>
      <c r="AD26" s="219"/>
      <c r="AE26" s="219"/>
      <c r="AF26" s="219"/>
      <c r="AG26" s="219"/>
      <c r="AH26" s="219"/>
      <c r="AI26" s="219"/>
      <c r="AJ26" s="219"/>
      <c r="AK26" s="219"/>
      <c r="AL26" s="219"/>
      <c r="AM26" s="219"/>
      <c r="AN26" s="219"/>
      <c r="AO26" s="219"/>
      <c r="AP26" s="219"/>
      <c r="AQ26" s="219"/>
      <c r="AR26" s="219"/>
      <c r="AS26" s="219"/>
      <c r="AT26" s="219"/>
      <c r="AU26" s="219"/>
      <c r="AV26" s="219"/>
      <c r="AW26" s="219"/>
      <c r="AX26" s="219"/>
      <c r="AY26" s="219"/>
      <c r="AZ26" s="219"/>
      <c r="BA26" s="219"/>
      <c r="BB26" s="219"/>
      <c r="BC26" s="219"/>
      <c r="BD26" s="219"/>
      <c r="BE26" s="219"/>
      <c r="BF26" s="219"/>
      <c r="BG26" s="219"/>
      <c r="BH26" s="219"/>
      <c r="BI26" s="219"/>
      <c r="BJ26" s="219"/>
      <c r="BK26" s="219"/>
      <c r="BL26" s="219"/>
      <c r="BM26" s="219"/>
      <c r="BN26" s="219"/>
      <c r="BO26" s="219"/>
      <c r="BP26" s="219"/>
      <c r="BQ26" s="219"/>
      <c r="BR26" s="219"/>
      <c r="BS26" s="219"/>
      <c r="BT26" s="219"/>
      <c r="BU26" s="219"/>
      <c r="BV26" s="219"/>
      <c r="BW26" s="219"/>
      <c r="BX26" s="219"/>
      <c r="BY26" s="219"/>
      <c r="BZ26" s="219"/>
      <c r="CA26" s="219"/>
      <c r="CB26" s="219"/>
      <c r="CC26" s="219"/>
      <c r="CD26" s="219"/>
      <c r="CE26" s="219"/>
      <c r="CF26" s="219"/>
      <c r="CG26" s="219"/>
      <c r="CH26" s="219"/>
      <c r="CI26" s="219"/>
      <c r="CJ26" s="219"/>
      <c r="CK26" s="219"/>
      <c r="CL26" s="219"/>
      <c r="CM26" s="219"/>
      <c r="CN26" s="219"/>
      <c r="CO26" s="219"/>
      <c r="CP26" s="219"/>
      <c r="CQ26" s="219"/>
      <c r="CR26" s="219"/>
      <c r="CS26" s="219"/>
      <c r="CT26" s="219"/>
      <c r="CU26" s="219"/>
      <c r="CV26" s="220">
        <v>0</v>
      </c>
      <c r="CW26" s="219">
        <v>0</v>
      </c>
      <c r="CX26" s="219">
        <v>0</v>
      </c>
      <c r="CY26" s="219">
        <v>0</v>
      </c>
      <c r="CZ26" s="219">
        <v>0</v>
      </c>
      <c r="DA26" s="219">
        <v>0</v>
      </c>
      <c r="DB26" s="219">
        <v>0</v>
      </c>
      <c r="DC26" s="219">
        <v>0</v>
      </c>
      <c r="DD26" s="219">
        <v>0</v>
      </c>
      <c r="DE26" s="219">
        <v>0</v>
      </c>
      <c r="DF26" s="219">
        <v>0</v>
      </c>
      <c r="DG26" s="219">
        <v>0</v>
      </c>
      <c r="DH26" s="219">
        <v>0</v>
      </c>
      <c r="DI26" s="221">
        <v>0</v>
      </c>
      <c r="DJ26" s="221">
        <v>0</v>
      </c>
      <c r="DK26" s="221">
        <v>0</v>
      </c>
      <c r="DL26" s="221">
        <v>0</v>
      </c>
      <c r="DM26" s="221">
        <v>0</v>
      </c>
      <c r="DN26" s="221">
        <v>0</v>
      </c>
      <c r="DO26" s="221">
        <v>0</v>
      </c>
      <c r="DP26" s="221">
        <v>0</v>
      </c>
      <c r="DQ26" s="221">
        <v>0</v>
      </c>
      <c r="DR26" s="221">
        <v>0</v>
      </c>
      <c r="DS26" s="221">
        <v>0</v>
      </c>
      <c r="DT26" s="221">
        <v>0</v>
      </c>
      <c r="DU26" s="221">
        <v>0</v>
      </c>
      <c r="DV26" s="221">
        <v>0</v>
      </c>
      <c r="DW26" s="221">
        <v>0</v>
      </c>
      <c r="DX26" s="221">
        <v>0</v>
      </c>
      <c r="DY26" s="221">
        <v>0</v>
      </c>
      <c r="DZ26" s="221">
        <v>0</v>
      </c>
      <c r="EA26" s="221">
        <v>0</v>
      </c>
      <c r="EB26" s="221">
        <v>0</v>
      </c>
      <c r="EC26" s="221">
        <v>39</v>
      </c>
      <c r="ED26" s="221">
        <v>0</v>
      </c>
      <c r="EE26" s="221">
        <v>0</v>
      </c>
      <c r="EF26" s="221">
        <v>0</v>
      </c>
      <c r="EG26" s="221">
        <v>0</v>
      </c>
      <c r="EH26" s="221">
        <v>0</v>
      </c>
      <c r="EI26" s="221">
        <v>0</v>
      </c>
      <c r="EJ26" s="221">
        <v>0</v>
      </c>
      <c r="EK26" s="221">
        <v>0</v>
      </c>
      <c r="EL26" s="221">
        <v>0</v>
      </c>
      <c r="EM26" s="221">
        <v>0</v>
      </c>
      <c r="EN26" s="221">
        <v>0</v>
      </c>
      <c r="EO26" s="221">
        <v>0</v>
      </c>
      <c r="EP26" s="221">
        <v>14</v>
      </c>
    </row>
    <row r="27" spans="1:147" s="2" customFormat="1" ht="15.75" thickBot="1" x14ac:dyDescent="0.25">
      <c r="A27" s="844" t="s">
        <v>110</v>
      </c>
      <c r="B27" s="845"/>
      <c r="C27" s="845"/>
      <c r="D27" s="845"/>
      <c r="E27" s="225">
        <f>SUM(E25:E26)</f>
        <v>0</v>
      </c>
      <c r="F27" s="226">
        <f>SUM(F25:F26)</f>
        <v>0</v>
      </c>
      <c r="G27" s="224">
        <f>SUM(G25:G26)</f>
        <v>0</v>
      </c>
      <c r="H27" s="224">
        <f t="shared" ref="H27:BU27" si="12">SUM(H25:H26)</f>
        <v>0</v>
      </c>
      <c r="I27" s="224">
        <f t="shared" si="12"/>
        <v>0</v>
      </c>
      <c r="J27" s="224">
        <f t="shared" si="12"/>
        <v>0</v>
      </c>
      <c r="K27" s="224">
        <f t="shared" si="12"/>
        <v>0</v>
      </c>
      <c r="L27" s="224">
        <f t="shared" si="12"/>
        <v>0</v>
      </c>
      <c r="M27" s="224">
        <f t="shared" si="12"/>
        <v>0</v>
      </c>
      <c r="N27" s="224">
        <f t="shared" si="12"/>
        <v>0</v>
      </c>
      <c r="O27" s="224">
        <f t="shared" si="12"/>
        <v>0</v>
      </c>
      <c r="P27" s="224">
        <f t="shared" si="12"/>
        <v>0</v>
      </c>
      <c r="Q27" s="224">
        <f t="shared" si="12"/>
        <v>0</v>
      </c>
      <c r="R27" s="224">
        <f t="shared" si="12"/>
        <v>0</v>
      </c>
      <c r="S27" s="224">
        <f t="shared" si="12"/>
        <v>0</v>
      </c>
      <c r="T27" s="224">
        <f t="shared" si="12"/>
        <v>0</v>
      </c>
      <c r="U27" s="224">
        <f t="shared" si="12"/>
        <v>0</v>
      </c>
      <c r="V27" s="224">
        <f t="shared" si="12"/>
        <v>0</v>
      </c>
      <c r="W27" s="224">
        <f t="shared" si="12"/>
        <v>0</v>
      </c>
      <c r="X27" s="224">
        <f t="shared" si="12"/>
        <v>0</v>
      </c>
      <c r="Y27" s="224">
        <f t="shared" si="12"/>
        <v>0</v>
      </c>
      <c r="Z27" s="224">
        <f t="shared" si="12"/>
        <v>0</v>
      </c>
      <c r="AA27" s="224">
        <f t="shared" si="12"/>
        <v>0</v>
      </c>
      <c r="AB27" s="224">
        <f t="shared" si="12"/>
        <v>0</v>
      </c>
      <c r="AC27" s="224">
        <f t="shared" si="12"/>
        <v>0</v>
      </c>
      <c r="AD27" s="224">
        <f t="shared" si="12"/>
        <v>0</v>
      </c>
      <c r="AE27" s="224">
        <f t="shared" si="12"/>
        <v>0</v>
      </c>
      <c r="AF27" s="224">
        <f t="shared" si="12"/>
        <v>0</v>
      </c>
      <c r="AG27" s="224">
        <f t="shared" si="12"/>
        <v>0</v>
      </c>
      <c r="AH27" s="224">
        <f t="shared" si="12"/>
        <v>0</v>
      </c>
      <c r="AI27" s="224">
        <f t="shared" si="12"/>
        <v>0</v>
      </c>
      <c r="AJ27" s="224">
        <f t="shared" si="12"/>
        <v>0</v>
      </c>
      <c r="AK27" s="224">
        <f t="shared" si="12"/>
        <v>0</v>
      </c>
      <c r="AL27" s="224">
        <f t="shared" si="12"/>
        <v>0</v>
      </c>
      <c r="AM27" s="224">
        <f t="shared" si="12"/>
        <v>0</v>
      </c>
      <c r="AN27" s="224">
        <f t="shared" si="12"/>
        <v>0</v>
      </c>
      <c r="AO27" s="224">
        <f t="shared" si="12"/>
        <v>0</v>
      </c>
      <c r="AP27" s="224">
        <f t="shared" si="12"/>
        <v>0</v>
      </c>
      <c r="AQ27" s="224">
        <f t="shared" si="12"/>
        <v>0</v>
      </c>
      <c r="AR27" s="224">
        <f t="shared" si="12"/>
        <v>0</v>
      </c>
      <c r="AS27" s="224">
        <f t="shared" si="12"/>
        <v>0</v>
      </c>
      <c r="AT27" s="224">
        <f t="shared" si="12"/>
        <v>0</v>
      </c>
      <c r="AU27" s="224">
        <f t="shared" si="12"/>
        <v>0</v>
      </c>
      <c r="AV27" s="224">
        <f t="shared" si="12"/>
        <v>0</v>
      </c>
      <c r="AW27" s="224">
        <f t="shared" si="12"/>
        <v>0</v>
      </c>
      <c r="AX27" s="224">
        <f t="shared" si="12"/>
        <v>0</v>
      </c>
      <c r="AY27" s="224">
        <f t="shared" si="12"/>
        <v>0</v>
      </c>
      <c r="AZ27" s="224">
        <f t="shared" si="12"/>
        <v>0</v>
      </c>
      <c r="BA27" s="224">
        <f t="shared" si="12"/>
        <v>0</v>
      </c>
      <c r="BB27" s="224">
        <f t="shared" si="12"/>
        <v>0</v>
      </c>
      <c r="BC27" s="224">
        <f t="shared" si="12"/>
        <v>0</v>
      </c>
      <c r="BD27" s="224">
        <f t="shared" si="12"/>
        <v>0</v>
      </c>
      <c r="BE27" s="224">
        <f t="shared" si="12"/>
        <v>0</v>
      </c>
      <c r="BF27" s="224">
        <f t="shared" si="12"/>
        <v>0</v>
      </c>
      <c r="BG27" s="224">
        <f t="shared" si="12"/>
        <v>0</v>
      </c>
      <c r="BH27" s="224">
        <f t="shared" si="12"/>
        <v>0</v>
      </c>
      <c r="BI27" s="224">
        <f t="shared" si="12"/>
        <v>0</v>
      </c>
      <c r="BJ27" s="224">
        <f t="shared" si="12"/>
        <v>0</v>
      </c>
      <c r="BK27" s="224">
        <f t="shared" si="12"/>
        <v>0</v>
      </c>
      <c r="BL27" s="224">
        <f t="shared" si="12"/>
        <v>0</v>
      </c>
      <c r="BM27" s="224">
        <f t="shared" si="12"/>
        <v>0</v>
      </c>
      <c r="BN27" s="224">
        <f t="shared" si="12"/>
        <v>0</v>
      </c>
      <c r="BO27" s="224">
        <f t="shared" si="12"/>
        <v>0</v>
      </c>
      <c r="BP27" s="224">
        <f t="shared" si="12"/>
        <v>0</v>
      </c>
      <c r="BQ27" s="224">
        <f t="shared" si="12"/>
        <v>0</v>
      </c>
      <c r="BR27" s="224">
        <f t="shared" si="12"/>
        <v>0</v>
      </c>
      <c r="BS27" s="224">
        <f t="shared" si="12"/>
        <v>0</v>
      </c>
      <c r="BT27" s="224">
        <f t="shared" si="12"/>
        <v>0</v>
      </c>
      <c r="BU27" s="224">
        <f t="shared" si="12"/>
        <v>0</v>
      </c>
      <c r="BV27" s="224">
        <f t="shared" ref="BV27:DI27" si="13">SUM(BV25:BV26)</f>
        <v>0</v>
      </c>
      <c r="BW27" s="224">
        <f t="shared" si="13"/>
        <v>0</v>
      </c>
      <c r="BX27" s="224">
        <f t="shared" si="13"/>
        <v>0</v>
      </c>
      <c r="BY27" s="224">
        <f t="shared" si="13"/>
        <v>0</v>
      </c>
      <c r="BZ27" s="224">
        <f t="shared" si="13"/>
        <v>0</v>
      </c>
      <c r="CA27" s="224">
        <f t="shared" si="13"/>
        <v>0</v>
      </c>
      <c r="CB27" s="224">
        <f t="shared" si="13"/>
        <v>0</v>
      </c>
      <c r="CC27" s="224">
        <f t="shared" si="13"/>
        <v>0</v>
      </c>
      <c r="CD27" s="224">
        <f t="shared" si="13"/>
        <v>0</v>
      </c>
      <c r="CE27" s="224">
        <f t="shared" si="13"/>
        <v>0</v>
      </c>
      <c r="CF27" s="224">
        <f t="shared" si="13"/>
        <v>0</v>
      </c>
      <c r="CG27" s="224">
        <f t="shared" si="13"/>
        <v>0</v>
      </c>
      <c r="CH27" s="224">
        <f t="shared" si="13"/>
        <v>0</v>
      </c>
      <c r="CI27" s="224">
        <f t="shared" si="13"/>
        <v>0</v>
      </c>
      <c r="CJ27" s="224">
        <f t="shared" si="13"/>
        <v>0</v>
      </c>
      <c r="CK27" s="224">
        <f t="shared" si="13"/>
        <v>0</v>
      </c>
      <c r="CL27" s="224">
        <f t="shared" si="13"/>
        <v>0</v>
      </c>
      <c r="CM27" s="224">
        <f t="shared" si="13"/>
        <v>0</v>
      </c>
      <c r="CN27" s="224">
        <f t="shared" si="13"/>
        <v>0</v>
      </c>
      <c r="CO27" s="224">
        <f t="shared" si="13"/>
        <v>0</v>
      </c>
      <c r="CP27" s="224">
        <f t="shared" si="13"/>
        <v>0</v>
      </c>
      <c r="CQ27" s="224">
        <f t="shared" si="13"/>
        <v>0</v>
      </c>
      <c r="CR27" s="224">
        <f t="shared" si="13"/>
        <v>0</v>
      </c>
      <c r="CS27" s="224">
        <f t="shared" si="13"/>
        <v>0</v>
      </c>
      <c r="CT27" s="224">
        <f t="shared" si="13"/>
        <v>0</v>
      </c>
      <c r="CU27" s="224">
        <f t="shared" si="13"/>
        <v>0</v>
      </c>
      <c r="CV27" s="224">
        <f t="shared" si="13"/>
        <v>0</v>
      </c>
      <c r="CW27" s="224">
        <f t="shared" si="13"/>
        <v>0</v>
      </c>
      <c r="CX27" s="224">
        <f t="shared" si="13"/>
        <v>0</v>
      </c>
      <c r="CY27" s="224">
        <f t="shared" si="13"/>
        <v>0</v>
      </c>
      <c r="CZ27" s="224">
        <f t="shared" si="13"/>
        <v>0</v>
      </c>
      <c r="DA27" s="224">
        <f t="shared" si="13"/>
        <v>0</v>
      </c>
      <c r="DB27" s="224">
        <f t="shared" si="13"/>
        <v>0</v>
      </c>
      <c r="DC27" s="224">
        <f t="shared" si="13"/>
        <v>0</v>
      </c>
      <c r="DD27" s="224">
        <f t="shared" si="13"/>
        <v>0</v>
      </c>
      <c r="DE27" s="224">
        <f t="shared" si="13"/>
        <v>0</v>
      </c>
      <c r="DF27" s="224">
        <f t="shared" si="13"/>
        <v>0</v>
      </c>
      <c r="DG27" s="224">
        <f t="shared" si="13"/>
        <v>0</v>
      </c>
      <c r="DH27" s="224">
        <f t="shared" si="13"/>
        <v>0</v>
      </c>
      <c r="DI27" s="224">
        <f t="shared" si="13"/>
        <v>0</v>
      </c>
      <c r="DJ27" s="224"/>
      <c r="DK27" s="224"/>
      <c r="DL27" s="224"/>
      <c r="DM27" s="224"/>
      <c r="DN27" s="224"/>
      <c r="DO27" s="224"/>
      <c r="DP27" s="224"/>
      <c r="DQ27" s="224"/>
      <c r="DR27" s="224"/>
      <c r="DS27" s="224"/>
      <c r="DT27" s="224"/>
      <c r="DU27" s="224"/>
      <c r="DV27" s="224"/>
      <c r="DW27" s="224"/>
      <c r="DX27" s="224"/>
      <c r="DY27" s="224"/>
      <c r="DZ27" s="224"/>
      <c r="EA27" s="224"/>
      <c r="EB27" s="224"/>
      <c r="EC27" s="224"/>
      <c r="ED27" s="224"/>
      <c r="EE27" s="224"/>
      <c r="EF27" s="224"/>
      <c r="EG27" s="224"/>
      <c r="EH27" s="224"/>
      <c r="EI27" s="224"/>
      <c r="EJ27" s="224"/>
      <c r="EK27" s="224"/>
      <c r="EL27" s="224"/>
      <c r="EM27" s="224"/>
      <c r="EN27" s="224"/>
      <c r="EO27" s="224"/>
      <c r="EP27" s="224"/>
    </row>
    <row r="28" spans="1:147" s="2" customFormat="1" ht="15.75" thickBot="1" x14ac:dyDescent="0.25">
      <c r="A28" s="846" t="s">
        <v>582</v>
      </c>
      <c r="B28" s="847"/>
      <c r="C28" s="847"/>
      <c r="D28" s="848"/>
      <c r="E28" s="227">
        <f>+E9+E13+E17+E21+E25</f>
        <v>553</v>
      </c>
      <c r="F28" s="227">
        <f t="shared" ref="F28:F29" si="14">+F9+F13+F17+F21+F25</f>
        <v>266</v>
      </c>
      <c r="G28" s="227">
        <f>+G9+G13+G17+G21+G25</f>
        <v>0</v>
      </c>
      <c r="H28" s="227">
        <f t="shared" ref="H28:BU29" si="15">+H9+H13+H17+H21+H25</f>
        <v>0</v>
      </c>
      <c r="I28" s="227">
        <f t="shared" si="15"/>
        <v>0</v>
      </c>
      <c r="J28" s="227">
        <f t="shared" si="15"/>
        <v>0</v>
      </c>
      <c r="K28" s="227">
        <f t="shared" si="15"/>
        <v>0</v>
      </c>
      <c r="L28" s="227">
        <f t="shared" si="15"/>
        <v>117</v>
      </c>
      <c r="M28" s="227">
        <f t="shared" si="15"/>
        <v>0</v>
      </c>
      <c r="N28" s="227">
        <f t="shared" si="15"/>
        <v>0</v>
      </c>
      <c r="O28" s="227">
        <f t="shared" si="15"/>
        <v>4</v>
      </c>
      <c r="P28" s="227">
        <f t="shared" si="15"/>
        <v>0</v>
      </c>
      <c r="Q28" s="227">
        <f t="shared" si="15"/>
        <v>0</v>
      </c>
      <c r="R28" s="227">
        <f t="shared" si="15"/>
        <v>0</v>
      </c>
      <c r="S28" s="227">
        <f t="shared" si="15"/>
        <v>0</v>
      </c>
      <c r="T28" s="227">
        <f t="shared" si="15"/>
        <v>0</v>
      </c>
      <c r="U28" s="227">
        <f t="shared" si="15"/>
        <v>0</v>
      </c>
      <c r="V28" s="227">
        <f t="shared" si="15"/>
        <v>0</v>
      </c>
      <c r="W28" s="227">
        <f t="shared" si="15"/>
        <v>0</v>
      </c>
      <c r="X28" s="227">
        <f t="shared" si="15"/>
        <v>0</v>
      </c>
      <c r="Y28" s="227">
        <f t="shared" si="15"/>
        <v>87</v>
      </c>
      <c r="Z28" s="227">
        <f t="shared" ref="Z28" si="16">+Z9+Z13+Z17+Z21+Z25</f>
        <v>8</v>
      </c>
      <c r="AA28" s="227">
        <f t="shared" si="15"/>
        <v>10</v>
      </c>
      <c r="AB28" s="227">
        <f t="shared" si="15"/>
        <v>4</v>
      </c>
      <c r="AC28" s="227">
        <f t="shared" si="15"/>
        <v>0</v>
      </c>
      <c r="AD28" s="227">
        <f t="shared" si="15"/>
        <v>0</v>
      </c>
      <c r="AE28" s="227">
        <f t="shared" si="15"/>
        <v>0</v>
      </c>
      <c r="AF28" s="227">
        <f t="shared" si="15"/>
        <v>0</v>
      </c>
      <c r="AG28" s="227">
        <f t="shared" si="15"/>
        <v>0</v>
      </c>
      <c r="AH28" s="227">
        <f t="shared" si="15"/>
        <v>32</v>
      </c>
      <c r="AI28" s="227">
        <f t="shared" si="15"/>
        <v>0</v>
      </c>
      <c r="AJ28" s="227">
        <f t="shared" si="15"/>
        <v>0</v>
      </c>
      <c r="AK28" s="227">
        <f t="shared" si="15"/>
        <v>0</v>
      </c>
      <c r="AL28" s="227">
        <f t="shared" si="15"/>
        <v>0</v>
      </c>
      <c r="AM28" s="227">
        <f t="shared" si="15"/>
        <v>20</v>
      </c>
      <c r="AN28" s="227">
        <f t="shared" si="15"/>
        <v>0</v>
      </c>
      <c r="AO28" s="227">
        <f t="shared" si="15"/>
        <v>0</v>
      </c>
      <c r="AP28" s="227">
        <f t="shared" si="15"/>
        <v>6</v>
      </c>
      <c r="AQ28" s="227">
        <f t="shared" si="15"/>
        <v>66</v>
      </c>
      <c r="AR28" s="227">
        <f t="shared" si="15"/>
        <v>0</v>
      </c>
      <c r="AS28" s="227">
        <f t="shared" si="15"/>
        <v>0</v>
      </c>
      <c r="AT28" s="227">
        <f t="shared" si="15"/>
        <v>80</v>
      </c>
      <c r="AU28" s="227">
        <f t="shared" si="15"/>
        <v>16</v>
      </c>
      <c r="AV28" s="227">
        <f t="shared" si="15"/>
        <v>2</v>
      </c>
      <c r="AW28" s="227">
        <f t="shared" si="15"/>
        <v>35</v>
      </c>
      <c r="AX28" s="227">
        <f t="shared" si="15"/>
        <v>0</v>
      </c>
      <c r="AY28" s="227">
        <f t="shared" si="15"/>
        <v>0</v>
      </c>
      <c r="AZ28" s="227">
        <f t="shared" si="15"/>
        <v>4</v>
      </c>
      <c r="BA28" s="227">
        <f t="shared" si="15"/>
        <v>0</v>
      </c>
      <c r="BB28" s="227">
        <f t="shared" si="15"/>
        <v>36</v>
      </c>
      <c r="BC28" s="227">
        <f t="shared" si="15"/>
        <v>0</v>
      </c>
      <c r="BD28" s="227">
        <f t="shared" si="15"/>
        <v>0</v>
      </c>
      <c r="BE28" s="227">
        <f t="shared" si="15"/>
        <v>0</v>
      </c>
      <c r="BF28" s="227">
        <f t="shared" si="15"/>
        <v>4</v>
      </c>
      <c r="BG28" s="227">
        <f t="shared" si="15"/>
        <v>7</v>
      </c>
      <c r="BH28" s="227">
        <f t="shared" si="15"/>
        <v>0</v>
      </c>
      <c r="BI28" s="227">
        <f t="shared" si="15"/>
        <v>15</v>
      </c>
      <c r="BJ28" s="227">
        <f t="shared" si="15"/>
        <v>0</v>
      </c>
      <c r="BK28" s="227">
        <f t="shared" si="15"/>
        <v>0</v>
      </c>
      <c r="BL28" s="227">
        <f t="shared" si="15"/>
        <v>0</v>
      </c>
      <c r="BM28" s="227">
        <f t="shared" si="15"/>
        <v>0</v>
      </c>
      <c r="BN28" s="227">
        <f t="shared" si="15"/>
        <v>0</v>
      </c>
      <c r="BO28" s="227">
        <f t="shared" si="15"/>
        <v>0</v>
      </c>
      <c r="BP28" s="227">
        <f t="shared" si="15"/>
        <v>0</v>
      </c>
      <c r="BQ28" s="227">
        <f t="shared" si="15"/>
        <v>0</v>
      </c>
      <c r="BR28" s="227">
        <f t="shared" si="15"/>
        <v>0</v>
      </c>
      <c r="BS28" s="227">
        <f t="shared" si="15"/>
        <v>0</v>
      </c>
      <c r="BT28" s="227">
        <f t="shared" si="15"/>
        <v>0</v>
      </c>
      <c r="BU28" s="227">
        <f t="shared" si="15"/>
        <v>0</v>
      </c>
      <c r="BV28" s="227">
        <f t="shared" ref="BV28:EG29" si="17">+BV9+BV13+BV17+BV21+BV25</f>
        <v>0</v>
      </c>
      <c r="BW28" s="227">
        <f t="shared" si="17"/>
        <v>0</v>
      </c>
      <c r="BX28" s="227">
        <f t="shared" si="17"/>
        <v>0</v>
      </c>
      <c r="BY28" s="227">
        <f t="shared" si="17"/>
        <v>0</v>
      </c>
      <c r="BZ28" s="227">
        <f t="shared" si="17"/>
        <v>0</v>
      </c>
      <c r="CA28" s="227">
        <f t="shared" si="17"/>
        <v>0</v>
      </c>
      <c r="CB28" s="227">
        <f t="shared" si="17"/>
        <v>0</v>
      </c>
      <c r="CC28" s="227">
        <f t="shared" si="17"/>
        <v>0</v>
      </c>
      <c r="CD28" s="227">
        <f t="shared" si="17"/>
        <v>0</v>
      </c>
      <c r="CE28" s="227">
        <f t="shared" si="17"/>
        <v>0</v>
      </c>
      <c r="CF28" s="227">
        <f t="shared" si="17"/>
        <v>0</v>
      </c>
      <c r="CG28" s="227">
        <f t="shared" si="17"/>
        <v>0</v>
      </c>
      <c r="CH28" s="227">
        <f t="shared" si="17"/>
        <v>0</v>
      </c>
      <c r="CI28" s="227">
        <f t="shared" si="17"/>
        <v>0</v>
      </c>
      <c r="CJ28" s="227">
        <f t="shared" si="17"/>
        <v>0</v>
      </c>
      <c r="CK28" s="227">
        <f t="shared" si="17"/>
        <v>0</v>
      </c>
      <c r="CL28" s="227">
        <f t="shared" si="17"/>
        <v>0</v>
      </c>
      <c r="CM28" s="227">
        <f t="shared" si="17"/>
        <v>0</v>
      </c>
      <c r="CN28" s="227">
        <f t="shared" si="17"/>
        <v>0</v>
      </c>
      <c r="CO28" s="227">
        <f t="shared" si="17"/>
        <v>0</v>
      </c>
      <c r="CP28" s="227">
        <f t="shared" si="17"/>
        <v>0</v>
      </c>
      <c r="CQ28" s="227">
        <f t="shared" si="17"/>
        <v>0</v>
      </c>
      <c r="CR28" s="227">
        <f t="shared" si="17"/>
        <v>0</v>
      </c>
      <c r="CS28" s="227">
        <f t="shared" si="17"/>
        <v>0</v>
      </c>
      <c r="CT28" s="227">
        <f t="shared" si="17"/>
        <v>0</v>
      </c>
      <c r="CU28" s="227">
        <f t="shared" si="17"/>
        <v>0</v>
      </c>
      <c r="CV28" s="227">
        <f t="shared" si="17"/>
        <v>0</v>
      </c>
      <c r="CW28" s="227">
        <f t="shared" si="17"/>
        <v>0</v>
      </c>
      <c r="CX28" s="227">
        <f t="shared" si="17"/>
        <v>0</v>
      </c>
      <c r="CY28" s="227">
        <f t="shared" si="17"/>
        <v>0</v>
      </c>
      <c r="CZ28" s="227">
        <f t="shared" si="17"/>
        <v>0</v>
      </c>
      <c r="DA28" s="227">
        <f t="shared" si="17"/>
        <v>0</v>
      </c>
      <c r="DB28" s="227">
        <f t="shared" si="17"/>
        <v>0</v>
      </c>
      <c r="DC28" s="227">
        <f t="shared" si="17"/>
        <v>0</v>
      </c>
      <c r="DD28" s="227">
        <f t="shared" si="17"/>
        <v>0</v>
      </c>
      <c r="DE28" s="227">
        <f t="shared" si="17"/>
        <v>0</v>
      </c>
      <c r="DF28" s="227">
        <f t="shared" si="17"/>
        <v>0</v>
      </c>
      <c r="DG28" s="227">
        <f t="shared" si="17"/>
        <v>0</v>
      </c>
      <c r="DH28" s="227">
        <f t="shared" si="17"/>
        <v>0</v>
      </c>
      <c r="DI28" s="227">
        <f t="shared" si="17"/>
        <v>0</v>
      </c>
      <c r="DJ28" s="227">
        <f t="shared" si="17"/>
        <v>0</v>
      </c>
      <c r="DK28" s="227">
        <f t="shared" si="17"/>
        <v>0</v>
      </c>
      <c r="DL28" s="227">
        <f t="shared" si="17"/>
        <v>0</v>
      </c>
      <c r="DM28" s="227">
        <f t="shared" si="17"/>
        <v>0</v>
      </c>
      <c r="DN28" s="227">
        <f t="shared" si="17"/>
        <v>0</v>
      </c>
      <c r="DO28" s="227">
        <f t="shared" si="17"/>
        <v>0</v>
      </c>
      <c r="DP28" s="227">
        <f t="shared" si="17"/>
        <v>0</v>
      </c>
      <c r="DQ28" s="227">
        <f t="shared" si="17"/>
        <v>0</v>
      </c>
      <c r="DR28" s="227">
        <f t="shared" si="17"/>
        <v>0</v>
      </c>
      <c r="DS28" s="227">
        <f t="shared" si="17"/>
        <v>0</v>
      </c>
      <c r="DT28" s="227">
        <f t="shared" si="17"/>
        <v>0</v>
      </c>
      <c r="DU28" s="227">
        <f t="shared" si="17"/>
        <v>0</v>
      </c>
      <c r="DV28" s="227">
        <f t="shared" si="17"/>
        <v>0</v>
      </c>
      <c r="DW28" s="227">
        <f t="shared" si="17"/>
        <v>0</v>
      </c>
      <c r="DX28" s="227">
        <f t="shared" si="17"/>
        <v>0</v>
      </c>
      <c r="DY28" s="227">
        <f t="shared" si="17"/>
        <v>0</v>
      </c>
      <c r="DZ28" s="227">
        <f t="shared" si="17"/>
        <v>0</v>
      </c>
      <c r="EA28" s="227">
        <f t="shared" si="17"/>
        <v>0</v>
      </c>
      <c r="EB28" s="227">
        <f t="shared" si="17"/>
        <v>0</v>
      </c>
      <c r="EC28" s="227">
        <f t="shared" si="17"/>
        <v>234</v>
      </c>
      <c r="ED28" s="227">
        <f t="shared" si="17"/>
        <v>0</v>
      </c>
      <c r="EE28" s="227">
        <f t="shared" si="17"/>
        <v>16</v>
      </c>
      <c r="EF28" s="227">
        <f t="shared" si="17"/>
        <v>0</v>
      </c>
      <c r="EG28" s="227">
        <f t="shared" si="17"/>
        <v>0</v>
      </c>
      <c r="EH28" s="227">
        <f t="shared" ref="EH28:EP29" si="18">+EH9+EH13+EH17+EH21+EH25</f>
        <v>0</v>
      </c>
      <c r="EI28" s="227">
        <f t="shared" si="18"/>
        <v>8</v>
      </c>
      <c r="EJ28" s="227">
        <f t="shared" si="18"/>
        <v>0</v>
      </c>
      <c r="EK28" s="227">
        <f t="shared" si="18"/>
        <v>0</v>
      </c>
      <c r="EL28" s="227">
        <f t="shared" si="18"/>
        <v>0</v>
      </c>
      <c r="EM28" s="227">
        <f t="shared" si="18"/>
        <v>0</v>
      </c>
      <c r="EN28" s="227">
        <f t="shared" si="18"/>
        <v>0</v>
      </c>
      <c r="EO28" s="227">
        <f t="shared" si="18"/>
        <v>8</v>
      </c>
      <c r="EP28" s="227">
        <f t="shared" si="18"/>
        <v>49</v>
      </c>
    </row>
    <row r="29" spans="1:147" s="2" customFormat="1" ht="15.75" thickBot="1" x14ac:dyDescent="0.25">
      <c r="A29" s="846" t="s">
        <v>583</v>
      </c>
      <c r="B29" s="847"/>
      <c r="C29" s="847"/>
      <c r="D29" s="848"/>
      <c r="E29" s="227">
        <f>+E10+E14+E18+E22+E26</f>
        <v>222.5</v>
      </c>
      <c r="F29" s="227">
        <f t="shared" si="14"/>
        <v>128.5</v>
      </c>
      <c r="G29" s="227">
        <f>+G10+G14+G18+G22+G26</f>
        <v>0</v>
      </c>
      <c r="H29" s="227">
        <f t="shared" si="15"/>
        <v>0</v>
      </c>
      <c r="I29" s="227">
        <f t="shared" si="15"/>
        <v>0</v>
      </c>
      <c r="J29" s="227">
        <f t="shared" si="15"/>
        <v>0</v>
      </c>
      <c r="K29" s="227">
        <f t="shared" si="15"/>
        <v>0</v>
      </c>
      <c r="L29" s="227">
        <f t="shared" si="15"/>
        <v>0</v>
      </c>
      <c r="M29" s="227">
        <f t="shared" si="15"/>
        <v>0</v>
      </c>
      <c r="N29" s="227">
        <f t="shared" si="15"/>
        <v>0</v>
      </c>
      <c r="O29" s="227">
        <f t="shared" si="15"/>
        <v>0</v>
      </c>
      <c r="P29" s="227">
        <f t="shared" si="15"/>
        <v>0</v>
      </c>
      <c r="Q29" s="227">
        <f t="shared" si="15"/>
        <v>0</v>
      </c>
      <c r="R29" s="227">
        <f t="shared" si="15"/>
        <v>0</v>
      </c>
      <c r="S29" s="227">
        <f t="shared" si="15"/>
        <v>0</v>
      </c>
      <c r="T29" s="227">
        <f t="shared" si="15"/>
        <v>0</v>
      </c>
      <c r="U29" s="227">
        <f t="shared" si="15"/>
        <v>0</v>
      </c>
      <c r="V29" s="227">
        <f t="shared" si="15"/>
        <v>0</v>
      </c>
      <c r="W29" s="227">
        <f t="shared" si="15"/>
        <v>0</v>
      </c>
      <c r="X29" s="227">
        <f t="shared" si="15"/>
        <v>0</v>
      </c>
      <c r="Y29" s="227">
        <f t="shared" si="15"/>
        <v>0</v>
      </c>
      <c r="Z29" s="227">
        <f t="shared" ref="Z29" si="19">+Z10+Z14+Z18+Z22+Z26</f>
        <v>0</v>
      </c>
      <c r="AA29" s="227">
        <f t="shared" si="15"/>
        <v>91.5</v>
      </c>
      <c r="AB29" s="227">
        <f t="shared" si="15"/>
        <v>0</v>
      </c>
      <c r="AC29" s="227">
        <f t="shared" si="15"/>
        <v>0</v>
      </c>
      <c r="AD29" s="227">
        <f t="shared" si="15"/>
        <v>0</v>
      </c>
      <c r="AE29" s="227">
        <f t="shared" si="15"/>
        <v>0</v>
      </c>
      <c r="AF29" s="227">
        <f t="shared" si="15"/>
        <v>8</v>
      </c>
      <c r="AG29" s="227">
        <f t="shared" si="15"/>
        <v>0</v>
      </c>
      <c r="AH29" s="227">
        <f t="shared" si="15"/>
        <v>3</v>
      </c>
      <c r="AI29" s="227">
        <f t="shared" si="15"/>
        <v>0</v>
      </c>
      <c r="AJ29" s="227">
        <f t="shared" si="15"/>
        <v>0</v>
      </c>
      <c r="AK29" s="227">
        <f t="shared" si="15"/>
        <v>0</v>
      </c>
      <c r="AL29" s="227">
        <f t="shared" si="15"/>
        <v>0</v>
      </c>
      <c r="AM29" s="227">
        <f t="shared" si="15"/>
        <v>0</v>
      </c>
      <c r="AN29" s="227">
        <f t="shared" si="15"/>
        <v>0</v>
      </c>
      <c r="AO29" s="227">
        <f t="shared" si="15"/>
        <v>0</v>
      </c>
      <c r="AP29" s="227">
        <f t="shared" si="15"/>
        <v>3</v>
      </c>
      <c r="AQ29" s="227">
        <f t="shared" si="15"/>
        <v>4</v>
      </c>
      <c r="AR29" s="227">
        <f t="shared" si="15"/>
        <v>0</v>
      </c>
      <c r="AS29" s="227">
        <f t="shared" si="15"/>
        <v>0</v>
      </c>
      <c r="AT29" s="227">
        <f t="shared" si="15"/>
        <v>8</v>
      </c>
      <c r="AU29" s="227">
        <f t="shared" si="15"/>
        <v>0</v>
      </c>
      <c r="AV29" s="227">
        <f t="shared" si="15"/>
        <v>0</v>
      </c>
      <c r="AW29" s="227">
        <f t="shared" si="15"/>
        <v>8</v>
      </c>
      <c r="AX29" s="227">
        <f t="shared" si="15"/>
        <v>0</v>
      </c>
      <c r="AY29" s="227">
        <f t="shared" si="15"/>
        <v>0</v>
      </c>
      <c r="AZ29" s="227">
        <f t="shared" si="15"/>
        <v>15</v>
      </c>
      <c r="BA29" s="227">
        <f t="shared" si="15"/>
        <v>0</v>
      </c>
      <c r="BB29" s="227">
        <f t="shared" si="15"/>
        <v>60</v>
      </c>
      <c r="BC29" s="227">
        <f t="shared" si="15"/>
        <v>0</v>
      </c>
      <c r="BD29" s="227">
        <f t="shared" si="15"/>
        <v>0</v>
      </c>
      <c r="BE29" s="227">
        <f t="shared" si="15"/>
        <v>0</v>
      </c>
      <c r="BF29" s="227">
        <f t="shared" si="15"/>
        <v>7</v>
      </c>
      <c r="BG29" s="227">
        <f t="shared" si="15"/>
        <v>0</v>
      </c>
      <c r="BH29" s="227">
        <f t="shared" si="15"/>
        <v>0</v>
      </c>
      <c r="BI29" s="227">
        <f t="shared" si="15"/>
        <v>15</v>
      </c>
      <c r="BJ29" s="227">
        <f t="shared" si="15"/>
        <v>0</v>
      </c>
      <c r="BK29" s="227">
        <f t="shared" si="15"/>
        <v>0</v>
      </c>
      <c r="BL29" s="227">
        <f t="shared" si="15"/>
        <v>0</v>
      </c>
      <c r="BM29" s="227">
        <f t="shared" si="15"/>
        <v>0</v>
      </c>
      <c r="BN29" s="227">
        <f t="shared" si="15"/>
        <v>0</v>
      </c>
      <c r="BO29" s="227">
        <f t="shared" si="15"/>
        <v>0</v>
      </c>
      <c r="BP29" s="227">
        <f t="shared" si="15"/>
        <v>0</v>
      </c>
      <c r="BQ29" s="227">
        <f t="shared" si="15"/>
        <v>0</v>
      </c>
      <c r="BR29" s="227">
        <f t="shared" si="15"/>
        <v>0</v>
      </c>
      <c r="BS29" s="227">
        <f t="shared" si="15"/>
        <v>0</v>
      </c>
      <c r="BT29" s="227">
        <f t="shared" si="15"/>
        <v>0</v>
      </c>
      <c r="BU29" s="227">
        <f t="shared" si="15"/>
        <v>0</v>
      </c>
      <c r="BV29" s="227">
        <f t="shared" si="17"/>
        <v>0</v>
      </c>
      <c r="BW29" s="227">
        <f t="shared" si="17"/>
        <v>0</v>
      </c>
      <c r="BX29" s="227">
        <f t="shared" si="17"/>
        <v>0</v>
      </c>
      <c r="BY29" s="227">
        <f t="shared" si="17"/>
        <v>0</v>
      </c>
      <c r="BZ29" s="227">
        <f t="shared" si="17"/>
        <v>0</v>
      </c>
      <c r="CA29" s="227">
        <f t="shared" si="17"/>
        <v>0</v>
      </c>
      <c r="CB29" s="227">
        <f t="shared" si="17"/>
        <v>0</v>
      </c>
      <c r="CC29" s="227">
        <f t="shared" si="17"/>
        <v>0</v>
      </c>
      <c r="CD29" s="227">
        <f t="shared" si="17"/>
        <v>0</v>
      </c>
      <c r="CE29" s="227">
        <f t="shared" si="17"/>
        <v>0</v>
      </c>
      <c r="CF29" s="227">
        <f t="shared" si="17"/>
        <v>0</v>
      </c>
      <c r="CG29" s="227">
        <f t="shared" si="17"/>
        <v>0</v>
      </c>
      <c r="CH29" s="227">
        <f t="shared" si="17"/>
        <v>0</v>
      </c>
      <c r="CI29" s="227">
        <f t="shared" si="17"/>
        <v>0</v>
      </c>
      <c r="CJ29" s="227">
        <f t="shared" si="17"/>
        <v>0</v>
      </c>
      <c r="CK29" s="227">
        <f t="shared" si="17"/>
        <v>0</v>
      </c>
      <c r="CL29" s="227">
        <f t="shared" si="17"/>
        <v>0</v>
      </c>
      <c r="CM29" s="227">
        <f t="shared" si="17"/>
        <v>0</v>
      </c>
      <c r="CN29" s="227">
        <f t="shared" si="17"/>
        <v>0</v>
      </c>
      <c r="CO29" s="227">
        <f t="shared" si="17"/>
        <v>0</v>
      </c>
      <c r="CP29" s="227">
        <f t="shared" si="17"/>
        <v>0</v>
      </c>
      <c r="CQ29" s="227">
        <f t="shared" si="17"/>
        <v>0</v>
      </c>
      <c r="CR29" s="227">
        <f t="shared" si="17"/>
        <v>0</v>
      </c>
      <c r="CS29" s="227">
        <f t="shared" si="17"/>
        <v>0</v>
      </c>
      <c r="CT29" s="227">
        <f t="shared" si="17"/>
        <v>0</v>
      </c>
      <c r="CU29" s="227">
        <f t="shared" si="17"/>
        <v>0</v>
      </c>
      <c r="CV29" s="227">
        <f t="shared" si="17"/>
        <v>0</v>
      </c>
      <c r="CW29" s="227">
        <f t="shared" si="17"/>
        <v>0</v>
      </c>
      <c r="CX29" s="227">
        <f t="shared" si="17"/>
        <v>0</v>
      </c>
      <c r="CY29" s="227">
        <f t="shared" si="17"/>
        <v>0</v>
      </c>
      <c r="CZ29" s="227">
        <f t="shared" si="17"/>
        <v>0</v>
      </c>
      <c r="DA29" s="227">
        <f t="shared" si="17"/>
        <v>0</v>
      </c>
      <c r="DB29" s="227">
        <f t="shared" si="17"/>
        <v>0</v>
      </c>
      <c r="DC29" s="227">
        <f t="shared" si="17"/>
        <v>0</v>
      </c>
      <c r="DD29" s="227">
        <f t="shared" si="17"/>
        <v>0</v>
      </c>
      <c r="DE29" s="227">
        <f t="shared" si="17"/>
        <v>0</v>
      </c>
      <c r="DF29" s="227">
        <f t="shared" si="17"/>
        <v>0</v>
      </c>
      <c r="DG29" s="227">
        <f t="shared" si="17"/>
        <v>0</v>
      </c>
      <c r="DH29" s="227">
        <f t="shared" si="17"/>
        <v>0</v>
      </c>
      <c r="DI29" s="227">
        <f t="shared" si="17"/>
        <v>0</v>
      </c>
      <c r="DJ29" s="227">
        <f t="shared" si="17"/>
        <v>0</v>
      </c>
      <c r="DK29" s="227">
        <f t="shared" si="17"/>
        <v>0</v>
      </c>
      <c r="DL29" s="227">
        <f t="shared" si="17"/>
        <v>0</v>
      </c>
      <c r="DM29" s="227">
        <f t="shared" si="17"/>
        <v>0</v>
      </c>
      <c r="DN29" s="227">
        <f t="shared" si="17"/>
        <v>0</v>
      </c>
      <c r="DO29" s="227">
        <f t="shared" si="17"/>
        <v>0</v>
      </c>
      <c r="DP29" s="227">
        <f t="shared" si="17"/>
        <v>0</v>
      </c>
      <c r="DQ29" s="227">
        <f t="shared" si="17"/>
        <v>0</v>
      </c>
      <c r="DR29" s="227">
        <f t="shared" si="17"/>
        <v>0</v>
      </c>
      <c r="DS29" s="227">
        <f t="shared" si="17"/>
        <v>0</v>
      </c>
      <c r="DT29" s="227">
        <f t="shared" si="17"/>
        <v>0</v>
      </c>
      <c r="DU29" s="227">
        <f t="shared" si="17"/>
        <v>0</v>
      </c>
      <c r="DV29" s="227">
        <f t="shared" si="17"/>
        <v>0</v>
      </c>
      <c r="DW29" s="227">
        <f t="shared" si="17"/>
        <v>0</v>
      </c>
      <c r="DX29" s="227">
        <f t="shared" si="17"/>
        <v>0</v>
      </c>
      <c r="DY29" s="227">
        <f t="shared" si="17"/>
        <v>0</v>
      </c>
      <c r="DZ29" s="227">
        <f t="shared" si="17"/>
        <v>0</v>
      </c>
      <c r="EA29" s="227">
        <f t="shared" si="17"/>
        <v>0</v>
      </c>
      <c r="EB29" s="227">
        <f t="shared" si="17"/>
        <v>0</v>
      </c>
      <c r="EC29" s="227">
        <f t="shared" si="17"/>
        <v>156</v>
      </c>
      <c r="ED29" s="227">
        <f t="shared" si="17"/>
        <v>0</v>
      </c>
      <c r="EE29" s="227">
        <f t="shared" si="17"/>
        <v>1</v>
      </c>
      <c r="EF29" s="227">
        <f t="shared" si="17"/>
        <v>0</v>
      </c>
      <c r="EG29" s="227">
        <f t="shared" si="17"/>
        <v>0</v>
      </c>
      <c r="EH29" s="227">
        <f t="shared" si="18"/>
        <v>10.5</v>
      </c>
      <c r="EI29" s="227">
        <f t="shared" si="18"/>
        <v>0</v>
      </c>
      <c r="EJ29" s="227">
        <f t="shared" si="18"/>
        <v>0</v>
      </c>
      <c r="EK29" s="227">
        <f t="shared" si="18"/>
        <v>0</v>
      </c>
      <c r="EL29" s="227">
        <f t="shared" si="18"/>
        <v>0</v>
      </c>
      <c r="EM29" s="227">
        <f t="shared" si="18"/>
        <v>0</v>
      </c>
      <c r="EN29" s="227">
        <f t="shared" si="18"/>
        <v>0</v>
      </c>
      <c r="EO29" s="227">
        <f t="shared" si="18"/>
        <v>0</v>
      </c>
      <c r="EP29" s="227">
        <f t="shared" si="18"/>
        <v>14</v>
      </c>
    </row>
    <row r="30" spans="1:147" s="2" customFormat="1" ht="15.75" thickBot="1" x14ac:dyDescent="0.25">
      <c r="A30" s="849" t="s">
        <v>584</v>
      </c>
      <c r="B30" s="850"/>
      <c r="C30" s="850"/>
      <c r="D30" s="851"/>
      <c r="E30" s="228">
        <f>+SUM(E9:E27)/2</f>
        <v>775.5</v>
      </c>
      <c r="F30" s="228">
        <f>+SUM(F9:F26)/2</f>
        <v>394.5</v>
      </c>
      <c r="G30" s="228">
        <f>+SUM(G9:G26)/2</f>
        <v>0</v>
      </c>
      <c r="H30" s="228">
        <f t="shared" ref="H30:BU30" si="20">+SUM(H9:H26)/2</f>
        <v>0</v>
      </c>
      <c r="I30" s="228">
        <f t="shared" si="20"/>
        <v>0</v>
      </c>
      <c r="J30" s="228">
        <f t="shared" si="20"/>
        <v>0</v>
      </c>
      <c r="K30" s="228">
        <f t="shared" si="20"/>
        <v>0</v>
      </c>
      <c r="L30" s="228">
        <f t="shared" si="20"/>
        <v>117</v>
      </c>
      <c r="M30" s="228">
        <f t="shared" si="20"/>
        <v>0</v>
      </c>
      <c r="N30" s="228">
        <f t="shared" si="20"/>
        <v>0</v>
      </c>
      <c r="O30" s="228">
        <f t="shared" si="20"/>
        <v>4</v>
      </c>
      <c r="P30" s="228">
        <f t="shared" si="20"/>
        <v>0</v>
      </c>
      <c r="Q30" s="228">
        <f t="shared" si="20"/>
        <v>0</v>
      </c>
      <c r="R30" s="228">
        <f t="shared" si="20"/>
        <v>0</v>
      </c>
      <c r="S30" s="228">
        <f t="shared" si="20"/>
        <v>0</v>
      </c>
      <c r="T30" s="228">
        <f t="shared" si="20"/>
        <v>0</v>
      </c>
      <c r="U30" s="228">
        <f t="shared" si="20"/>
        <v>0</v>
      </c>
      <c r="V30" s="228">
        <f t="shared" si="20"/>
        <v>0</v>
      </c>
      <c r="W30" s="228">
        <f t="shared" si="20"/>
        <v>0</v>
      </c>
      <c r="X30" s="228">
        <f t="shared" si="20"/>
        <v>0</v>
      </c>
      <c r="Y30" s="228">
        <f t="shared" si="20"/>
        <v>87</v>
      </c>
      <c r="Z30" s="228">
        <f t="shared" ref="Z30" si="21">+SUM(Z9:Z26)/2</f>
        <v>8</v>
      </c>
      <c r="AA30" s="228">
        <f t="shared" si="20"/>
        <v>101.5</v>
      </c>
      <c r="AB30" s="228">
        <f t="shared" si="20"/>
        <v>4</v>
      </c>
      <c r="AC30" s="228">
        <f t="shared" si="20"/>
        <v>0</v>
      </c>
      <c r="AD30" s="228">
        <f t="shared" si="20"/>
        <v>0</v>
      </c>
      <c r="AE30" s="228">
        <f t="shared" si="20"/>
        <v>0</v>
      </c>
      <c r="AF30" s="228">
        <f t="shared" si="20"/>
        <v>8</v>
      </c>
      <c r="AG30" s="228">
        <f t="shared" si="20"/>
        <v>0</v>
      </c>
      <c r="AH30" s="228">
        <f t="shared" si="20"/>
        <v>35</v>
      </c>
      <c r="AI30" s="228">
        <f t="shared" si="20"/>
        <v>0</v>
      </c>
      <c r="AJ30" s="228">
        <f t="shared" si="20"/>
        <v>0</v>
      </c>
      <c r="AK30" s="228">
        <f t="shared" si="20"/>
        <v>0</v>
      </c>
      <c r="AL30" s="228">
        <f t="shared" si="20"/>
        <v>0</v>
      </c>
      <c r="AM30" s="228">
        <f t="shared" si="20"/>
        <v>20</v>
      </c>
      <c r="AN30" s="228">
        <f t="shared" si="20"/>
        <v>0</v>
      </c>
      <c r="AO30" s="228">
        <f t="shared" si="20"/>
        <v>0</v>
      </c>
      <c r="AP30" s="228">
        <f t="shared" si="20"/>
        <v>9</v>
      </c>
      <c r="AQ30" s="228">
        <f t="shared" si="20"/>
        <v>70</v>
      </c>
      <c r="AR30" s="228">
        <f t="shared" si="20"/>
        <v>0</v>
      </c>
      <c r="AS30" s="228">
        <f t="shared" si="20"/>
        <v>0</v>
      </c>
      <c r="AT30" s="228">
        <f t="shared" si="20"/>
        <v>88</v>
      </c>
      <c r="AU30" s="228">
        <f t="shared" si="20"/>
        <v>16</v>
      </c>
      <c r="AV30" s="228">
        <f t="shared" si="20"/>
        <v>2</v>
      </c>
      <c r="AW30" s="228">
        <f t="shared" si="20"/>
        <v>43</v>
      </c>
      <c r="AX30" s="228">
        <f t="shared" si="20"/>
        <v>0</v>
      </c>
      <c r="AY30" s="228">
        <f t="shared" si="20"/>
        <v>0</v>
      </c>
      <c r="AZ30" s="228">
        <f t="shared" si="20"/>
        <v>19</v>
      </c>
      <c r="BA30" s="228">
        <f t="shared" si="20"/>
        <v>0</v>
      </c>
      <c r="BB30" s="228">
        <f t="shared" si="20"/>
        <v>96</v>
      </c>
      <c r="BC30" s="228">
        <f t="shared" si="20"/>
        <v>0</v>
      </c>
      <c r="BD30" s="228">
        <f t="shared" si="20"/>
        <v>0</v>
      </c>
      <c r="BE30" s="228">
        <f t="shared" si="20"/>
        <v>0</v>
      </c>
      <c r="BF30" s="228">
        <f t="shared" si="20"/>
        <v>11</v>
      </c>
      <c r="BG30" s="228">
        <f t="shared" si="20"/>
        <v>7</v>
      </c>
      <c r="BH30" s="228">
        <f t="shared" si="20"/>
        <v>0</v>
      </c>
      <c r="BI30" s="228">
        <f t="shared" si="20"/>
        <v>30</v>
      </c>
      <c r="BJ30" s="228">
        <f t="shared" si="20"/>
        <v>0</v>
      </c>
      <c r="BK30" s="228">
        <f t="shared" si="20"/>
        <v>0</v>
      </c>
      <c r="BL30" s="228">
        <f t="shared" si="20"/>
        <v>0</v>
      </c>
      <c r="BM30" s="228">
        <f t="shared" si="20"/>
        <v>0</v>
      </c>
      <c r="BN30" s="228">
        <f t="shared" si="20"/>
        <v>0</v>
      </c>
      <c r="BO30" s="228">
        <f t="shared" si="20"/>
        <v>0</v>
      </c>
      <c r="BP30" s="228">
        <f t="shared" si="20"/>
        <v>0</v>
      </c>
      <c r="BQ30" s="228">
        <f t="shared" si="20"/>
        <v>0</v>
      </c>
      <c r="BR30" s="228">
        <f t="shared" si="20"/>
        <v>0</v>
      </c>
      <c r="BS30" s="228">
        <f t="shared" si="20"/>
        <v>0</v>
      </c>
      <c r="BT30" s="228">
        <f t="shared" si="20"/>
        <v>0</v>
      </c>
      <c r="BU30" s="228">
        <f t="shared" si="20"/>
        <v>0</v>
      </c>
      <c r="BV30" s="228">
        <f t="shared" ref="BV30:EG30" si="22">+SUM(BV9:BV26)/2</f>
        <v>0</v>
      </c>
      <c r="BW30" s="228">
        <f t="shared" si="22"/>
        <v>0</v>
      </c>
      <c r="BX30" s="228">
        <f t="shared" si="22"/>
        <v>0</v>
      </c>
      <c r="BY30" s="228">
        <f t="shared" si="22"/>
        <v>0</v>
      </c>
      <c r="BZ30" s="228">
        <f t="shared" si="22"/>
        <v>0</v>
      </c>
      <c r="CA30" s="228">
        <f t="shared" si="22"/>
        <v>0</v>
      </c>
      <c r="CB30" s="228">
        <f t="shared" si="22"/>
        <v>0</v>
      </c>
      <c r="CC30" s="228">
        <f t="shared" si="22"/>
        <v>0</v>
      </c>
      <c r="CD30" s="228">
        <f t="shared" si="22"/>
        <v>0</v>
      </c>
      <c r="CE30" s="228">
        <f t="shared" si="22"/>
        <v>0</v>
      </c>
      <c r="CF30" s="228">
        <f t="shared" si="22"/>
        <v>0</v>
      </c>
      <c r="CG30" s="228">
        <f t="shared" si="22"/>
        <v>0</v>
      </c>
      <c r="CH30" s="228">
        <f t="shared" si="22"/>
        <v>0</v>
      </c>
      <c r="CI30" s="228">
        <f t="shared" si="22"/>
        <v>0</v>
      </c>
      <c r="CJ30" s="228">
        <f t="shared" si="22"/>
        <v>0</v>
      </c>
      <c r="CK30" s="228">
        <f t="shared" si="22"/>
        <v>0</v>
      </c>
      <c r="CL30" s="228">
        <f t="shared" si="22"/>
        <v>0</v>
      </c>
      <c r="CM30" s="228">
        <f t="shared" si="22"/>
        <v>0</v>
      </c>
      <c r="CN30" s="228">
        <f t="shared" si="22"/>
        <v>0</v>
      </c>
      <c r="CO30" s="228">
        <f t="shared" si="22"/>
        <v>0</v>
      </c>
      <c r="CP30" s="228">
        <f t="shared" si="22"/>
        <v>0</v>
      </c>
      <c r="CQ30" s="228">
        <f t="shared" si="22"/>
        <v>0</v>
      </c>
      <c r="CR30" s="228">
        <f t="shared" si="22"/>
        <v>0</v>
      </c>
      <c r="CS30" s="228">
        <f t="shared" si="22"/>
        <v>0</v>
      </c>
      <c r="CT30" s="228">
        <f t="shared" si="22"/>
        <v>0</v>
      </c>
      <c r="CU30" s="228">
        <f t="shared" si="22"/>
        <v>0</v>
      </c>
      <c r="CV30" s="228">
        <f t="shared" si="22"/>
        <v>0</v>
      </c>
      <c r="CW30" s="228">
        <f t="shared" si="22"/>
        <v>0</v>
      </c>
      <c r="CX30" s="228">
        <f t="shared" si="22"/>
        <v>0</v>
      </c>
      <c r="CY30" s="228">
        <f t="shared" si="22"/>
        <v>0</v>
      </c>
      <c r="CZ30" s="228">
        <f t="shared" si="22"/>
        <v>0</v>
      </c>
      <c r="DA30" s="228">
        <f t="shared" si="22"/>
        <v>0</v>
      </c>
      <c r="DB30" s="228">
        <f t="shared" si="22"/>
        <v>0</v>
      </c>
      <c r="DC30" s="228">
        <f t="shared" si="22"/>
        <v>0</v>
      </c>
      <c r="DD30" s="228">
        <f t="shared" si="22"/>
        <v>0</v>
      </c>
      <c r="DE30" s="228">
        <f t="shared" si="22"/>
        <v>0</v>
      </c>
      <c r="DF30" s="228">
        <f t="shared" si="22"/>
        <v>0</v>
      </c>
      <c r="DG30" s="228">
        <f t="shared" si="22"/>
        <v>0</v>
      </c>
      <c r="DH30" s="228">
        <f t="shared" si="22"/>
        <v>0</v>
      </c>
      <c r="DI30" s="228">
        <f t="shared" si="22"/>
        <v>0</v>
      </c>
      <c r="DJ30" s="228">
        <f t="shared" si="22"/>
        <v>0</v>
      </c>
      <c r="DK30" s="228">
        <f t="shared" si="22"/>
        <v>0</v>
      </c>
      <c r="DL30" s="228">
        <f t="shared" si="22"/>
        <v>0</v>
      </c>
      <c r="DM30" s="228">
        <f t="shared" si="22"/>
        <v>0</v>
      </c>
      <c r="DN30" s="228">
        <f t="shared" si="22"/>
        <v>0</v>
      </c>
      <c r="DO30" s="228">
        <f t="shared" si="22"/>
        <v>0</v>
      </c>
      <c r="DP30" s="228">
        <f t="shared" si="22"/>
        <v>0</v>
      </c>
      <c r="DQ30" s="228">
        <f t="shared" si="22"/>
        <v>0</v>
      </c>
      <c r="DR30" s="228">
        <f t="shared" si="22"/>
        <v>0</v>
      </c>
      <c r="DS30" s="228">
        <f t="shared" si="22"/>
        <v>0</v>
      </c>
      <c r="DT30" s="228">
        <f t="shared" si="22"/>
        <v>0</v>
      </c>
      <c r="DU30" s="228">
        <f t="shared" si="22"/>
        <v>0</v>
      </c>
      <c r="DV30" s="228">
        <f t="shared" si="22"/>
        <v>0</v>
      </c>
      <c r="DW30" s="228">
        <f t="shared" si="22"/>
        <v>0</v>
      </c>
      <c r="DX30" s="228">
        <f t="shared" si="22"/>
        <v>0</v>
      </c>
      <c r="DY30" s="228">
        <f t="shared" si="22"/>
        <v>0</v>
      </c>
      <c r="DZ30" s="228">
        <f t="shared" si="22"/>
        <v>0</v>
      </c>
      <c r="EA30" s="228">
        <f t="shared" si="22"/>
        <v>0</v>
      </c>
      <c r="EB30" s="228">
        <f t="shared" si="22"/>
        <v>0</v>
      </c>
      <c r="EC30" s="228">
        <f t="shared" si="22"/>
        <v>195</v>
      </c>
      <c r="ED30" s="228">
        <f t="shared" si="22"/>
        <v>0</v>
      </c>
      <c r="EE30" s="228">
        <f t="shared" si="22"/>
        <v>8.5</v>
      </c>
      <c r="EF30" s="228">
        <f t="shared" si="22"/>
        <v>0</v>
      </c>
      <c r="EG30" s="228">
        <f t="shared" si="22"/>
        <v>0</v>
      </c>
      <c r="EH30" s="228">
        <f t="shared" ref="EH30:EP30" si="23">+SUM(EH9:EH26)/2</f>
        <v>5.25</v>
      </c>
      <c r="EI30" s="228">
        <f t="shared" si="23"/>
        <v>4</v>
      </c>
      <c r="EJ30" s="228">
        <f t="shared" si="23"/>
        <v>0</v>
      </c>
      <c r="EK30" s="228">
        <f t="shared" si="23"/>
        <v>0</v>
      </c>
      <c r="EL30" s="228">
        <f t="shared" si="23"/>
        <v>0</v>
      </c>
      <c r="EM30" s="228">
        <f t="shared" si="23"/>
        <v>0</v>
      </c>
      <c r="EN30" s="228">
        <f t="shared" si="23"/>
        <v>0</v>
      </c>
      <c r="EO30" s="228">
        <f t="shared" si="23"/>
        <v>4</v>
      </c>
      <c r="EP30" s="228">
        <f t="shared" si="23"/>
        <v>31.5</v>
      </c>
      <c r="EQ30" s="229">
        <f>+SUM(F30:EP30)</f>
        <v>1418.25</v>
      </c>
    </row>
    <row r="31" spans="1:147" s="2" customFormat="1" ht="15.75" thickBot="1" x14ac:dyDescent="0.25">
      <c r="A31" s="7"/>
      <c r="B31" s="7"/>
      <c r="C31" s="7"/>
      <c r="D31" s="7"/>
      <c r="E31" s="852">
        <f>+SUM(E30:F30)</f>
        <v>1170</v>
      </c>
      <c r="F31" s="853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</row>
    <row r="32" spans="1:147" s="2" customFormat="1" x14ac:dyDescent="0.2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</row>
    <row r="33" spans="1:113" s="2" customFormat="1" x14ac:dyDescent="0.2">
      <c r="A33" s="7"/>
      <c r="B33" s="7"/>
      <c r="C33" s="7"/>
      <c r="D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</row>
    <row r="34" spans="1:113" s="2" customFormat="1" x14ac:dyDescent="0.2">
      <c r="E34" s="7"/>
      <c r="F34" s="7"/>
    </row>
    <row r="35" spans="1:113" s="2" customFormat="1" x14ac:dyDescent="0.2"/>
    <row r="36" spans="1:113" s="2" customFormat="1" x14ac:dyDescent="0.2"/>
    <row r="37" spans="1:113" s="2" customFormat="1" x14ac:dyDescent="0.2"/>
    <row r="38" spans="1:113" s="2" customFormat="1" x14ac:dyDescent="0.2"/>
    <row r="39" spans="1:113" s="2" customFormat="1" x14ac:dyDescent="0.2"/>
    <row r="40" spans="1:113" s="2" customFormat="1" x14ac:dyDescent="0.2"/>
    <row r="41" spans="1:113" s="2" customFormat="1" x14ac:dyDescent="0.2"/>
    <row r="42" spans="1:113" s="2" customFormat="1" x14ac:dyDescent="0.2"/>
    <row r="43" spans="1:113" s="2" customFormat="1" x14ac:dyDescent="0.2"/>
    <row r="44" spans="1:113" s="2" customFormat="1" x14ac:dyDescent="0.2"/>
    <row r="45" spans="1:113" s="2" customFormat="1" x14ac:dyDescent="0.2"/>
    <row r="46" spans="1:113" s="2" customFormat="1" x14ac:dyDescent="0.2"/>
    <row r="47" spans="1:113" s="2" customFormat="1" x14ac:dyDescent="0.2"/>
    <row r="48" spans="1:113" s="2" customFormat="1" x14ac:dyDescent="0.2"/>
    <row r="49" s="2" customFormat="1" x14ac:dyDescent="0.2"/>
    <row r="50" s="2" customFormat="1" x14ac:dyDescent="0.2"/>
    <row r="51" s="2" customFormat="1" x14ac:dyDescent="0.2"/>
    <row r="52" s="2" customFormat="1" x14ac:dyDescent="0.2"/>
    <row r="53" s="2" customFormat="1" x14ac:dyDescent="0.2"/>
    <row r="54" s="2" customFormat="1" x14ac:dyDescent="0.2"/>
    <row r="55" s="2" customFormat="1" x14ac:dyDescent="0.2"/>
    <row r="56" s="2" customFormat="1" x14ac:dyDescent="0.2"/>
    <row r="57" s="2" customFormat="1" x14ac:dyDescent="0.2"/>
    <row r="58" s="2" customFormat="1" x14ac:dyDescent="0.2"/>
    <row r="59" s="2" customFormat="1" x14ac:dyDescent="0.2"/>
    <row r="60" s="2" customFormat="1" x14ac:dyDescent="0.2"/>
    <row r="61" s="2" customFormat="1" x14ac:dyDescent="0.2"/>
    <row r="62" s="2" customFormat="1" x14ac:dyDescent="0.2"/>
    <row r="63" s="2" customFormat="1" x14ac:dyDescent="0.2"/>
    <row r="64" s="2" customFormat="1" x14ac:dyDescent="0.2"/>
    <row r="65" s="2" customFormat="1" x14ac:dyDescent="0.2"/>
    <row r="66" s="2" customFormat="1" x14ac:dyDescent="0.2"/>
    <row r="67" s="2" customFormat="1" x14ac:dyDescent="0.2"/>
    <row r="68" s="2" customFormat="1" x14ac:dyDescent="0.2"/>
    <row r="69" s="2" customFormat="1" x14ac:dyDescent="0.2"/>
    <row r="70" s="2" customFormat="1" x14ac:dyDescent="0.2"/>
    <row r="71" s="2" customFormat="1" x14ac:dyDescent="0.2"/>
    <row r="72" s="2" customFormat="1" x14ac:dyDescent="0.2"/>
    <row r="73" s="2" customFormat="1" x14ac:dyDescent="0.2"/>
    <row r="74" s="2" customFormat="1" x14ac:dyDescent="0.2"/>
    <row r="75" s="2" customFormat="1" x14ac:dyDescent="0.2"/>
    <row r="76" s="2" customFormat="1" x14ac:dyDescent="0.2"/>
    <row r="77" s="2" customFormat="1" x14ac:dyDescent="0.2"/>
    <row r="78" s="2" customFormat="1" x14ac:dyDescent="0.2"/>
    <row r="79" s="2" customFormat="1" x14ac:dyDescent="0.2"/>
    <row r="80" s="2" customFormat="1" x14ac:dyDescent="0.2"/>
    <row r="81" s="2" customFormat="1" x14ac:dyDescent="0.2"/>
    <row r="82" s="2" customFormat="1" x14ac:dyDescent="0.2"/>
    <row r="83" s="2" customFormat="1" x14ac:dyDescent="0.2"/>
    <row r="84" s="2" customFormat="1" x14ac:dyDescent="0.2"/>
    <row r="85" s="2" customFormat="1" x14ac:dyDescent="0.2"/>
    <row r="86" s="2" customFormat="1" x14ac:dyDescent="0.2"/>
    <row r="87" s="2" customFormat="1" x14ac:dyDescent="0.2"/>
    <row r="88" s="2" customFormat="1" x14ac:dyDescent="0.2"/>
    <row r="89" s="2" customFormat="1" x14ac:dyDescent="0.2"/>
    <row r="90" s="2" customFormat="1" x14ac:dyDescent="0.2"/>
    <row r="91" s="2" customFormat="1" x14ac:dyDescent="0.2"/>
    <row r="92" s="2" customFormat="1" x14ac:dyDescent="0.2"/>
    <row r="93" s="2" customFormat="1" x14ac:dyDescent="0.2"/>
    <row r="94" s="2" customFormat="1" x14ac:dyDescent="0.2"/>
  </sheetData>
  <sheetProtection formatCells="0" formatColumns="0" formatRows="0" insertColumns="0" insertRows="0" insertHyperlinks="0" deleteColumns="0" deleteRows="0" sort="0" autoFilter="0" pivotTables="0"/>
  <mergeCells count="123">
    <mergeCell ref="J1:AL1"/>
    <mergeCell ref="G4:X4"/>
    <mergeCell ref="AA4:AU4"/>
    <mergeCell ref="AV4:BI4"/>
    <mergeCell ref="BJ4:BU4"/>
    <mergeCell ref="BV4:CE4"/>
    <mergeCell ref="CF4:CM4"/>
    <mergeCell ref="CN4:CU4"/>
    <mergeCell ref="G5:G7"/>
    <mergeCell ref="H5:H7"/>
    <mergeCell ref="I5:I7"/>
    <mergeCell ref="J5:J7"/>
    <mergeCell ref="K5:K7"/>
    <mergeCell ref="L5:L7"/>
    <mergeCell ref="M5:M7"/>
    <mergeCell ref="N5:N7"/>
    <mergeCell ref="U5:U7"/>
    <mergeCell ref="V5:V7"/>
    <mergeCell ref="W5:W7"/>
    <mergeCell ref="X5:X7"/>
    <mergeCell ref="Y5:Y7"/>
    <mergeCell ref="AA5:AA7"/>
    <mergeCell ref="O5:O7"/>
    <mergeCell ref="P5:P7"/>
    <mergeCell ref="Q5:Q7"/>
    <mergeCell ref="R5:R7"/>
    <mergeCell ref="S5:S7"/>
    <mergeCell ref="T5:T7"/>
    <mergeCell ref="AH5:AH7"/>
    <mergeCell ref="AI5:AI7"/>
    <mergeCell ref="AJ5:AJ7"/>
    <mergeCell ref="AK5:AK7"/>
    <mergeCell ref="AL5:AL7"/>
    <mergeCell ref="Z5:Z7"/>
    <mergeCell ref="AM5:AM7"/>
    <mergeCell ref="AB5:AB7"/>
    <mergeCell ref="AC5:AC7"/>
    <mergeCell ref="AD5:AD7"/>
    <mergeCell ref="AE5:AE7"/>
    <mergeCell ref="AF5:AF7"/>
    <mergeCell ref="AG5:AG7"/>
    <mergeCell ref="AT5:AT7"/>
    <mergeCell ref="AU5:AU7"/>
    <mergeCell ref="AV5:AV7"/>
    <mergeCell ref="AW5:AW7"/>
    <mergeCell ref="AX5:AX7"/>
    <mergeCell ref="AY5:AY7"/>
    <mergeCell ref="AN5:AN7"/>
    <mergeCell ref="AO5:AO7"/>
    <mergeCell ref="AP5:AP7"/>
    <mergeCell ref="AQ5:AQ7"/>
    <mergeCell ref="AR5:AR7"/>
    <mergeCell ref="AS5:AS7"/>
    <mergeCell ref="BF5:BF7"/>
    <mergeCell ref="BG5:BG7"/>
    <mergeCell ref="BH5:BH7"/>
    <mergeCell ref="BI5:BI7"/>
    <mergeCell ref="BJ5:BJ7"/>
    <mergeCell ref="BK5:BK7"/>
    <mergeCell ref="AZ5:AZ7"/>
    <mergeCell ref="BA5:BA7"/>
    <mergeCell ref="BB5:BB7"/>
    <mergeCell ref="BC5:BC7"/>
    <mergeCell ref="BD5:BD7"/>
    <mergeCell ref="BE5:BE7"/>
    <mergeCell ref="BR5:BR7"/>
    <mergeCell ref="BS5:BS7"/>
    <mergeCell ref="BT5:BT7"/>
    <mergeCell ref="BU5:BU7"/>
    <mergeCell ref="BV5:BV7"/>
    <mergeCell ref="BW5:BW7"/>
    <mergeCell ref="BL5:BL7"/>
    <mergeCell ref="BM5:BM7"/>
    <mergeCell ref="BN5:BN7"/>
    <mergeCell ref="BO5:BO7"/>
    <mergeCell ref="BP5:BP7"/>
    <mergeCell ref="BQ5:BQ7"/>
    <mergeCell ref="CD5:CD7"/>
    <mergeCell ref="CE5:CE7"/>
    <mergeCell ref="CF5:CF7"/>
    <mergeCell ref="CG5:CG7"/>
    <mergeCell ref="CH5:CH7"/>
    <mergeCell ref="CI5:CI7"/>
    <mergeCell ref="BX5:BX7"/>
    <mergeCell ref="BY5:BY7"/>
    <mergeCell ref="BZ5:BZ7"/>
    <mergeCell ref="CA5:CA7"/>
    <mergeCell ref="CB5:CB7"/>
    <mergeCell ref="CC5:CC7"/>
    <mergeCell ref="A13:D13"/>
    <mergeCell ref="A14:D14"/>
    <mergeCell ref="A15:D15"/>
    <mergeCell ref="A17:D17"/>
    <mergeCell ref="A18:D18"/>
    <mergeCell ref="A19:D19"/>
    <mergeCell ref="CW6:DI6"/>
    <mergeCell ref="E7:F7"/>
    <mergeCell ref="G8:DI8"/>
    <mergeCell ref="A9:D9"/>
    <mergeCell ref="A10:D10"/>
    <mergeCell ref="A11:D11"/>
    <mergeCell ref="CP5:CP7"/>
    <mergeCell ref="CQ5:CQ7"/>
    <mergeCell ref="CR5:CR7"/>
    <mergeCell ref="CS5:CS7"/>
    <mergeCell ref="CT5:CT7"/>
    <mergeCell ref="CU5:CU7"/>
    <mergeCell ref="CJ5:CJ7"/>
    <mergeCell ref="CK5:CK7"/>
    <mergeCell ref="CL5:CL7"/>
    <mergeCell ref="CM5:CM7"/>
    <mergeCell ref="CN5:CN7"/>
    <mergeCell ref="CO5:CO7"/>
    <mergeCell ref="A28:D28"/>
    <mergeCell ref="A29:D29"/>
    <mergeCell ref="A30:D30"/>
    <mergeCell ref="E31:F31"/>
    <mergeCell ref="A21:D21"/>
    <mergeCell ref="A22:D22"/>
    <mergeCell ref="A23:D23"/>
    <mergeCell ref="A25:D25"/>
    <mergeCell ref="A26:D26"/>
    <mergeCell ref="A27:D27"/>
  </mergeCells>
  <conditionalFormatting sqref="E31:F31">
    <cfRule type="cellIs" dxfId="3" priority="1" operator="notEqual">
      <formula>$DR$30</formula>
    </cfRule>
    <cfRule type="cellIs" dxfId="2" priority="2" operator="equal">
      <formula>$DR$30</formula>
    </cfRule>
  </conditionalFormatting>
  <printOptions horizontalCentered="1" verticalCentered="1"/>
  <pageMargins left="0" right="0" top="0.39370078740157483" bottom="0.39370078740157483" header="0" footer="0"/>
  <pageSetup paperSize="8" scale="65" orientation="landscape" r:id="rId1"/>
  <headerFooter alignWithMargins="0">
    <oddHeader>&amp;R&amp;T;&amp;D</oddHeader>
    <oddFooter>&amp;L&amp;Z&amp;F&amp;R&amp;P/&amp;N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F5DE1-13B2-4C35-A70B-3520D2E08BF3}">
  <sheetPr codeName="Feuil26">
    <tabColor theme="8"/>
    <pageSetUpPr fitToPage="1"/>
  </sheetPr>
  <dimension ref="A1:FS94"/>
  <sheetViews>
    <sheetView topLeftCell="A8" zoomScale="85" zoomScaleNormal="85" workbookViewId="0">
      <selection activeCell="S26" sqref="S26"/>
    </sheetView>
  </sheetViews>
  <sheetFormatPr baseColWidth="10" defaultColWidth="11.42578125" defaultRowHeight="15" x14ac:dyDescent="0.25"/>
  <cols>
    <col min="1" max="1" width="15.85546875" style="91" bestFit="1" customWidth="1"/>
    <col min="2" max="2" width="7.7109375" style="91" bestFit="1" customWidth="1"/>
    <col min="3" max="3" width="4.140625" style="91" bestFit="1" customWidth="1"/>
    <col min="4" max="4" width="7.7109375" style="91" bestFit="1" customWidth="1"/>
    <col min="5" max="5" width="9.28515625" style="91" bestFit="1" customWidth="1"/>
    <col min="6" max="6" width="4.28515625" style="91" bestFit="1" customWidth="1"/>
    <col min="7" max="99" width="5.28515625" style="91" customWidth="1"/>
    <col min="100" max="113" width="3.7109375" style="91" customWidth="1"/>
    <col min="114" max="114" width="3.28515625" style="91" customWidth="1"/>
    <col min="115" max="146" width="3.140625" style="91" customWidth="1"/>
    <col min="147" max="16384" width="11.42578125" style="91"/>
  </cols>
  <sheetData>
    <row r="1" spans="1:175" ht="16.5" thickBot="1" x14ac:dyDescent="0.3">
      <c r="A1" s="204" t="s">
        <v>96</v>
      </c>
      <c r="B1" s="69">
        <v>45658</v>
      </c>
      <c r="C1" s="205"/>
      <c r="D1" s="205"/>
      <c r="E1" s="206"/>
      <c r="F1" s="206"/>
      <c r="G1" s="206"/>
      <c r="H1" s="206"/>
      <c r="I1" s="206"/>
      <c r="J1" s="886" t="s">
        <v>97</v>
      </c>
      <c r="K1" s="887"/>
      <c r="L1" s="887"/>
      <c r="M1" s="887"/>
      <c r="N1" s="887"/>
      <c r="O1" s="887"/>
      <c r="P1" s="887"/>
      <c r="Q1" s="887"/>
      <c r="R1" s="887"/>
      <c r="S1" s="887"/>
      <c r="T1" s="887"/>
      <c r="U1" s="887"/>
      <c r="V1" s="887"/>
      <c r="W1" s="887"/>
      <c r="X1" s="887"/>
      <c r="Y1" s="887"/>
      <c r="Z1" s="887"/>
      <c r="AA1" s="887"/>
      <c r="AB1" s="887"/>
      <c r="AC1" s="887"/>
      <c r="AD1" s="887"/>
      <c r="AE1" s="887"/>
      <c r="AF1" s="887"/>
      <c r="AG1" s="887"/>
      <c r="AH1" s="887"/>
      <c r="AI1" s="887"/>
      <c r="AJ1" s="887"/>
      <c r="AK1" s="887"/>
      <c r="AL1" s="888"/>
      <c r="AM1" s="206"/>
      <c r="AN1" s="206"/>
      <c r="AO1" s="206"/>
      <c r="AP1" s="206"/>
      <c r="AQ1" s="206"/>
      <c r="AR1" s="206"/>
      <c r="AS1" s="206"/>
      <c r="AT1" s="206"/>
      <c r="AU1" s="206"/>
      <c r="AV1" s="206"/>
      <c r="AW1" s="206"/>
      <c r="AX1" s="206"/>
      <c r="AY1" s="206"/>
      <c r="AZ1" s="206"/>
      <c r="BA1" s="206"/>
      <c r="BB1" s="206"/>
      <c r="BC1" s="206"/>
      <c r="BD1" s="206"/>
      <c r="BE1" s="206"/>
      <c r="BF1" s="206"/>
      <c r="BG1" s="206"/>
      <c r="BH1" s="206"/>
      <c r="BI1" s="206"/>
      <c r="BJ1" s="206"/>
      <c r="BK1" s="206"/>
      <c r="BL1" s="206"/>
      <c r="BM1" s="206"/>
      <c r="BN1" s="206"/>
      <c r="BO1" s="206"/>
      <c r="BP1" s="206"/>
      <c r="BQ1" s="206"/>
      <c r="BR1" s="206"/>
      <c r="BS1" s="206"/>
      <c r="BT1" s="206"/>
      <c r="BU1" s="206"/>
      <c r="BV1" s="206"/>
      <c r="BW1" s="206"/>
      <c r="BX1" s="206"/>
      <c r="BY1" s="206"/>
      <c r="BZ1" s="206"/>
      <c r="CA1" s="206"/>
      <c r="CB1" s="206"/>
      <c r="CC1" s="206"/>
      <c r="CD1" s="206"/>
      <c r="CE1" s="206"/>
      <c r="CF1" s="206"/>
      <c r="CG1" s="206"/>
      <c r="CH1" s="206"/>
      <c r="CI1" s="206"/>
      <c r="CJ1" s="206"/>
      <c r="CK1" s="206"/>
      <c r="CL1" s="206"/>
      <c r="CM1" s="206"/>
      <c r="CN1" s="206"/>
      <c r="CO1" s="206"/>
      <c r="CP1" s="206"/>
      <c r="CQ1" s="206"/>
      <c r="CR1" s="206"/>
      <c r="CS1" s="206"/>
      <c r="CT1" s="206"/>
      <c r="CU1" s="206"/>
      <c r="DE1" s="206"/>
      <c r="DF1" s="206"/>
      <c r="DG1" s="206"/>
      <c r="DH1" s="206"/>
      <c r="DI1" s="206"/>
    </row>
    <row r="2" spans="1:175" x14ac:dyDescent="0.25">
      <c r="A2" s="207" t="s">
        <v>98</v>
      </c>
      <c r="B2" s="70">
        <v>45656</v>
      </c>
      <c r="C2" s="208" t="s">
        <v>99</v>
      </c>
      <c r="D2" s="70">
        <v>45653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</row>
    <row r="3" spans="1:175" ht="15.75" thickBot="1" x14ac:dyDescent="0.3">
      <c r="A3" s="207"/>
      <c r="B3" s="70"/>
      <c r="C3" s="208"/>
      <c r="D3" s="70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</row>
    <row r="4" spans="1:175" ht="15.75" thickBot="1" x14ac:dyDescent="0.3">
      <c r="A4" s="207"/>
      <c r="B4" s="70"/>
      <c r="C4" s="208"/>
      <c r="D4" s="70"/>
      <c r="E4" s="7"/>
      <c r="F4" s="7"/>
      <c r="G4" s="889" t="s">
        <v>975</v>
      </c>
      <c r="H4" s="890"/>
      <c r="I4" s="890"/>
      <c r="J4" s="890"/>
      <c r="K4" s="890"/>
      <c r="L4" s="890"/>
      <c r="M4" s="890"/>
      <c r="N4" s="890"/>
      <c r="O4" s="890"/>
      <c r="P4" s="890"/>
      <c r="Q4" s="890"/>
      <c r="R4" s="890"/>
      <c r="S4" s="890"/>
      <c r="T4" s="890"/>
      <c r="U4" s="890"/>
      <c r="V4" s="890"/>
      <c r="W4" s="890"/>
      <c r="X4" s="890"/>
      <c r="Y4" s="778"/>
      <c r="Z4" s="778"/>
      <c r="AA4" s="891" t="s">
        <v>976</v>
      </c>
      <c r="AB4" s="892"/>
      <c r="AC4" s="892"/>
      <c r="AD4" s="892"/>
      <c r="AE4" s="892"/>
      <c r="AF4" s="892"/>
      <c r="AG4" s="892"/>
      <c r="AH4" s="892"/>
      <c r="AI4" s="892"/>
      <c r="AJ4" s="892"/>
      <c r="AK4" s="892"/>
      <c r="AL4" s="892"/>
      <c r="AM4" s="892"/>
      <c r="AN4" s="892"/>
      <c r="AO4" s="892"/>
      <c r="AP4" s="892"/>
      <c r="AQ4" s="892"/>
      <c r="AR4" s="892"/>
      <c r="AS4" s="892"/>
      <c r="AT4" s="892"/>
      <c r="AU4" s="893"/>
      <c r="AV4" s="894" t="s">
        <v>977</v>
      </c>
      <c r="AW4" s="895"/>
      <c r="AX4" s="895"/>
      <c r="AY4" s="895"/>
      <c r="AZ4" s="895"/>
      <c r="BA4" s="895"/>
      <c r="BB4" s="895"/>
      <c r="BC4" s="895"/>
      <c r="BD4" s="895"/>
      <c r="BE4" s="895"/>
      <c r="BF4" s="895"/>
      <c r="BG4" s="895"/>
      <c r="BH4" s="895"/>
      <c r="BI4" s="895"/>
      <c r="BJ4" s="896" t="s">
        <v>978</v>
      </c>
      <c r="BK4" s="897"/>
      <c r="BL4" s="897"/>
      <c r="BM4" s="897"/>
      <c r="BN4" s="897"/>
      <c r="BO4" s="897"/>
      <c r="BP4" s="897"/>
      <c r="BQ4" s="897"/>
      <c r="BR4" s="897"/>
      <c r="BS4" s="897"/>
      <c r="BT4" s="897"/>
      <c r="BU4" s="897"/>
      <c r="BV4" s="898" t="s">
        <v>979</v>
      </c>
      <c r="BW4" s="899"/>
      <c r="BX4" s="899"/>
      <c r="BY4" s="899"/>
      <c r="BZ4" s="899"/>
      <c r="CA4" s="899"/>
      <c r="CB4" s="899"/>
      <c r="CC4" s="899"/>
      <c r="CD4" s="899"/>
      <c r="CE4" s="899"/>
      <c r="CF4" s="889" t="s">
        <v>980</v>
      </c>
      <c r="CG4" s="890"/>
      <c r="CH4" s="890"/>
      <c r="CI4" s="890"/>
      <c r="CJ4" s="890"/>
      <c r="CK4" s="890"/>
      <c r="CL4" s="890"/>
      <c r="CM4" s="890"/>
      <c r="CN4" s="894" t="s">
        <v>981</v>
      </c>
      <c r="CO4" s="895"/>
      <c r="CP4" s="895"/>
      <c r="CQ4" s="895"/>
      <c r="CR4" s="895"/>
      <c r="CS4" s="895"/>
      <c r="CT4" s="895"/>
      <c r="CU4" s="900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</row>
    <row r="5" spans="1:175" ht="13.9" customHeight="1" x14ac:dyDescent="0.25">
      <c r="E5" s="7"/>
      <c r="F5" s="7"/>
      <c r="G5" s="860" t="s">
        <v>656</v>
      </c>
      <c r="H5" s="860" t="s">
        <v>768</v>
      </c>
      <c r="I5" s="860" t="s">
        <v>769</v>
      </c>
      <c r="J5" s="860" t="s">
        <v>756</v>
      </c>
      <c r="K5" s="860" t="s">
        <v>757</v>
      </c>
      <c r="L5" s="860" t="s">
        <v>761</v>
      </c>
      <c r="M5" s="860" t="s">
        <v>770</v>
      </c>
      <c r="N5" s="860" t="s">
        <v>809</v>
      </c>
      <c r="O5" s="860" t="s">
        <v>811</v>
      </c>
      <c r="P5" s="860" t="s">
        <v>810</v>
      </c>
      <c r="Q5" s="860" t="s">
        <v>762</v>
      </c>
      <c r="R5" s="860" t="s">
        <v>763</v>
      </c>
      <c r="S5" s="860" t="s">
        <v>764</v>
      </c>
      <c r="T5" s="860" t="s">
        <v>837</v>
      </c>
      <c r="U5" s="860" t="s">
        <v>774</v>
      </c>
      <c r="V5" s="860" t="s">
        <v>782</v>
      </c>
      <c r="W5" s="860" t="s">
        <v>778</v>
      </c>
      <c r="X5" s="860" t="s">
        <v>882</v>
      </c>
      <c r="Y5" s="901" t="s">
        <v>1024</v>
      </c>
      <c r="Z5" s="904" t="s">
        <v>1026</v>
      </c>
      <c r="AA5" s="878" t="s">
        <v>657</v>
      </c>
      <c r="AB5" s="884" t="s">
        <v>658</v>
      </c>
      <c r="AC5" s="884" t="s">
        <v>659</v>
      </c>
      <c r="AD5" s="884" t="s">
        <v>660</v>
      </c>
      <c r="AE5" s="884" t="s">
        <v>967</v>
      </c>
      <c r="AF5" s="884" t="s">
        <v>968</v>
      </c>
      <c r="AG5" s="884" t="s">
        <v>789</v>
      </c>
      <c r="AH5" s="884" t="s">
        <v>969</v>
      </c>
      <c r="AI5" s="884" t="s">
        <v>746</v>
      </c>
      <c r="AJ5" s="884" t="s">
        <v>801</v>
      </c>
      <c r="AK5" s="884" t="s">
        <v>765</v>
      </c>
      <c r="AL5" s="884" t="s">
        <v>766</v>
      </c>
      <c r="AM5" s="884" t="s">
        <v>767</v>
      </c>
      <c r="AN5" s="884" t="s">
        <v>784</v>
      </c>
      <c r="AO5" s="884" t="s">
        <v>776</v>
      </c>
      <c r="AP5" s="884" t="s">
        <v>779</v>
      </c>
      <c r="AQ5" s="884" t="s">
        <v>970</v>
      </c>
      <c r="AR5" s="884"/>
      <c r="AS5" s="884"/>
      <c r="AT5" s="872" t="s">
        <v>1043</v>
      </c>
      <c r="AU5" s="882" t="s">
        <v>982</v>
      </c>
      <c r="AV5" s="880" t="s">
        <v>847</v>
      </c>
      <c r="AW5" s="880" t="s">
        <v>848</v>
      </c>
      <c r="AX5" s="880" t="s">
        <v>858</v>
      </c>
      <c r="AY5" s="880" t="s">
        <v>791</v>
      </c>
      <c r="AZ5" s="880" t="s">
        <v>849</v>
      </c>
      <c r="BA5" s="880" t="s">
        <v>850</v>
      </c>
      <c r="BB5" s="880" t="s">
        <v>856</v>
      </c>
      <c r="BC5" s="880" t="s">
        <v>854</v>
      </c>
      <c r="BD5" s="880" t="s">
        <v>853</v>
      </c>
      <c r="BE5" s="880" t="s">
        <v>859</v>
      </c>
      <c r="BF5" s="880" t="s">
        <v>851</v>
      </c>
      <c r="BG5" s="880" t="s">
        <v>852</v>
      </c>
      <c r="BH5" s="880" t="s">
        <v>796</v>
      </c>
      <c r="BI5" s="880" t="s">
        <v>797</v>
      </c>
      <c r="BJ5" s="876" t="s">
        <v>788</v>
      </c>
      <c r="BK5" s="876" t="s">
        <v>864</v>
      </c>
      <c r="BL5" s="876" t="s">
        <v>865</v>
      </c>
      <c r="BM5" s="876" t="s">
        <v>738</v>
      </c>
      <c r="BN5" s="876" t="s">
        <v>664</v>
      </c>
      <c r="BO5" s="876" t="s">
        <v>856</v>
      </c>
      <c r="BP5" s="876" t="s">
        <v>867</v>
      </c>
      <c r="BQ5" s="876" t="s">
        <v>868</v>
      </c>
      <c r="BR5" s="876" t="s">
        <v>866</v>
      </c>
      <c r="BS5" s="876" t="s">
        <v>869</v>
      </c>
      <c r="BT5" s="876" t="s">
        <v>796</v>
      </c>
      <c r="BU5" s="876" t="s">
        <v>797</v>
      </c>
      <c r="BV5" s="878" t="s">
        <v>786</v>
      </c>
      <c r="BW5" s="872" t="s">
        <v>738</v>
      </c>
      <c r="BX5" s="872" t="s">
        <v>664</v>
      </c>
      <c r="BY5" s="872" t="s">
        <v>971</v>
      </c>
      <c r="BZ5" s="872" t="s">
        <v>972</v>
      </c>
      <c r="CA5" s="872" t="s">
        <v>973</v>
      </c>
      <c r="CB5" s="872" t="s">
        <v>974</v>
      </c>
      <c r="CC5" s="872" t="s">
        <v>792</v>
      </c>
      <c r="CD5" s="872" t="s">
        <v>796</v>
      </c>
      <c r="CE5" s="872" t="s">
        <v>797</v>
      </c>
      <c r="CF5" s="874" t="s">
        <v>786</v>
      </c>
      <c r="CG5" s="870" t="s">
        <v>738</v>
      </c>
      <c r="CH5" s="870" t="s">
        <v>664</v>
      </c>
      <c r="CI5" s="870" t="s">
        <v>971</v>
      </c>
      <c r="CJ5" s="870" t="s">
        <v>974</v>
      </c>
      <c r="CK5" s="870" t="s">
        <v>792</v>
      </c>
      <c r="CL5" s="870" t="s">
        <v>796</v>
      </c>
      <c r="CM5" s="870" t="s">
        <v>797</v>
      </c>
      <c r="CN5" s="860" t="s">
        <v>879</v>
      </c>
      <c r="CO5" s="860" t="s">
        <v>655</v>
      </c>
      <c r="CP5" s="860"/>
      <c r="CQ5" s="860"/>
      <c r="CR5" s="860"/>
      <c r="CS5" s="860"/>
      <c r="CT5" s="860"/>
      <c r="CU5" s="860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</row>
    <row r="6" spans="1:175" s="53" customFormat="1" ht="15" customHeight="1" thickBot="1" x14ac:dyDescent="0.25">
      <c r="E6" s="7"/>
      <c r="F6" s="7"/>
      <c r="G6" s="860" t="s">
        <v>656</v>
      </c>
      <c r="H6" s="860" t="s">
        <v>768</v>
      </c>
      <c r="I6" s="860" t="s">
        <v>769</v>
      </c>
      <c r="J6" s="860" t="s">
        <v>756</v>
      </c>
      <c r="K6" s="860" t="s">
        <v>757</v>
      </c>
      <c r="L6" s="860" t="s">
        <v>761</v>
      </c>
      <c r="M6" s="860" t="s">
        <v>770</v>
      </c>
      <c r="N6" s="860" t="s">
        <v>809</v>
      </c>
      <c r="O6" s="860" t="s">
        <v>811</v>
      </c>
      <c r="P6" s="860" t="s">
        <v>810</v>
      </c>
      <c r="Q6" s="860" t="s">
        <v>762</v>
      </c>
      <c r="R6" s="860" t="s">
        <v>763</v>
      </c>
      <c r="S6" s="860" t="s">
        <v>764</v>
      </c>
      <c r="T6" s="860" t="s">
        <v>837</v>
      </c>
      <c r="U6" s="860" t="s">
        <v>774</v>
      </c>
      <c r="V6" s="860" t="s">
        <v>782</v>
      </c>
      <c r="W6" s="860" t="s">
        <v>778</v>
      </c>
      <c r="X6" s="860" t="s">
        <v>882</v>
      </c>
      <c r="Y6" s="902"/>
      <c r="Z6" s="905"/>
      <c r="AA6" s="878" t="s">
        <v>657</v>
      </c>
      <c r="AB6" s="884" t="s">
        <v>658</v>
      </c>
      <c r="AC6" s="884" t="s">
        <v>659</v>
      </c>
      <c r="AD6" s="884" t="s">
        <v>660</v>
      </c>
      <c r="AE6" s="884" t="s">
        <v>967</v>
      </c>
      <c r="AF6" s="884" t="s">
        <v>968</v>
      </c>
      <c r="AG6" s="884" t="s">
        <v>789</v>
      </c>
      <c r="AH6" s="884" t="s">
        <v>969</v>
      </c>
      <c r="AI6" s="884" t="s">
        <v>746</v>
      </c>
      <c r="AJ6" s="884" t="s">
        <v>801</v>
      </c>
      <c r="AK6" s="884" t="s">
        <v>765</v>
      </c>
      <c r="AL6" s="884" t="s">
        <v>766</v>
      </c>
      <c r="AM6" s="884" t="s">
        <v>767</v>
      </c>
      <c r="AN6" s="884" t="s">
        <v>784</v>
      </c>
      <c r="AO6" s="884" t="s">
        <v>776</v>
      </c>
      <c r="AP6" s="884" t="s">
        <v>779</v>
      </c>
      <c r="AQ6" s="884" t="s">
        <v>970</v>
      </c>
      <c r="AR6" s="884"/>
      <c r="AS6" s="884"/>
      <c r="AT6" s="872"/>
      <c r="AU6" s="882"/>
      <c r="AV6" s="880"/>
      <c r="AW6" s="880" t="s">
        <v>848</v>
      </c>
      <c r="AX6" s="880" t="s">
        <v>858</v>
      </c>
      <c r="AY6" s="880" t="s">
        <v>791</v>
      </c>
      <c r="AZ6" s="880" t="s">
        <v>849</v>
      </c>
      <c r="BA6" s="880" t="s">
        <v>850</v>
      </c>
      <c r="BB6" s="880" t="s">
        <v>856</v>
      </c>
      <c r="BC6" s="880" t="s">
        <v>854</v>
      </c>
      <c r="BD6" s="880" t="s">
        <v>853</v>
      </c>
      <c r="BE6" s="880" t="s">
        <v>859</v>
      </c>
      <c r="BF6" s="880" t="s">
        <v>851</v>
      </c>
      <c r="BG6" s="880" t="s">
        <v>852</v>
      </c>
      <c r="BH6" s="880" t="s">
        <v>796</v>
      </c>
      <c r="BI6" s="880" t="s">
        <v>797</v>
      </c>
      <c r="BJ6" s="876" t="s">
        <v>788</v>
      </c>
      <c r="BK6" s="876" t="s">
        <v>864</v>
      </c>
      <c r="BL6" s="876" t="s">
        <v>865</v>
      </c>
      <c r="BM6" s="876" t="s">
        <v>738</v>
      </c>
      <c r="BN6" s="876" t="s">
        <v>664</v>
      </c>
      <c r="BO6" s="876" t="s">
        <v>856</v>
      </c>
      <c r="BP6" s="876" t="s">
        <v>867</v>
      </c>
      <c r="BQ6" s="876" t="s">
        <v>868</v>
      </c>
      <c r="BR6" s="876" t="s">
        <v>866</v>
      </c>
      <c r="BS6" s="876" t="s">
        <v>869</v>
      </c>
      <c r="BT6" s="876" t="s">
        <v>796</v>
      </c>
      <c r="BU6" s="876" t="s">
        <v>797</v>
      </c>
      <c r="BV6" s="878" t="s">
        <v>786</v>
      </c>
      <c r="BW6" s="872" t="s">
        <v>738</v>
      </c>
      <c r="BX6" s="872" t="s">
        <v>664</v>
      </c>
      <c r="BY6" s="872" t="s">
        <v>971</v>
      </c>
      <c r="BZ6" s="872" t="s">
        <v>972</v>
      </c>
      <c r="CA6" s="872" t="s">
        <v>973</v>
      </c>
      <c r="CB6" s="872" t="s">
        <v>974</v>
      </c>
      <c r="CC6" s="872" t="s">
        <v>792</v>
      </c>
      <c r="CD6" s="872" t="s">
        <v>796</v>
      </c>
      <c r="CE6" s="872" t="s">
        <v>797</v>
      </c>
      <c r="CF6" s="874" t="s">
        <v>786</v>
      </c>
      <c r="CG6" s="870" t="s">
        <v>738</v>
      </c>
      <c r="CH6" s="870" t="s">
        <v>664</v>
      </c>
      <c r="CI6" s="870" t="s">
        <v>971</v>
      </c>
      <c r="CJ6" s="870" t="s">
        <v>974</v>
      </c>
      <c r="CK6" s="870" t="s">
        <v>792</v>
      </c>
      <c r="CL6" s="870" t="s">
        <v>796</v>
      </c>
      <c r="CM6" s="870" t="s">
        <v>797</v>
      </c>
      <c r="CN6" s="860" t="s">
        <v>879</v>
      </c>
      <c r="CO6" s="860" t="s">
        <v>655</v>
      </c>
      <c r="CP6" s="860"/>
      <c r="CQ6" s="860"/>
      <c r="CR6" s="860"/>
      <c r="CS6" s="860"/>
      <c r="CT6" s="860"/>
      <c r="CU6" s="860"/>
      <c r="CV6" s="67"/>
      <c r="CW6" s="862"/>
      <c r="CX6" s="863"/>
      <c r="CY6" s="863"/>
      <c r="CZ6" s="863"/>
      <c r="DA6" s="863"/>
      <c r="DB6" s="863"/>
      <c r="DC6" s="863"/>
      <c r="DD6" s="863"/>
      <c r="DE6" s="863"/>
      <c r="DF6" s="863"/>
      <c r="DG6" s="863"/>
      <c r="DH6" s="863"/>
      <c r="DI6" s="864"/>
    </row>
    <row r="7" spans="1:175" s="212" customFormat="1" ht="122.45" customHeight="1" thickBot="1" x14ac:dyDescent="0.25">
      <c r="A7" s="7"/>
      <c r="B7" s="7"/>
      <c r="C7" s="7"/>
      <c r="D7" s="7"/>
      <c r="E7" s="865" t="s">
        <v>100</v>
      </c>
      <c r="F7" s="866"/>
      <c r="G7" s="861" t="s">
        <v>656</v>
      </c>
      <c r="H7" s="861" t="s">
        <v>768</v>
      </c>
      <c r="I7" s="861" t="s">
        <v>769</v>
      </c>
      <c r="J7" s="861" t="s">
        <v>756</v>
      </c>
      <c r="K7" s="861" t="s">
        <v>757</v>
      </c>
      <c r="L7" s="861" t="s">
        <v>761</v>
      </c>
      <c r="M7" s="861" t="s">
        <v>770</v>
      </c>
      <c r="N7" s="861" t="s">
        <v>809</v>
      </c>
      <c r="O7" s="861" t="s">
        <v>811</v>
      </c>
      <c r="P7" s="861" t="s">
        <v>810</v>
      </c>
      <c r="Q7" s="861" t="s">
        <v>762</v>
      </c>
      <c r="R7" s="861" t="s">
        <v>763</v>
      </c>
      <c r="S7" s="861" t="s">
        <v>764</v>
      </c>
      <c r="T7" s="861" t="s">
        <v>837</v>
      </c>
      <c r="U7" s="861" t="s">
        <v>774</v>
      </c>
      <c r="V7" s="861" t="s">
        <v>782</v>
      </c>
      <c r="W7" s="861" t="s">
        <v>778</v>
      </c>
      <c r="X7" s="861" t="s">
        <v>882</v>
      </c>
      <c r="Y7" s="903"/>
      <c r="Z7" s="906"/>
      <c r="AA7" s="879" t="s">
        <v>657</v>
      </c>
      <c r="AB7" s="885" t="s">
        <v>658</v>
      </c>
      <c r="AC7" s="885" t="s">
        <v>659</v>
      </c>
      <c r="AD7" s="885" t="s">
        <v>660</v>
      </c>
      <c r="AE7" s="885" t="s">
        <v>967</v>
      </c>
      <c r="AF7" s="885" t="s">
        <v>968</v>
      </c>
      <c r="AG7" s="885" t="s">
        <v>789</v>
      </c>
      <c r="AH7" s="885" t="s">
        <v>969</v>
      </c>
      <c r="AI7" s="885" t="s">
        <v>746</v>
      </c>
      <c r="AJ7" s="885" t="s">
        <v>801</v>
      </c>
      <c r="AK7" s="885" t="s">
        <v>765</v>
      </c>
      <c r="AL7" s="885" t="s">
        <v>766</v>
      </c>
      <c r="AM7" s="885" t="s">
        <v>767</v>
      </c>
      <c r="AN7" s="885" t="s">
        <v>784</v>
      </c>
      <c r="AO7" s="885" t="s">
        <v>776</v>
      </c>
      <c r="AP7" s="885" t="s">
        <v>779</v>
      </c>
      <c r="AQ7" s="885" t="s">
        <v>970</v>
      </c>
      <c r="AR7" s="885"/>
      <c r="AS7" s="885"/>
      <c r="AT7" s="873"/>
      <c r="AU7" s="883"/>
      <c r="AV7" s="881"/>
      <c r="AW7" s="881" t="s">
        <v>848</v>
      </c>
      <c r="AX7" s="881" t="s">
        <v>858</v>
      </c>
      <c r="AY7" s="881" t="s">
        <v>791</v>
      </c>
      <c r="AZ7" s="881" t="s">
        <v>849</v>
      </c>
      <c r="BA7" s="881" t="s">
        <v>850</v>
      </c>
      <c r="BB7" s="881" t="s">
        <v>856</v>
      </c>
      <c r="BC7" s="881" t="s">
        <v>854</v>
      </c>
      <c r="BD7" s="881" t="s">
        <v>853</v>
      </c>
      <c r="BE7" s="881" t="s">
        <v>859</v>
      </c>
      <c r="BF7" s="881" t="s">
        <v>851</v>
      </c>
      <c r="BG7" s="881" t="s">
        <v>852</v>
      </c>
      <c r="BH7" s="881" t="s">
        <v>796</v>
      </c>
      <c r="BI7" s="881" t="s">
        <v>797</v>
      </c>
      <c r="BJ7" s="877" t="s">
        <v>788</v>
      </c>
      <c r="BK7" s="877" t="s">
        <v>864</v>
      </c>
      <c r="BL7" s="877" t="s">
        <v>865</v>
      </c>
      <c r="BM7" s="877" t="s">
        <v>738</v>
      </c>
      <c r="BN7" s="877" t="s">
        <v>664</v>
      </c>
      <c r="BO7" s="877" t="s">
        <v>856</v>
      </c>
      <c r="BP7" s="877" t="s">
        <v>867</v>
      </c>
      <c r="BQ7" s="877" t="s">
        <v>868</v>
      </c>
      <c r="BR7" s="877" t="s">
        <v>866</v>
      </c>
      <c r="BS7" s="877" t="s">
        <v>869</v>
      </c>
      <c r="BT7" s="877" t="s">
        <v>796</v>
      </c>
      <c r="BU7" s="877" t="s">
        <v>797</v>
      </c>
      <c r="BV7" s="879" t="s">
        <v>786</v>
      </c>
      <c r="BW7" s="873" t="s">
        <v>738</v>
      </c>
      <c r="BX7" s="873" t="s">
        <v>664</v>
      </c>
      <c r="BY7" s="873" t="s">
        <v>971</v>
      </c>
      <c r="BZ7" s="873" t="s">
        <v>972</v>
      </c>
      <c r="CA7" s="873" t="s">
        <v>973</v>
      </c>
      <c r="CB7" s="873" t="s">
        <v>974</v>
      </c>
      <c r="CC7" s="873" t="s">
        <v>792</v>
      </c>
      <c r="CD7" s="873" t="s">
        <v>796</v>
      </c>
      <c r="CE7" s="873" t="s">
        <v>797</v>
      </c>
      <c r="CF7" s="875" t="s">
        <v>786</v>
      </c>
      <c r="CG7" s="871" t="s">
        <v>738</v>
      </c>
      <c r="CH7" s="871" t="s">
        <v>664</v>
      </c>
      <c r="CI7" s="871" t="s">
        <v>971</v>
      </c>
      <c r="CJ7" s="871" t="s">
        <v>974</v>
      </c>
      <c r="CK7" s="871" t="s">
        <v>792</v>
      </c>
      <c r="CL7" s="871" t="s">
        <v>796</v>
      </c>
      <c r="CM7" s="871" t="s">
        <v>797</v>
      </c>
      <c r="CN7" s="861" t="s">
        <v>879</v>
      </c>
      <c r="CO7" s="861" t="s">
        <v>655</v>
      </c>
      <c r="CP7" s="861"/>
      <c r="CQ7" s="861"/>
      <c r="CR7" s="861"/>
      <c r="CS7" s="861"/>
      <c r="CT7" s="861"/>
      <c r="CU7" s="861"/>
      <c r="CV7" s="68"/>
      <c r="CW7" s="209"/>
      <c r="CX7" s="210"/>
      <c r="CY7" s="210"/>
      <c r="CZ7" s="210"/>
      <c r="DA7" s="210"/>
      <c r="DB7" s="210"/>
      <c r="DC7" s="210"/>
      <c r="DD7" s="210"/>
      <c r="DE7" s="210"/>
      <c r="DF7" s="210"/>
      <c r="DG7" s="210"/>
      <c r="DH7" s="210"/>
      <c r="DI7" s="211"/>
      <c r="DJ7" s="752"/>
      <c r="DK7" s="753"/>
      <c r="DL7" s="753"/>
      <c r="DM7" s="753"/>
      <c r="DN7" s="753"/>
      <c r="DO7" s="753"/>
      <c r="DP7" s="753"/>
      <c r="DQ7" s="753"/>
      <c r="DR7" s="753"/>
      <c r="DS7" s="753"/>
      <c r="DT7" s="753"/>
      <c r="DU7" s="753"/>
      <c r="DV7" s="754"/>
      <c r="DW7" s="752"/>
      <c r="DX7" s="753"/>
      <c r="DY7" s="753"/>
      <c r="DZ7" s="753"/>
      <c r="EA7" s="753"/>
      <c r="EB7" s="753"/>
      <c r="EC7" s="753" t="s">
        <v>1064</v>
      </c>
      <c r="ED7" s="752" t="s">
        <v>101</v>
      </c>
      <c r="EE7" s="753" t="s">
        <v>23</v>
      </c>
      <c r="EF7" s="753" t="s">
        <v>24</v>
      </c>
      <c r="EG7" s="753" t="s">
        <v>25</v>
      </c>
      <c r="EH7" s="753" t="s">
        <v>26</v>
      </c>
      <c r="EI7" s="753" t="s">
        <v>27</v>
      </c>
      <c r="EJ7" s="753" t="s">
        <v>28</v>
      </c>
      <c r="EK7" s="753" t="s">
        <v>29</v>
      </c>
      <c r="EL7" s="753" t="s">
        <v>30</v>
      </c>
      <c r="EM7" s="753" t="s">
        <v>31</v>
      </c>
      <c r="EN7" s="753" t="s">
        <v>32</v>
      </c>
      <c r="EO7" s="753" t="s">
        <v>33</v>
      </c>
      <c r="EP7" s="754" t="s">
        <v>34</v>
      </c>
    </row>
    <row r="8" spans="1:175" s="212" customFormat="1" ht="29.25" thickBot="1" x14ac:dyDescent="0.25">
      <c r="A8" s="230" t="s">
        <v>613</v>
      </c>
      <c r="B8" s="232">
        <f>+B2</f>
        <v>45656</v>
      </c>
      <c r="C8" s="231" t="s">
        <v>614</v>
      </c>
      <c r="D8" s="233">
        <f>+B8+4</f>
        <v>45660</v>
      </c>
      <c r="E8" s="213" t="s">
        <v>102</v>
      </c>
      <c r="F8" s="214" t="s">
        <v>103</v>
      </c>
      <c r="G8" s="867" t="s">
        <v>122</v>
      </c>
      <c r="H8" s="868"/>
      <c r="I8" s="868"/>
      <c r="J8" s="868"/>
      <c r="K8" s="868"/>
      <c r="L8" s="868"/>
      <c r="M8" s="868"/>
      <c r="N8" s="868"/>
      <c r="O8" s="868"/>
      <c r="P8" s="868"/>
      <c r="Q8" s="868"/>
      <c r="R8" s="868"/>
      <c r="S8" s="868"/>
      <c r="T8" s="868"/>
      <c r="U8" s="868"/>
      <c r="V8" s="868"/>
      <c r="W8" s="868"/>
      <c r="X8" s="868"/>
      <c r="Y8" s="868"/>
      <c r="Z8" s="868"/>
      <c r="AA8" s="868"/>
      <c r="AB8" s="868"/>
      <c r="AC8" s="868"/>
      <c r="AD8" s="868"/>
      <c r="AE8" s="868"/>
      <c r="AF8" s="868"/>
      <c r="AG8" s="868"/>
      <c r="AH8" s="868"/>
      <c r="AI8" s="868"/>
      <c r="AJ8" s="868"/>
      <c r="AK8" s="868"/>
      <c r="AL8" s="868"/>
      <c r="AM8" s="868"/>
      <c r="AN8" s="868"/>
      <c r="AO8" s="868"/>
      <c r="AP8" s="868"/>
      <c r="AQ8" s="868"/>
      <c r="AR8" s="868"/>
      <c r="AS8" s="868"/>
      <c r="AT8" s="868"/>
      <c r="AU8" s="868"/>
      <c r="AV8" s="868"/>
      <c r="AW8" s="868"/>
      <c r="AX8" s="868"/>
      <c r="AY8" s="868"/>
      <c r="AZ8" s="868"/>
      <c r="BA8" s="868"/>
      <c r="BB8" s="868"/>
      <c r="BC8" s="868"/>
      <c r="BD8" s="868"/>
      <c r="BE8" s="868"/>
      <c r="BF8" s="868"/>
      <c r="BG8" s="868"/>
      <c r="BH8" s="868"/>
      <c r="BI8" s="868"/>
      <c r="BJ8" s="868"/>
      <c r="BK8" s="868"/>
      <c r="BL8" s="868"/>
      <c r="BM8" s="868"/>
      <c r="BN8" s="868"/>
      <c r="BO8" s="868"/>
      <c r="BP8" s="868"/>
      <c r="BQ8" s="868"/>
      <c r="BR8" s="868"/>
      <c r="BS8" s="868"/>
      <c r="BT8" s="868"/>
      <c r="BU8" s="868"/>
      <c r="BV8" s="868"/>
      <c r="BW8" s="868"/>
      <c r="BX8" s="868"/>
      <c r="BY8" s="868"/>
      <c r="BZ8" s="868"/>
      <c r="CA8" s="868"/>
      <c r="CB8" s="868"/>
      <c r="CC8" s="868"/>
      <c r="CD8" s="868"/>
      <c r="CE8" s="868"/>
      <c r="CF8" s="868"/>
      <c r="CG8" s="868"/>
      <c r="CH8" s="868"/>
      <c r="CI8" s="868"/>
      <c r="CJ8" s="868"/>
      <c r="CK8" s="868"/>
      <c r="CL8" s="868"/>
      <c r="CM8" s="868"/>
      <c r="CN8" s="868"/>
      <c r="CO8" s="868"/>
      <c r="CP8" s="868"/>
      <c r="CQ8" s="868"/>
      <c r="CR8" s="868"/>
      <c r="CS8" s="868"/>
      <c r="CT8" s="868"/>
      <c r="CU8" s="868"/>
      <c r="CV8" s="868"/>
      <c r="CW8" s="868"/>
      <c r="CX8" s="868"/>
      <c r="CY8" s="868"/>
      <c r="CZ8" s="868"/>
      <c r="DA8" s="868"/>
      <c r="DB8" s="868"/>
      <c r="DC8" s="868"/>
      <c r="DD8" s="868"/>
      <c r="DE8" s="868"/>
      <c r="DF8" s="868"/>
      <c r="DG8" s="868"/>
      <c r="DH8" s="868"/>
      <c r="DI8" s="869"/>
    </row>
    <row r="9" spans="1:175" s="2" customFormat="1" x14ac:dyDescent="0.2">
      <c r="A9" s="854" t="s">
        <v>74</v>
      </c>
      <c r="B9" s="855"/>
      <c r="C9" s="855"/>
      <c r="D9" s="856"/>
      <c r="E9" s="215"/>
      <c r="F9" s="216"/>
      <c r="G9" s="735"/>
      <c r="H9" s="736"/>
      <c r="I9" s="736"/>
      <c r="J9" s="736"/>
      <c r="K9" s="736"/>
      <c r="L9" s="736"/>
      <c r="M9" s="736"/>
      <c r="N9" s="736"/>
      <c r="O9" s="736"/>
      <c r="P9" s="736"/>
      <c r="Q9" s="736"/>
      <c r="R9" s="736"/>
      <c r="S9" s="736"/>
      <c r="T9" s="736"/>
      <c r="U9" s="736"/>
      <c r="V9" s="736"/>
      <c r="W9" s="736"/>
      <c r="X9" s="736"/>
      <c r="Y9" s="736"/>
      <c r="Z9" s="736"/>
      <c r="AA9" s="737"/>
      <c r="AB9" s="737"/>
      <c r="AC9" s="737"/>
      <c r="AD9" s="737"/>
      <c r="AE9" s="737"/>
      <c r="AF9" s="737"/>
      <c r="AG9" s="737"/>
      <c r="AH9" s="737"/>
      <c r="AI9" s="737"/>
      <c r="AJ9" s="737"/>
      <c r="AK9" s="737"/>
      <c r="AL9" s="737"/>
      <c r="AM9" s="737"/>
      <c r="AN9" s="737"/>
      <c r="AO9" s="737"/>
      <c r="AP9" s="737"/>
      <c r="AQ9" s="737"/>
      <c r="AR9" s="737"/>
      <c r="AS9" s="737"/>
      <c r="AT9" s="737"/>
      <c r="AU9" s="738"/>
      <c r="AV9" s="737"/>
      <c r="AW9" s="737"/>
      <c r="AX9" s="737"/>
      <c r="AY9" s="737"/>
      <c r="AZ9" s="737"/>
      <c r="BA9" s="737"/>
      <c r="BB9" s="737"/>
      <c r="BC9" s="737"/>
      <c r="BD9" s="737"/>
      <c r="BE9" s="737"/>
      <c r="BF9" s="737"/>
      <c r="BG9" s="737"/>
      <c r="BH9" s="737"/>
      <c r="BI9" s="737"/>
      <c r="BJ9" s="737"/>
      <c r="BK9" s="737"/>
      <c r="BL9" s="737"/>
      <c r="BM9" s="737"/>
      <c r="BN9" s="737"/>
      <c r="BO9" s="737"/>
      <c r="BP9" s="737"/>
      <c r="BQ9" s="737"/>
      <c r="BR9" s="737"/>
      <c r="BS9" s="737"/>
      <c r="BT9" s="737"/>
      <c r="BU9" s="739"/>
      <c r="BV9" s="737"/>
      <c r="BW9" s="737"/>
      <c r="BX9" s="737"/>
      <c r="BY9" s="737"/>
      <c r="BZ9" s="737"/>
      <c r="CA9" s="737"/>
      <c r="CB9" s="737"/>
      <c r="CC9" s="737"/>
      <c r="CD9" s="737"/>
      <c r="CE9" s="737"/>
      <c r="CF9" s="737"/>
      <c r="CG9" s="737"/>
      <c r="CH9" s="737"/>
      <c r="CI9" s="737"/>
      <c r="CJ9" s="737"/>
      <c r="CK9" s="737"/>
      <c r="CL9" s="737"/>
      <c r="CM9" s="737"/>
      <c r="CN9" s="737"/>
      <c r="CO9" s="737"/>
      <c r="CP9" s="737"/>
      <c r="CQ9" s="737"/>
      <c r="CR9" s="737"/>
      <c r="CS9" s="737"/>
      <c r="CT9" s="737"/>
      <c r="CU9" s="738"/>
      <c r="CV9" s="737"/>
      <c r="CW9" s="737"/>
      <c r="CX9" s="737"/>
      <c r="CY9" s="737"/>
      <c r="CZ9" s="737"/>
      <c r="DA9" s="737"/>
      <c r="DB9" s="737"/>
      <c r="DC9" s="737"/>
      <c r="DD9" s="737"/>
      <c r="DE9" s="737"/>
      <c r="DF9" s="737"/>
      <c r="DG9" s="737"/>
      <c r="DH9" s="738"/>
      <c r="DI9" s="737"/>
      <c r="DJ9" s="737"/>
      <c r="DK9" s="737"/>
      <c r="DL9" s="737"/>
      <c r="DM9" s="737"/>
      <c r="DN9" s="737"/>
      <c r="DO9" s="737"/>
      <c r="DP9" s="737"/>
      <c r="DQ9" s="737"/>
      <c r="DR9" s="737"/>
      <c r="DS9" s="737"/>
      <c r="DT9" s="737"/>
      <c r="DU9" s="737"/>
      <c r="DV9" s="737"/>
      <c r="DW9" s="737"/>
      <c r="DX9" s="737"/>
      <c r="DY9" s="737"/>
      <c r="DZ9" s="737"/>
      <c r="EA9" s="737"/>
      <c r="EB9" s="737"/>
      <c r="EC9" s="737"/>
      <c r="ED9" s="737"/>
      <c r="EE9" s="737"/>
      <c r="EF9" s="737"/>
      <c r="EG9" s="737"/>
      <c r="EH9" s="737"/>
      <c r="EI9" s="737"/>
      <c r="EJ9" s="737"/>
      <c r="EK9" s="737"/>
      <c r="EL9" s="737"/>
      <c r="EM9" s="737"/>
      <c r="EN9" s="737"/>
      <c r="EO9" s="737"/>
      <c r="EP9" s="737"/>
      <c r="EQ9" s="737"/>
      <c r="ER9" s="737">
        <v>0</v>
      </c>
      <c r="ES9" s="737">
        <v>0</v>
      </c>
      <c r="ET9" s="737">
        <v>0</v>
      </c>
      <c r="EU9" s="737">
        <v>0</v>
      </c>
      <c r="EV9" s="737">
        <v>0</v>
      </c>
      <c r="EW9" s="737">
        <v>0</v>
      </c>
      <c r="EX9" s="737">
        <v>0</v>
      </c>
      <c r="EY9" s="737">
        <v>0</v>
      </c>
      <c r="EZ9" s="738">
        <v>0</v>
      </c>
      <c r="FA9" s="737">
        <v>0</v>
      </c>
      <c r="FB9" s="737">
        <v>0</v>
      </c>
      <c r="FC9" s="737">
        <v>0</v>
      </c>
      <c r="FD9" s="737">
        <v>0</v>
      </c>
      <c r="FE9" s="738">
        <v>0</v>
      </c>
      <c r="FF9" s="737">
        <v>0</v>
      </c>
      <c r="FG9" s="737">
        <v>0</v>
      </c>
      <c r="FH9" s="737">
        <v>0</v>
      </c>
      <c r="FI9" s="737">
        <v>0</v>
      </c>
      <c r="FJ9" s="737">
        <v>0</v>
      </c>
      <c r="FK9" s="737">
        <v>0</v>
      </c>
      <c r="FL9" s="737">
        <v>0</v>
      </c>
      <c r="FM9" s="737">
        <v>0</v>
      </c>
      <c r="FN9" s="737">
        <v>0</v>
      </c>
      <c r="FO9" s="737">
        <v>0</v>
      </c>
      <c r="FP9" s="737">
        <v>0</v>
      </c>
      <c r="FQ9" s="737">
        <v>32</v>
      </c>
      <c r="FR9" s="737">
        <v>0</v>
      </c>
      <c r="FS9" s="740">
        <v>0</v>
      </c>
    </row>
    <row r="10" spans="1:175" s="2" customFormat="1" ht="15.75" thickBot="1" x14ac:dyDescent="0.25">
      <c r="A10" s="857" t="s">
        <v>109</v>
      </c>
      <c r="B10" s="858"/>
      <c r="C10" s="858"/>
      <c r="D10" s="859"/>
      <c r="E10" s="217"/>
      <c r="F10" s="218"/>
      <c r="G10" s="219"/>
      <c r="H10" s="219"/>
      <c r="I10" s="219"/>
      <c r="J10" s="219"/>
      <c r="K10" s="219"/>
      <c r="L10" s="219"/>
      <c r="M10" s="219"/>
      <c r="N10" s="219"/>
      <c r="O10" s="219"/>
      <c r="P10" s="219"/>
      <c r="Q10" s="219"/>
      <c r="R10" s="219"/>
      <c r="S10" s="219"/>
      <c r="T10" s="219"/>
      <c r="U10" s="219"/>
      <c r="V10" s="219"/>
      <c r="W10" s="219"/>
      <c r="X10" s="219"/>
      <c r="Y10" s="219"/>
      <c r="Z10" s="219"/>
      <c r="AA10" s="219"/>
      <c r="AB10" s="219"/>
      <c r="AC10" s="219"/>
      <c r="AD10" s="219"/>
      <c r="AE10" s="219"/>
      <c r="AF10" s="219"/>
      <c r="AG10" s="219"/>
      <c r="AH10" s="219"/>
      <c r="AI10" s="219"/>
      <c r="AJ10" s="219"/>
      <c r="AK10" s="219"/>
      <c r="AL10" s="219"/>
      <c r="AM10" s="219"/>
      <c r="AN10" s="219"/>
      <c r="AO10" s="219"/>
      <c r="AP10" s="219"/>
      <c r="AQ10" s="219"/>
      <c r="AR10" s="219"/>
      <c r="AS10" s="219"/>
      <c r="AT10" s="219"/>
      <c r="AU10" s="219"/>
      <c r="AV10" s="219"/>
      <c r="AW10" s="219"/>
      <c r="AX10" s="219"/>
      <c r="AY10" s="219"/>
      <c r="AZ10" s="219"/>
      <c r="BA10" s="219"/>
      <c r="BB10" s="219"/>
      <c r="BC10" s="219"/>
      <c r="BD10" s="219"/>
      <c r="BE10" s="219"/>
      <c r="BF10" s="219"/>
      <c r="BG10" s="219"/>
      <c r="BH10" s="219"/>
      <c r="BI10" s="219"/>
      <c r="BJ10" s="219"/>
      <c r="BK10" s="219"/>
      <c r="BL10" s="219"/>
      <c r="BM10" s="219"/>
      <c r="BN10" s="219"/>
      <c r="BO10" s="219"/>
      <c r="BP10" s="219"/>
      <c r="BQ10" s="219"/>
      <c r="BR10" s="219"/>
      <c r="BS10" s="219"/>
      <c r="BT10" s="219"/>
      <c r="BU10" s="219"/>
      <c r="BV10" s="219"/>
      <c r="BW10" s="219"/>
      <c r="BX10" s="219"/>
      <c r="BY10" s="219"/>
      <c r="BZ10" s="219"/>
      <c r="CA10" s="219"/>
      <c r="CB10" s="219"/>
      <c r="CC10" s="219"/>
      <c r="CD10" s="219"/>
      <c r="CE10" s="219"/>
      <c r="CF10" s="219"/>
      <c r="CG10" s="219"/>
      <c r="CH10" s="219"/>
      <c r="CI10" s="219"/>
      <c r="CJ10" s="219"/>
      <c r="CK10" s="219"/>
      <c r="CL10" s="219"/>
      <c r="CM10" s="219"/>
      <c r="CN10" s="219"/>
      <c r="CO10" s="219"/>
      <c r="CP10" s="219"/>
      <c r="CQ10" s="219"/>
      <c r="CR10" s="219"/>
      <c r="CS10" s="219"/>
      <c r="CT10" s="219"/>
      <c r="CU10" s="219"/>
      <c r="CV10" s="220"/>
      <c r="CW10" s="219"/>
      <c r="CX10" s="219"/>
      <c r="CY10" s="219"/>
      <c r="CZ10" s="219"/>
      <c r="DA10" s="219"/>
      <c r="DB10" s="219"/>
      <c r="DC10" s="219"/>
      <c r="DD10" s="219"/>
      <c r="DE10" s="219"/>
      <c r="DF10" s="219"/>
      <c r="DG10" s="219"/>
      <c r="DH10" s="219"/>
      <c r="DI10" s="221"/>
      <c r="DJ10" s="221"/>
      <c r="DK10" s="221"/>
      <c r="DL10" s="221"/>
      <c r="DM10" s="221"/>
      <c r="DN10" s="221"/>
      <c r="DO10" s="221"/>
      <c r="DP10" s="221"/>
      <c r="DQ10" s="221"/>
      <c r="DR10" s="221"/>
      <c r="DS10" s="221"/>
      <c r="DT10" s="221"/>
      <c r="DU10" s="221"/>
      <c r="DV10" s="221"/>
      <c r="DW10" s="221"/>
      <c r="DX10" s="221"/>
      <c r="DY10" s="221"/>
      <c r="DZ10" s="221"/>
      <c r="EA10" s="221"/>
      <c r="EB10" s="221"/>
      <c r="EC10" s="221"/>
      <c r="ED10" s="221"/>
      <c r="EE10" s="221"/>
      <c r="EF10" s="221"/>
      <c r="EG10" s="221"/>
      <c r="EH10" s="221"/>
      <c r="EI10" s="221"/>
      <c r="EJ10" s="221"/>
      <c r="EK10" s="221"/>
      <c r="EL10" s="221"/>
      <c r="EM10" s="221"/>
      <c r="EN10" s="221"/>
      <c r="EO10" s="221"/>
      <c r="EP10" s="221"/>
    </row>
    <row r="11" spans="1:175" s="2" customFormat="1" ht="15.75" thickBot="1" x14ac:dyDescent="0.25">
      <c r="A11" s="844" t="s">
        <v>110</v>
      </c>
      <c r="B11" s="845"/>
      <c r="C11" s="845"/>
      <c r="D11" s="845"/>
      <c r="E11" s="222">
        <f>SUM(E9:E10)</f>
        <v>0</v>
      </c>
      <c r="F11" s="223">
        <f>SUM(F9:F10)</f>
        <v>0</v>
      </c>
      <c r="G11" s="224">
        <f>SUM(G9:G10)</f>
        <v>0</v>
      </c>
      <c r="H11" s="224">
        <f t="shared" ref="H11:BU11" si="0">SUM(H9:H10)</f>
        <v>0</v>
      </c>
      <c r="I11" s="224">
        <f t="shared" si="0"/>
        <v>0</v>
      </c>
      <c r="J11" s="224">
        <f t="shared" si="0"/>
        <v>0</v>
      </c>
      <c r="K11" s="224">
        <f t="shared" si="0"/>
        <v>0</v>
      </c>
      <c r="L11" s="224">
        <f t="shared" si="0"/>
        <v>0</v>
      </c>
      <c r="M11" s="224">
        <f t="shared" si="0"/>
        <v>0</v>
      </c>
      <c r="N11" s="224">
        <f t="shared" si="0"/>
        <v>0</v>
      </c>
      <c r="O11" s="224">
        <f t="shared" si="0"/>
        <v>0</v>
      </c>
      <c r="P11" s="224">
        <f t="shared" si="0"/>
        <v>0</v>
      </c>
      <c r="Q11" s="224">
        <f t="shared" si="0"/>
        <v>0</v>
      </c>
      <c r="R11" s="224">
        <f t="shared" si="0"/>
        <v>0</v>
      </c>
      <c r="S11" s="224">
        <f t="shared" si="0"/>
        <v>0</v>
      </c>
      <c r="T11" s="224">
        <f t="shared" si="0"/>
        <v>0</v>
      </c>
      <c r="U11" s="224">
        <f t="shared" si="0"/>
        <v>0</v>
      </c>
      <c r="V11" s="224">
        <f t="shared" si="0"/>
        <v>0</v>
      </c>
      <c r="W11" s="224">
        <f t="shared" si="0"/>
        <v>0</v>
      </c>
      <c r="X11" s="224">
        <f t="shared" si="0"/>
        <v>0</v>
      </c>
      <c r="Y11" s="224">
        <f t="shared" si="0"/>
        <v>0</v>
      </c>
      <c r="Z11" s="224">
        <f t="shared" si="0"/>
        <v>0</v>
      </c>
      <c r="AA11" s="224">
        <f t="shared" si="0"/>
        <v>0</v>
      </c>
      <c r="AB11" s="224">
        <f t="shared" si="0"/>
        <v>0</v>
      </c>
      <c r="AC11" s="224">
        <f t="shared" si="0"/>
        <v>0</v>
      </c>
      <c r="AD11" s="224">
        <f t="shared" si="0"/>
        <v>0</v>
      </c>
      <c r="AE11" s="224">
        <f t="shared" si="0"/>
        <v>0</v>
      </c>
      <c r="AF11" s="224">
        <f t="shared" si="0"/>
        <v>0</v>
      </c>
      <c r="AG11" s="224">
        <f t="shared" si="0"/>
        <v>0</v>
      </c>
      <c r="AH11" s="224">
        <f t="shared" si="0"/>
        <v>0</v>
      </c>
      <c r="AI11" s="224">
        <f t="shared" si="0"/>
        <v>0</v>
      </c>
      <c r="AJ11" s="224">
        <f t="shared" si="0"/>
        <v>0</v>
      </c>
      <c r="AK11" s="224">
        <f t="shared" si="0"/>
        <v>0</v>
      </c>
      <c r="AL11" s="224">
        <f t="shared" si="0"/>
        <v>0</v>
      </c>
      <c r="AM11" s="224">
        <f t="shared" si="0"/>
        <v>0</v>
      </c>
      <c r="AN11" s="224">
        <f t="shared" si="0"/>
        <v>0</v>
      </c>
      <c r="AO11" s="224">
        <f t="shared" si="0"/>
        <v>0</v>
      </c>
      <c r="AP11" s="224">
        <f t="shared" si="0"/>
        <v>0</v>
      </c>
      <c r="AQ11" s="224">
        <f t="shared" si="0"/>
        <v>0</v>
      </c>
      <c r="AR11" s="224">
        <f t="shared" si="0"/>
        <v>0</v>
      </c>
      <c r="AS11" s="224">
        <f t="shared" si="0"/>
        <v>0</v>
      </c>
      <c r="AT11" s="224">
        <f t="shared" si="0"/>
        <v>0</v>
      </c>
      <c r="AU11" s="224">
        <f t="shared" si="0"/>
        <v>0</v>
      </c>
      <c r="AV11" s="224">
        <f t="shared" si="0"/>
        <v>0</v>
      </c>
      <c r="AW11" s="224">
        <f t="shared" si="0"/>
        <v>0</v>
      </c>
      <c r="AX11" s="224">
        <f t="shared" si="0"/>
        <v>0</v>
      </c>
      <c r="AY11" s="224">
        <f t="shared" si="0"/>
        <v>0</v>
      </c>
      <c r="AZ11" s="224">
        <f t="shared" si="0"/>
        <v>0</v>
      </c>
      <c r="BA11" s="224">
        <f t="shared" si="0"/>
        <v>0</v>
      </c>
      <c r="BB11" s="224">
        <f t="shared" si="0"/>
        <v>0</v>
      </c>
      <c r="BC11" s="224">
        <f t="shared" si="0"/>
        <v>0</v>
      </c>
      <c r="BD11" s="224">
        <f t="shared" si="0"/>
        <v>0</v>
      </c>
      <c r="BE11" s="224">
        <f t="shared" si="0"/>
        <v>0</v>
      </c>
      <c r="BF11" s="224">
        <f t="shared" si="0"/>
        <v>0</v>
      </c>
      <c r="BG11" s="224">
        <f t="shared" si="0"/>
        <v>0</v>
      </c>
      <c r="BH11" s="224">
        <f t="shared" si="0"/>
        <v>0</v>
      </c>
      <c r="BI11" s="224">
        <f t="shared" si="0"/>
        <v>0</v>
      </c>
      <c r="BJ11" s="224">
        <f t="shared" si="0"/>
        <v>0</v>
      </c>
      <c r="BK11" s="224">
        <f t="shared" si="0"/>
        <v>0</v>
      </c>
      <c r="BL11" s="224">
        <f t="shared" si="0"/>
        <v>0</v>
      </c>
      <c r="BM11" s="224">
        <f t="shared" si="0"/>
        <v>0</v>
      </c>
      <c r="BN11" s="224">
        <f t="shared" si="0"/>
        <v>0</v>
      </c>
      <c r="BO11" s="224">
        <f t="shared" si="0"/>
        <v>0</v>
      </c>
      <c r="BP11" s="224">
        <f t="shared" si="0"/>
        <v>0</v>
      </c>
      <c r="BQ11" s="224">
        <f t="shared" si="0"/>
        <v>0</v>
      </c>
      <c r="BR11" s="224">
        <f t="shared" si="0"/>
        <v>0</v>
      </c>
      <c r="BS11" s="224">
        <f t="shared" si="0"/>
        <v>0</v>
      </c>
      <c r="BT11" s="224">
        <f t="shared" si="0"/>
        <v>0</v>
      </c>
      <c r="BU11" s="224">
        <f t="shared" si="0"/>
        <v>0</v>
      </c>
      <c r="BV11" s="224">
        <f t="shared" ref="BV11:DI11" si="1">SUM(BV9:BV10)</f>
        <v>0</v>
      </c>
      <c r="BW11" s="224">
        <f t="shared" si="1"/>
        <v>0</v>
      </c>
      <c r="BX11" s="224">
        <f t="shared" si="1"/>
        <v>0</v>
      </c>
      <c r="BY11" s="224">
        <f t="shared" si="1"/>
        <v>0</v>
      </c>
      <c r="BZ11" s="224">
        <f t="shared" si="1"/>
        <v>0</v>
      </c>
      <c r="CA11" s="224">
        <f t="shared" si="1"/>
        <v>0</v>
      </c>
      <c r="CB11" s="224">
        <f t="shared" si="1"/>
        <v>0</v>
      </c>
      <c r="CC11" s="224">
        <f t="shared" si="1"/>
        <v>0</v>
      </c>
      <c r="CD11" s="224">
        <f t="shared" si="1"/>
        <v>0</v>
      </c>
      <c r="CE11" s="224">
        <f t="shared" si="1"/>
        <v>0</v>
      </c>
      <c r="CF11" s="224">
        <f t="shared" si="1"/>
        <v>0</v>
      </c>
      <c r="CG11" s="224">
        <f t="shared" si="1"/>
        <v>0</v>
      </c>
      <c r="CH11" s="224">
        <f t="shared" si="1"/>
        <v>0</v>
      </c>
      <c r="CI11" s="224">
        <f t="shared" si="1"/>
        <v>0</v>
      </c>
      <c r="CJ11" s="224">
        <f t="shared" si="1"/>
        <v>0</v>
      </c>
      <c r="CK11" s="224">
        <f t="shared" si="1"/>
        <v>0</v>
      </c>
      <c r="CL11" s="224">
        <f t="shared" si="1"/>
        <v>0</v>
      </c>
      <c r="CM11" s="224">
        <f t="shared" si="1"/>
        <v>0</v>
      </c>
      <c r="CN11" s="224">
        <f t="shared" si="1"/>
        <v>0</v>
      </c>
      <c r="CO11" s="224">
        <f t="shared" si="1"/>
        <v>0</v>
      </c>
      <c r="CP11" s="224">
        <f t="shared" si="1"/>
        <v>0</v>
      </c>
      <c r="CQ11" s="224">
        <f t="shared" si="1"/>
        <v>0</v>
      </c>
      <c r="CR11" s="224">
        <f t="shared" si="1"/>
        <v>0</v>
      </c>
      <c r="CS11" s="224">
        <f t="shared" si="1"/>
        <v>0</v>
      </c>
      <c r="CT11" s="224">
        <f t="shared" si="1"/>
        <v>0</v>
      </c>
      <c r="CU11" s="224">
        <f t="shared" si="1"/>
        <v>0</v>
      </c>
      <c r="CV11" s="224">
        <f t="shared" si="1"/>
        <v>0</v>
      </c>
      <c r="CW11" s="224">
        <f t="shared" si="1"/>
        <v>0</v>
      </c>
      <c r="CX11" s="224">
        <f t="shared" si="1"/>
        <v>0</v>
      </c>
      <c r="CY11" s="224">
        <f t="shared" si="1"/>
        <v>0</v>
      </c>
      <c r="CZ11" s="224">
        <f t="shared" si="1"/>
        <v>0</v>
      </c>
      <c r="DA11" s="224">
        <f t="shared" si="1"/>
        <v>0</v>
      </c>
      <c r="DB11" s="224">
        <f t="shared" si="1"/>
        <v>0</v>
      </c>
      <c r="DC11" s="224">
        <f t="shared" si="1"/>
        <v>0</v>
      </c>
      <c r="DD11" s="224">
        <f t="shared" si="1"/>
        <v>0</v>
      </c>
      <c r="DE11" s="224">
        <f t="shared" si="1"/>
        <v>0</v>
      </c>
      <c r="DF11" s="224">
        <f t="shared" si="1"/>
        <v>0</v>
      </c>
      <c r="DG11" s="224">
        <f t="shared" si="1"/>
        <v>0</v>
      </c>
      <c r="DH11" s="224">
        <f t="shared" si="1"/>
        <v>0</v>
      </c>
      <c r="DI11" s="224">
        <f t="shared" si="1"/>
        <v>0</v>
      </c>
      <c r="DJ11" s="224"/>
      <c r="DK11" s="224"/>
      <c r="DL11" s="224"/>
      <c r="DM11" s="224"/>
      <c r="DN11" s="224"/>
      <c r="DO11" s="224"/>
      <c r="DP11" s="224"/>
      <c r="DQ11" s="224"/>
      <c r="DR11" s="224"/>
      <c r="DS11" s="224"/>
      <c r="DT11" s="224"/>
      <c r="DU11" s="224"/>
      <c r="DV11" s="224"/>
      <c r="DW11" s="224"/>
      <c r="DX11" s="224"/>
      <c r="DY11" s="224"/>
      <c r="DZ11" s="224"/>
      <c r="EA11" s="224"/>
      <c r="EB11" s="224"/>
      <c r="EC11" s="224"/>
      <c r="ED11" s="224"/>
      <c r="EE11" s="224"/>
      <c r="EF11" s="224"/>
      <c r="EG11" s="224"/>
      <c r="EH11" s="224"/>
      <c r="EI11" s="224"/>
      <c r="EJ11" s="224"/>
      <c r="EK11" s="224"/>
      <c r="EL11" s="224"/>
      <c r="EM11" s="224"/>
      <c r="EN11" s="224"/>
      <c r="EO11" s="224"/>
      <c r="EP11" s="224"/>
    </row>
    <row r="12" spans="1:175" s="2" customFormat="1" ht="14.45" customHeight="1" thickBot="1" x14ac:dyDescent="0.25">
      <c r="A12" s="230" t="s">
        <v>613</v>
      </c>
      <c r="B12" s="232">
        <f>+B8+7</f>
        <v>45663</v>
      </c>
      <c r="C12" s="231" t="s">
        <v>614</v>
      </c>
      <c r="D12" s="233">
        <f>+D8+7</f>
        <v>45667</v>
      </c>
      <c r="E12" s="213" t="s">
        <v>102</v>
      </c>
      <c r="F12" s="214" t="s">
        <v>103</v>
      </c>
      <c r="G12" s="219"/>
      <c r="H12" s="219"/>
      <c r="I12" s="219"/>
      <c r="J12" s="219"/>
      <c r="K12" s="219"/>
      <c r="L12" s="219"/>
      <c r="M12" s="219"/>
      <c r="N12" s="219"/>
      <c r="O12" s="219"/>
      <c r="P12" s="219"/>
      <c r="Q12" s="219"/>
      <c r="R12" s="219"/>
      <c r="S12" s="219"/>
      <c r="T12" s="219"/>
      <c r="U12" s="219"/>
      <c r="V12" s="219"/>
      <c r="W12" s="219"/>
      <c r="X12" s="219"/>
      <c r="Y12" s="219"/>
      <c r="Z12" s="219"/>
      <c r="AA12" s="219"/>
      <c r="AB12" s="219"/>
      <c r="AC12" s="219"/>
      <c r="AD12" s="219"/>
      <c r="AE12" s="219"/>
      <c r="AF12" s="219"/>
      <c r="AG12" s="219"/>
      <c r="AH12" s="219"/>
      <c r="AI12" s="219"/>
      <c r="AJ12" s="219"/>
      <c r="AK12" s="219"/>
      <c r="AL12" s="219"/>
      <c r="AM12" s="219"/>
      <c r="AN12" s="219"/>
      <c r="AO12" s="219"/>
      <c r="AP12" s="219"/>
      <c r="AQ12" s="219"/>
      <c r="AR12" s="219"/>
      <c r="AS12" s="219"/>
      <c r="AT12" s="219"/>
      <c r="AU12" s="219"/>
      <c r="AV12" s="219"/>
      <c r="AW12" s="219"/>
      <c r="AX12" s="219"/>
      <c r="AY12" s="219"/>
      <c r="AZ12" s="219"/>
      <c r="BA12" s="219"/>
      <c r="BB12" s="219"/>
      <c r="BC12" s="219"/>
      <c r="BD12" s="219"/>
      <c r="BE12" s="219"/>
      <c r="BF12" s="219"/>
      <c r="BG12" s="219"/>
      <c r="BH12" s="219"/>
      <c r="BI12" s="219"/>
      <c r="BJ12" s="219"/>
      <c r="BK12" s="219"/>
      <c r="BL12" s="219"/>
      <c r="BM12" s="219"/>
      <c r="BN12" s="219"/>
      <c r="BO12" s="219"/>
      <c r="BP12" s="219"/>
      <c r="BQ12" s="219"/>
      <c r="BR12" s="219"/>
      <c r="BS12" s="219"/>
      <c r="BT12" s="219"/>
      <c r="BU12" s="219"/>
      <c r="BV12" s="219"/>
      <c r="BW12" s="219"/>
      <c r="BX12" s="219"/>
      <c r="BY12" s="219"/>
      <c r="BZ12" s="219"/>
      <c r="CA12" s="219"/>
      <c r="CB12" s="219"/>
      <c r="CC12" s="219"/>
      <c r="CD12" s="219"/>
      <c r="CE12" s="219"/>
      <c r="CF12" s="219"/>
      <c r="CG12" s="219"/>
      <c r="CH12" s="219"/>
      <c r="CI12" s="219"/>
      <c r="CJ12" s="219"/>
      <c r="CK12" s="219"/>
      <c r="CL12" s="219"/>
      <c r="CM12" s="219"/>
      <c r="CN12" s="219"/>
      <c r="CO12" s="219"/>
      <c r="CP12" s="219"/>
      <c r="CQ12" s="219"/>
      <c r="CR12" s="219"/>
      <c r="CS12" s="219"/>
      <c r="CT12" s="219"/>
      <c r="CU12" s="219"/>
      <c r="CV12" s="220"/>
      <c r="CW12" s="219"/>
      <c r="CX12" s="219"/>
      <c r="CY12" s="219"/>
      <c r="CZ12" s="219"/>
      <c r="DA12" s="219"/>
      <c r="DB12" s="219"/>
      <c r="DC12" s="219"/>
      <c r="DD12" s="219"/>
      <c r="DE12" s="219"/>
      <c r="DF12" s="219"/>
      <c r="DG12" s="219"/>
      <c r="DH12" s="219"/>
      <c r="DI12" s="221"/>
      <c r="DJ12" s="221"/>
      <c r="DK12" s="221"/>
      <c r="DL12" s="221"/>
      <c r="DM12" s="221"/>
      <c r="DN12" s="221"/>
      <c r="DO12" s="221"/>
      <c r="DP12" s="221"/>
      <c r="DQ12" s="221"/>
      <c r="DR12" s="221"/>
      <c r="DS12" s="221"/>
      <c r="DT12" s="221"/>
      <c r="DU12" s="221"/>
      <c r="DV12" s="221"/>
      <c r="DW12" s="221"/>
      <c r="DX12" s="221"/>
      <c r="DY12" s="221"/>
      <c r="DZ12" s="221"/>
      <c r="EA12" s="221"/>
      <c r="EB12" s="221"/>
      <c r="EC12" s="221"/>
      <c r="ED12" s="221"/>
      <c r="EE12" s="221"/>
      <c r="EF12" s="221"/>
      <c r="EG12" s="221"/>
      <c r="EH12" s="221"/>
      <c r="EI12" s="221"/>
      <c r="EJ12" s="221"/>
      <c r="EK12" s="221"/>
      <c r="EL12" s="221"/>
      <c r="EM12" s="221"/>
      <c r="EN12" s="221"/>
      <c r="EO12" s="221"/>
      <c r="EP12" s="221"/>
    </row>
    <row r="13" spans="1:175" s="2" customFormat="1" x14ac:dyDescent="0.2">
      <c r="A13" s="854" t="s">
        <v>74</v>
      </c>
      <c r="B13" s="855"/>
      <c r="C13" s="855"/>
      <c r="D13" s="856"/>
      <c r="E13" s="215">
        <v>181.5</v>
      </c>
      <c r="F13" s="216">
        <v>130.5</v>
      </c>
      <c r="G13" s="735">
        <v>0</v>
      </c>
      <c r="H13" s="736">
        <v>0</v>
      </c>
      <c r="I13" s="736">
        <v>0</v>
      </c>
      <c r="J13" s="736">
        <v>0</v>
      </c>
      <c r="K13" s="736">
        <v>0</v>
      </c>
      <c r="L13" s="736">
        <v>34.5</v>
      </c>
      <c r="M13" s="736">
        <v>0</v>
      </c>
      <c r="N13" s="736">
        <v>0</v>
      </c>
      <c r="O13" s="736">
        <v>34.5</v>
      </c>
      <c r="P13" s="736">
        <v>0</v>
      </c>
      <c r="Q13" s="736">
        <v>8</v>
      </c>
      <c r="R13" s="736">
        <v>8</v>
      </c>
      <c r="S13" s="736">
        <v>0</v>
      </c>
      <c r="T13" s="736">
        <v>0</v>
      </c>
      <c r="U13" s="736">
        <v>0</v>
      </c>
      <c r="V13" s="736">
        <v>0</v>
      </c>
      <c r="W13" s="736">
        <v>0</v>
      </c>
      <c r="X13" s="736">
        <v>0</v>
      </c>
      <c r="Y13" s="736">
        <v>11.5</v>
      </c>
      <c r="Z13" s="736">
        <v>0</v>
      </c>
      <c r="AA13" s="737">
        <v>0</v>
      </c>
      <c r="AB13" s="737">
        <v>0</v>
      </c>
      <c r="AC13" s="737">
        <v>0</v>
      </c>
      <c r="AD13" s="737">
        <v>0</v>
      </c>
      <c r="AE13" s="737">
        <v>0</v>
      </c>
      <c r="AF13" s="737">
        <v>0</v>
      </c>
      <c r="AG13" s="737">
        <v>0</v>
      </c>
      <c r="AH13" s="737">
        <v>0</v>
      </c>
      <c r="AI13" s="737">
        <v>0</v>
      </c>
      <c r="AJ13" s="737">
        <v>0</v>
      </c>
      <c r="AK13" s="737">
        <v>0</v>
      </c>
      <c r="AL13" s="737">
        <v>0</v>
      </c>
      <c r="AM13" s="737">
        <v>0</v>
      </c>
      <c r="AN13" s="737">
        <v>0</v>
      </c>
      <c r="AO13" s="737">
        <v>0</v>
      </c>
      <c r="AP13" s="737">
        <v>0</v>
      </c>
      <c r="AQ13" s="737">
        <v>0</v>
      </c>
      <c r="AR13" s="737">
        <v>0</v>
      </c>
      <c r="AS13" s="737">
        <v>0</v>
      </c>
      <c r="AT13" s="737">
        <v>47</v>
      </c>
      <c r="AU13" s="738">
        <v>0</v>
      </c>
      <c r="AV13" s="737">
        <v>0</v>
      </c>
      <c r="AW13" s="737">
        <v>14</v>
      </c>
      <c r="AX13" s="737">
        <v>0</v>
      </c>
      <c r="AY13" s="737">
        <v>0</v>
      </c>
      <c r="AZ13" s="737">
        <v>0</v>
      </c>
      <c r="BA13" s="737">
        <v>0</v>
      </c>
      <c r="BB13" s="737">
        <v>0</v>
      </c>
      <c r="BC13" s="737">
        <v>0</v>
      </c>
      <c r="BD13" s="737">
        <v>0</v>
      </c>
      <c r="BE13" s="737">
        <v>0</v>
      </c>
      <c r="BF13" s="737">
        <v>12.5</v>
      </c>
      <c r="BG13" s="737">
        <v>3.5</v>
      </c>
      <c r="BH13" s="737">
        <v>0</v>
      </c>
      <c r="BI13" s="737">
        <v>8</v>
      </c>
      <c r="BJ13" s="219">
        <v>0</v>
      </c>
      <c r="BK13" s="219">
        <v>0</v>
      </c>
      <c r="BL13" s="219">
        <v>0</v>
      </c>
      <c r="BM13" s="219">
        <v>0</v>
      </c>
      <c r="BN13" s="219">
        <v>0</v>
      </c>
      <c r="BO13" s="219">
        <v>0</v>
      </c>
      <c r="BP13" s="219">
        <v>0</v>
      </c>
      <c r="BQ13" s="219">
        <v>0</v>
      </c>
      <c r="BR13" s="219">
        <v>0</v>
      </c>
      <c r="BS13" s="219">
        <v>0</v>
      </c>
      <c r="BT13" s="219">
        <v>0</v>
      </c>
      <c r="BU13" s="219">
        <v>0</v>
      </c>
      <c r="BV13" s="219">
        <v>0</v>
      </c>
      <c r="BW13" s="219">
        <v>0</v>
      </c>
      <c r="BX13" s="219">
        <v>0</v>
      </c>
      <c r="BY13" s="219">
        <v>0</v>
      </c>
      <c r="BZ13" s="219">
        <v>0</v>
      </c>
      <c r="CA13" s="219">
        <v>0</v>
      </c>
      <c r="CB13" s="219">
        <v>0</v>
      </c>
      <c r="CC13" s="219">
        <v>0</v>
      </c>
      <c r="CD13" s="219">
        <v>0</v>
      </c>
      <c r="CE13" s="219">
        <v>0</v>
      </c>
      <c r="CF13" s="219">
        <v>0</v>
      </c>
      <c r="CG13" s="219">
        <v>0</v>
      </c>
      <c r="CH13" s="219">
        <v>0</v>
      </c>
      <c r="CI13" s="219">
        <v>0</v>
      </c>
      <c r="CJ13" s="219">
        <v>0</v>
      </c>
      <c r="CK13" s="219">
        <v>0</v>
      </c>
      <c r="CL13" s="219">
        <v>0</v>
      </c>
      <c r="CM13" s="219">
        <v>0</v>
      </c>
      <c r="CN13" s="219">
        <v>0</v>
      </c>
      <c r="CO13" s="219">
        <v>0</v>
      </c>
      <c r="CP13" s="219">
        <v>0</v>
      </c>
      <c r="CQ13" s="219">
        <v>0</v>
      </c>
      <c r="CR13" s="219">
        <v>0</v>
      </c>
      <c r="CS13" s="219">
        <v>0</v>
      </c>
      <c r="CT13" s="219">
        <v>0</v>
      </c>
      <c r="CU13" s="219">
        <v>0</v>
      </c>
      <c r="CV13" s="220">
        <v>0</v>
      </c>
      <c r="CW13" s="219">
        <v>0</v>
      </c>
      <c r="CX13" s="219">
        <v>0</v>
      </c>
      <c r="CY13" s="219">
        <v>0</v>
      </c>
      <c r="CZ13" s="219">
        <v>0</v>
      </c>
      <c r="DA13" s="219">
        <v>0</v>
      </c>
      <c r="DB13" s="219">
        <v>0</v>
      </c>
      <c r="DC13" s="219">
        <v>0</v>
      </c>
      <c r="DD13" s="219">
        <v>0</v>
      </c>
      <c r="DE13" s="219">
        <v>0</v>
      </c>
      <c r="DF13" s="219">
        <v>0</v>
      </c>
      <c r="DG13" s="219">
        <v>0</v>
      </c>
      <c r="DH13" s="219">
        <v>0</v>
      </c>
      <c r="DI13" s="221">
        <v>0</v>
      </c>
      <c r="DJ13" s="221">
        <v>0</v>
      </c>
      <c r="DK13" s="221">
        <v>0</v>
      </c>
      <c r="DL13" s="221">
        <v>0</v>
      </c>
      <c r="DM13" s="221">
        <v>0</v>
      </c>
      <c r="DN13" s="221">
        <v>0</v>
      </c>
      <c r="DO13" s="221">
        <v>0</v>
      </c>
      <c r="DP13" s="221">
        <v>0</v>
      </c>
      <c r="DQ13" s="221">
        <v>0</v>
      </c>
      <c r="DR13" s="221">
        <v>0</v>
      </c>
      <c r="DS13" s="221">
        <v>0</v>
      </c>
      <c r="DT13" s="221">
        <v>0</v>
      </c>
      <c r="DU13" s="221">
        <v>0</v>
      </c>
      <c r="DV13" s="221">
        <v>0</v>
      </c>
      <c r="DW13" s="221">
        <v>0</v>
      </c>
      <c r="DX13" s="221">
        <v>0</v>
      </c>
      <c r="DY13" s="221">
        <v>0</v>
      </c>
      <c r="DZ13" s="221">
        <v>0</v>
      </c>
      <c r="EA13" s="221">
        <v>0</v>
      </c>
      <c r="EB13" s="221">
        <v>0</v>
      </c>
      <c r="EC13" s="221">
        <v>78</v>
      </c>
      <c r="ED13" s="221">
        <v>2.5</v>
      </c>
      <c r="EE13" s="221">
        <v>23</v>
      </c>
      <c r="EF13" s="221">
        <v>0</v>
      </c>
      <c r="EG13" s="221">
        <v>0</v>
      </c>
      <c r="EH13" s="221">
        <v>0</v>
      </c>
      <c r="EI13" s="221">
        <v>0</v>
      </c>
      <c r="EJ13" s="221">
        <v>0</v>
      </c>
      <c r="EK13" s="221">
        <v>0</v>
      </c>
      <c r="EL13" s="221">
        <v>0</v>
      </c>
      <c r="EM13" s="221">
        <v>0</v>
      </c>
      <c r="EN13" s="221">
        <v>27</v>
      </c>
      <c r="EO13" s="221">
        <v>0</v>
      </c>
      <c r="EP13" s="221">
        <v>0</v>
      </c>
    </row>
    <row r="14" spans="1:175" s="2" customFormat="1" ht="15.75" thickBot="1" x14ac:dyDescent="0.25">
      <c r="A14" s="857" t="s">
        <v>109</v>
      </c>
      <c r="B14" s="858"/>
      <c r="C14" s="858"/>
      <c r="D14" s="859"/>
      <c r="E14" s="217">
        <v>64</v>
      </c>
      <c r="F14" s="218">
        <v>53</v>
      </c>
      <c r="G14" s="219">
        <v>0</v>
      </c>
      <c r="H14" s="219">
        <v>0</v>
      </c>
      <c r="I14" s="219">
        <v>0</v>
      </c>
      <c r="J14" s="219">
        <v>0</v>
      </c>
      <c r="K14" s="219">
        <v>0</v>
      </c>
      <c r="L14" s="219">
        <v>0</v>
      </c>
      <c r="M14" s="219">
        <v>0</v>
      </c>
      <c r="N14" s="219">
        <v>0</v>
      </c>
      <c r="O14" s="219">
        <v>0</v>
      </c>
      <c r="P14" s="219">
        <v>0</v>
      </c>
      <c r="Q14" s="219">
        <v>0</v>
      </c>
      <c r="R14" s="219">
        <v>0</v>
      </c>
      <c r="S14" s="219">
        <v>0</v>
      </c>
      <c r="T14" s="219">
        <v>0</v>
      </c>
      <c r="U14" s="219">
        <v>0</v>
      </c>
      <c r="V14" s="219">
        <v>0</v>
      </c>
      <c r="W14" s="219">
        <v>0</v>
      </c>
      <c r="X14" s="219">
        <v>0</v>
      </c>
      <c r="Y14" s="219">
        <v>3</v>
      </c>
      <c r="Z14" s="219">
        <v>0</v>
      </c>
      <c r="AA14" s="219">
        <v>7</v>
      </c>
      <c r="AB14" s="219">
        <v>0</v>
      </c>
      <c r="AC14" s="219">
        <v>0</v>
      </c>
      <c r="AD14" s="219">
        <v>0</v>
      </c>
      <c r="AE14" s="219">
        <v>0</v>
      </c>
      <c r="AF14" s="219">
        <v>0</v>
      </c>
      <c r="AG14" s="219">
        <v>0</v>
      </c>
      <c r="AH14" s="219">
        <v>0</v>
      </c>
      <c r="AI14" s="219">
        <v>0</v>
      </c>
      <c r="AJ14" s="219">
        <v>0</v>
      </c>
      <c r="AK14" s="219">
        <v>0</v>
      </c>
      <c r="AL14" s="219">
        <v>0</v>
      </c>
      <c r="AM14" s="219">
        <v>0</v>
      </c>
      <c r="AN14" s="219">
        <v>0</v>
      </c>
      <c r="AO14" s="219">
        <v>0</v>
      </c>
      <c r="AP14" s="219">
        <v>4</v>
      </c>
      <c r="AQ14" s="219">
        <v>46</v>
      </c>
      <c r="AR14" s="219">
        <v>0</v>
      </c>
      <c r="AS14" s="219">
        <v>0</v>
      </c>
      <c r="AT14" s="219">
        <v>0</v>
      </c>
      <c r="AU14" s="219">
        <v>0</v>
      </c>
      <c r="AV14" s="219">
        <v>0</v>
      </c>
      <c r="AW14" s="219">
        <v>0</v>
      </c>
      <c r="AX14" s="219">
        <v>0</v>
      </c>
      <c r="AY14" s="219">
        <v>0</v>
      </c>
      <c r="AZ14" s="219">
        <v>0</v>
      </c>
      <c r="BA14" s="219">
        <v>0</v>
      </c>
      <c r="BB14" s="219">
        <v>0</v>
      </c>
      <c r="BC14" s="219">
        <v>0</v>
      </c>
      <c r="BD14" s="219">
        <v>0</v>
      </c>
      <c r="BE14" s="219">
        <v>0</v>
      </c>
      <c r="BF14" s="219">
        <v>4</v>
      </c>
      <c r="BG14" s="219">
        <v>0</v>
      </c>
      <c r="BH14" s="219">
        <v>0</v>
      </c>
      <c r="BI14" s="219">
        <v>0</v>
      </c>
      <c r="BJ14" s="219">
        <v>0</v>
      </c>
      <c r="BK14" s="219">
        <v>0</v>
      </c>
      <c r="BL14" s="219">
        <v>0</v>
      </c>
      <c r="BM14" s="219">
        <v>0</v>
      </c>
      <c r="BN14" s="219">
        <v>0</v>
      </c>
      <c r="BO14" s="219">
        <v>0</v>
      </c>
      <c r="BP14" s="219">
        <v>0</v>
      </c>
      <c r="BQ14" s="219">
        <v>0</v>
      </c>
      <c r="BR14" s="219">
        <v>0</v>
      </c>
      <c r="BS14" s="219">
        <v>0</v>
      </c>
      <c r="BT14" s="219">
        <v>0</v>
      </c>
      <c r="BU14" s="219">
        <v>0</v>
      </c>
      <c r="BV14" s="219">
        <v>0</v>
      </c>
      <c r="BW14" s="219">
        <v>0</v>
      </c>
      <c r="BX14" s="219">
        <v>0</v>
      </c>
      <c r="BY14" s="219">
        <v>0</v>
      </c>
      <c r="BZ14" s="219">
        <v>0</v>
      </c>
      <c r="CA14" s="219">
        <v>0</v>
      </c>
      <c r="CB14" s="219">
        <v>0</v>
      </c>
      <c r="CC14" s="219">
        <v>0</v>
      </c>
      <c r="CD14" s="219">
        <v>0</v>
      </c>
      <c r="CE14" s="219">
        <v>0</v>
      </c>
      <c r="CF14" s="219">
        <v>0</v>
      </c>
      <c r="CG14" s="219">
        <v>0</v>
      </c>
      <c r="CH14" s="219">
        <v>0</v>
      </c>
      <c r="CI14" s="219">
        <v>0</v>
      </c>
      <c r="CJ14" s="219">
        <v>0</v>
      </c>
      <c r="CK14" s="219">
        <v>0</v>
      </c>
      <c r="CL14" s="219">
        <v>0</v>
      </c>
      <c r="CM14" s="219">
        <v>0</v>
      </c>
      <c r="CN14" s="219">
        <v>0</v>
      </c>
      <c r="CO14" s="219">
        <v>0</v>
      </c>
      <c r="CP14" s="219">
        <v>0</v>
      </c>
      <c r="CQ14" s="219">
        <v>0</v>
      </c>
      <c r="CR14" s="219">
        <v>0</v>
      </c>
      <c r="CS14" s="219">
        <v>0</v>
      </c>
      <c r="CT14" s="219">
        <v>0</v>
      </c>
      <c r="CU14" s="219">
        <v>0</v>
      </c>
      <c r="CV14" s="220">
        <v>0</v>
      </c>
      <c r="CW14" s="219">
        <v>0</v>
      </c>
      <c r="CX14" s="219">
        <v>0</v>
      </c>
      <c r="CY14" s="219">
        <v>0</v>
      </c>
      <c r="CZ14" s="219">
        <v>0</v>
      </c>
      <c r="DA14" s="219">
        <v>0</v>
      </c>
      <c r="DB14" s="219">
        <v>0</v>
      </c>
      <c r="DC14" s="219">
        <v>0</v>
      </c>
      <c r="DD14" s="219">
        <v>0</v>
      </c>
      <c r="DE14" s="219">
        <v>0</v>
      </c>
      <c r="DF14" s="219">
        <v>0</v>
      </c>
      <c r="DG14" s="219">
        <v>0</v>
      </c>
      <c r="DH14" s="219">
        <v>0</v>
      </c>
      <c r="DI14" s="221">
        <v>0</v>
      </c>
      <c r="DJ14" s="221">
        <v>0</v>
      </c>
      <c r="DK14" s="221">
        <v>0</v>
      </c>
      <c r="DL14" s="221">
        <v>0</v>
      </c>
      <c r="DM14" s="221">
        <v>0</v>
      </c>
      <c r="DN14" s="221">
        <v>0</v>
      </c>
      <c r="DO14" s="221">
        <v>0</v>
      </c>
      <c r="DP14" s="221">
        <v>0</v>
      </c>
      <c r="DQ14" s="221">
        <v>0</v>
      </c>
      <c r="DR14" s="221">
        <v>0</v>
      </c>
      <c r="DS14" s="221">
        <v>0</v>
      </c>
      <c r="DT14" s="221">
        <v>0</v>
      </c>
      <c r="DU14" s="221">
        <v>0</v>
      </c>
      <c r="DV14" s="221">
        <v>0</v>
      </c>
      <c r="DW14" s="221">
        <v>0</v>
      </c>
      <c r="DX14" s="221">
        <v>0</v>
      </c>
      <c r="DY14" s="221">
        <v>0</v>
      </c>
      <c r="DZ14" s="221">
        <v>0</v>
      </c>
      <c r="EA14" s="221">
        <v>0</v>
      </c>
      <c r="EB14" s="221">
        <v>0</v>
      </c>
      <c r="EC14" s="221">
        <v>39</v>
      </c>
      <c r="ED14" s="221">
        <v>0</v>
      </c>
      <c r="EE14" s="221">
        <v>0</v>
      </c>
      <c r="EF14" s="221">
        <v>0</v>
      </c>
      <c r="EG14" s="221">
        <v>0</v>
      </c>
      <c r="EH14" s="221">
        <v>5</v>
      </c>
      <c r="EI14" s="221">
        <v>0</v>
      </c>
      <c r="EJ14" s="221">
        <v>0</v>
      </c>
      <c r="EK14" s="221">
        <v>0</v>
      </c>
      <c r="EL14" s="221">
        <v>0</v>
      </c>
      <c r="EM14" s="221">
        <v>0</v>
      </c>
      <c r="EN14" s="221">
        <v>9</v>
      </c>
      <c r="EO14" s="221">
        <v>0</v>
      </c>
      <c r="EP14" s="221">
        <v>0</v>
      </c>
    </row>
    <row r="15" spans="1:175" s="2" customFormat="1" ht="15.75" thickBot="1" x14ac:dyDescent="0.25">
      <c r="A15" s="844" t="s">
        <v>110</v>
      </c>
      <c r="B15" s="845"/>
      <c r="C15" s="845"/>
      <c r="D15" s="845"/>
      <c r="E15" s="222">
        <f>SUM(E13:E14)</f>
        <v>245.5</v>
      </c>
      <c r="F15" s="223">
        <f>SUM(F13:F14)</f>
        <v>183.5</v>
      </c>
      <c r="G15" s="224">
        <f t="shared" ref="G15:BT15" si="2">SUM(G13:G14)</f>
        <v>0</v>
      </c>
      <c r="H15" s="224">
        <f t="shared" si="2"/>
        <v>0</v>
      </c>
      <c r="I15" s="224">
        <f t="shared" si="2"/>
        <v>0</v>
      </c>
      <c r="J15" s="224">
        <f t="shared" si="2"/>
        <v>0</v>
      </c>
      <c r="K15" s="224">
        <f t="shared" si="2"/>
        <v>0</v>
      </c>
      <c r="L15" s="224">
        <f t="shared" si="2"/>
        <v>34.5</v>
      </c>
      <c r="M15" s="224">
        <f t="shared" si="2"/>
        <v>0</v>
      </c>
      <c r="N15" s="224">
        <f t="shared" si="2"/>
        <v>0</v>
      </c>
      <c r="O15" s="224">
        <f t="shared" si="2"/>
        <v>34.5</v>
      </c>
      <c r="P15" s="224">
        <f t="shared" si="2"/>
        <v>0</v>
      </c>
      <c r="Q15" s="224">
        <f t="shared" si="2"/>
        <v>8</v>
      </c>
      <c r="R15" s="224">
        <f t="shared" si="2"/>
        <v>8</v>
      </c>
      <c r="S15" s="224">
        <f t="shared" si="2"/>
        <v>0</v>
      </c>
      <c r="T15" s="224">
        <f t="shared" si="2"/>
        <v>0</v>
      </c>
      <c r="U15" s="224">
        <f t="shared" si="2"/>
        <v>0</v>
      </c>
      <c r="V15" s="224">
        <f t="shared" si="2"/>
        <v>0</v>
      </c>
      <c r="W15" s="224">
        <f t="shared" si="2"/>
        <v>0</v>
      </c>
      <c r="X15" s="224">
        <f t="shared" si="2"/>
        <v>0</v>
      </c>
      <c r="Y15" s="224">
        <f t="shared" si="2"/>
        <v>14.5</v>
      </c>
      <c r="Z15" s="224">
        <f t="shared" si="2"/>
        <v>0</v>
      </c>
      <c r="AA15" s="224">
        <f t="shared" si="2"/>
        <v>7</v>
      </c>
      <c r="AB15" s="224">
        <f t="shared" si="2"/>
        <v>0</v>
      </c>
      <c r="AC15" s="224">
        <f t="shared" si="2"/>
        <v>0</v>
      </c>
      <c r="AD15" s="224">
        <f t="shared" si="2"/>
        <v>0</v>
      </c>
      <c r="AE15" s="224">
        <f t="shared" si="2"/>
        <v>0</v>
      </c>
      <c r="AF15" s="224">
        <f t="shared" si="2"/>
        <v>0</v>
      </c>
      <c r="AG15" s="224">
        <f t="shared" si="2"/>
        <v>0</v>
      </c>
      <c r="AH15" s="224">
        <f t="shared" si="2"/>
        <v>0</v>
      </c>
      <c r="AI15" s="224">
        <f t="shared" si="2"/>
        <v>0</v>
      </c>
      <c r="AJ15" s="224">
        <f t="shared" si="2"/>
        <v>0</v>
      </c>
      <c r="AK15" s="224">
        <f t="shared" si="2"/>
        <v>0</v>
      </c>
      <c r="AL15" s="224">
        <f t="shared" si="2"/>
        <v>0</v>
      </c>
      <c r="AM15" s="224">
        <f t="shared" si="2"/>
        <v>0</v>
      </c>
      <c r="AN15" s="224">
        <f t="shared" si="2"/>
        <v>0</v>
      </c>
      <c r="AO15" s="224">
        <f t="shared" si="2"/>
        <v>0</v>
      </c>
      <c r="AP15" s="224">
        <f t="shared" si="2"/>
        <v>4</v>
      </c>
      <c r="AQ15" s="224">
        <f t="shared" si="2"/>
        <v>46</v>
      </c>
      <c r="AR15" s="224">
        <f t="shared" si="2"/>
        <v>0</v>
      </c>
      <c r="AS15" s="224">
        <f t="shared" si="2"/>
        <v>0</v>
      </c>
      <c r="AT15" s="224">
        <f t="shared" si="2"/>
        <v>47</v>
      </c>
      <c r="AU15" s="224">
        <f t="shared" si="2"/>
        <v>0</v>
      </c>
      <c r="AV15" s="224">
        <f t="shared" si="2"/>
        <v>0</v>
      </c>
      <c r="AW15" s="224">
        <f t="shared" si="2"/>
        <v>14</v>
      </c>
      <c r="AX15" s="224">
        <f t="shared" si="2"/>
        <v>0</v>
      </c>
      <c r="AY15" s="224">
        <f t="shared" si="2"/>
        <v>0</v>
      </c>
      <c r="AZ15" s="224">
        <f t="shared" si="2"/>
        <v>0</v>
      </c>
      <c r="BA15" s="224">
        <f t="shared" si="2"/>
        <v>0</v>
      </c>
      <c r="BB15" s="224">
        <f t="shared" si="2"/>
        <v>0</v>
      </c>
      <c r="BC15" s="224">
        <f t="shared" si="2"/>
        <v>0</v>
      </c>
      <c r="BD15" s="224">
        <f t="shared" si="2"/>
        <v>0</v>
      </c>
      <c r="BE15" s="224">
        <f t="shared" si="2"/>
        <v>0</v>
      </c>
      <c r="BF15" s="224">
        <f t="shared" si="2"/>
        <v>16.5</v>
      </c>
      <c r="BG15" s="224">
        <f t="shared" si="2"/>
        <v>3.5</v>
      </c>
      <c r="BH15" s="224">
        <f t="shared" si="2"/>
        <v>0</v>
      </c>
      <c r="BI15" s="224">
        <f t="shared" si="2"/>
        <v>8</v>
      </c>
      <c r="BJ15" s="224">
        <f t="shared" si="2"/>
        <v>0</v>
      </c>
      <c r="BK15" s="224">
        <f t="shared" si="2"/>
        <v>0</v>
      </c>
      <c r="BL15" s="224">
        <f t="shared" si="2"/>
        <v>0</v>
      </c>
      <c r="BM15" s="224">
        <f t="shared" si="2"/>
        <v>0</v>
      </c>
      <c r="BN15" s="224">
        <f t="shared" si="2"/>
        <v>0</v>
      </c>
      <c r="BO15" s="224">
        <f t="shared" si="2"/>
        <v>0</v>
      </c>
      <c r="BP15" s="224">
        <f t="shared" si="2"/>
        <v>0</v>
      </c>
      <c r="BQ15" s="224">
        <f t="shared" si="2"/>
        <v>0</v>
      </c>
      <c r="BR15" s="224">
        <f t="shared" si="2"/>
        <v>0</v>
      </c>
      <c r="BS15" s="224">
        <f t="shared" si="2"/>
        <v>0</v>
      </c>
      <c r="BT15" s="224">
        <f t="shared" si="2"/>
        <v>0</v>
      </c>
      <c r="BU15" s="224">
        <f t="shared" ref="BU15:DI15" si="3">SUM(BU13:BU14)</f>
        <v>0</v>
      </c>
      <c r="BV15" s="224">
        <f t="shared" si="3"/>
        <v>0</v>
      </c>
      <c r="BW15" s="224">
        <f t="shared" si="3"/>
        <v>0</v>
      </c>
      <c r="BX15" s="224">
        <f t="shared" si="3"/>
        <v>0</v>
      </c>
      <c r="BY15" s="224">
        <f t="shared" si="3"/>
        <v>0</v>
      </c>
      <c r="BZ15" s="224">
        <f t="shared" si="3"/>
        <v>0</v>
      </c>
      <c r="CA15" s="224">
        <f t="shared" si="3"/>
        <v>0</v>
      </c>
      <c r="CB15" s="224">
        <f t="shared" si="3"/>
        <v>0</v>
      </c>
      <c r="CC15" s="224">
        <f t="shared" si="3"/>
        <v>0</v>
      </c>
      <c r="CD15" s="224">
        <f t="shared" si="3"/>
        <v>0</v>
      </c>
      <c r="CE15" s="224">
        <f t="shared" si="3"/>
        <v>0</v>
      </c>
      <c r="CF15" s="224">
        <f t="shared" si="3"/>
        <v>0</v>
      </c>
      <c r="CG15" s="224">
        <f t="shared" si="3"/>
        <v>0</v>
      </c>
      <c r="CH15" s="224">
        <f t="shared" si="3"/>
        <v>0</v>
      </c>
      <c r="CI15" s="224">
        <f t="shared" si="3"/>
        <v>0</v>
      </c>
      <c r="CJ15" s="224">
        <f t="shared" si="3"/>
        <v>0</v>
      </c>
      <c r="CK15" s="224">
        <f t="shared" si="3"/>
        <v>0</v>
      </c>
      <c r="CL15" s="224">
        <f t="shared" si="3"/>
        <v>0</v>
      </c>
      <c r="CM15" s="224">
        <f t="shared" si="3"/>
        <v>0</v>
      </c>
      <c r="CN15" s="224">
        <f t="shared" si="3"/>
        <v>0</v>
      </c>
      <c r="CO15" s="224">
        <f t="shared" si="3"/>
        <v>0</v>
      </c>
      <c r="CP15" s="224">
        <f t="shared" si="3"/>
        <v>0</v>
      </c>
      <c r="CQ15" s="224">
        <f t="shared" si="3"/>
        <v>0</v>
      </c>
      <c r="CR15" s="224">
        <f t="shared" si="3"/>
        <v>0</v>
      </c>
      <c r="CS15" s="224">
        <f t="shared" si="3"/>
        <v>0</v>
      </c>
      <c r="CT15" s="224">
        <f t="shared" si="3"/>
        <v>0</v>
      </c>
      <c r="CU15" s="224">
        <f t="shared" si="3"/>
        <v>0</v>
      </c>
      <c r="CV15" s="224">
        <f t="shared" si="3"/>
        <v>0</v>
      </c>
      <c r="CW15" s="224">
        <f t="shared" si="3"/>
        <v>0</v>
      </c>
      <c r="CX15" s="224">
        <f t="shared" si="3"/>
        <v>0</v>
      </c>
      <c r="CY15" s="224">
        <f t="shared" si="3"/>
        <v>0</v>
      </c>
      <c r="CZ15" s="224">
        <f t="shared" si="3"/>
        <v>0</v>
      </c>
      <c r="DA15" s="224">
        <f t="shared" si="3"/>
        <v>0</v>
      </c>
      <c r="DB15" s="224">
        <f t="shared" si="3"/>
        <v>0</v>
      </c>
      <c r="DC15" s="224">
        <f t="shared" si="3"/>
        <v>0</v>
      </c>
      <c r="DD15" s="224">
        <f t="shared" si="3"/>
        <v>0</v>
      </c>
      <c r="DE15" s="224">
        <f t="shared" si="3"/>
        <v>0</v>
      </c>
      <c r="DF15" s="224">
        <f t="shared" si="3"/>
        <v>0</v>
      </c>
      <c r="DG15" s="224">
        <f t="shared" si="3"/>
        <v>0</v>
      </c>
      <c r="DH15" s="224">
        <f t="shared" si="3"/>
        <v>0</v>
      </c>
      <c r="DI15" s="224">
        <f t="shared" si="3"/>
        <v>0</v>
      </c>
      <c r="DJ15" s="224"/>
      <c r="DK15" s="224"/>
      <c r="DL15" s="224"/>
      <c r="DM15" s="224"/>
      <c r="DN15" s="224"/>
      <c r="DO15" s="224"/>
      <c r="DP15" s="224"/>
      <c r="DQ15" s="224"/>
      <c r="DR15" s="224"/>
      <c r="DS15" s="224"/>
      <c r="DT15" s="224"/>
      <c r="DU15" s="224"/>
      <c r="DV15" s="224"/>
      <c r="DW15" s="224"/>
      <c r="DX15" s="224"/>
      <c r="DY15" s="224"/>
      <c r="DZ15" s="224"/>
      <c r="EA15" s="224"/>
      <c r="EB15" s="224"/>
      <c r="EC15" s="224"/>
      <c r="ED15" s="224"/>
      <c r="EE15" s="224"/>
      <c r="EF15" s="224"/>
      <c r="EG15" s="224"/>
      <c r="EH15" s="224"/>
      <c r="EI15" s="224"/>
      <c r="EJ15" s="224"/>
      <c r="EK15" s="224"/>
      <c r="EL15" s="224"/>
      <c r="EM15" s="224"/>
      <c r="EN15" s="224"/>
      <c r="EO15" s="224"/>
      <c r="EP15" s="224"/>
    </row>
    <row r="16" spans="1:175" s="2" customFormat="1" ht="14.45" customHeight="1" thickBot="1" x14ac:dyDescent="0.25">
      <c r="A16" s="230" t="s">
        <v>613</v>
      </c>
      <c r="B16" s="232">
        <f>+B12+7</f>
        <v>45670</v>
      </c>
      <c r="C16" s="231" t="s">
        <v>614</v>
      </c>
      <c r="D16" s="233">
        <f>+D12+7</f>
        <v>45674</v>
      </c>
      <c r="E16" s="213" t="s">
        <v>102</v>
      </c>
      <c r="F16" s="214" t="s">
        <v>103</v>
      </c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219"/>
      <c r="AG16" s="219"/>
      <c r="AH16" s="219"/>
      <c r="AI16" s="219"/>
      <c r="AJ16" s="219"/>
      <c r="AK16" s="219"/>
      <c r="AL16" s="219"/>
      <c r="AM16" s="219"/>
      <c r="AN16" s="219"/>
      <c r="AO16" s="219"/>
      <c r="AP16" s="219"/>
      <c r="AQ16" s="219"/>
      <c r="AR16" s="219"/>
      <c r="AS16" s="219"/>
      <c r="AT16" s="219"/>
      <c r="AU16" s="219"/>
      <c r="AV16" s="219"/>
      <c r="AW16" s="219"/>
      <c r="AX16" s="219"/>
      <c r="AY16" s="219"/>
      <c r="AZ16" s="219"/>
      <c r="BA16" s="219"/>
      <c r="BB16" s="219"/>
      <c r="BC16" s="219"/>
      <c r="BD16" s="219"/>
      <c r="BE16" s="219"/>
      <c r="BF16" s="219"/>
      <c r="BG16" s="219"/>
      <c r="BH16" s="219"/>
      <c r="BI16" s="219"/>
      <c r="BJ16" s="219"/>
      <c r="BK16" s="219"/>
      <c r="BL16" s="219"/>
      <c r="BM16" s="219"/>
      <c r="BN16" s="219"/>
      <c r="BO16" s="219"/>
      <c r="BP16" s="219"/>
      <c r="BQ16" s="219"/>
      <c r="BR16" s="219"/>
      <c r="BS16" s="219"/>
      <c r="BT16" s="219"/>
      <c r="BU16" s="219"/>
      <c r="BV16" s="219"/>
      <c r="BW16" s="219"/>
      <c r="BX16" s="219"/>
      <c r="BY16" s="219"/>
      <c r="BZ16" s="219"/>
      <c r="CA16" s="219"/>
      <c r="CB16" s="219"/>
      <c r="CC16" s="219"/>
      <c r="CD16" s="219"/>
      <c r="CE16" s="219"/>
      <c r="CF16" s="219"/>
      <c r="CG16" s="219"/>
      <c r="CH16" s="219"/>
      <c r="CI16" s="219"/>
      <c r="CJ16" s="219"/>
      <c r="CK16" s="219"/>
      <c r="CL16" s="219"/>
      <c r="CM16" s="219"/>
      <c r="CN16" s="219"/>
      <c r="CO16" s="219"/>
      <c r="CP16" s="219"/>
      <c r="CQ16" s="219"/>
      <c r="CR16" s="219"/>
      <c r="CS16" s="219"/>
      <c r="CT16" s="219"/>
      <c r="CU16" s="219"/>
      <c r="CV16" s="220"/>
      <c r="CW16" s="219"/>
      <c r="CX16" s="219"/>
      <c r="CY16" s="219"/>
      <c r="CZ16" s="219"/>
      <c r="DA16" s="219"/>
      <c r="DB16" s="219"/>
      <c r="DC16" s="219"/>
      <c r="DD16" s="219"/>
      <c r="DE16" s="219"/>
      <c r="DF16" s="219"/>
      <c r="DG16" s="219"/>
      <c r="DH16" s="219"/>
      <c r="DI16" s="221"/>
      <c r="DJ16" s="221"/>
      <c r="DK16" s="221"/>
      <c r="DL16" s="221"/>
      <c r="DM16" s="221"/>
      <c r="DN16" s="221"/>
      <c r="DO16" s="221"/>
      <c r="DP16" s="221"/>
      <c r="DQ16" s="221"/>
      <c r="DR16" s="221"/>
      <c r="DS16" s="221"/>
      <c r="DT16" s="221"/>
      <c r="DU16" s="221"/>
      <c r="DV16" s="221"/>
      <c r="DW16" s="221"/>
      <c r="DX16" s="221"/>
      <c r="DY16" s="221"/>
      <c r="DZ16" s="221"/>
      <c r="EA16" s="221"/>
      <c r="EB16" s="221"/>
      <c r="EC16" s="221"/>
      <c r="ED16" s="221"/>
      <c r="EE16" s="221"/>
      <c r="EF16" s="221"/>
      <c r="EG16" s="221"/>
      <c r="EH16" s="221"/>
      <c r="EI16" s="221"/>
      <c r="EJ16" s="221"/>
      <c r="EK16" s="221"/>
      <c r="EL16" s="221"/>
      <c r="EM16" s="221"/>
      <c r="EN16" s="221"/>
      <c r="EO16" s="221"/>
      <c r="EP16" s="221"/>
    </row>
    <row r="17" spans="1:147" s="2" customFormat="1" x14ac:dyDescent="0.2">
      <c r="A17" s="854" t="s">
        <v>74</v>
      </c>
      <c r="B17" s="855"/>
      <c r="C17" s="855"/>
      <c r="D17" s="856"/>
      <c r="E17" s="215">
        <v>204</v>
      </c>
      <c r="F17" s="216">
        <v>108</v>
      </c>
      <c r="G17" s="735">
        <v>0</v>
      </c>
      <c r="H17" s="736">
        <v>0</v>
      </c>
      <c r="I17" s="736">
        <v>0</v>
      </c>
      <c r="J17" s="736">
        <v>0</v>
      </c>
      <c r="K17" s="736">
        <v>0</v>
      </c>
      <c r="L17" s="736">
        <v>39</v>
      </c>
      <c r="M17" s="736">
        <v>0</v>
      </c>
      <c r="N17" s="736">
        <v>0</v>
      </c>
      <c r="O17" s="736">
        <v>0</v>
      </c>
      <c r="P17" s="736">
        <v>0</v>
      </c>
      <c r="Q17" s="736">
        <v>0</v>
      </c>
      <c r="R17" s="736">
        <v>0</v>
      </c>
      <c r="S17" s="736">
        <v>20</v>
      </c>
      <c r="T17" s="736">
        <v>0</v>
      </c>
      <c r="U17" s="736">
        <v>0</v>
      </c>
      <c r="V17" s="736">
        <v>0</v>
      </c>
      <c r="W17" s="736">
        <v>0</v>
      </c>
      <c r="X17" s="736">
        <v>0</v>
      </c>
      <c r="Y17" s="736">
        <v>15</v>
      </c>
      <c r="Z17" s="736">
        <v>0</v>
      </c>
      <c r="AA17" s="737">
        <v>0</v>
      </c>
      <c r="AB17" s="737">
        <v>0</v>
      </c>
      <c r="AC17" s="737">
        <v>0</v>
      </c>
      <c r="AD17" s="737">
        <v>0</v>
      </c>
      <c r="AE17" s="737">
        <v>8</v>
      </c>
      <c r="AF17" s="737">
        <v>0</v>
      </c>
      <c r="AG17" s="737">
        <v>0</v>
      </c>
      <c r="AH17" s="737">
        <v>0</v>
      </c>
      <c r="AI17" s="737">
        <v>0</v>
      </c>
      <c r="AJ17" s="737">
        <v>0</v>
      </c>
      <c r="AK17" s="737">
        <v>0</v>
      </c>
      <c r="AL17" s="737">
        <v>0</v>
      </c>
      <c r="AM17" s="737">
        <v>0</v>
      </c>
      <c r="AN17" s="737">
        <v>0</v>
      </c>
      <c r="AO17" s="737">
        <v>0</v>
      </c>
      <c r="AP17" s="737">
        <v>0</v>
      </c>
      <c r="AQ17" s="737">
        <v>31</v>
      </c>
      <c r="AR17" s="737">
        <v>0</v>
      </c>
      <c r="AS17" s="737">
        <v>0</v>
      </c>
      <c r="AT17" s="737">
        <v>34</v>
      </c>
      <c r="AU17" s="738">
        <v>0</v>
      </c>
      <c r="AV17" s="737">
        <v>0</v>
      </c>
      <c r="AW17" s="737">
        <v>30</v>
      </c>
      <c r="AX17" s="737">
        <v>5</v>
      </c>
      <c r="AY17" s="737">
        <v>0</v>
      </c>
      <c r="AZ17" s="737">
        <v>0</v>
      </c>
      <c r="BA17" s="737">
        <v>14</v>
      </c>
      <c r="BB17" s="737">
        <v>0</v>
      </c>
      <c r="BC17" s="737">
        <v>0</v>
      </c>
      <c r="BD17" s="737">
        <v>0</v>
      </c>
      <c r="BE17" s="737">
        <v>0</v>
      </c>
      <c r="BF17" s="737">
        <v>8</v>
      </c>
      <c r="BG17" s="737">
        <v>0</v>
      </c>
      <c r="BH17" s="737">
        <v>0</v>
      </c>
      <c r="BI17" s="737">
        <v>0</v>
      </c>
      <c r="BJ17" s="219">
        <v>0</v>
      </c>
      <c r="BK17" s="219">
        <v>0</v>
      </c>
      <c r="BL17" s="219">
        <v>0</v>
      </c>
      <c r="BM17" s="219">
        <v>0</v>
      </c>
      <c r="BN17" s="219">
        <v>0</v>
      </c>
      <c r="BO17" s="219">
        <v>0</v>
      </c>
      <c r="BP17" s="219">
        <v>0</v>
      </c>
      <c r="BQ17" s="219">
        <v>0</v>
      </c>
      <c r="BR17" s="219">
        <v>0</v>
      </c>
      <c r="BS17" s="219">
        <v>0</v>
      </c>
      <c r="BT17" s="219">
        <v>0</v>
      </c>
      <c r="BU17" s="219">
        <v>0</v>
      </c>
      <c r="BV17" s="219">
        <v>0</v>
      </c>
      <c r="BW17" s="219">
        <v>0</v>
      </c>
      <c r="BX17" s="219">
        <v>0</v>
      </c>
      <c r="BY17" s="219">
        <v>0</v>
      </c>
      <c r="BZ17" s="219">
        <v>0</v>
      </c>
      <c r="CA17" s="219">
        <v>0</v>
      </c>
      <c r="CB17" s="219">
        <v>0</v>
      </c>
      <c r="CC17" s="219">
        <v>0</v>
      </c>
      <c r="CD17" s="219">
        <v>0</v>
      </c>
      <c r="CE17" s="219">
        <v>0</v>
      </c>
      <c r="CF17" s="219">
        <v>0</v>
      </c>
      <c r="CG17" s="219">
        <v>0</v>
      </c>
      <c r="CH17" s="219">
        <v>0</v>
      </c>
      <c r="CI17" s="219">
        <v>0</v>
      </c>
      <c r="CJ17" s="219">
        <v>0</v>
      </c>
      <c r="CK17" s="219">
        <v>0</v>
      </c>
      <c r="CL17" s="219">
        <v>0</v>
      </c>
      <c r="CM17" s="219">
        <v>0</v>
      </c>
      <c r="CN17" s="219">
        <v>0</v>
      </c>
      <c r="CO17" s="219">
        <v>0</v>
      </c>
      <c r="CP17" s="219">
        <v>0</v>
      </c>
      <c r="CQ17" s="219">
        <v>0</v>
      </c>
      <c r="CR17" s="219">
        <v>0</v>
      </c>
      <c r="CS17" s="219">
        <v>0</v>
      </c>
      <c r="CT17" s="219">
        <v>0</v>
      </c>
      <c r="CU17" s="219">
        <v>0</v>
      </c>
      <c r="CV17" s="220">
        <v>0</v>
      </c>
      <c r="CW17" s="219">
        <v>0</v>
      </c>
      <c r="CX17" s="219">
        <v>0</v>
      </c>
      <c r="CY17" s="219">
        <v>0</v>
      </c>
      <c r="CZ17" s="219">
        <v>0</v>
      </c>
      <c r="DA17" s="219">
        <v>0</v>
      </c>
      <c r="DB17" s="219">
        <v>0</v>
      </c>
      <c r="DC17" s="219">
        <v>0</v>
      </c>
      <c r="DD17" s="219">
        <v>0</v>
      </c>
      <c r="DE17" s="219">
        <v>0</v>
      </c>
      <c r="DF17" s="219">
        <v>0</v>
      </c>
      <c r="DG17" s="219">
        <v>0</v>
      </c>
      <c r="DH17" s="219">
        <v>0</v>
      </c>
      <c r="DI17" s="221">
        <v>0</v>
      </c>
      <c r="DJ17" s="221">
        <v>0</v>
      </c>
      <c r="DK17" s="221">
        <v>0</v>
      </c>
      <c r="DL17" s="221">
        <v>0</v>
      </c>
      <c r="DM17" s="221">
        <v>0</v>
      </c>
      <c r="DN17" s="221">
        <v>0</v>
      </c>
      <c r="DO17" s="221">
        <v>0</v>
      </c>
      <c r="DP17" s="221">
        <v>0</v>
      </c>
      <c r="DQ17" s="221">
        <v>0</v>
      </c>
      <c r="DR17" s="221">
        <v>0</v>
      </c>
      <c r="DS17" s="221">
        <v>0</v>
      </c>
      <c r="DT17" s="221">
        <v>0</v>
      </c>
      <c r="DU17" s="221">
        <v>0</v>
      </c>
      <c r="DV17" s="221">
        <v>0</v>
      </c>
      <c r="DW17" s="221">
        <v>0</v>
      </c>
      <c r="DX17" s="221">
        <v>0</v>
      </c>
      <c r="DY17" s="221">
        <v>0</v>
      </c>
      <c r="DZ17" s="221">
        <v>0</v>
      </c>
      <c r="EA17" s="221">
        <v>0</v>
      </c>
      <c r="EB17" s="221">
        <v>0</v>
      </c>
      <c r="EC17" s="221">
        <v>97</v>
      </c>
      <c r="ED17" s="221">
        <v>0</v>
      </c>
      <c r="EE17" s="221">
        <v>0</v>
      </c>
      <c r="EF17" s="221">
        <v>0</v>
      </c>
      <c r="EG17" s="221">
        <v>0</v>
      </c>
      <c r="EH17" s="221">
        <v>8</v>
      </c>
      <c r="EI17" s="221">
        <v>3</v>
      </c>
      <c r="EJ17" s="221">
        <v>0</v>
      </c>
      <c r="EK17" s="221">
        <v>0</v>
      </c>
      <c r="EL17" s="221">
        <v>0</v>
      </c>
      <c r="EM17" s="221">
        <v>0</v>
      </c>
      <c r="EN17" s="221">
        <v>0</v>
      </c>
      <c r="EO17" s="221">
        <v>0</v>
      </c>
      <c r="EP17" s="221">
        <v>0</v>
      </c>
    </row>
    <row r="18" spans="1:147" s="2" customFormat="1" ht="15.75" thickBot="1" x14ac:dyDescent="0.25">
      <c r="A18" s="857" t="s">
        <v>109</v>
      </c>
      <c r="B18" s="858"/>
      <c r="C18" s="858"/>
      <c r="D18" s="859"/>
      <c r="E18" s="217">
        <v>106.5</v>
      </c>
      <c r="F18" s="218">
        <v>10.5</v>
      </c>
      <c r="G18" s="219">
        <v>0</v>
      </c>
      <c r="H18" s="219">
        <v>0</v>
      </c>
      <c r="I18" s="219">
        <v>0</v>
      </c>
      <c r="J18" s="219">
        <v>0</v>
      </c>
      <c r="K18" s="219">
        <v>0</v>
      </c>
      <c r="L18" s="219">
        <v>0</v>
      </c>
      <c r="M18" s="219">
        <v>0</v>
      </c>
      <c r="N18" s="219">
        <v>0</v>
      </c>
      <c r="O18" s="219">
        <v>0</v>
      </c>
      <c r="P18" s="219">
        <v>0</v>
      </c>
      <c r="Q18" s="219">
        <v>0</v>
      </c>
      <c r="R18" s="219">
        <v>0</v>
      </c>
      <c r="S18" s="219">
        <v>0</v>
      </c>
      <c r="T18" s="219">
        <v>0</v>
      </c>
      <c r="U18" s="219">
        <v>0</v>
      </c>
      <c r="V18" s="219">
        <v>0</v>
      </c>
      <c r="W18" s="219">
        <v>0</v>
      </c>
      <c r="X18" s="219">
        <v>0</v>
      </c>
      <c r="Y18" s="219">
        <v>0</v>
      </c>
      <c r="Z18" s="219">
        <v>0</v>
      </c>
      <c r="AA18" s="219">
        <v>30.5</v>
      </c>
      <c r="AB18" s="219">
        <v>0</v>
      </c>
      <c r="AC18" s="219">
        <v>0</v>
      </c>
      <c r="AD18" s="219">
        <v>0</v>
      </c>
      <c r="AE18" s="219">
        <v>0</v>
      </c>
      <c r="AF18" s="219">
        <v>0</v>
      </c>
      <c r="AG18" s="219">
        <v>0</v>
      </c>
      <c r="AH18" s="219">
        <v>0</v>
      </c>
      <c r="AI18" s="219">
        <v>0</v>
      </c>
      <c r="AJ18" s="219">
        <v>0</v>
      </c>
      <c r="AK18" s="219">
        <v>0</v>
      </c>
      <c r="AL18" s="219">
        <v>0</v>
      </c>
      <c r="AM18" s="219">
        <v>0</v>
      </c>
      <c r="AN18" s="219">
        <v>0</v>
      </c>
      <c r="AO18" s="219">
        <v>0</v>
      </c>
      <c r="AP18" s="219">
        <v>0</v>
      </c>
      <c r="AQ18" s="219">
        <v>38</v>
      </c>
      <c r="AR18" s="219">
        <v>0</v>
      </c>
      <c r="AS18" s="219">
        <v>0</v>
      </c>
      <c r="AT18" s="219">
        <v>0</v>
      </c>
      <c r="AU18" s="219">
        <v>0</v>
      </c>
      <c r="AV18" s="219">
        <v>0</v>
      </c>
      <c r="AW18" s="219">
        <v>0</v>
      </c>
      <c r="AX18" s="219">
        <v>0</v>
      </c>
      <c r="AY18" s="219">
        <v>0</v>
      </c>
      <c r="AZ18" s="219">
        <v>0</v>
      </c>
      <c r="BA18" s="219">
        <v>0</v>
      </c>
      <c r="BB18" s="219">
        <v>0</v>
      </c>
      <c r="BC18" s="219">
        <v>38</v>
      </c>
      <c r="BD18" s="219">
        <v>0</v>
      </c>
      <c r="BE18" s="219">
        <v>0</v>
      </c>
      <c r="BF18" s="219">
        <v>0</v>
      </c>
      <c r="BG18" s="219">
        <v>0</v>
      </c>
      <c r="BH18" s="219">
        <v>0</v>
      </c>
      <c r="BI18" s="219">
        <v>0</v>
      </c>
      <c r="BJ18" s="219">
        <v>0</v>
      </c>
      <c r="BK18" s="219">
        <v>0</v>
      </c>
      <c r="BL18" s="219">
        <v>0</v>
      </c>
      <c r="BM18" s="219">
        <v>0</v>
      </c>
      <c r="BN18" s="219">
        <v>0</v>
      </c>
      <c r="BO18" s="219">
        <v>0</v>
      </c>
      <c r="BP18" s="219">
        <v>0</v>
      </c>
      <c r="BQ18" s="219">
        <v>0</v>
      </c>
      <c r="BR18" s="219">
        <v>0</v>
      </c>
      <c r="BS18" s="219">
        <v>0</v>
      </c>
      <c r="BT18" s="219">
        <v>0</v>
      </c>
      <c r="BU18" s="219">
        <v>0</v>
      </c>
      <c r="BV18" s="219">
        <v>0</v>
      </c>
      <c r="BW18" s="219">
        <v>0</v>
      </c>
      <c r="BX18" s="219">
        <v>0</v>
      </c>
      <c r="BY18" s="219">
        <v>0</v>
      </c>
      <c r="BZ18" s="219">
        <v>0</v>
      </c>
      <c r="CA18" s="219">
        <v>0</v>
      </c>
      <c r="CB18" s="219">
        <v>0</v>
      </c>
      <c r="CC18" s="219">
        <v>0</v>
      </c>
      <c r="CD18" s="219">
        <v>0</v>
      </c>
      <c r="CE18" s="219">
        <v>0</v>
      </c>
      <c r="CF18" s="219">
        <v>0</v>
      </c>
      <c r="CG18" s="219">
        <v>0</v>
      </c>
      <c r="CH18" s="219">
        <v>0</v>
      </c>
      <c r="CI18" s="219">
        <v>0</v>
      </c>
      <c r="CJ18" s="219">
        <v>0</v>
      </c>
      <c r="CK18" s="219">
        <v>0</v>
      </c>
      <c r="CL18" s="219">
        <v>0</v>
      </c>
      <c r="CM18" s="219">
        <v>0</v>
      </c>
      <c r="CN18" s="219">
        <v>0</v>
      </c>
      <c r="CO18" s="219">
        <v>0</v>
      </c>
      <c r="CP18" s="219">
        <v>0</v>
      </c>
      <c r="CQ18" s="219">
        <v>0</v>
      </c>
      <c r="CR18" s="219">
        <v>0</v>
      </c>
      <c r="CS18" s="219">
        <v>0</v>
      </c>
      <c r="CT18" s="219">
        <v>0</v>
      </c>
      <c r="CU18" s="219">
        <v>0</v>
      </c>
      <c r="CV18" s="220">
        <v>0</v>
      </c>
      <c r="CW18" s="219">
        <v>0</v>
      </c>
      <c r="CX18" s="219">
        <v>0</v>
      </c>
      <c r="CY18" s="219">
        <v>0</v>
      </c>
      <c r="CZ18" s="219">
        <v>0</v>
      </c>
      <c r="DA18" s="219">
        <v>0</v>
      </c>
      <c r="DB18" s="219">
        <v>0</v>
      </c>
      <c r="DC18" s="219">
        <v>0</v>
      </c>
      <c r="DD18" s="219">
        <v>0</v>
      </c>
      <c r="DE18" s="219">
        <v>0</v>
      </c>
      <c r="DF18" s="219">
        <v>0</v>
      </c>
      <c r="DG18" s="219">
        <v>0</v>
      </c>
      <c r="DH18" s="219">
        <v>0</v>
      </c>
      <c r="DI18" s="221">
        <v>0</v>
      </c>
      <c r="DJ18" s="221">
        <v>0</v>
      </c>
      <c r="DK18" s="221">
        <v>0</v>
      </c>
      <c r="DL18" s="221">
        <v>0</v>
      </c>
      <c r="DM18" s="221">
        <v>0</v>
      </c>
      <c r="DN18" s="221">
        <v>0</v>
      </c>
      <c r="DO18" s="221">
        <v>0</v>
      </c>
      <c r="DP18" s="221">
        <v>0</v>
      </c>
      <c r="DQ18" s="221">
        <v>0</v>
      </c>
      <c r="DR18" s="221">
        <v>0</v>
      </c>
      <c r="DS18" s="221">
        <v>0</v>
      </c>
      <c r="DT18" s="221">
        <v>0</v>
      </c>
      <c r="DU18" s="221">
        <v>0</v>
      </c>
      <c r="DV18" s="221">
        <v>0</v>
      </c>
      <c r="DW18" s="221">
        <v>0</v>
      </c>
      <c r="DX18" s="221">
        <v>0</v>
      </c>
      <c r="DY18" s="221">
        <v>0</v>
      </c>
      <c r="DZ18" s="221">
        <v>0</v>
      </c>
      <c r="EA18" s="221">
        <v>0</v>
      </c>
      <c r="EB18" s="221">
        <v>0</v>
      </c>
      <c r="EC18" s="221">
        <v>0</v>
      </c>
      <c r="ED18" s="221">
        <v>0</v>
      </c>
      <c r="EE18" s="221">
        <v>0</v>
      </c>
      <c r="EF18" s="221">
        <v>0</v>
      </c>
      <c r="EG18" s="221">
        <v>0</v>
      </c>
      <c r="EH18" s="221">
        <v>7</v>
      </c>
      <c r="EI18" s="221">
        <v>3.5</v>
      </c>
      <c r="EJ18" s="221">
        <v>0</v>
      </c>
      <c r="EK18" s="221">
        <v>0</v>
      </c>
      <c r="EL18" s="221">
        <v>0</v>
      </c>
      <c r="EM18" s="221">
        <v>0</v>
      </c>
      <c r="EN18" s="221">
        <v>0</v>
      </c>
      <c r="EO18" s="221">
        <v>0</v>
      </c>
      <c r="EP18" s="221">
        <v>0</v>
      </c>
    </row>
    <row r="19" spans="1:147" s="2" customFormat="1" ht="15.75" thickBot="1" x14ac:dyDescent="0.25">
      <c r="A19" s="844" t="s">
        <v>110</v>
      </c>
      <c r="B19" s="845"/>
      <c r="C19" s="845"/>
      <c r="D19" s="845"/>
      <c r="E19" s="222">
        <f>SUM(E17:E18)</f>
        <v>310.5</v>
      </c>
      <c r="F19" s="223">
        <f>SUM(F17:F18)</f>
        <v>118.5</v>
      </c>
      <c r="G19" s="224">
        <f t="shared" ref="G19:BT19" si="4">SUM(G17:G18)</f>
        <v>0</v>
      </c>
      <c r="H19" s="224">
        <f t="shared" si="4"/>
        <v>0</v>
      </c>
      <c r="I19" s="224">
        <f t="shared" si="4"/>
        <v>0</v>
      </c>
      <c r="J19" s="224">
        <f t="shared" si="4"/>
        <v>0</v>
      </c>
      <c r="K19" s="224">
        <f t="shared" si="4"/>
        <v>0</v>
      </c>
      <c r="L19" s="224">
        <f t="shared" si="4"/>
        <v>39</v>
      </c>
      <c r="M19" s="224">
        <f t="shared" si="4"/>
        <v>0</v>
      </c>
      <c r="N19" s="224">
        <f t="shared" si="4"/>
        <v>0</v>
      </c>
      <c r="O19" s="224">
        <f t="shared" si="4"/>
        <v>0</v>
      </c>
      <c r="P19" s="224">
        <f t="shared" si="4"/>
        <v>0</v>
      </c>
      <c r="Q19" s="224">
        <f t="shared" si="4"/>
        <v>0</v>
      </c>
      <c r="R19" s="224">
        <f t="shared" si="4"/>
        <v>0</v>
      </c>
      <c r="S19" s="224">
        <f t="shared" si="4"/>
        <v>20</v>
      </c>
      <c r="T19" s="224">
        <f t="shared" si="4"/>
        <v>0</v>
      </c>
      <c r="U19" s="224">
        <f t="shared" si="4"/>
        <v>0</v>
      </c>
      <c r="V19" s="224">
        <f t="shared" si="4"/>
        <v>0</v>
      </c>
      <c r="W19" s="224">
        <f t="shared" si="4"/>
        <v>0</v>
      </c>
      <c r="X19" s="224">
        <f t="shared" si="4"/>
        <v>0</v>
      </c>
      <c r="Y19" s="224">
        <f t="shared" si="4"/>
        <v>15</v>
      </c>
      <c r="Z19" s="224">
        <f t="shared" si="4"/>
        <v>0</v>
      </c>
      <c r="AA19" s="224">
        <f t="shared" si="4"/>
        <v>30.5</v>
      </c>
      <c r="AB19" s="224">
        <f t="shared" si="4"/>
        <v>0</v>
      </c>
      <c r="AC19" s="224">
        <f t="shared" si="4"/>
        <v>0</v>
      </c>
      <c r="AD19" s="224">
        <f t="shared" si="4"/>
        <v>0</v>
      </c>
      <c r="AE19" s="224">
        <f t="shared" si="4"/>
        <v>8</v>
      </c>
      <c r="AF19" s="224">
        <f t="shared" si="4"/>
        <v>0</v>
      </c>
      <c r="AG19" s="224">
        <f t="shared" si="4"/>
        <v>0</v>
      </c>
      <c r="AH19" s="224">
        <f t="shared" si="4"/>
        <v>0</v>
      </c>
      <c r="AI19" s="224">
        <f t="shared" si="4"/>
        <v>0</v>
      </c>
      <c r="AJ19" s="224">
        <f t="shared" si="4"/>
        <v>0</v>
      </c>
      <c r="AK19" s="224">
        <f t="shared" si="4"/>
        <v>0</v>
      </c>
      <c r="AL19" s="224">
        <f t="shared" si="4"/>
        <v>0</v>
      </c>
      <c r="AM19" s="224">
        <f t="shared" si="4"/>
        <v>0</v>
      </c>
      <c r="AN19" s="224">
        <f t="shared" si="4"/>
        <v>0</v>
      </c>
      <c r="AO19" s="224">
        <f t="shared" si="4"/>
        <v>0</v>
      </c>
      <c r="AP19" s="224">
        <f t="shared" si="4"/>
        <v>0</v>
      </c>
      <c r="AQ19" s="224">
        <f t="shared" si="4"/>
        <v>69</v>
      </c>
      <c r="AR19" s="224">
        <f t="shared" si="4"/>
        <v>0</v>
      </c>
      <c r="AS19" s="224">
        <f t="shared" si="4"/>
        <v>0</v>
      </c>
      <c r="AT19" s="224">
        <f t="shared" si="4"/>
        <v>34</v>
      </c>
      <c r="AU19" s="224">
        <f t="shared" si="4"/>
        <v>0</v>
      </c>
      <c r="AV19" s="224">
        <f t="shared" si="4"/>
        <v>0</v>
      </c>
      <c r="AW19" s="224">
        <f t="shared" si="4"/>
        <v>30</v>
      </c>
      <c r="AX19" s="224">
        <f t="shared" si="4"/>
        <v>5</v>
      </c>
      <c r="AY19" s="224">
        <f t="shared" si="4"/>
        <v>0</v>
      </c>
      <c r="AZ19" s="224">
        <f t="shared" si="4"/>
        <v>0</v>
      </c>
      <c r="BA19" s="224">
        <f t="shared" si="4"/>
        <v>14</v>
      </c>
      <c r="BB19" s="224">
        <f t="shared" si="4"/>
        <v>0</v>
      </c>
      <c r="BC19" s="224">
        <f t="shared" si="4"/>
        <v>38</v>
      </c>
      <c r="BD19" s="224">
        <f t="shared" si="4"/>
        <v>0</v>
      </c>
      <c r="BE19" s="224">
        <f t="shared" si="4"/>
        <v>0</v>
      </c>
      <c r="BF19" s="224">
        <f t="shared" si="4"/>
        <v>8</v>
      </c>
      <c r="BG19" s="224">
        <f t="shared" si="4"/>
        <v>0</v>
      </c>
      <c r="BH19" s="224">
        <f t="shared" si="4"/>
        <v>0</v>
      </c>
      <c r="BI19" s="224">
        <f t="shared" si="4"/>
        <v>0</v>
      </c>
      <c r="BJ19" s="224">
        <f t="shared" si="4"/>
        <v>0</v>
      </c>
      <c r="BK19" s="224">
        <f t="shared" si="4"/>
        <v>0</v>
      </c>
      <c r="BL19" s="224">
        <f t="shared" si="4"/>
        <v>0</v>
      </c>
      <c r="BM19" s="224">
        <f t="shared" si="4"/>
        <v>0</v>
      </c>
      <c r="BN19" s="224">
        <f t="shared" si="4"/>
        <v>0</v>
      </c>
      <c r="BO19" s="224">
        <f t="shared" si="4"/>
        <v>0</v>
      </c>
      <c r="BP19" s="224">
        <f t="shared" si="4"/>
        <v>0</v>
      </c>
      <c r="BQ19" s="224">
        <f t="shared" si="4"/>
        <v>0</v>
      </c>
      <c r="BR19" s="224">
        <f t="shared" si="4"/>
        <v>0</v>
      </c>
      <c r="BS19" s="224">
        <f t="shared" si="4"/>
        <v>0</v>
      </c>
      <c r="BT19" s="224">
        <f t="shared" si="4"/>
        <v>0</v>
      </c>
      <c r="BU19" s="224">
        <f t="shared" ref="BU19:DI19" si="5">SUM(BU17:BU18)</f>
        <v>0</v>
      </c>
      <c r="BV19" s="224">
        <f t="shared" si="5"/>
        <v>0</v>
      </c>
      <c r="BW19" s="224">
        <f t="shared" si="5"/>
        <v>0</v>
      </c>
      <c r="BX19" s="224">
        <f t="shared" si="5"/>
        <v>0</v>
      </c>
      <c r="BY19" s="224">
        <f t="shared" si="5"/>
        <v>0</v>
      </c>
      <c r="BZ19" s="224">
        <f t="shared" si="5"/>
        <v>0</v>
      </c>
      <c r="CA19" s="224">
        <f t="shared" si="5"/>
        <v>0</v>
      </c>
      <c r="CB19" s="224">
        <f t="shared" si="5"/>
        <v>0</v>
      </c>
      <c r="CC19" s="224">
        <f t="shared" si="5"/>
        <v>0</v>
      </c>
      <c r="CD19" s="224">
        <f t="shared" si="5"/>
        <v>0</v>
      </c>
      <c r="CE19" s="224">
        <f t="shared" si="5"/>
        <v>0</v>
      </c>
      <c r="CF19" s="224">
        <f t="shared" si="5"/>
        <v>0</v>
      </c>
      <c r="CG19" s="224">
        <f t="shared" si="5"/>
        <v>0</v>
      </c>
      <c r="CH19" s="224">
        <f t="shared" si="5"/>
        <v>0</v>
      </c>
      <c r="CI19" s="224">
        <f t="shared" si="5"/>
        <v>0</v>
      </c>
      <c r="CJ19" s="224">
        <f t="shared" si="5"/>
        <v>0</v>
      </c>
      <c r="CK19" s="224">
        <f t="shared" si="5"/>
        <v>0</v>
      </c>
      <c r="CL19" s="224">
        <f t="shared" si="5"/>
        <v>0</v>
      </c>
      <c r="CM19" s="224">
        <f t="shared" si="5"/>
        <v>0</v>
      </c>
      <c r="CN19" s="224">
        <f t="shared" si="5"/>
        <v>0</v>
      </c>
      <c r="CO19" s="224">
        <f t="shared" si="5"/>
        <v>0</v>
      </c>
      <c r="CP19" s="224">
        <f t="shared" si="5"/>
        <v>0</v>
      </c>
      <c r="CQ19" s="224">
        <f t="shared" si="5"/>
        <v>0</v>
      </c>
      <c r="CR19" s="224">
        <f t="shared" si="5"/>
        <v>0</v>
      </c>
      <c r="CS19" s="224">
        <f t="shared" si="5"/>
        <v>0</v>
      </c>
      <c r="CT19" s="224">
        <f t="shared" si="5"/>
        <v>0</v>
      </c>
      <c r="CU19" s="224">
        <f t="shared" si="5"/>
        <v>0</v>
      </c>
      <c r="CV19" s="224">
        <f t="shared" si="5"/>
        <v>0</v>
      </c>
      <c r="CW19" s="224">
        <f t="shared" si="5"/>
        <v>0</v>
      </c>
      <c r="CX19" s="224">
        <f t="shared" si="5"/>
        <v>0</v>
      </c>
      <c r="CY19" s="224">
        <f t="shared" si="5"/>
        <v>0</v>
      </c>
      <c r="CZ19" s="224">
        <f t="shared" si="5"/>
        <v>0</v>
      </c>
      <c r="DA19" s="224">
        <f t="shared" si="5"/>
        <v>0</v>
      </c>
      <c r="DB19" s="224">
        <f t="shared" si="5"/>
        <v>0</v>
      </c>
      <c r="DC19" s="224">
        <f t="shared" si="5"/>
        <v>0</v>
      </c>
      <c r="DD19" s="224">
        <f t="shared" si="5"/>
        <v>0</v>
      </c>
      <c r="DE19" s="224">
        <f t="shared" si="5"/>
        <v>0</v>
      </c>
      <c r="DF19" s="224">
        <f t="shared" si="5"/>
        <v>0</v>
      </c>
      <c r="DG19" s="224">
        <f t="shared" si="5"/>
        <v>0</v>
      </c>
      <c r="DH19" s="224">
        <f t="shared" si="5"/>
        <v>0</v>
      </c>
      <c r="DI19" s="224">
        <f t="shared" si="5"/>
        <v>0</v>
      </c>
      <c r="DJ19" s="224"/>
      <c r="DK19" s="224"/>
      <c r="DL19" s="224"/>
      <c r="DM19" s="224"/>
      <c r="DN19" s="224"/>
      <c r="DO19" s="224"/>
      <c r="DP19" s="224"/>
      <c r="DQ19" s="224"/>
      <c r="DR19" s="224"/>
      <c r="DS19" s="224"/>
      <c r="DT19" s="224"/>
      <c r="DU19" s="224"/>
      <c r="DV19" s="224"/>
      <c r="DW19" s="224"/>
      <c r="DX19" s="224"/>
      <c r="DY19" s="224"/>
      <c r="DZ19" s="224"/>
      <c r="EA19" s="224"/>
      <c r="EB19" s="224"/>
      <c r="EC19" s="224"/>
      <c r="ED19" s="224"/>
      <c r="EE19" s="224"/>
      <c r="EF19" s="224"/>
      <c r="EG19" s="224"/>
      <c r="EH19" s="224"/>
      <c r="EI19" s="224"/>
      <c r="EJ19" s="224"/>
      <c r="EK19" s="224"/>
      <c r="EL19" s="224"/>
      <c r="EM19" s="224"/>
      <c r="EN19" s="224"/>
      <c r="EO19" s="224"/>
      <c r="EP19" s="224"/>
    </row>
    <row r="20" spans="1:147" s="2" customFormat="1" ht="14.45" customHeight="1" thickBot="1" x14ac:dyDescent="0.25">
      <c r="A20" s="230" t="s">
        <v>613</v>
      </c>
      <c r="B20" s="232">
        <f>+B16+7</f>
        <v>45677</v>
      </c>
      <c r="C20" s="231" t="s">
        <v>614</v>
      </c>
      <c r="D20" s="233">
        <f>+D16+7</f>
        <v>45681</v>
      </c>
      <c r="E20" s="213" t="s">
        <v>102</v>
      </c>
      <c r="F20" s="214" t="s">
        <v>103</v>
      </c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19"/>
      <c r="AG20" s="219"/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19"/>
      <c r="BK20" s="219"/>
      <c r="BL20" s="219"/>
      <c r="BM20" s="219"/>
      <c r="BN20" s="219"/>
      <c r="BO20" s="219"/>
      <c r="BP20" s="219"/>
      <c r="BQ20" s="219"/>
      <c r="BR20" s="219"/>
      <c r="BS20" s="219"/>
      <c r="BT20" s="219"/>
      <c r="BU20" s="219"/>
      <c r="BV20" s="219"/>
      <c r="BW20" s="219"/>
      <c r="BX20" s="219"/>
      <c r="BY20" s="219"/>
      <c r="BZ20" s="219"/>
      <c r="CA20" s="219"/>
      <c r="CB20" s="219"/>
      <c r="CC20" s="219"/>
      <c r="CD20" s="219"/>
      <c r="CE20" s="219"/>
      <c r="CF20" s="219"/>
      <c r="CG20" s="219"/>
      <c r="CH20" s="219"/>
      <c r="CI20" s="219"/>
      <c r="CJ20" s="219"/>
      <c r="CK20" s="219"/>
      <c r="CL20" s="219"/>
      <c r="CM20" s="219"/>
      <c r="CN20" s="219"/>
      <c r="CO20" s="219"/>
      <c r="CP20" s="219"/>
      <c r="CQ20" s="219"/>
      <c r="CR20" s="219"/>
      <c r="CS20" s="219"/>
      <c r="CT20" s="219"/>
      <c r="CU20" s="219"/>
      <c r="CV20" s="220"/>
      <c r="CW20" s="219"/>
      <c r="CX20" s="219"/>
      <c r="CY20" s="219"/>
      <c r="CZ20" s="219"/>
      <c r="DA20" s="219"/>
      <c r="DB20" s="219"/>
      <c r="DC20" s="219"/>
      <c r="DD20" s="219"/>
      <c r="DE20" s="219"/>
      <c r="DF20" s="219"/>
      <c r="DG20" s="219"/>
      <c r="DH20" s="219"/>
      <c r="DI20" s="221"/>
      <c r="DJ20" s="221"/>
      <c r="DK20" s="221"/>
      <c r="DL20" s="221"/>
      <c r="DM20" s="221"/>
      <c r="DN20" s="221"/>
      <c r="DO20" s="221"/>
      <c r="DP20" s="221"/>
      <c r="DQ20" s="221"/>
      <c r="DR20" s="221"/>
      <c r="DS20" s="221"/>
      <c r="DT20" s="221"/>
      <c r="DU20" s="221"/>
      <c r="DV20" s="221"/>
      <c r="DW20" s="221"/>
      <c r="DX20" s="221"/>
      <c r="DY20" s="221"/>
      <c r="DZ20" s="221"/>
      <c r="EA20" s="221"/>
      <c r="EB20" s="221"/>
      <c r="EC20" s="221"/>
      <c r="ED20" s="221"/>
      <c r="EE20" s="221"/>
      <c r="EF20" s="221"/>
      <c r="EG20" s="221"/>
      <c r="EH20" s="221"/>
      <c r="EI20" s="221"/>
      <c r="EJ20" s="221"/>
      <c r="EK20" s="221"/>
      <c r="EL20" s="221"/>
      <c r="EM20" s="221"/>
      <c r="EN20" s="221"/>
      <c r="EO20" s="221"/>
      <c r="EP20" s="221"/>
    </row>
    <row r="21" spans="1:147" s="2" customFormat="1" x14ac:dyDescent="0.2">
      <c r="A21" s="854" t="s">
        <v>74</v>
      </c>
      <c r="B21" s="855"/>
      <c r="C21" s="855"/>
      <c r="D21" s="856"/>
      <c r="E21" s="215">
        <v>170.5</v>
      </c>
      <c r="F21" s="216">
        <v>141.5</v>
      </c>
      <c r="G21" s="735">
        <v>0</v>
      </c>
      <c r="H21" s="736">
        <v>0</v>
      </c>
      <c r="I21" s="736">
        <v>0</v>
      </c>
      <c r="J21" s="736">
        <v>0</v>
      </c>
      <c r="K21" s="736">
        <v>0</v>
      </c>
      <c r="L21" s="736">
        <v>35.5</v>
      </c>
      <c r="M21" s="736">
        <v>0</v>
      </c>
      <c r="N21" s="736">
        <v>0</v>
      </c>
      <c r="O21" s="736">
        <v>0</v>
      </c>
      <c r="P21" s="736">
        <v>0</v>
      </c>
      <c r="Q21" s="736">
        <v>0</v>
      </c>
      <c r="R21" s="736">
        <v>0</v>
      </c>
      <c r="S21" s="736">
        <v>0</v>
      </c>
      <c r="T21" s="736">
        <v>0</v>
      </c>
      <c r="U21" s="736">
        <v>0</v>
      </c>
      <c r="V21" s="736">
        <v>0</v>
      </c>
      <c r="W21" s="736">
        <v>0</v>
      </c>
      <c r="X21" s="736">
        <v>0</v>
      </c>
      <c r="Y21" s="736">
        <v>0</v>
      </c>
      <c r="Z21" s="736">
        <v>0</v>
      </c>
      <c r="AA21" s="737">
        <v>0</v>
      </c>
      <c r="AB21" s="737">
        <v>8</v>
      </c>
      <c r="AC21" s="737">
        <v>0</v>
      </c>
      <c r="AD21" s="737">
        <v>0</v>
      </c>
      <c r="AE21" s="737">
        <v>13.5</v>
      </c>
      <c r="AF21" s="737">
        <v>0</v>
      </c>
      <c r="AG21" s="737">
        <v>0</v>
      </c>
      <c r="AH21" s="737">
        <v>0</v>
      </c>
      <c r="AI21" s="737">
        <v>0</v>
      </c>
      <c r="AJ21" s="737">
        <v>0</v>
      </c>
      <c r="AK21" s="737">
        <v>0</v>
      </c>
      <c r="AL21" s="737">
        <v>0</v>
      </c>
      <c r="AM21" s="737">
        <v>7</v>
      </c>
      <c r="AN21" s="737">
        <v>0</v>
      </c>
      <c r="AO21" s="219">
        <v>0</v>
      </c>
      <c r="AP21" s="219">
        <v>0</v>
      </c>
      <c r="AQ21" s="219">
        <v>0</v>
      </c>
      <c r="AR21" s="219">
        <v>0</v>
      </c>
      <c r="AS21" s="219">
        <v>0</v>
      </c>
      <c r="AT21" s="219">
        <v>48</v>
      </c>
      <c r="AU21" s="219">
        <v>0</v>
      </c>
      <c r="AV21" s="219">
        <v>0</v>
      </c>
      <c r="AW21" s="219">
        <v>0</v>
      </c>
      <c r="AX21" s="219">
        <v>0</v>
      </c>
      <c r="AY21" s="219">
        <v>0</v>
      </c>
      <c r="AZ21" s="219">
        <v>0</v>
      </c>
      <c r="BA21" s="219">
        <v>58.5</v>
      </c>
      <c r="BB21" s="219">
        <v>0</v>
      </c>
      <c r="BC21" s="219">
        <v>0</v>
      </c>
      <c r="BD21" s="219">
        <v>0</v>
      </c>
      <c r="BE21" s="219">
        <v>0</v>
      </c>
      <c r="BF21" s="219">
        <v>0</v>
      </c>
      <c r="BG21" s="219">
        <v>0</v>
      </c>
      <c r="BH21" s="219">
        <v>0</v>
      </c>
      <c r="BI21" s="219">
        <v>0</v>
      </c>
      <c r="BJ21" s="219">
        <v>0</v>
      </c>
      <c r="BK21" s="219">
        <v>0</v>
      </c>
      <c r="BL21" s="219">
        <v>0</v>
      </c>
      <c r="BM21" s="219">
        <v>0</v>
      </c>
      <c r="BN21" s="219">
        <v>0</v>
      </c>
      <c r="BO21" s="219">
        <v>0</v>
      </c>
      <c r="BP21" s="219">
        <v>0</v>
      </c>
      <c r="BQ21" s="219">
        <v>0</v>
      </c>
      <c r="BR21" s="219">
        <v>0</v>
      </c>
      <c r="BS21" s="219">
        <v>0</v>
      </c>
      <c r="BT21" s="219">
        <v>0</v>
      </c>
      <c r="BU21" s="219">
        <v>0</v>
      </c>
      <c r="BV21" s="219">
        <v>0</v>
      </c>
      <c r="BW21" s="219">
        <v>0</v>
      </c>
      <c r="BX21" s="219">
        <v>0</v>
      </c>
      <c r="BY21" s="219">
        <v>0</v>
      </c>
      <c r="BZ21" s="219">
        <v>0</v>
      </c>
      <c r="CA21" s="219">
        <v>0</v>
      </c>
      <c r="CB21" s="219">
        <v>0</v>
      </c>
      <c r="CC21" s="219">
        <v>0</v>
      </c>
      <c r="CD21" s="219">
        <v>0</v>
      </c>
      <c r="CE21" s="219">
        <v>0</v>
      </c>
      <c r="CF21" s="219">
        <v>0</v>
      </c>
      <c r="CG21" s="219">
        <v>0</v>
      </c>
      <c r="CH21" s="219">
        <v>0</v>
      </c>
      <c r="CI21" s="219">
        <v>0</v>
      </c>
      <c r="CJ21" s="219">
        <v>0</v>
      </c>
      <c r="CK21" s="219">
        <v>0</v>
      </c>
      <c r="CL21" s="219">
        <v>0</v>
      </c>
      <c r="CM21" s="219">
        <v>0</v>
      </c>
      <c r="CN21" s="219">
        <v>0</v>
      </c>
      <c r="CO21" s="219">
        <v>0</v>
      </c>
      <c r="CP21" s="219">
        <v>0</v>
      </c>
      <c r="CQ21" s="219">
        <v>0</v>
      </c>
      <c r="CR21" s="219">
        <v>0</v>
      </c>
      <c r="CS21" s="219">
        <v>0</v>
      </c>
      <c r="CT21" s="219">
        <v>0</v>
      </c>
      <c r="CU21" s="219">
        <v>0</v>
      </c>
      <c r="CV21" s="220">
        <v>0</v>
      </c>
      <c r="CW21" s="219">
        <v>0</v>
      </c>
      <c r="CX21" s="219">
        <v>0</v>
      </c>
      <c r="CY21" s="219">
        <v>0</v>
      </c>
      <c r="CZ21" s="219">
        <v>0</v>
      </c>
      <c r="DA21" s="219">
        <v>0</v>
      </c>
      <c r="DB21" s="219">
        <v>0</v>
      </c>
      <c r="DC21" s="219">
        <v>0</v>
      </c>
      <c r="DD21" s="219">
        <v>0</v>
      </c>
      <c r="DE21" s="219">
        <v>0</v>
      </c>
      <c r="DF21" s="219">
        <v>0</v>
      </c>
      <c r="DG21" s="219">
        <v>0</v>
      </c>
      <c r="DH21" s="219">
        <v>0</v>
      </c>
      <c r="DI21" s="221">
        <v>0</v>
      </c>
      <c r="DJ21" s="221">
        <v>0</v>
      </c>
      <c r="DK21" s="221">
        <v>0</v>
      </c>
      <c r="DL21" s="221">
        <v>0</v>
      </c>
      <c r="DM21" s="221">
        <v>0</v>
      </c>
      <c r="DN21" s="221">
        <v>0</v>
      </c>
      <c r="DO21" s="221">
        <v>0</v>
      </c>
      <c r="DP21" s="221">
        <v>0</v>
      </c>
      <c r="DQ21" s="221">
        <v>0</v>
      </c>
      <c r="DR21" s="221">
        <v>0</v>
      </c>
      <c r="DS21" s="221">
        <v>0</v>
      </c>
      <c r="DT21" s="221">
        <v>0</v>
      </c>
      <c r="DU21" s="221">
        <v>0</v>
      </c>
      <c r="DV21" s="221">
        <v>0</v>
      </c>
      <c r="DW21" s="221">
        <v>0</v>
      </c>
      <c r="DX21" s="221">
        <v>0</v>
      </c>
      <c r="DY21" s="221">
        <v>0</v>
      </c>
      <c r="DZ21" s="221">
        <v>0</v>
      </c>
      <c r="EA21" s="221">
        <v>0</v>
      </c>
      <c r="EB21" s="221">
        <v>0</v>
      </c>
      <c r="EC21" s="221">
        <v>117</v>
      </c>
      <c r="ED21" s="221">
        <v>0</v>
      </c>
      <c r="EE21" s="221">
        <v>0</v>
      </c>
      <c r="EF21" s="221">
        <v>0</v>
      </c>
      <c r="EG21" s="221">
        <v>0</v>
      </c>
      <c r="EH21" s="221">
        <v>7</v>
      </c>
      <c r="EI21" s="221">
        <v>0</v>
      </c>
      <c r="EJ21" s="221">
        <v>0</v>
      </c>
      <c r="EK21" s="221">
        <v>0</v>
      </c>
      <c r="EL21" s="221">
        <v>0</v>
      </c>
      <c r="EM21" s="221">
        <v>0</v>
      </c>
      <c r="EN21" s="221">
        <v>17.5</v>
      </c>
      <c r="EO21" s="221">
        <v>0</v>
      </c>
      <c r="EP21" s="221">
        <v>0</v>
      </c>
    </row>
    <row r="22" spans="1:147" s="2" customFormat="1" ht="15.75" thickBot="1" x14ac:dyDescent="0.25">
      <c r="A22" s="857" t="s">
        <v>109</v>
      </c>
      <c r="B22" s="858"/>
      <c r="C22" s="858"/>
      <c r="D22" s="859"/>
      <c r="E22" s="217">
        <v>105.5</v>
      </c>
      <c r="F22" s="218">
        <v>11.5</v>
      </c>
      <c r="G22" s="219">
        <v>0</v>
      </c>
      <c r="H22" s="219">
        <v>0</v>
      </c>
      <c r="I22" s="219">
        <v>0</v>
      </c>
      <c r="J22" s="219">
        <v>0</v>
      </c>
      <c r="K22" s="219">
        <v>0</v>
      </c>
      <c r="L22" s="219">
        <v>0</v>
      </c>
      <c r="M22" s="219">
        <v>0</v>
      </c>
      <c r="N22" s="219">
        <v>0</v>
      </c>
      <c r="O22" s="219">
        <v>0</v>
      </c>
      <c r="P22" s="219">
        <v>0</v>
      </c>
      <c r="Q22" s="219">
        <v>0</v>
      </c>
      <c r="R22" s="219">
        <v>0</v>
      </c>
      <c r="S22" s="219">
        <v>0</v>
      </c>
      <c r="T22" s="219">
        <v>0</v>
      </c>
      <c r="U22" s="219">
        <v>0</v>
      </c>
      <c r="V22" s="219">
        <v>0</v>
      </c>
      <c r="W22" s="219">
        <v>0</v>
      </c>
      <c r="X22" s="219">
        <v>0</v>
      </c>
      <c r="Y22" s="219">
        <v>0</v>
      </c>
      <c r="Z22" s="219">
        <v>0</v>
      </c>
      <c r="AA22" s="219">
        <v>34.5</v>
      </c>
      <c r="AB22" s="219">
        <v>0</v>
      </c>
      <c r="AC22" s="219">
        <v>16</v>
      </c>
      <c r="AD22" s="219">
        <v>14</v>
      </c>
      <c r="AE22" s="219">
        <v>0</v>
      </c>
      <c r="AF22" s="219">
        <v>0</v>
      </c>
      <c r="AG22" s="219">
        <v>0</v>
      </c>
      <c r="AH22" s="219">
        <v>0</v>
      </c>
      <c r="AI22" s="219">
        <v>0</v>
      </c>
      <c r="AJ22" s="219">
        <v>0</v>
      </c>
      <c r="AK22" s="219">
        <v>0</v>
      </c>
      <c r="AL22" s="219">
        <v>0</v>
      </c>
      <c r="AM22" s="219">
        <v>0</v>
      </c>
      <c r="AN22" s="219">
        <v>0</v>
      </c>
      <c r="AO22" s="219">
        <v>0</v>
      </c>
      <c r="AP22" s="219">
        <v>0</v>
      </c>
      <c r="AQ22" s="219">
        <v>0</v>
      </c>
      <c r="AR22" s="219">
        <v>0</v>
      </c>
      <c r="AS22" s="219">
        <v>0</v>
      </c>
      <c r="AT22" s="219">
        <v>0</v>
      </c>
      <c r="AU22" s="219">
        <v>0</v>
      </c>
      <c r="AV22" s="219">
        <v>0</v>
      </c>
      <c r="AW22" s="219">
        <v>0</v>
      </c>
      <c r="AX22" s="219">
        <v>0</v>
      </c>
      <c r="AY22" s="219">
        <v>0</v>
      </c>
      <c r="AZ22" s="219">
        <v>0</v>
      </c>
      <c r="BA22" s="219">
        <v>41</v>
      </c>
      <c r="BB22" s="219">
        <v>0</v>
      </c>
      <c r="BC22" s="219">
        <v>0</v>
      </c>
      <c r="BD22" s="219">
        <v>0</v>
      </c>
      <c r="BE22" s="219">
        <v>0</v>
      </c>
      <c r="BF22" s="219">
        <v>0</v>
      </c>
      <c r="BG22" s="219">
        <v>0</v>
      </c>
      <c r="BH22" s="219">
        <v>0</v>
      </c>
      <c r="BI22" s="219">
        <v>0</v>
      </c>
      <c r="BJ22" s="219">
        <v>0</v>
      </c>
      <c r="BK22" s="219">
        <v>0</v>
      </c>
      <c r="BL22" s="219">
        <v>0</v>
      </c>
      <c r="BM22" s="219">
        <v>0</v>
      </c>
      <c r="BN22" s="219">
        <v>0</v>
      </c>
      <c r="BO22" s="219">
        <v>0</v>
      </c>
      <c r="BP22" s="219">
        <v>0</v>
      </c>
      <c r="BQ22" s="219">
        <v>0</v>
      </c>
      <c r="BR22" s="219">
        <v>0</v>
      </c>
      <c r="BS22" s="219">
        <v>0</v>
      </c>
      <c r="BT22" s="219">
        <v>0</v>
      </c>
      <c r="BU22" s="219">
        <v>0</v>
      </c>
      <c r="BV22" s="219">
        <v>0</v>
      </c>
      <c r="BW22" s="219">
        <v>0</v>
      </c>
      <c r="BX22" s="219">
        <v>0</v>
      </c>
      <c r="BY22" s="219">
        <v>0</v>
      </c>
      <c r="BZ22" s="219">
        <v>0</v>
      </c>
      <c r="CA22" s="219">
        <v>0</v>
      </c>
      <c r="CB22" s="219">
        <v>0</v>
      </c>
      <c r="CC22" s="219">
        <v>0</v>
      </c>
      <c r="CD22" s="219">
        <v>0</v>
      </c>
      <c r="CE22" s="219">
        <v>0</v>
      </c>
      <c r="CF22" s="219">
        <v>0</v>
      </c>
      <c r="CG22" s="219">
        <v>0</v>
      </c>
      <c r="CH22" s="219">
        <v>0</v>
      </c>
      <c r="CI22" s="219">
        <v>0</v>
      </c>
      <c r="CJ22" s="219">
        <v>0</v>
      </c>
      <c r="CK22" s="219">
        <v>0</v>
      </c>
      <c r="CL22" s="219">
        <v>0</v>
      </c>
      <c r="CM22" s="219">
        <v>0</v>
      </c>
      <c r="CN22" s="219">
        <v>0</v>
      </c>
      <c r="CO22" s="219">
        <v>0</v>
      </c>
      <c r="CP22" s="219">
        <v>0</v>
      </c>
      <c r="CQ22" s="219">
        <v>0</v>
      </c>
      <c r="CR22" s="219">
        <v>0</v>
      </c>
      <c r="CS22" s="219">
        <v>0</v>
      </c>
      <c r="CT22" s="219">
        <v>0</v>
      </c>
      <c r="CU22" s="219">
        <v>0</v>
      </c>
      <c r="CV22" s="220">
        <v>0</v>
      </c>
      <c r="CW22" s="219">
        <v>0</v>
      </c>
      <c r="CX22" s="219">
        <v>0</v>
      </c>
      <c r="CY22" s="219">
        <v>0</v>
      </c>
      <c r="CZ22" s="219">
        <v>0</v>
      </c>
      <c r="DA22" s="219">
        <v>0</v>
      </c>
      <c r="DB22" s="219">
        <v>0</v>
      </c>
      <c r="DC22" s="219">
        <v>0</v>
      </c>
      <c r="DD22" s="219">
        <v>0</v>
      </c>
      <c r="DE22" s="219">
        <v>0</v>
      </c>
      <c r="DF22" s="219">
        <v>0</v>
      </c>
      <c r="DG22" s="219">
        <v>0</v>
      </c>
      <c r="DH22" s="219">
        <v>0</v>
      </c>
      <c r="DI22" s="221">
        <v>0</v>
      </c>
      <c r="DJ22" s="221">
        <v>0</v>
      </c>
      <c r="DK22" s="221">
        <v>0</v>
      </c>
      <c r="DL22" s="221">
        <v>0</v>
      </c>
      <c r="DM22" s="221">
        <v>0</v>
      </c>
      <c r="DN22" s="221">
        <v>0</v>
      </c>
      <c r="DO22" s="221">
        <v>0</v>
      </c>
      <c r="DP22" s="221">
        <v>0</v>
      </c>
      <c r="DQ22" s="221">
        <v>0</v>
      </c>
      <c r="DR22" s="221">
        <v>0</v>
      </c>
      <c r="DS22" s="221">
        <v>0</v>
      </c>
      <c r="DT22" s="221">
        <v>0</v>
      </c>
      <c r="DU22" s="221">
        <v>0</v>
      </c>
      <c r="DV22" s="221">
        <v>0</v>
      </c>
      <c r="DW22" s="221">
        <v>0</v>
      </c>
      <c r="DX22" s="221">
        <v>0</v>
      </c>
      <c r="DY22" s="221">
        <v>0</v>
      </c>
      <c r="DZ22" s="221">
        <v>0</v>
      </c>
      <c r="EA22" s="221">
        <v>0</v>
      </c>
      <c r="EB22" s="221">
        <v>0</v>
      </c>
      <c r="EC22" s="221">
        <v>0</v>
      </c>
      <c r="ED22" s="221">
        <v>0</v>
      </c>
      <c r="EE22" s="221">
        <v>0</v>
      </c>
      <c r="EF22" s="221">
        <v>0</v>
      </c>
      <c r="EG22" s="221">
        <v>0</v>
      </c>
      <c r="EH22" s="221">
        <v>0</v>
      </c>
      <c r="EI22" s="221">
        <v>1</v>
      </c>
      <c r="EJ22" s="221">
        <v>0</v>
      </c>
      <c r="EK22" s="221">
        <v>0</v>
      </c>
      <c r="EL22" s="221">
        <v>0</v>
      </c>
      <c r="EM22" s="221">
        <v>0</v>
      </c>
      <c r="EN22" s="221">
        <v>10.5</v>
      </c>
      <c r="EO22" s="221">
        <v>0</v>
      </c>
      <c r="EP22" s="221">
        <v>0</v>
      </c>
    </row>
    <row r="23" spans="1:147" s="2" customFormat="1" ht="15.75" thickBot="1" x14ac:dyDescent="0.25">
      <c r="A23" s="844" t="s">
        <v>110</v>
      </c>
      <c r="B23" s="845"/>
      <c r="C23" s="845"/>
      <c r="D23" s="845"/>
      <c r="E23" s="222">
        <f>SUM(E21:E22)</f>
        <v>276</v>
      </c>
      <c r="F23" s="223">
        <f>SUM(F21:F22)</f>
        <v>153</v>
      </c>
      <c r="G23" s="224">
        <f t="shared" ref="G23:BT23" si="6">SUM(G21:G22)</f>
        <v>0</v>
      </c>
      <c r="H23" s="224">
        <f t="shared" si="6"/>
        <v>0</v>
      </c>
      <c r="I23" s="224">
        <f t="shared" si="6"/>
        <v>0</v>
      </c>
      <c r="J23" s="224">
        <f t="shared" si="6"/>
        <v>0</v>
      </c>
      <c r="K23" s="224">
        <f t="shared" si="6"/>
        <v>0</v>
      </c>
      <c r="L23" s="224">
        <f t="shared" si="6"/>
        <v>35.5</v>
      </c>
      <c r="M23" s="224">
        <f t="shared" si="6"/>
        <v>0</v>
      </c>
      <c r="N23" s="224">
        <f t="shared" si="6"/>
        <v>0</v>
      </c>
      <c r="O23" s="224">
        <f t="shared" si="6"/>
        <v>0</v>
      </c>
      <c r="P23" s="224">
        <f t="shared" si="6"/>
        <v>0</v>
      </c>
      <c r="Q23" s="224">
        <f t="shared" si="6"/>
        <v>0</v>
      </c>
      <c r="R23" s="224">
        <f t="shared" si="6"/>
        <v>0</v>
      </c>
      <c r="S23" s="224">
        <f t="shared" si="6"/>
        <v>0</v>
      </c>
      <c r="T23" s="224">
        <f t="shared" si="6"/>
        <v>0</v>
      </c>
      <c r="U23" s="224">
        <f t="shared" si="6"/>
        <v>0</v>
      </c>
      <c r="V23" s="224">
        <f t="shared" si="6"/>
        <v>0</v>
      </c>
      <c r="W23" s="224">
        <f t="shared" si="6"/>
        <v>0</v>
      </c>
      <c r="X23" s="224">
        <f t="shared" si="6"/>
        <v>0</v>
      </c>
      <c r="Y23" s="224">
        <f t="shared" si="6"/>
        <v>0</v>
      </c>
      <c r="Z23" s="224">
        <f t="shared" si="6"/>
        <v>0</v>
      </c>
      <c r="AA23" s="224">
        <f t="shared" si="6"/>
        <v>34.5</v>
      </c>
      <c r="AB23" s="224">
        <f t="shared" si="6"/>
        <v>8</v>
      </c>
      <c r="AC23" s="224">
        <f t="shared" si="6"/>
        <v>16</v>
      </c>
      <c r="AD23" s="224">
        <f t="shared" si="6"/>
        <v>14</v>
      </c>
      <c r="AE23" s="224">
        <f t="shared" si="6"/>
        <v>13.5</v>
      </c>
      <c r="AF23" s="224">
        <f t="shared" si="6"/>
        <v>0</v>
      </c>
      <c r="AG23" s="224">
        <f t="shared" si="6"/>
        <v>0</v>
      </c>
      <c r="AH23" s="224">
        <f t="shared" si="6"/>
        <v>0</v>
      </c>
      <c r="AI23" s="224">
        <f t="shared" si="6"/>
        <v>0</v>
      </c>
      <c r="AJ23" s="224">
        <f t="shared" si="6"/>
        <v>0</v>
      </c>
      <c r="AK23" s="224">
        <f t="shared" si="6"/>
        <v>0</v>
      </c>
      <c r="AL23" s="224">
        <f t="shared" si="6"/>
        <v>0</v>
      </c>
      <c r="AM23" s="224">
        <f t="shared" si="6"/>
        <v>7</v>
      </c>
      <c r="AN23" s="224">
        <f t="shared" si="6"/>
        <v>0</v>
      </c>
      <c r="AO23" s="224">
        <f t="shared" si="6"/>
        <v>0</v>
      </c>
      <c r="AP23" s="224">
        <f t="shared" si="6"/>
        <v>0</v>
      </c>
      <c r="AQ23" s="224">
        <f t="shared" si="6"/>
        <v>0</v>
      </c>
      <c r="AR23" s="224">
        <f t="shared" si="6"/>
        <v>0</v>
      </c>
      <c r="AS23" s="224">
        <f t="shared" si="6"/>
        <v>0</v>
      </c>
      <c r="AT23" s="224">
        <f t="shared" si="6"/>
        <v>48</v>
      </c>
      <c r="AU23" s="224">
        <f t="shared" si="6"/>
        <v>0</v>
      </c>
      <c r="AV23" s="224">
        <f t="shared" si="6"/>
        <v>0</v>
      </c>
      <c r="AW23" s="224">
        <f t="shared" si="6"/>
        <v>0</v>
      </c>
      <c r="AX23" s="224">
        <f t="shared" si="6"/>
        <v>0</v>
      </c>
      <c r="AY23" s="224">
        <f t="shared" si="6"/>
        <v>0</v>
      </c>
      <c r="AZ23" s="224">
        <f t="shared" si="6"/>
        <v>0</v>
      </c>
      <c r="BA23" s="224">
        <f t="shared" si="6"/>
        <v>99.5</v>
      </c>
      <c r="BB23" s="224">
        <f t="shared" si="6"/>
        <v>0</v>
      </c>
      <c r="BC23" s="224">
        <f t="shared" si="6"/>
        <v>0</v>
      </c>
      <c r="BD23" s="224">
        <f t="shared" si="6"/>
        <v>0</v>
      </c>
      <c r="BE23" s="224">
        <f t="shared" si="6"/>
        <v>0</v>
      </c>
      <c r="BF23" s="224">
        <f t="shared" si="6"/>
        <v>0</v>
      </c>
      <c r="BG23" s="224">
        <f t="shared" si="6"/>
        <v>0</v>
      </c>
      <c r="BH23" s="224">
        <f t="shared" si="6"/>
        <v>0</v>
      </c>
      <c r="BI23" s="224">
        <f t="shared" si="6"/>
        <v>0</v>
      </c>
      <c r="BJ23" s="224">
        <f t="shared" si="6"/>
        <v>0</v>
      </c>
      <c r="BK23" s="224">
        <f t="shared" si="6"/>
        <v>0</v>
      </c>
      <c r="BL23" s="224">
        <f t="shared" si="6"/>
        <v>0</v>
      </c>
      <c r="BM23" s="224">
        <f t="shared" si="6"/>
        <v>0</v>
      </c>
      <c r="BN23" s="224">
        <f t="shared" si="6"/>
        <v>0</v>
      </c>
      <c r="BO23" s="224">
        <f t="shared" si="6"/>
        <v>0</v>
      </c>
      <c r="BP23" s="224">
        <f t="shared" si="6"/>
        <v>0</v>
      </c>
      <c r="BQ23" s="224">
        <f t="shared" si="6"/>
        <v>0</v>
      </c>
      <c r="BR23" s="224">
        <f t="shared" si="6"/>
        <v>0</v>
      </c>
      <c r="BS23" s="224">
        <f t="shared" si="6"/>
        <v>0</v>
      </c>
      <c r="BT23" s="224">
        <f t="shared" si="6"/>
        <v>0</v>
      </c>
      <c r="BU23" s="224">
        <f t="shared" ref="BU23:DI23" si="7">SUM(BU21:BU22)</f>
        <v>0</v>
      </c>
      <c r="BV23" s="224">
        <f t="shared" si="7"/>
        <v>0</v>
      </c>
      <c r="BW23" s="224">
        <f t="shared" si="7"/>
        <v>0</v>
      </c>
      <c r="BX23" s="224">
        <f t="shared" si="7"/>
        <v>0</v>
      </c>
      <c r="BY23" s="224">
        <f t="shared" si="7"/>
        <v>0</v>
      </c>
      <c r="BZ23" s="224">
        <f t="shared" si="7"/>
        <v>0</v>
      </c>
      <c r="CA23" s="224">
        <f t="shared" si="7"/>
        <v>0</v>
      </c>
      <c r="CB23" s="224">
        <f t="shared" si="7"/>
        <v>0</v>
      </c>
      <c r="CC23" s="224">
        <f t="shared" si="7"/>
        <v>0</v>
      </c>
      <c r="CD23" s="224">
        <f t="shared" si="7"/>
        <v>0</v>
      </c>
      <c r="CE23" s="224">
        <f t="shared" si="7"/>
        <v>0</v>
      </c>
      <c r="CF23" s="224">
        <f t="shared" si="7"/>
        <v>0</v>
      </c>
      <c r="CG23" s="224">
        <f t="shared" si="7"/>
        <v>0</v>
      </c>
      <c r="CH23" s="224">
        <f t="shared" si="7"/>
        <v>0</v>
      </c>
      <c r="CI23" s="224">
        <f t="shared" si="7"/>
        <v>0</v>
      </c>
      <c r="CJ23" s="224">
        <f t="shared" si="7"/>
        <v>0</v>
      </c>
      <c r="CK23" s="224">
        <f t="shared" si="7"/>
        <v>0</v>
      </c>
      <c r="CL23" s="224">
        <f t="shared" si="7"/>
        <v>0</v>
      </c>
      <c r="CM23" s="224">
        <f t="shared" si="7"/>
        <v>0</v>
      </c>
      <c r="CN23" s="224">
        <f t="shared" si="7"/>
        <v>0</v>
      </c>
      <c r="CO23" s="224">
        <f t="shared" si="7"/>
        <v>0</v>
      </c>
      <c r="CP23" s="224">
        <f t="shared" si="7"/>
        <v>0</v>
      </c>
      <c r="CQ23" s="224">
        <f t="shared" si="7"/>
        <v>0</v>
      </c>
      <c r="CR23" s="224">
        <f t="shared" si="7"/>
        <v>0</v>
      </c>
      <c r="CS23" s="224">
        <f t="shared" si="7"/>
        <v>0</v>
      </c>
      <c r="CT23" s="224">
        <f t="shared" si="7"/>
        <v>0</v>
      </c>
      <c r="CU23" s="224">
        <f t="shared" si="7"/>
        <v>0</v>
      </c>
      <c r="CV23" s="224">
        <f t="shared" si="7"/>
        <v>0</v>
      </c>
      <c r="CW23" s="224">
        <f t="shared" si="7"/>
        <v>0</v>
      </c>
      <c r="CX23" s="224">
        <f t="shared" si="7"/>
        <v>0</v>
      </c>
      <c r="CY23" s="224">
        <f t="shared" si="7"/>
        <v>0</v>
      </c>
      <c r="CZ23" s="224">
        <f t="shared" si="7"/>
        <v>0</v>
      </c>
      <c r="DA23" s="224">
        <f t="shared" si="7"/>
        <v>0</v>
      </c>
      <c r="DB23" s="224">
        <f t="shared" si="7"/>
        <v>0</v>
      </c>
      <c r="DC23" s="224">
        <f t="shared" si="7"/>
        <v>0</v>
      </c>
      <c r="DD23" s="224">
        <f t="shared" si="7"/>
        <v>0</v>
      </c>
      <c r="DE23" s="224">
        <f t="shared" si="7"/>
        <v>0</v>
      </c>
      <c r="DF23" s="224">
        <f t="shared" si="7"/>
        <v>0</v>
      </c>
      <c r="DG23" s="224">
        <f t="shared" si="7"/>
        <v>0</v>
      </c>
      <c r="DH23" s="224">
        <f t="shared" si="7"/>
        <v>0</v>
      </c>
      <c r="DI23" s="224">
        <f t="shared" si="7"/>
        <v>0</v>
      </c>
      <c r="DJ23" s="224"/>
      <c r="DK23" s="224"/>
      <c r="DL23" s="224"/>
      <c r="DM23" s="224"/>
      <c r="DN23" s="224"/>
      <c r="DO23" s="224"/>
      <c r="DP23" s="224"/>
      <c r="DQ23" s="224"/>
      <c r="DR23" s="224"/>
      <c r="DS23" s="224"/>
      <c r="DT23" s="224"/>
      <c r="DU23" s="224"/>
      <c r="DV23" s="224"/>
      <c r="DW23" s="224"/>
      <c r="DX23" s="224"/>
      <c r="DY23" s="224"/>
      <c r="DZ23" s="224"/>
      <c r="EA23" s="224"/>
      <c r="EB23" s="224"/>
      <c r="EC23" s="224"/>
      <c r="ED23" s="224"/>
      <c r="EE23" s="224"/>
      <c r="EF23" s="224"/>
      <c r="EG23" s="224"/>
      <c r="EH23" s="224"/>
      <c r="EI23" s="224"/>
      <c r="EJ23" s="224"/>
      <c r="EK23" s="224"/>
      <c r="EL23" s="224"/>
      <c r="EM23" s="224"/>
      <c r="EN23" s="224"/>
      <c r="EO23" s="224"/>
      <c r="EP23" s="224"/>
    </row>
    <row r="24" spans="1:147" s="2" customFormat="1" ht="14.45" customHeight="1" thickBot="1" x14ac:dyDescent="0.25">
      <c r="A24" s="230" t="s">
        <v>613</v>
      </c>
      <c r="B24" s="232">
        <v>45684</v>
      </c>
      <c r="C24" s="231" t="s">
        <v>614</v>
      </c>
      <c r="D24" s="233">
        <v>45688</v>
      </c>
      <c r="E24" s="213" t="s">
        <v>102</v>
      </c>
      <c r="F24" s="214" t="s">
        <v>103</v>
      </c>
      <c r="G24" s="219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19"/>
      <c r="AE24" s="219"/>
      <c r="AF24" s="219"/>
      <c r="AG24" s="219"/>
      <c r="AH24" s="219"/>
      <c r="AI24" s="219"/>
      <c r="AJ24" s="219"/>
      <c r="AK24" s="219"/>
      <c r="AL24" s="219"/>
      <c r="AM24" s="219"/>
      <c r="AN24" s="219"/>
      <c r="AO24" s="219"/>
      <c r="AP24" s="219"/>
      <c r="AQ24" s="219"/>
      <c r="AR24" s="219"/>
      <c r="AS24" s="219"/>
      <c r="AT24" s="219"/>
      <c r="AU24" s="219"/>
      <c r="AV24" s="219"/>
      <c r="AW24" s="219"/>
      <c r="AX24" s="219"/>
      <c r="AY24" s="219"/>
      <c r="AZ24" s="219"/>
      <c r="BA24" s="219"/>
      <c r="BB24" s="219"/>
      <c r="BC24" s="219"/>
      <c r="BD24" s="219"/>
      <c r="BE24" s="219"/>
      <c r="BF24" s="219"/>
      <c r="BG24" s="219"/>
      <c r="BH24" s="219"/>
      <c r="BI24" s="219"/>
      <c r="BJ24" s="219"/>
      <c r="BK24" s="219"/>
      <c r="BL24" s="219"/>
      <c r="BM24" s="219"/>
      <c r="BN24" s="219"/>
      <c r="BO24" s="219"/>
      <c r="BP24" s="219"/>
      <c r="BQ24" s="219"/>
      <c r="BR24" s="219"/>
      <c r="BS24" s="219"/>
      <c r="BT24" s="219"/>
      <c r="BU24" s="219"/>
      <c r="BV24" s="219"/>
      <c r="BW24" s="219"/>
      <c r="BX24" s="219"/>
      <c r="BY24" s="219"/>
      <c r="BZ24" s="219"/>
      <c r="CA24" s="219"/>
      <c r="CB24" s="219"/>
      <c r="CC24" s="219"/>
      <c r="CD24" s="219"/>
      <c r="CE24" s="219"/>
      <c r="CF24" s="219"/>
      <c r="CG24" s="219"/>
      <c r="CH24" s="219"/>
      <c r="CI24" s="219"/>
      <c r="CJ24" s="219"/>
      <c r="CK24" s="219"/>
      <c r="CL24" s="219"/>
      <c r="CM24" s="219"/>
      <c r="CN24" s="219"/>
      <c r="CO24" s="219"/>
      <c r="CP24" s="219"/>
      <c r="CQ24" s="219"/>
      <c r="CR24" s="219"/>
      <c r="CS24" s="219"/>
      <c r="CT24" s="219"/>
      <c r="CU24" s="219"/>
      <c r="CV24" s="220"/>
      <c r="CW24" s="219"/>
      <c r="CX24" s="219"/>
      <c r="CY24" s="219"/>
      <c r="CZ24" s="219"/>
      <c r="DA24" s="219"/>
      <c r="DB24" s="219"/>
      <c r="DC24" s="219"/>
      <c r="DD24" s="219"/>
      <c r="DE24" s="219"/>
      <c r="DF24" s="219"/>
      <c r="DG24" s="219"/>
      <c r="DH24" s="219"/>
      <c r="DI24" s="221"/>
      <c r="DJ24" s="221"/>
      <c r="DK24" s="221"/>
      <c r="DL24" s="221"/>
      <c r="DM24" s="221"/>
      <c r="DN24" s="221"/>
      <c r="DO24" s="221"/>
      <c r="DP24" s="221"/>
      <c r="DQ24" s="221"/>
      <c r="DR24" s="221"/>
      <c r="DS24" s="221"/>
      <c r="DT24" s="221"/>
      <c r="DU24" s="221"/>
      <c r="DV24" s="221"/>
      <c r="DW24" s="221"/>
      <c r="DX24" s="221"/>
      <c r="DY24" s="221"/>
      <c r="DZ24" s="221"/>
      <c r="EA24" s="221"/>
      <c r="EB24" s="221"/>
      <c r="EC24" s="221"/>
      <c r="ED24" s="221"/>
      <c r="EE24" s="221"/>
      <c r="EF24" s="221"/>
      <c r="EG24" s="221"/>
      <c r="EH24" s="221"/>
      <c r="EI24" s="221"/>
      <c r="EJ24" s="221"/>
      <c r="EK24" s="221"/>
      <c r="EL24" s="221"/>
      <c r="EM24" s="221"/>
      <c r="EN24" s="221"/>
      <c r="EO24" s="221"/>
      <c r="EP24" s="221"/>
    </row>
    <row r="25" spans="1:147" s="2" customFormat="1" x14ac:dyDescent="0.2">
      <c r="A25" s="854" t="s">
        <v>74</v>
      </c>
      <c r="B25" s="855"/>
      <c r="C25" s="855"/>
      <c r="D25" s="856"/>
      <c r="E25" s="215">
        <v>207</v>
      </c>
      <c r="F25" s="216">
        <v>27</v>
      </c>
      <c r="G25" s="219">
        <v>0</v>
      </c>
      <c r="H25" s="219">
        <v>0</v>
      </c>
      <c r="I25" s="219">
        <v>0</v>
      </c>
      <c r="J25" s="219">
        <v>0</v>
      </c>
      <c r="K25" s="219">
        <v>8</v>
      </c>
      <c r="L25" s="219">
        <v>36.5</v>
      </c>
      <c r="M25" s="219">
        <v>0</v>
      </c>
      <c r="N25" s="219">
        <v>0</v>
      </c>
      <c r="O25" s="219">
        <v>12</v>
      </c>
      <c r="P25" s="219">
        <v>0</v>
      </c>
      <c r="Q25" s="219">
        <v>0</v>
      </c>
      <c r="R25" s="219">
        <v>0</v>
      </c>
      <c r="S25" s="219">
        <v>0</v>
      </c>
      <c r="T25" s="219">
        <v>0</v>
      </c>
      <c r="U25" s="219">
        <v>0</v>
      </c>
      <c r="V25" s="219">
        <v>0</v>
      </c>
      <c r="W25" s="219">
        <v>0</v>
      </c>
      <c r="X25" s="219">
        <v>0</v>
      </c>
      <c r="Y25" s="219">
        <v>16</v>
      </c>
      <c r="Z25" s="219">
        <v>0</v>
      </c>
      <c r="AA25" s="219">
        <v>0</v>
      </c>
      <c r="AB25" s="219">
        <v>0</v>
      </c>
      <c r="AC25" s="219">
        <v>0</v>
      </c>
      <c r="AD25" s="219">
        <v>0</v>
      </c>
      <c r="AE25" s="219">
        <v>4</v>
      </c>
      <c r="AF25" s="219">
        <v>0</v>
      </c>
      <c r="AG25" s="219">
        <v>0</v>
      </c>
      <c r="AH25" s="219">
        <v>4</v>
      </c>
      <c r="AI25" s="219">
        <v>0</v>
      </c>
      <c r="AJ25" s="219">
        <v>0</v>
      </c>
      <c r="AK25" s="219">
        <v>0</v>
      </c>
      <c r="AL25" s="219">
        <v>0</v>
      </c>
      <c r="AM25" s="219">
        <v>0</v>
      </c>
      <c r="AN25" s="219">
        <v>0</v>
      </c>
      <c r="AO25" s="219">
        <v>0</v>
      </c>
      <c r="AP25" s="219">
        <v>8</v>
      </c>
      <c r="AQ25" s="219">
        <v>11</v>
      </c>
      <c r="AR25" s="219">
        <v>0</v>
      </c>
      <c r="AS25" s="219">
        <v>0</v>
      </c>
      <c r="AT25" s="219">
        <v>15.5</v>
      </c>
      <c r="AU25" s="219">
        <v>0</v>
      </c>
      <c r="AV25" s="219">
        <v>0</v>
      </c>
      <c r="AW25" s="219">
        <v>6</v>
      </c>
      <c r="AX25" s="219">
        <v>25</v>
      </c>
      <c r="AY25" s="219">
        <v>0</v>
      </c>
      <c r="AZ25" s="219">
        <v>0</v>
      </c>
      <c r="BA25" s="219">
        <v>32</v>
      </c>
      <c r="BB25" s="219">
        <v>29</v>
      </c>
      <c r="BC25" s="219">
        <v>0</v>
      </c>
      <c r="BD25" s="219">
        <v>0</v>
      </c>
      <c r="BE25" s="219">
        <v>0</v>
      </c>
      <c r="BF25" s="219">
        <v>0</v>
      </c>
      <c r="BG25" s="219">
        <v>0</v>
      </c>
      <c r="BH25" s="219">
        <v>0</v>
      </c>
      <c r="BI25" s="219">
        <v>0</v>
      </c>
      <c r="BJ25" s="219">
        <v>0</v>
      </c>
      <c r="BK25" s="219">
        <v>0</v>
      </c>
      <c r="BL25" s="219">
        <v>0</v>
      </c>
      <c r="BM25" s="219">
        <v>0</v>
      </c>
      <c r="BN25" s="219">
        <v>0</v>
      </c>
      <c r="BO25" s="219">
        <v>0</v>
      </c>
      <c r="BP25" s="219">
        <v>0</v>
      </c>
      <c r="BQ25" s="219">
        <v>0</v>
      </c>
      <c r="BR25" s="219">
        <v>0</v>
      </c>
      <c r="BS25" s="219">
        <v>0</v>
      </c>
      <c r="BT25" s="219">
        <v>0</v>
      </c>
      <c r="BU25" s="219">
        <v>0</v>
      </c>
      <c r="BV25" s="219">
        <v>0</v>
      </c>
      <c r="BW25" s="219">
        <v>0</v>
      </c>
      <c r="BX25" s="219">
        <v>0</v>
      </c>
      <c r="BY25" s="219">
        <v>0</v>
      </c>
      <c r="BZ25" s="219">
        <v>0</v>
      </c>
      <c r="CA25" s="219">
        <v>0</v>
      </c>
      <c r="CB25" s="219">
        <v>0</v>
      </c>
      <c r="CC25" s="219">
        <v>0</v>
      </c>
      <c r="CD25" s="219">
        <v>0</v>
      </c>
      <c r="CE25" s="219">
        <v>0</v>
      </c>
      <c r="CF25" s="219">
        <v>0</v>
      </c>
      <c r="CG25" s="219">
        <v>0</v>
      </c>
      <c r="CH25" s="219">
        <v>0</v>
      </c>
      <c r="CI25" s="219">
        <v>0</v>
      </c>
      <c r="CJ25" s="219">
        <v>0</v>
      </c>
      <c r="CK25" s="219">
        <v>0</v>
      </c>
      <c r="CL25" s="219">
        <v>0</v>
      </c>
      <c r="CM25" s="219">
        <v>0</v>
      </c>
      <c r="CN25" s="219">
        <v>0</v>
      </c>
      <c r="CO25" s="219">
        <v>0</v>
      </c>
      <c r="CP25" s="219">
        <v>0</v>
      </c>
      <c r="CQ25" s="219">
        <v>0</v>
      </c>
      <c r="CR25" s="219">
        <v>0</v>
      </c>
      <c r="CS25" s="219">
        <v>0</v>
      </c>
      <c r="CT25" s="219">
        <v>0</v>
      </c>
      <c r="CU25" s="219">
        <v>0</v>
      </c>
      <c r="CV25" s="220">
        <v>0</v>
      </c>
      <c r="CW25" s="219">
        <v>0</v>
      </c>
      <c r="CX25" s="219">
        <v>0</v>
      </c>
      <c r="CY25" s="219">
        <v>0</v>
      </c>
      <c r="CZ25" s="219">
        <v>0</v>
      </c>
      <c r="DA25" s="219">
        <v>0</v>
      </c>
      <c r="DB25" s="219">
        <v>0</v>
      </c>
      <c r="DC25" s="219">
        <v>0</v>
      </c>
      <c r="DD25" s="219">
        <v>0</v>
      </c>
      <c r="DE25" s="219">
        <v>0</v>
      </c>
      <c r="DF25" s="219">
        <v>0</v>
      </c>
      <c r="DG25" s="219">
        <v>0</v>
      </c>
      <c r="DH25" s="219">
        <v>0</v>
      </c>
      <c r="DI25" s="221">
        <v>0</v>
      </c>
      <c r="DJ25" s="221">
        <v>0</v>
      </c>
      <c r="DK25" s="221">
        <v>0</v>
      </c>
      <c r="DL25" s="221">
        <v>0</v>
      </c>
      <c r="DM25" s="221">
        <v>0</v>
      </c>
      <c r="DN25" s="221">
        <v>0</v>
      </c>
      <c r="DO25" s="221">
        <v>0</v>
      </c>
      <c r="DP25" s="221">
        <v>0</v>
      </c>
      <c r="DQ25" s="221">
        <v>0</v>
      </c>
      <c r="DR25" s="221">
        <v>0</v>
      </c>
      <c r="DS25" s="221">
        <v>0</v>
      </c>
      <c r="DT25" s="221">
        <v>0</v>
      </c>
      <c r="DU25" s="221">
        <v>0</v>
      </c>
      <c r="DV25" s="221">
        <v>0</v>
      </c>
      <c r="DW25" s="221">
        <v>0</v>
      </c>
      <c r="DX25" s="221">
        <v>0</v>
      </c>
      <c r="DY25" s="221">
        <v>0</v>
      </c>
      <c r="DZ25" s="221">
        <v>0</v>
      </c>
      <c r="EA25" s="221">
        <v>0</v>
      </c>
      <c r="EB25" s="221">
        <v>0</v>
      </c>
      <c r="EC25" s="221">
        <v>0</v>
      </c>
      <c r="ED25" s="221">
        <v>0</v>
      </c>
      <c r="EE25" s="221">
        <v>0</v>
      </c>
      <c r="EF25" s="221">
        <v>0</v>
      </c>
      <c r="EG25" s="221">
        <v>0</v>
      </c>
      <c r="EH25" s="221">
        <v>12</v>
      </c>
      <c r="EI25" s="221">
        <v>0</v>
      </c>
      <c r="EJ25" s="221">
        <v>0</v>
      </c>
      <c r="EK25" s="221">
        <v>0</v>
      </c>
      <c r="EL25" s="221">
        <v>0</v>
      </c>
      <c r="EM25" s="221">
        <v>0</v>
      </c>
      <c r="EN25" s="221">
        <v>15</v>
      </c>
      <c r="EO25" s="221">
        <v>0</v>
      </c>
      <c r="EP25" s="221">
        <v>0</v>
      </c>
    </row>
    <row r="26" spans="1:147" s="2" customFormat="1" ht="15.75" thickBot="1" x14ac:dyDescent="0.25">
      <c r="A26" s="857" t="s">
        <v>109</v>
      </c>
      <c r="B26" s="858"/>
      <c r="C26" s="858"/>
      <c r="D26" s="859"/>
      <c r="E26" s="217">
        <v>146</v>
      </c>
      <c r="F26" s="218">
        <v>10</v>
      </c>
      <c r="G26" s="219">
        <v>0</v>
      </c>
      <c r="H26" s="219">
        <v>0</v>
      </c>
      <c r="I26" s="219">
        <v>0</v>
      </c>
      <c r="J26" s="219">
        <v>0</v>
      </c>
      <c r="K26" s="219">
        <v>12</v>
      </c>
      <c r="L26" s="219">
        <v>0</v>
      </c>
      <c r="M26" s="219">
        <v>0</v>
      </c>
      <c r="N26" s="219">
        <v>0</v>
      </c>
      <c r="O26" s="219">
        <v>0</v>
      </c>
      <c r="P26" s="219">
        <v>0</v>
      </c>
      <c r="Q26" s="219">
        <v>0</v>
      </c>
      <c r="R26" s="219">
        <v>0</v>
      </c>
      <c r="S26" s="219">
        <v>0</v>
      </c>
      <c r="T26" s="219">
        <v>0</v>
      </c>
      <c r="U26" s="219">
        <v>0</v>
      </c>
      <c r="V26" s="219">
        <v>0</v>
      </c>
      <c r="W26" s="219">
        <v>0</v>
      </c>
      <c r="X26" s="219">
        <v>0</v>
      </c>
      <c r="Y26" s="219">
        <v>0</v>
      </c>
      <c r="Z26" s="219">
        <v>0</v>
      </c>
      <c r="AA26" s="219">
        <v>36.5</v>
      </c>
      <c r="AB26" s="219">
        <v>0</v>
      </c>
      <c r="AC26" s="219">
        <v>0</v>
      </c>
      <c r="AD26" s="219">
        <v>0</v>
      </c>
      <c r="AE26" s="219">
        <v>24</v>
      </c>
      <c r="AF26" s="219">
        <v>0</v>
      </c>
      <c r="AG26" s="219">
        <v>0</v>
      </c>
      <c r="AH26" s="219">
        <v>0</v>
      </c>
      <c r="AI26" s="219">
        <v>0</v>
      </c>
      <c r="AJ26" s="219">
        <v>0</v>
      </c>
      <c r="AK26" s="219">
        <v>0</v>
      </c>
      <c r="AL26" s="219">
        <v>0</v>
      </c>
      <c r="AM26" s="219">
        <v>0</v>
      </c>
      <c r="AN26" s="219">
        <v>0</v>
      </c>
      <c r="AO26" s="219">
        <v>0</v>
      </c>
      <c r="AP26" s="219">
        <v>8</v>
      </c>
      <c r="AQ26" s="219">
        <v>0</v>
      </c>
      <c r="AR26" s="219">
        <v>0</v>
      </c>
      <c r="AS26" s="219">
        <v>0</v>
      </c>
      <c r="AT26" s="219">
        <v>21</v>
      </c>
      <c r="AU26" s="219">
        <v>0</v>
      </c>
      <c r="AV26" s="219">
        <v>0</v>
      </c>
      <c r="AW26" s="219">
        <v>20</v>
      </c>
      <c r="AX26" s="219">
        <v>5.5</v>
      </c>
      <c r="AY26" s="219">
        <v>0</v>
      </c>
      <c r="AZ26" s="219">
        <v>0</v>
      </c>
      <c r="BA26" s="219">
        <v>0</v>
      </c>
      <c r="BB26" s="219">
        <v>19</v>
      </c>
      <c r="BC26" s="219">
        <v>0</v>
      </c>
      <c r="BD26" s="219">
        <v>0</v>
      </c>
      <c r="BE26" s="219">
        <v>0</v>
      </c>
      <c r="BF26" s="219">
        <v>0</v>
      </c>
      <c r="BG26" s="219">
        <v>0</v>
      </c>
      <c r="BH26" s="219">
        <v>0</v>
      </c>
      <c r="BI26" s="219">
        <v>0</v>
      </c>
      <c r="BJ26" s="219">
        <v>0</v>
      </c>
      <c r="BK26" s="219">
        <v>0</v>
      </c>
      <c r="BL26" s="219">
        <v>0</v>
      </c>
      <c r="BM26" s="219">
        <v>0</v>
      </c>
      <c r="BN26" s="219">
        <v>0</v>
      </c>
      <c r="BO26" s="219">
        <v>0</v>
      </c>
      <c r="BP26" s="219">
        <v>0</v>
      </c>
      <c r="BQ26" s="219">
        <v>0</v>
      </c>
      <c r="BR26" s="219">
        <v>0</v>
      </c>
      <c r="BS26" s="219">
        <v>0</v>
      </c>
      <c r="BT26" s="219">
        <v>0</v>
      </c>
      <c r="BU26" s="219">
        <v>0</v>
      </c>
      <c r="BV26" s="219">
        <v>0</v>
      </c>
      <c r="BW26" s="219">
        <v>0</v>
      </c>
      <c r="BX26" s="219">
        <v>0</v>
      </c>
      <c r="BY26" s="219">
        <v>0</v>
      </c>
      <c r="BZ26" s="219">
        <v>0</v>
      </c>
      <c r="CA26" s="219">
        <v>0</v>
      </c>
      <c r="CB26" s="219">
        <v>0</v>
      </c>
      <c r="CC26" s="219">
        <v>0</v>
      </c>
      <c r="CD26" s="219">
        <v>0</v>
      </c>
      <c r="CE26" s="219">
        <v>0</v>
      </c>
      <c r="CF26" s="219">
        <v>0</v>
      </c>
      <c r="CG26" s="219">
        <v>0</v>
      </c>
      <c r="CH26" s="219">
        <v>0</v>
      </c>
      <c r="CI26" s="219">
        <v>0</v>
      </c>
      <c r="CJ26" s="219">
        <v>0</v>
      </c>
      <c r="CK26" s="219">
        <v>0</v>
      </c>
      <c r="CL26" s="219">
        <v>0</v>
      </c>
      <c r="CM26" s="219">
        <v>0</v>
      </c>
      <c r="CN26" s="219">
        <v>0</v>
      </c>
      <c r="CO26" s="219">
        <v>0</v>
      </c>
      <c r="CP26" s="219">
        <v>0</v>
      </c>
      <c r="CQ26" s="219">
        <v>0</v>
      </c>
      <c r="CR26" s="219">
        <v>0</v>
      </c>
      <c r="CS26" s="219">
        <v>0</v>
      </c>
      <c r="CT26" s="219">
        <v>0</v>
      </c>
      <c r="CU26" s="219">
        <v>0</v>
      </c>
      <c r="CV26" s="220">
        <v>0</v>
      </c>
      <c r="CW26" s="219">
        <v>0</v>
      </c>
      <c r="CX26" s="219">
        <v>0</v>
      </c>
      <c r="CY26" s="219">
        <v>0</v>
      </c>
      <c r="CZ26" s="219">
        <v>0</v>
      </c>
      <c r="DA26" s="219">
        <v>0</v>
      </c>
      <c r="DB26" s="219">
        <v>0</v>
      </c>
      <c r="DC26" s="219">
        <v>0</v>
      </c>
      <c r="DD26" s="219">
        <v>0</v>
      </c>
      <c r="DE26" s="219">
        <v>0</v>
      </c>
      <c r="DF26" s="219">
        <v>0</v>
      </c>
      <c r="DG26" s="219">
        <v>0</v>
      </c>
      <c r="DH26" s="219">
        <v>0</v>
      </c>
      <c r="DI26" s="221">
        <v>0</v>
      </c>
      <c r="DJ26" s="221">
        <v>0</v>
      </c>
      <c r="DK26" s="221">
        <v>0</v>
      </c>
      <c r="DL26" s="221">
        <v>0</v>
      </c>
      <c r="DM26" s="221">
        <v>0</v>
      </c>
      <c r="DN26" s="221">
        <v>0</v>
      </c>
      <c r="DO26" s="221">
        <v>0</v>
      </c>
      <c r="DP26" s="221">
        <v>0</v>
      </c>
      <c r="DQ26" s="221">
        <v>0</v>
      </c>
      <c r="DR26" s="221">
        <v>0</v>
      </c>
      <c r="DS26" s="221">
        <v>0</v>
      </c>
      <c r="DT26" s="221">
        <v>0</v>
      </c>
      <c r="DU26" s="221">
        <v>0</v>
      </c>
      <c r="DV26" s="221">
        <v>0</v>
      </c>
      <c r="DW26" s="221">
        <v>0</v>
      </c>
      <c r="DX26" s="221">
        <v>0</v>
      </c>
      <c r="DY26" s="221">
        <v>0</v>
      </c>
      <c r="DZ26" s="221">
        <v>0</v>
      </c>
      <c r="EA26" s="221">
        <v>0</v>
      </c>
      <c r="EB26" s="221">
        <v>0</v>
      </c>
      <c r="EC26" s="221">
        <v>0</v>
      </c>
      <c r="ED26" s="221">
        <v>0</v>
      </c>
      <c r="EE26" s="221">
        <v>0</v>
      </c>
      <c r="EF26" s="221">
        <v>0</v>
      </c>
      <c r="EG26" s="221">
        <v>0</v>
      </c>
      <c r="EH26" s="221">
        <v>0</v>
      </c>
      <c r="EI26" s="221">
        <v>0</v>
      </c>
      <c r="EJ26" s="221">
        <v>0</v>
      </c>
      <c r="EK26" s="221">
        <v>0</v>
      </c>
      <c r="EL26" s="221">
        <v>0</v>
      </c>
      <c r="EM26" s="221">
        <v>0</v>
      </c>
      <c r="EN26" s="221">
        <v>10</v>
      </c>
      <c r="EO26" s="221">
        <v>0</v>
      </c>
      <c r="EP26" s="221">
        <v>0</v>
      </c>
    </row>
    <row r="27" spans="1:147" s="2" customFormat="1" ht="15.75" thickBot="1" x14ac:dyDescent="0.25">
      <c r="A27" s="844" t="s">
        <v>110</v>
      </c>
      <c r="B27" s="845"/>
      <c r="C27" s="845"/>
      <c r="D27" s="845"/>
      <c r="E27" s="225">
        <f>SUM(E25:E26)</f>
        <v>353</v>
      </c>
      <c r="F27" s="226">
        <f>SUM(F25:F26)</f>
        <v>37</v>
      </c>
      <c r="G27" s="224">
        <f>SUM(G25:G26)</f>
        <v>0</v>
      </c>
      <c r="H27" s="224">
        <f t="shared" ref="H27:BU27" si="8">SUM(H25:H26)</f>
        <v>0</v>
      </c>
      <c r="I27" s="224">
        <f t="shared" si="8"/>
        <v>0</v>
      </c>
      <c r="J27" s="224">
        <f t="shared" si="8"/>
        <v>0</v>
      </c>
      <c r="K27" s="224">
        <f t="shared" si="8"/>
        <v>20</v>
      </c>
      <c r="L27" s="224">
        <f t="shared" si="8"/>
        <v>36.5</v>
      </c>
      <c r="M27" s="224">
        <f t="shared" si="8"/>
        <v>0</v>
      </c>
      <c r="N27" s="224">
        <f t="shared" si="8"/>
        <v>0</v>
      </c>
      <c r="O27" s="224">
        <f t="shared" si="8"/>
        <v>12</v>
      </c>
      <c r="P27" s="224">
        <f t="shared" si="8"/>
        <v>0</v>
      </c>
      <c r="Q27" s="224">
        <f t="shared" si="8"/>
        <v>0</v>
      </c>
      <c r="R27" s="224">
        <f t="shared" si="8"/>
        <v>0</v>
      </c>
      <c r="S27" s="224">
        <f t="shared" si="8"/>
        <v>0</v>
      </c>
      <c r="T27" s="224">
        <f t="shared" si="8"/>
        <v>0</v>
      </c>
      <c r="U27" s="224">
        <f t="shared" si="8"/>
        <v>0</v>
      </c>
      <c r="V27" s="224">
        <f t="shared" si="8"/>
        <v>0</v>
      </c>
      <c r="W27" s="224">
        <f t="shared" si="8"/>
        <v>0</v>
      </c>
      <c r="X27" s="224">
        <f t="shared" si="8"/>
        <v>0</v>
      </c>
      <c r="Y27" s="224">
        <f t="shared" si="8"/>
        <v>16</v>
      </c>
      <c r="Z27" s="224">
        <f t="shared" si="8"/>
        <v>0</v>
      </c>
      <c r="AA27" s="224">
        <f t="shared" si="8"/>
        <v>36.5</v>
      </c>
      <c r="AB27" s="224">
        <f t="shared" si="8"/>
        <v>0</v>
      </c>
      <c r="AC27" s="224">
        <f t="shared" si="8"/>
        <v>0</v>
      </c>
      <c r="AD27" s="224">
        <f t="shared" si="8"/>
        <v>0</v>
      </c>
      <c r="AE27" s="224">
        <f t="shared" si="8"/>
        <v>28</v>
      </c>
      <c r="AF27" s="224">
        <f t="shared" si="8"/>
        <v>0</v>
      </c>
      <c r="AG27" s="224">
        <f t="shared" si="8"/>
        <v>0</v>
      </c>
      <c r="AH27" s="224">
        <f t="shared" si="8"/>
        <v>4</v>
      </c>
      <c r="AI27" s="224">
        <f t="shared" si="8"/>
        <v>0</v>
      </c>
      <c r="AJ27" s="224">
        <f t="shared" si="8"/>
        <v>0</v>
      </c>
      <c r="AK27" s="224">
        <f t="shared" si="8"/>
        <v>0</v>
      </c>
      <c r="AL27" s="224">
        <f t="shared" si="8"/>
        <v>0</v>
      </c>
      <c r="AM27" s="224">
        <f t="shared" si="8"/>
        <v>0</v>
      </c>
      <c r="AN27" s="224">
        <f t="shared" si="8"/>
        <v>0</v>
      </c>
      <c r="AO27" s="224">
        <f t="shared" si="8"/>
        <v>0</v>
      </c>
      <c r="AP27" s="224">
        <f t="shared" si="8"/>
        <v>16</v>
      </c>
      <c r="AQ27" s="224">
        <f t="shared" si="8"/>
        <v>11</v>
      </c>
      <c r="AR27" s="224">
        <f t="shared" si="8"/>
        <v>0</v>
      </c>
      <c r="AS27" s="224">
        <f t="shared" si="8"/>
        <v>0</v>
      </c>
      <c r="AT27" s="224">
        <f t="shared" si="8"/>
        <v>36.5</v>
      </c>
      <c r="AU27" s="224">
        <f t="shared" si="8"/>
        <v>0</v>
      </c>
      <c r="AV27" s="224">
        <f t="shared" si="8"/>
        <v>0</v>
      </c>
      <c r="AW27" s="224">
        <f t="shared" si="8"/>
        <v>26</v>
      </c>
      <c r="AX27" s="224">
        <f t="shared" si="8"/>
        <v>30.5</v>
      </c>
      <c r="AY27" s="224">
        <f t="shared" si="8"/>
        <v>0</v>
      </c>
      <c r="AZ27" s="224">
        <f t="shared" si="8"/>
        <v>0</v>
      </c>
      <c r="BA27" s="224">
        <f t="shared" si="8"/>
        <v>32</v>
      </c>
      <c r="BB27" s="224">
        <f t="shared" si="8"/>
        <v>48</v>
      </c>
      <c r="BC27" s="224">
        <f t="shared" si="8"/>
        <v>0</v>
      </c>
      <c r="BD27" s="224">
        <f t="shared" si="8"/>
        <v>0</v>
      </c>
      <c r="BE27" s="224">
        <f t="shared" si="8"/>
        <v>0</v>
      </c>
      <c r="BF27" s="224">
        <f t="shared" si="8"/>
        <v>0</v>
      </c>
      <c r="BG27" s="224">
        <f t="shared" si="8"/>
        <v>0</v>
      </c>
      <c r="BH27" s="224">
        <f t="shared" si="8"/>
        <v>0</v>
      </c>
      <c r="BI27" s="224">
        <f t="shared" si="8"/>
        <v>0</v>
      </c>
      <c r="BJ27" s="224">
        <f t="shared" si="8"/>
        <v>0</v>
      </c>
      <c r="BK27" s="224">
        <f t="shared" si="8"/>
        <v>0</v>
      </c>
      <c r="BL27" s="224">
        <f t="shared" si="8"/>
        <v>0</v>
      </c>
      <c r="BM27" s="224">
        <f t="shared" si="8"/>
        <v>0</v>
      </c>
      <c r="BN27" s="224">
        <f t="shared" si="8"/>
        <v>0</v>
      </c>
      <c r="BO27" s="224">
        <f t="shared" si="8"/>
        <v>0</v>
      </c>
      <c r="BP27" s="224">
        <f t="shared" si="8"/>
        <v>0</v>
      </c>
      <c r="BQ27" s="224">
        <f t="shared" si="8"/>
        <v>0</v>
      </c>
      <c r="BR27" s="224">
        <f t="shared" si="8"/>
        <v>0</v>
      </c>
      <c r="BS27" s="224">
        <f t="shared" si="8"/>
        <v>0</v>
      </c>
      <c r="BT27" s="224">
        <f t="shared" si="8"/>
        <v>0</v>
      </c>
      <c r="BU27" s="224">
        <f t="shared" si="8"/>
        <v>0</v>
      </c>
      <c r="BV27" s="224">
        <f t="shared" ref="BV27:DI27" si="9">SUM(BV25:BV26)</f>
        <v>0</v>
      </c>
      <c r="BW27" s="224">
        <f t="shared" si="9"/>
        <v>0</v>
      </c>
      <c r="BX27" s="224">
        <f t="shared" si="9"/>
        <v>0</v>
      </c>
      <c r="BY27" s="224">
        <f t="shared" si="9"/>
        <v>0</v>
      </c>
      <c r="BZ27" s="224">
        <f t="shared" si="9"/>
        <v>0</v>
      </c>
      <c r="CA27" s="224">
        <f t="shared" si="9"/>
        <v>0</v>
      </c>
      <c r="CB27" s="224">
        <f t="shared" si="9"/>
        <v>0</v>
      </c>
      <c r="CC27" s="224">
        <f t="shared" si="9"/>
        <v>0</v>
      </c>
      <c r="CD27" s="224">
        <f t="shared" si="9"/>
        <v>0</v>
      </c>
      <c r="CE27" s="224">
        <f t="shared" si="9"/>
        <v>0</v>
      </c>
      <c r="CF27" s="224">
        <f t="shared" si="9"/>
        <v>0</v>
      </c>
      <c r="CG27" s="224">
        <f t="shared" si="9"/>
        <v>0</v>
      </c>
      <c r="CH27" s="224">
        <f t="shared" si="9"/>
        <v>0</v>
      </c>
      <c r="CI27" s="224">
        <f t="shared" si="9"/>
        <v>0</v>
      </c>
      <c r="CJ27" s="224">
        <f t="shared" si="9"/>
        <v>0</v>
      </c>
      <c r="CK27" s="224">
        <f t="shared" si="9"/>
        <v>0</v>
      </c>
      <c r="CL27" s="224">
        <f t="shared" si="9"/>
        <v>0</v>
      </c>
      <c r="CM27" s="224">
        <f t="shared" si="9"/>
        <v>0</v>
      </c>
      <c r="CN27" s="224">
        <f t="shared" si="9"/>
        <v>0</v>
      </c>
      <c r="CO27" s="224">
        <f t="shared" si="9"/>
        <v>0</v>
      </c>
      <c r="CP27" s="224">
        <f t="shared" si="9"/>
        <v>0</v>
      </c>
      <c r="CQ27" s="224">
        <f t="shared" si="9"/>
        <v>0</v>
      </c>
      <c r="CR27" s="224">
        <f t="shared" si="9"/>
        <v>0</v>
      </c>
      <c r="CS27" s="224">
        <f t="shared" si="9"/>
        <v>0</v>
      </c>
      <c r="CT27" s="224">
        <f t="shared" si="9"/>
        <v>0</v>
      </c>
      <c r="CU27" s="224">
        <f t="shared" si="9"/>
        <v>0</v>
      </c>
      <c r="CV27" s="224">
        <f t="shared" si="9"/>
        <v>0</v>
      </c>
      <c r="CW27" s="224">
        <f t="shared" si="9"/>
        <v>0</v>
      </c>
      <c r="CX27" s="224">
        <f t="shared" si="9"/>
        <v>0</v>
      </c>
      <c r="CY27" s="224">
        <f t="shared" si="9"/>
        <v>0</v>
      </c>
      <c r="CZ27" s="224">
        <f t="shared" si="9"/>
        <v>0</v>
      </c>
      <c r="DA27" s="224">
        <f t="shared" si="9"/>
        <v>0</v>
      </c>
      <c r="DB27" s="224">
        <f t="shared" si="9"/>
        <v>0</v>
      </c>
      <c r="DC27" s="224">
        <f t="shared" si="9"/>
        <v>0</v>
      </c>
      <c r="DD27" s="224">
        <f t="shared" si="9"/>
        <v>0</v>
      </c>
      <c r="DE27" s="224">
        <f t="shared" si="9"/>
        <v>0</v>
      </c>
      <c r="DF27" s="224">
        <f t="shared" si="9"/>
        <v>0</v>
      </c>
      <c r="DG27" s="224">
        <f t="shared" si="9"/>
        <v>0</v>
      </c>
      <c r="DH27" s="224">
        <f t="shared" si="9"/>
        <v>0</v>
      </c>
      <c r="DI27" s="224">
        <f t="shared" si="9"/>
        <v>0</v>
      </c>
      <c r="DJ27" s="224"/>
      <c r="DK27" s="224"/>
      <c r="DL27" s="224"/>
      <c r="DM27" s="224"/>
      <c r="DN27" s="224"/>
      <c r="DO27" s="224"/>
      <c r="DP27" s="224"/>
      <c r="DQ27" s="224"/>
      <c r="DR27" s="224"/>
      <c r="DS27" s="224"/>
      <c r="DT27" s="224"/>
      <c r="DU27" s="224"/>
      <c r="DV27" s="224"/>
      <c r="DW27" s="224"/>
      <c r="DX27" s="224"/>
      <c r="DY27" s="224"/>
      <c r="DZ27" s="224"/>
      <c r="EA27" s="224"/>
      <c r="EB27" s="224"/>
      <c r="EC27" s="224"/>
      <c r="ED27" s="224"/>
      <c r="EE27" s="224"/>
      <c r="EF27" s="224"/>
      <c r="EG27" s="224"/>
      <c r="EH27" s="224"/>
      <c r="EI27" s="224"/>
      <c r="EJ27" s="224"/>
      <c r="EK27" s="224"/>
      <c r="EL27" s="224"/>
      <c r="EM27" s="224"/>
      <c r="EN27" s="224"/>
      <c r="EO27" s="224"/>
      <c r="EP27" s="224"/>
    </row>
    <row r="28" spans="1:147" s="2" customFormat="1" ht="15.75" thickBot="1" x14ac:dyDescent="0.25">
      <c r="A28" s="846" t="s">
        <v>582</v>
      </c>
      <c r="B28" s="847"/>
      <c r="C28" s="847"/>
      <c r="D28" s="848"/>
      <c r="E28" s="227">
        <f>+E9+E13+E17+E21+E25</f>
        <v>763</v>
      </c>
      <c r="F28" s="227">
        <f t="shared" ref="F28:F29" si="10">+F9+F13+F17+F21+F25</f>
        <v>407</v>
      </c>
      <c r="G28" s="227">
        <f>+G9+G13+G17+G21+G25</f>
        <v>0</v>
      </c>
      <c r="H28" s="227">
        <f t="shared" ref="H28:BU29" si="11">+H9+H13+H17+H21+H25</f>
        <v>0</v>
      </c>
      <c r="I28" s="227">
        <f t="shared" si="11"/>
        <v>0</v>
      </c>
      <c r="J28" s="227">
        <f t="shared" si="11"/>
        <v>0</v>
      </c>
      <c r="K28" s="227">
        <f t="shared" si="11"/>
        <v>8</v>
      </c>
      <c r="L28" s="227">
        <f t="shared" si="11"/>
        <v>145.5</v>
      </c>
      <c r="M28" s="227">
        <f t="shared" si="11"/>
        <v>0</v>
      </c>
      <c r="N28" s="227">
        <f t="shared" si="11"/>
        <v>0</v>
      </c>
      <c r="O28" s="227">
        <f t="shared" si="11"/>
        <v>46.5</v>
      </c>
      <c r="P28" s="227">
        <f t="shared" si="11"/>
        <v>0</v>
      </c>
      <c r="Q28" s="227">
        <f t="shared" si="11"/>
        <v>8</v>
      </c>
      <c r="R28" s="227">
        <f t="shared" si="11"/>
        <v>8</v>
      </c>
      <c r="S28" s="227">
        <f t="shared" si="11"/>
        <v>20</v>
      </c>
      <c r="T28" s="227">
        <f t="shared" si="11"/>
        <v>0</v>
      </c>
      <c r="U28" s="227">
        <f t="shared" si="11"/>
        <v>0</v>
      </c>
      <c r="V28" s="227">
        <f t="shared" si="11"/>
        <v>0</v>
      </c>
      <c r="W28" s="227">
        <f t="shared" si="11"/>
        <v>0</v>
      </c>
      <c r="X28" s="227">
        <f t="shared" si="11"/>
        <v>0</v>
      </c>
      <c r="Y28" s="227">
        <f t="shared" si="11"/>
        <v>42.5</v>
      </c>
      <c r="Z28" s="227">
        <f t="shared" si="11"/>
        <v>0</v>
      </c>
      <c r="AA28" s="227">
        <f t="shared" si="11"/>
        <v>0</v>
      </c>
      <c r="AB28" s="227">
        <f t="shared" si="11"/>
        <v>8</v>
      </c>
      <c r="AC28" s="227">
        <f t="shared" si="11"/>
        <v>0</v>
      </c>
      <c r="AD28" s="227">
        <f t="shared" si="11"/>
        <v>0</v>
      </c>
      <c r="AE28" s="227">
        <f t="shared" si="11"/>
        <v>25.5</v>
      </c>
      <c r="AF28" s="227">
        <f t="shared" si="11"/>
        <v>0</v>
      </c>
      <c r="AG28" s="227">
        <f t="shared" si="11"/>
        <v>0</v>
      </c>
      <c r="AH28" s="227">
        <f t="shared" si="11"/>
        <v>4</v>
      </c>
      <c r="AI28" s="227">
        <f t="shared" si="11"/>
        <v>0</v>
      </c>
      <c r="AJ28" s="227">
        <f t="shared" si="11"/>
        <v>0</v>
      </c>
      <c r="AK28" s="227">
        <f t="shared" si="11"/>
        <v>0</v>
      </c>
      <c r="AL28" s="227">
        <f t="shared" si="11"/>
        <v>0</v>
      </c>
      <c r="AM28" s="227">
        <f t="shared" si="11"/>
        <v>7</v>
      </c>
      <c r="AN28" s="227">
        <f t="shared" si="11"/>
        <v>0</v>
      </c>
      <c r="AO28" s="227">
        <f t="shared" si="11"/>
        <v>0</v>
      </c>
      <c r="AP28" s="227">
        <f t="shared" si="11"/>
        <v>8</v>
      </c>
      <c r="AQ28" s="227">
        <f t="shared" si="11"/>
        <v>42</v>
      </c>
      <c r="AR28" s="227">
        <f t="shared" si="11"/>
        <v>0</v>
      </c>
      <c r="AS28" s="227">
        <f t="shared" si="11"/>
        <v>0</v>
      </c>
      <c r="AT28" s="227">
        <f t="shared" si="11"/>
        <v>144.5</v>
      </c>
      <c r="AU28" s="227">
        <f t="shared" si="11"/>
        <v>0</v>
      </c>
      <c r="AV28" s="227">
        <f t="shared" si="11"/>
        <v>0</v>
      </c>
      <c r="AW28" s="227">
        <f t="shared" si="11"/>
        <v>50</v>
      </c>
      <c r="AX28" s="227">
        <f t="shared" si="11"/>
        <v>30</v>
      </c>
      <c r="AY28" s="227">
        <f t="shared" si="11"/>
        <v>0</v>
      </c>
      <c r="AZ28" s="227">
        <f t="shared" si="11"/>
        <v>0</v>
      </c>
      <c r="BA28" s="227">
        <f t="shared" si="11"/>
        <v>104.5</v>
      </c>
      <c r="BB28" s="227">
        <f t="shared" si="11"/>
        <v>29</v>
      </c>
      <c r="BC28" s="227">
        <f t="shared" si="11"/>
        <v>0</v>
      </c>
      <c r="BD28" s="227">
        <f t="shared" si="11"/>
        <v>0</v>
      </c>
      <c r="BE28" s="227">
        <f t="shared" si="11"/>
        <v>0</v>
      </c>
      <c r="BF28" s="227">
        <f t="shared" si="11"/>
        <v>20.5</v>
      </c>
      <c r="BG28" s="227">
        <f t="shared" si="11"/>
        <v>3.5</v>
      </c>
      <c r="BH28" s="227">
        <f t="shared" si="11"/>
        <v>0</v>
      </c>
      <c r="BI28" s="227">
        <f t="shared" si="11"/>
        <v>8</v>
      </c>
      <c r="BJ28" s="227">
        <f t="shared" si="11"/>
        <v>0</v>
      </c>
      <c r="BK28" s="227">
        <f t="shared" si="11"/>
        <v>0</v>
      </c>
      <c r="BL28" s="227">
        <f t="shared" si="11"/>
        <v>0</v>
      </c>
      <c r="BM28" s="227">
        <f t="shared" si="11"/>
        <v>0</v>
      </c>
      <c r="BN28" s="227">
        <f t="shared" si="11"/>
        <v>0</v>
      </c>
      <c r="BO28" s="227">
        <f t="shared" si="11"/>
        <v>0</v>
      </c>
      <c r="BP28" s="227">
        <f t="shared" si="11"/>
        <v>0</v>
      </c>
      <c r="BQ28" s="227">
        <f t="shared" si="11"/>
        <v>0</v>
      </c>
      <c r="BR28" s="227">
        <f t="shared" si="11"/>
        <v>0</v>
      </c>
      <c r="BS28" s="227">
        <f t="shared" si="11"/>
        <v>0</v>
      </c>
      <c r="BT28" s="227">
        <f t="shared" si="11"/>
        <v>0</v>
      </c>
      <c r="BU28" s="227">
        <f t="shared" si="11"/>
        <v>0</v>
      </c>
      <c r="BV28" s="227">
        <f t="shared" ref="BV28:EG29" si="12">+BV9+BV13+BV17+BV21+BV25</f>
        <v>0</v>
      </c>
      <c r="BW28" s="227">
        <f t="shared" si="12"/>
        <v>0</v>
      </c>
      <c r="BX28" s="227">
        <f t="shared" si="12"/>
        <v>0</v>
      </c>
      <c r="BY28" s="227">
        <f t="shared" si="12"/>
        <v>0</v>
      </c>
      <c r="BZ28" s="227">
        <f t="shared" si="12"/>
        <v>0</v>
      </c>
      <c r="CA28" s="227">
        <f t="shared" si="12"/>
        <v>0</v>
      </c>
      <c r="CB28" s="227">
        <f t="shared" si="12"/>
        <v>0</v>
      </c>
      <c r="CC28" s="227">
        <f t="shared" si="12"/>
        <v>0</v>
      </c>
      <c r="CD28" s="227">
        <f t="shared" si="12"/>
        <v>0</v>
      </c>
      <c r="CE28" s="227">
        <f t="shared" si="12"/>
        <v>0</v>
      </c>
      <c r="CF28" s="227">
        <f t="shared" si="12"/>
        <v>0</v>
      </c>
      <c r="CG28" s="227">
        <f t="shared" si="12"/>
        <v>0</v>
      </c>
      <c r="CH28" s="227">
        <f t="shared" si="12"/>
        <v>0</v>
      </c>
      <c r="CI28" s="227">
        <f t="shared" si="12"/>
        <v>0</v>
      </c>
      <c r="CJ28" s="227">
        <f t="shared" si="12"/>
        <v>0</v>
      </c>
      <c r="CK28" s="227">
        <f t="shared" si="12"/>
        <v>0</v>
      </c>
      <c r="CL28" s="227">
        <f t="shared" si="12"/>
        <v>0</v>
      </c>
      <c r="CM28" s="227">
        <f t="shared" si="12"/>
        <v>0</v>
      </c>
      <c r="CN28" s="227">
        <f t="shared" si="12"/>
        <v>0</v>
      </c>
      <c r="CO28" s="227">
        <f t="shared" si="12"/>
        <v>0</v>
      </c>
      <c r="CP28" s="227">
        <f t="shared" si="12"/>
        <v>0</v>
      </c>
      <c r="CQ28" s="227">
        <f t="shared" si="12"/>
        <v>0</v>
      </c>
      <c r="CR28" s="227">
        <f t="shared" si="12"/>
        <v>0</v>
      </c>
      <c r="CS28" s="227">
        <f t="shared" si="12"/>
        <v>0</v>
      </c>
      <c r="CT28" s="227">
        <f t="shared" si="12"/>
        <v>0</v>
      </c>
      <c r="CU28" s="227">
        <f t="shared" si="12"/>
        <v>0</v>
      </c>
      <c r="CV28" s="227">
        <f t="shared" si="12"/>
        <v>0</v>
      </c>
      <c r="CW28" s="227">
        <f t="shared" si="12"/>
        <v>0</v>
      </c>
      <c r="CX28" s="227">
        <f t="shared" si="12"/>
        <v>0</v>
      </c>
      <c r="CY28" s="227">
        <f t="shared" si="12"/>
        <v>0</v>
      </c>
      <c r="CZ28" s="227">
        <f t="shared" si="12"/>
        <v>0</v>
      </c>
      <c r="DA28" s="227">
        <f t="shared" si="12"/>
        <v>0</v>
      </c>
      <c r="DB28" s="227">
        <f t="shared" si="12"/>
        <v>0</v>
      </c>
      <c r="DC28" s="227">
        <f t="shared" si="12"/>
        <v>0</v>
      </c>
      <c r="DD28" s="227">
        <f t="shared" si="12"/>
        <v>0</v>
      </c>
      <c r="DE28" s="227">
        <f t="shared" si="12"/>
        <v>0</v>
      </c>
      <c r="DF28" s="227">
        <f t="shared" si="12"/>
        <v>0</v>
      </c>
      <c r="DG28" s="227">
        <f t="shared" si="12"/>
        <v>0</v>
      </c>
      <c r="DH28" s="227">
        <f t="shared" si="12"/>
        <v>0</v>
      </c>
      <c r="DI28" s="227">
        <f t="shared" si="12"/>
        <v>0</v>
      </c>
      <c r="DJ28" s="227">
        <f t="shared" si="12"/>
        <v>0</v>
      </c>
      <c r="DK28" s="227">
        <f t="shared" si="12"/>
        <v>0</v>
      </c>
      <c r="DL28" s="227">
        <f t="shared" si="12"/>
        <v>0</v>
      </c>
      <c r="DM28" s="227">
        <f t="shared" si="12"/>
        <v>0</v>
      </c>
      <c r="DN28" s="227">
        <f t="shared" si="12"/>
        <v>0</v>
      </c>
      <c r="DO28" s="227">
        <f t="shared" si="12"/>
        <v>0</v>
      </c>
      <c r="DP28" s="227">
        <f t="shared" si="12"/>
        <v>0</v>
      </c>
      <c r="DQ28" s="227">
        <f t="shared" si="12"/>
        <v>0</v>
      </c>
      <c r="DR28" s="227">
        <f t="shared" si="12"/>
        <v>0</v>
      </c>
      <c r="DS28" s="227">
        <f t="shared" si="12"/>
        <v>0</v>
      </c>
      <c r="DT28" s="227">
        <f t="shared" si="12"/>
        <v>0</v>
      </c>
      <c r="DU28" s="227">
        <f t="shared" si="12"/>
        <v>0</v>
      </c>
      <c r="DV28" s="227">
        <f t="shared" si="12"/>
        <v>0</v>
      </c>
      <c r="DW28" s="227">
        <f t="shared" si="12"/>
        <v>0</v>
      </c>
      <c r="DX28" s="227">
        <f t="shared" si="12"/>
        <v>0</v>
      </c>
      <c r="DY28" s="227">
        <f t="shared" si="12"/>
        <v>0</v>
      </c>
      <c r="DZ28" s="227">
        <f t="shared" si="12"/>
        <v>0</v>
      </c>
      <c r="EA28" s="227">
        <f t="shared" si="12"/>
        <v>0</v>
      </c>
      <c r="EB28" s="227">
        <f t="shared" si="12"/>
        <v>0</v>
      </c>
      <c r="EC28" s="227">
        <f t="shared" si="12"/>
        <v>292</v>
      </c>
      <c r="ED28" s="227">
        <f t="shared" si="12"/>
        <v>2.5</v>
      </c>
      <c r="EE28" s="227">
        <f t="shared" si="12"/>
        <v>23</v>
      </c>
      <c r="EF28" s="227">
        <f t="shared" si="12"/>
        <v>0</v>
      </c>
      <c r="EG28" s="227">
        <f t="shared" si="12"/>
        <v>0</v>
      </c>
      <c r="EH28" s="227">
        <f t="shared" ref="EH28:EP29" si="13">+EH9+EH13+EH17+EH21+EH25</f>
        <v>27</v>
      </c>
      <c r="EI28" s="227">
        <f t="shared" si="13"/>
        <v>3</v>
      </c>
      <c r="EJ28" s="227">
        <f t="shared" si="13"/>
        <v>0</v>
      </c>
      <c r="EK28" s="227">
        <f t="shared" si="13"/>
        <v>0</v>
      </c>
      <c r="EL28" s="227">
        <f t="shared" si="13"/>
        <v>0</v>
      </c>
      <c r="EM28" s="227">
        <f t="shared" si="13"/>
        <v>0</v>
      </c>
      <c r="EN28" s="227">
        <f t="shared" si="13"/>
        <v>59.5</v>
      </c>
      <c r="EO28" s="227">
        <f t="shared" si="13"/>
        <v>0</v>
      </c>
      <c r="EP28" s="227">
        <f t="shared" si="13"/>
        <v>0</v>
      </c>
    </row>
    <row r="29" spans="1:147" s="2" customFormat="1" ht="15.75" thickBot="1" x14ac:dyDescent="0.25">
      <c r="A29" s="846" t="s">
        <v>583</v>
      </c>
      <c r="B29" s="847"/>
      <c r="C29" s="847"/>
      <c r="D29" s="848"/>
      <c r="E29" s="227">
        <f>+E10+E14+E18+E22+E26</f>
        <v>422</v>
      </c>
      <c r="F29" s="227">
        <f t="shared" si="10"/>
        <v>85</v>
      </c>
      <c r="G29" s="227">
        <f>+G10+G14+G18+G22+G26</f>
        <v>0</v>
      </c>
      <c r="H29" s="227">
        <f t="shared" si="11"/>
        <v>0</v>
      </c>
      <c r="I29" s="227">
        <f t="shared" si="11"/>
        <v>0</v>
      </c>
      <c r="J29" s="227">
        <f t="shared" si="11"/>
        <v>0</v>
      </c>
      <c r="K29" s="227">
        <f t="shared" si="11"/>
        <v>12</v>
      </c>
      <c r="L29" s="227">
        <f t="shared" si="11"/>
        <v>0</v>
      </c>
      <c r="M29" s="227">
        <f t="shared" si="11"/>
        <v>0</v>
      </c>
      <c r="N29" s="227">
        <f t="shared" si="11"/>
        <v>0</v>
      </c>
      <c r="O29" s="227">
        <f t="shared" si="11"/>
        <v>0</v>
      </c>
      <c r="P29" s="227">
        <f t="shared" si="11"/>
        <v>0</v>
      </c>
      <c r="Q29" s="227">
        <f t="shared" si="11"/>
        <v>0</v>
      </c>
      <c r="R29" s="227">
        <f t="shared" si="11"/>
        <v>0</v>
      </c>
      <c r="S29" s="227">
        <f t="shared" si="11"/>
        <v>0</v>
      </c>
      <c r="T29" s="227">
        <f t="shared" si="11"/>
        <v>0</v>
      </c>
      <c r="U29" s="227">
        <f t="shared" si="11"/>
        <v>0</v>
      </c>
      <c r="V29" s="227">
        <f t="shared" si="11"/>
        <v>0</v>
      </c>
      <c r="W29" s="227">
        <f t="shared" si="11"/>
        <v>0</v>
      </c>
      <c r="X29" s="227">
        <f t="shared" si="11"/>
        <v>0</v>
      </c>
      <c r="Y29" s="227">
        <f t="shared" si="11"/>
        <v>3</v>
      </c>
      <c r="Z29" s="227">
        <f t="shared" si="11"/>
        <v>0</v>
      </c>
      <c r="AA29" s="227">
        <f t="shared" si="11"/>
        <v>108.5</v>
      </c>
      <c r="AB29" s="227">
        <f t="shared" si="11"/>
        <v>0</v>
      </c>
      <c r="AC29" s="227">
        <f t="shared" si="11"/>
        <v>16</v>
      </c>
      <c r="AD29" s="227">
        <f t="shared" si="11"/>
        <v>14</v>
      </c>
      <c r="AE29" s="227">
        <f t="shared" si="11"/>
        <v>24</v>
      </c>
      <c r="AF29" s="227">
        <f t="shared" si="11"/>
        <v>0</v>
      </c>
      <c r="AG29" s="227">
        <f t="shared" si="11"/>
        <v>0</v>
      </c>
      <c r="AH29" s="227">
        <f t="shared" si="11"/>
        <v>0</v>
      </c>
      <c r="AI29" s="227">
        <f t="shared" si="11"/>
        <v>0</v>
      </c>
      <c r="AJ29" s="227">
        <f t="shared" si="11"/>
        <v>0</v>
      </c>
      <c r="AK29" s="227">
        <f t="shared" si="11"/>
        <v>0</v>
      </c>
      <c r="AL29" s="227">
        <f t="shared" si="11"/>
        <v>0</v>
      </c>
      <c r="AM29" s="227">
        <f t="shared" si="11"/>
        <v>0</v>
      </c>
      <c r="AN29" s="227">
        <f t="shared" si="11"/>
        <v>0</v>
      </c>
      <c r="AO29" s="227">
        <f t="shared" si="11"/>
        <v>0</v>
      </c>
      <c r="AP29" s="227">
        <f t="shared" si="11"/>
        <v>12</v>
      </c>
      <c r="AQ29" s="227">
        <f t="shared" si="11"/>
        <v>84</v>
      </c>
      <c r="AR29" s="227">
        <f t="shared" si="11"/>
        <v>0</v>
      </c>
      <c r="AS29" s="227">
        <f t="shared" si="11"/>
        <v>0</v>
      </c>
      <c r="AT29" s="227">
        <f t="shared" si="11"/>
        <v>21</v>
      </c>
      <c r="AU29" s="227">
        <f t="shared" si="11"/>
        <v>0</v>
      </c>
      <c r="AV29" s="227">
        <f t="shared" si="11"/>
        <v>0</v>
      </c>
      <c r="AW29" s="227">
        <f t="shared" si="11"/>
        <v>20</v>
      </c>
      <c r="AX29" s="227">
        <f t="shared" si="11"/>
        <v>5.5</v>
      </c>
      <c r="AY29" s="227">
        <f t="shared" si="11"/>
        <v>0</v>
      </c>
      <c r="AZ29" s="227">
        <f t="shared" si="11"/>
        <v>0</v>
      </c>
      <c r="BA29" s="227">
        <f t="shared" si="11"/>
        <v>41</v>
      </c>
      <c r="BB29" s="227">
        <f t="shared" si="11"/>
        <v>19</v>
      </c>
      <c r="BC29" s="227">
        <f t="shared" si="11"/>
        <v>38</v>
      </c>
      <c r="BD29" s="227">
        <f t="shared" si="11"/>
        <v>0</v>
      </c>
      <c r="BE29" s="227">
        <f t="shared" si="11"/>
        <v>0</v>
      </c>
      <c r="BF29" s="227">
        <f t="shared" si="11"/>
        <v>4</v>
      </c>
      <c r="BG29" s="227">
        <f t="shared" si="11"/>
        <v>0</v>
      </c>
      <c r="BH29" s="227">
        <f t="shared" si="11"/>
        <v>0</v>
      </c>
      <c r="BI29" s="227">
        <f t="shared" si="11"/>
        <v>0</v>
      </c>
      <c r="BJ29" s="227">
        <f t="shared" si="11"/>
        <v>0</v>
      </c>
      <c r="BK29" s="227">
        <f t="shared" si="11"/>
        <v>0</v>
      </c>
      <c r="BL29" s="227">
        <f t="shared" si="11"/>
        <v>0</v>
      </c>
      <c r="BM29" s="227">
        <f t="shared" si="11"/>
        <v>0</v>
      </c>
      <c r="BN29" s="227">
        <f t="shared" si="11"/>
        <v>0</v>
      </c>
      <c r="BO29" s="227">
        <f t="shared" si="11"/>
        <v>0</v>
      </c>
      <c r="BP29" s="227">
        <f t="shared" si="11"/>
        <v>0</v>
      </c>
      <c r="BQ29" s="227">
        <f t="shared" si="11"/>
        <v>0</v>
      </c>
      <c r="BR29" s="227">
        <f t="shared" si="11"/>
        <v>0</v>
      </c>
      <c r="BS29" s="227">
        <f t="shared" si="11"/>
        <v>0</v>
      </c>
      <c r="BT29" s="227">
        <f t="shared" si="11"/>
        <v>0</v>
      </c>
      <c r="BU29" s="227">
        <f t="shared" si="11"/>
        <v>0</v>
      </c>
      <c r="BV29" s="227">
        <f t="shared" si="12"/>
        <v>0</v>
      </c>
      <c r="BW29" s="227">
        <f t="shared" si="12"/>
        <v>0</v>
      </c>
      <c r="BX29" s="227">
        <f t="shared" si="12"/>
        <v>0</v>
      </c>
      <c r="BY29" s="227">
        <f t="shared" si="12"/>
        <v>0</v>
      </c>
      <c r="BZ29" s="227">
        <f t="shared" si="12"/>
        <v>0</v>
      </c>
      <c r="CA29" s="227">
        <f t="shared" si="12"/>
        <v>0</v>
      </c>
      <c r="CB29" s="227">
        <f t="shared" si="12"/>
        <v>0</v>
      </c>
      <c r="CC29" s="227">
        <f t="shared" si="12"/>
        <v>0</v>
      </c>
      <c r="CD29" s="227">
        <f t="shared" si="12"/>
        <v>0</v>
      </c>
      <c r="CE29" s="227">
        <f t="shared" si="12"/>
        <v>0</v>
      </c>
      <c r="CF29" s="227">
        <f t="shared" si="12"/>
        <v>0</v>
      </c>
      <c r="CG29" s="227">
        <f t="shared" si="12"/>
        <v>0</v>
      </c>
      <c r="CH29" s="227">
        <f t="shared" si="12"/>
        <v>0</v>
      </c>
      <c r="CI29" s="227">
        <f t="shared" si="12"/>
        <v>0</v>
      </c>
      <c r="CJ29" s="227">
        <f t="shared" si="12"/>
        <v>0</v>
      </c>
      <c r="CK29" s="227">
        <f t="shared" si="12"/>
        <v>0</v>
      </c>
      <c r="CL29" s="227">
        <f t="shared" si="12"/>
        <v>0</v>
      </c>
      <c r="CM29" s="227">
        <f t="shared" si="12"/>
        <v>0</v>
      </c>
      <c r="CN29" s="227">
        <f t="shared" si="12"/>
        <v>0</v>
      </c>
      <c r="CO29" s="227">
        <f t="shared" si="12"/>
        <v>0</v>
      </c>
      <c r="CP29" s="227">
        <f t="shared" si="12"/>
        <v>0</v>
      </c>
      <c r="CQ29" s="227">
        <f t="shared" si="12"/>
        <v>0</v>
      </c>
      <c r="CR29" s="227">
        <f t="shared" si="12"/>
        <v>0</v>
      </c>
      <c r="CS29" s="227">
        <f t="shared" si="12"/>
        <v>0</v>
      </c>
      <c r="CT29" s="227">
        <f t="shared" si="12"/>
        <v>0</v>
      </c>
      <c r="CU29" s="227">
        <f t="shared" si="12"/>
        <v>0</v>
      </c>
      <c r="CV29" s="227">
        <f t="shared" si="12"/>
        <v>0</v>
      </c>
      <c r="CW29" s="227">
        <f t="shared" si="12"/>
        <v>0</v>
      </c>
      <c r="CX29" s="227">
        <f t="shared" si="12"/>
        <v>0</v>
      </c>
      <c r="CY29" s="227">
        <f t="shared" si="12"/>
        <v>0</v>
      </c>
      <c r="CZ29" s="227">
        <f t="shared" si="12"/>
        <v>0</v>
      </c>
      <c r="DA29" s="227">
        <f t="shared" si="12"/>
        <v>0</v>
      </c>
      <c r="DB29" s="227">
        <f t="shared" si="12"/>
        <v>0</v>
      </c>
      <c r="DC29" s="227">
        <f t="shared" si="12"/>
        <v>0</v>
      </c>
      <c r="DD29" s="227">
        <f t="shared" si="12"/>
        <v>0</v>
      </c>
      <c r="DE29" s="227">
        <f t="shared" si="12"/>
        <v>0</v>
      </c>
      <c r="DF29" s="227">
        <f t="shared" si="12"/>
        <v>0</v>
      </c>
      <c r="DG29" s="227">
        <f t="shared" si="12"/>
        <v>0</v>
      </c>
      <c r="DH29" s="227">
        <f t="shared" si="12"/>
        <v>0</v>
      </c>
      <c r="DI29" s="227">
        <f t="shared" si="12"/>
        <v>0</v>
      </c>
      <c r="DJ29" s="227">
        <f t="shared" si="12"/>
        <v>0</v>
      </c>
      <c r="DK29" s="227">
        <f t="shared" si="12"/>
        <v>0</v>
      </c>
      <c r="DL29" s="227">
        <f t="shared" si="12"/>
        <v>0</v>
      </c>
      <c r="DM29" s="227">
        <f t="shared" si="12"/>
        <v>0</v>
      </c>
      <c r="DN29" s="227">
        <f t="shared" si="12"/>
        <v>0</v>
      </c>
      <c r="DO29" s="227">
        <f t="shared" si="12"/>
        <v>0</v>
      </c>
      <c r="DP29" s="227">
        <f t="shared" si="12"/>
        <v>0</v>
      </c>
      <c r="DQ29" s="227">
        <f t="shared" si="12"/>
        <v>0</v>
      </c>
      <c r="DR29" s="227">
        <f t="shared" si="12"/>
        <v>0</v>
      </c>
      <c r="DS29" s="227">
        <f t="shared" si="12"/>
        <v>0</v>
      </c>
      <c r="DT29" s="227">
        <f t="shared" si="12"/>
        <v>0</v>
      </c>
      <c r="DU29" s="227">
        <f t="shared" si="12"/>
        <v>0</v>
      </c>
      <c r="DV29" s="227">
        <f t="shared" si="12"/>
        <v>0</v>
      </c>
      <c r="DW29" s="227">
        <f t="shared" si="12"/>
        <v>0</v>
      </c>
      <c r="DX29" s="227">
        <f t="shared" si="12"/>
        <v>0</v>
      </c>
      <c r="DY29" s="227">
        <f t="shared" si="12"/>
        <v>0</v>
      </c>
      <c r="DZ29" s="227">
        <f t="shared" si="12"/>
        <v>0</v>
      </c>
      <c r="EA29" s="227">
        <f t="shared" si="12"/>
        <v>0</v>
      </c>
      <c r="EB29" s="227">
        <f t="shared" si="12"/>
        <v>0</v>
      </c>
      <c r="EC29" s="227">
        <f t="shared" si="12"/>
        <v>39</v>
      </c>
      <c r="ED29" s="227">
        <f t="shared" si="12"/>
        <v>0</v>
      </c>
      <c r="EE29" s="227">
        <f t="shared" si="12"/>
        <v>0</v>
      </c>
      <c r="EF29" s="227">
        <f t="shared" si="12"/>
        <v>0</v>
      </c>
      <c r="EG29" s="227">
        <f t="shared" si="12"/>
        <v>0</v>
      </c>
      <c r="EH29" s="227">
        <f t="shared" si="13"/>
        <v>12</v>
      </c>
      <c r="EI29" s="227">
        <f t="shared" si="13"/>
        <v>4.5</v>
      </c>
      <c r="EJ29" s="227">
        <f t="shared" si="13"/>
        <v>0</v>
      </c>
      <c r="EK29" s="227">
        <f t="shared" si="13"/>
        <v>0</v>
      </c>
      <c r="EL29" s="227">
        <f t="shared" si="13"/>
        <v>0</v>
      </c>
      <c r="EM29" s="227">
        <f t="shared" si="13"/>
        <v>0</v>
      </c>
      <c r="EN29" s="227">
        <f t="shared" si="13"/>
        <v>29.5</v>
      </c>
      <c r="EO29" s="227">
        <f t="shared" si="13"/>
        <v>0</v>
      </c>
      <c r="EP29" s="227">
        <f t="shared" si="13"/>
        <v>0</v>
      </c>
    </row>
    <row r="30" spans="1:147" s="2" customFormat="1" ht="15.75" thickBot="1" x14ac:dyDescent="0.25">
      <c r="A30" s="849" t="s">
        <v>584</v>
      </c>
      <c r="B30" s="850"/>
      <c r="C30" s="850"/>
      <c r="D30" s="851"/>
      <c r="E30" s="228">
        <f>+SUM(E9:E27)/2</f>
        <v>1185</v>
      </c>
      <c r="F30" s="228">
        <f>+SUM(F9:F26)/2</f>
        <v>473.5</v>
      </c>
      <c r="G30" s="228">
        <f>+SUM(G9:G26)/2</f>
        <v>0</v>
      </c>
      <c r="H30" s="228">
        <f t="shared" ref="H30:BU30" si="14">+SUM(H9:H26)/2</f>
        <v>0</v>
      </c>
      <c r="I30" s="228">
        <f t="shared" si="14"/>
        <v>0</v>
      </c>
      <c r="J30" s="228">
        <f t="shared" si="14"/>
        <v>0</v>
      </c>
      <c r="K30" s="228">
        <f t="shared" si="14"/>
        <v>10</v>
      </c>
      <c r="L30" s="228">
        <f t="shared" si="14"/>
        <v>127.25</v>
      </c>
      <c r="M30" s="228">
        <f t="shared" si="14"/>
        <v>0</v>
      </c>
      <c r="N30" s="228">
        <f t="shared" si="14"/>
        <v>0</v>
      </c>
      <c r="O30" s="228">
        <f t="shared" si="14"/>
        <v>40.5</v>
      </c>
      <c r="P30" s="228">
        <f t="shared" si="14"/>
        <v>0</v>
      </c>
      <c r="Q30" s="228">
        <f t="shared" si="14"/>
        <v>8</v>
      </c>
      <c r="R30" s="228">
        <f t="shared" si="14"/>
        <v>8</v>
      </c>
      <c r="S30" s="228">
        <f t="shared" si="14"/>
        <v>20</v>
      </c>
      <c r="T30" s="228">
        <f t="shared" si="14"/>
        <v>0</v>
      </c>
      <c r="U30" s="228">
        <f t="shared" si="14"/>
        <v>0</v>
      </c>
      <c r="V30" s="228">
        <f t="shared" si="14"/>
        <v>0</v>
      </c>
      <c r="W30" s="228">
        <f t="shared" si="14"/>
        <v>0</v>
      </c>
      <c r="X30" s="228">
        <f t="shared" si="14"/>
        <v>0</v>
      </c>
      <c r="Y30" s="228">
        <f t="shared" si="14"/>
        <v>37.5</v>
      </c>
      <c r="Z30" s="228">
        <f t="shared" si="14"/>
        <v>0</v>
      </c>
      <c r="AA30" s="228">
        <f t="shared" si="14"/>
        <v>90.25</v>
      </c>
      <c r="AB30" s="228">
        <f t="shared" si="14"/>
        <v>8</v>
      </c>
      <c r="AC30" s="228">
        <f t="shared" si="14"/>
        <v>16</v>
      </c>
      <c r="AD30" s="228">
        <f t="shared" si="14"/>
        <v>14</v>
      </c>
      <c r="AE30" s="228">
        <f t="shared" si="14"/>
        <v>35.5</v>
      </c>
      <c r="AF30" s="228">
        <f t="shared" si="14"/>
        <v>0</v>
      </c>
      <c r="AG30" s="228">
        <f t="shared" si="14"/>
        <v>0</v>
      </c>
      <c r="AH30" s="228">
        <f t="shared" si="14"/>
        <v>2</v>
      </c>
      <c r="AI30" s="228">
        <f t="shared" si="14"/>
        <v>0</v>
      </c>
      <c r="AJ30" s="228">
        <f t="shared" si="14"/>
        <v>0</v>
      </c>
      <c r="AK30" s="228">
        <f t="shared" si="14"/>
        <v>0</v>
      </c>
      <c r="AL30" s="228">
        <f t="shared" si="14"/>
        <v>0</v>
      </c>
      <c r="AM30" s="228">
        <f t="shared" si="14"/>
        <v>7</v>
      </c>
      <c r="AN30" s="228">
        <f t="shared" si="14"/>
        <v>0</v>
      </c>
      <c r="AO30" s="228">
        <f t="shared" si="14"/>
        <v>0</v>
      </c>
      <c r="AP30" s="228">
        <f t="shared" si="14"/>
        <v>12</v>
      </c>
      <c r="AQ30" s="228">
        <f t="shared" si="14"/>
        <v>120.5</v>
      </c>
      <c r="AR30" s="228">
        <f t="shared" si="14"/>
        <v>0</v>
      </c>
      <c r="AS30" s="228">
        <f t="shared" si="14"/>
        <v>0</v>
      </c>
      <c r="AT30" s="228">
        <f t="shared" si="14"/>
        <v>147.25</v>
      </c>
      <c r="AU30" s="228">
        <f t="shared" si="14"/>
        <v>0</v>
      </c>
      <c r="AV30" s="228">
        <f t="shared" si="14"/>
        <v>0</v>
      </c>
      <c r="AW30" s="228">
        <f t="shared" si="14"/>
        <v>57</v>
      </c>
      <c r="AX30" s="228">
        <f t="shared" si="14"/>
        <v>20.25</v>
      </c>
      <c r="AY30" s="228">
        <f t="shared" si="14"/>
        <v>0</v>
      </c>
      <c r="AZ30" s="228">
        <f t="shared" si="14"/>
        <v>0</v>
      </c>
      <c r="BA30" s="228">
        <f t="shared" si="14"/>
        <v>129.5</v>
      </c>
      <c r="BB30" s="228">
        <f t="shared" si="14"/>
        <v>24</v>
      </c>
      <c r="BC30" s="228">
        <f t="shared" si="14"/>
        <v>38</v>
      </c>
      <c r="BD30" s="228">
        <f t="shared" si="14"/>
        <v>0</v>
      </c>
      <c r="BE30" s="228">
        <f t="shared" si="14"/>
        <v>0</v>
      </c>
      <c r="BF30" s="228">
        <f t="shared" si="14"/>
        <v>24.5</v>
      </c>
      <c r="BG30" s="228">
        <f t="shared" si="14"/>
        <v>3.5</v>
      </c>
      <c r="BH30" s="228">
        <f t="shared" si="14"/>
        <v>0</v>
      </c>
      <c r="BI30" s="228">
        <f t="shared" si="14"/>
        <v>8</v>
      </c>
      <c r="BJ30" s="228">
        <f t="shared" si="14"/>
        <v>0</v>
      </c>
      <c r="BK30" s="228">
        <f t="shared" si="14"/>
        <v>0</v>
      </c>
      <c r="BL30" s="228">
        <f t="shared" si="14"/>
        <v>0</v>
      </c>
      <c r="BM30" s="228">
        <f t="shared" si="14"/>
        <v>0</v>
      </c>
      <c r="BN30" s="228">
        <f t="shared" si="14"/>
        <v>0</v>
      </c>
      <c r="BO30" s="228">
        <f t="shared" si="14"/>
        <v>0</v>
      </c>
      <c r="BP30" s="228">
        <f t="shared" si="14"/>
        <v>0</v>
      </c>
      <c r="BQ30" s="228">
        <f t="shared" si="14"/>
        <v>0</v>
      </c>
      <c r="BR30" s="228">
        <f t="shared" si="14"/>
        <v>0</v>
      </c>
      <c r="BS30" s="228">
        <f t="shared" si="14"/>
        <v>0</v>
      </c>
      <c r="BT30" s="228">
        <f t="shared" si="14"/>
        <v>0</v>
      </c>
      <c r="BU30" s="228">
        <f t="shared" si="14"/>
        <v>0</v>
      </c>
      <c r="BV30" s="228">
        <f t="shared" ref="BV30:EG30" si="15">+SUM(BV9:BV26)/2</f>
        <v>0</v>
      </c>
      <c r="BW30" s="228">
        <f t="shared" si="15"/>
        <v>0</v>
      </c>
      <c r="BX30" s="228">
        <f t="shared" si="15"/>
        <v>0</v>
      </c>
      <c r="BY30" s="228">
        <f t="shared" si="15"/>
        <v>0</v>
      </c>
      <c r="BZ30" s="228">
        <f t="shared" si="15"/>
        <v>0</v>
      </c>
      <c r="CA30" s="228">
        <f t="shared" si="15"/>
        <v>0</v>
      </c>
      <c r="CB30" s="228">
        <f t="shared" si="15"/>
        <v>0</v>
      </c>
      <c r="CC30" s="228">
        <f t="shared" si="15"/>
        <v>0</v>
      </c>
      <c r="CD30" s="228">
        <f t="shared" si="15"/>
        <v>0</v>
      </c>
      <c r="CE30" s="228">
        <f t="shared" si="15"/>
        <v>0</v>
      </c>
      <c r="CF30" s="228">
        <f t="shared" si="15"/>
        <v>0</v>
      </c>
      <c r="CG30" s="228">
        <f t="shared" si="15"/>
        <v>0</v>
      </c>
      <c r="CH30" s="228">
        <f t="shared" si="15"/>
        <v>0</v>
      </c>
      <c r="CI30" s="228">
        <f t="shared" si="15"/>
        <v>0</v>
      </c>
      <c r="CJ30" s="228">
        <f t="shared" si="15"/>
        <v>0</v>
      </c>
      <c r="CK30" s="228">
        <f t="shared" si="15"/>
        <v>0</v>
      </c>
      <c r="CL30" s="228">
        <f t="shared" si="15"/>
        <v>0</v>
      </c>
      <c r="CM30" s="228">
        <f t="shared" si="15"/>
        <v>0</v>
      </c>
      <c r="CN30" s="228">
        <f t="shared" si="15"/>
        <v>0</v>
      </c>
      <c r="CO30" s="228">
        <f t="shared" si="15"/>
        <v>0</v>
      </c>
      <c r="CP30" s="228">
        <f t="shared" si="15"/>
        <v>0</v>
      </c>
      <c r="CQ30" s="228">
        <f t="shared" si="15"/>
        <v>0</v>
      </c>
      <c r="CR30" s="228">
        <f t="shared" si="15"/>
        <v>0</v>
      </c>
      <c r="CS30" s="228">
        <f t="shared" si="15"/>
        <v>0</v>
      </c>
      <c r="CT30" s="228">
        <f t="shared" si="15"/>
        <v>0</v>
      </c>
      <c r="CU30" s="228">
        <f t="shared" si="15"/>
        <v>0</v>
      </c>
      <c r="CV30" s="228">
        <f t="shared" si="15"/>
        <v>0</v>
      </c>
      <c r="CW30" s="228">
        <f t="shared" si="15"/>
        <v>0</v>
      </c>
      <c r="CX30" s="228">
        <f t="shared" si="15"/>
        <v>0</v>
      </c>
      <c r="CY30" s="228">
        <f t="shared" si="15"/>
        <v>0</v>
      </c>
      <c r="CZ30" s="228">
        <f t="shared" si="15"/>
        <v>0</v>
      </c>
      <c r="DA30" s="228">
        <f t="shared" si="15"/>
        <v>0</v>
      </c>
      <c r="DB30" s="228">
        <f t="shared" si="15"/>
        <v>0</v>
      </c>
      <c r="DC30" s="228">
        <f t="shared" si="15"/>
        <v>0</v>
      </c>
      <c r="DD30" s="228">
        <f t="shared" si="15"/>
        <v>0</v>
      </c>
      <c r="DE30" s="228">
        <f t="shared" si="15"/>
        <v>0</v>
      </c>
      <c r="DF30" s="228">
        <f t="shared" si="15"/>
        <v>0</v>
      </c>
      <c r="DG30" s="228">
        <f t="shared" si="15"/>
        <v>0</v>
      </c>
      <c r="DH30" s="228">
        <f t="shared" si="15"/>
        <v>0</v>
      </c>
      <c r="DI30" s="228">
        <f t="shared" si="15"/>
        <v>0</v>
      </c>
      <c r="DJ30" s="228">
        <f t="shared" si="15"/>
        <v>0</v>
      </c>
      <c r="DK30" s="228">
        <f t="shared" si="15"/>
        <v>0</v>
      </c>
      <c r="DL30" s="228">
        <f t="shared" si="15"/>
        <v>0</v>
      </c>
      <c r="DM30" s="228">
        <f t="shared" si="15"/>
        <v>0</v>
      </c>
      <c r="DN30" s="228">
        <f t="shared" si="15"/>
        <v>0</v>
      </c>
      <c r="DO30" s="228">
        <f t="shared" si="15"/>
        <v>0</v>
      </c>
      <c r="DP30" s="228">
        <f t="shared" si="15"/>
        <v>0</v>
      </c>
      <c r="DQ30" s="228">
        <f t="shared" si="15"/>
        <v>0</v>
      </c>
      <c r="DR30" s="228">
        <f t="shared" si="15"/>
        <v>0</v>
      </c>
      <c r="DS30" s="228">
        <f t="shared" si="15"/>
        <v>0</v>
      </c>
      <c r="DT30" s="228">
        <f t="shared" si="15"/>
        <v>0</v>
      </c>
      <c r="DU30" s="228">
        <f t="shared" si="15"/>
        <v>0</v>
      </c>
      <c r="DV30" s="228">
        <f t="shared" si="15"/>
        <v>0</v>
      </c>
      <c r="DW30" s="228">
        <f t="shared" si="15"/>
        <v>0</v>
      </c>
      <c r="DX30" s="228">
        <f t="shared" si="15"/>
        <v>0</v>
      </c>
      <c r="DY30" s="228">
        <f t="shared" si="15"/>
        <v>0</v>
      </c>
      <c r="DZ30" s="228">
        <f t="shared" si="15"/>
        <v>0</v>
      </c>
      <c r="EA30" s="228">
        <f t="shared" si="15"/>
        <v>0</v>
      </c>
      <c r="EB30" s="228">
        <f t="shared" si="15"/>
        <v>0</v>
      </c>
      <c r="EC30" s="228">
        <f t="shared" si="15"/>
        <v>165.5</v>
      </c>
      <c r="ED30" s="228">
        <f t="shared" si="15"/>
        <v>1.25</v>
      </c>
      <c r="EE30" s="228">
        <f t="shared" si="15"/>
        <v>11.5</v>
      </c>
      <c r="EF30" s="228">
        <f t="shared" si="15"/>
        <v>0</v>
      </c>
      <c r="EG30" s="228">
        <f t="shared" si="15"/>
        <v>0</v>
      </c>
      <c r="EH30" s="228">
        <f t="shared" ref="EH30:EP30" si="16">+SUM(EH9:EH26)/2</f>
        <v>19.5</v>
      </c>
      <c r="EI30" s="228">
        <f t="shared" si="16"/>
        <v>3.75</v>
      </c>
      <c r="EJ30" s="228">
        <f t="shared" si="16"/>
        <v>0</v>
      </c>
      <c r="EK30" s="228">
        <f t="shared" si="16"/>
        <v>0</v>
      </c>
      <c r="EL30" s="228">
        <f t="shared" si="16"/>
        <v>0</v>
      </c>
      <c r="EM30" s="228">
        <f t="shared" si="16"/>
        <v>0</v>
      </c>
      <c r="EN30" s="228">
        <f t="shared" si="16"/>
        <v>44.5</v>
      </c>
      <c r="EO30" s="228">
        <f t="shared" si="16"/>
        <v>0</v>
      </c>
      <c r="EP30" s="228">
        <f t="shared" si="16"/>
        <v>0</v>
      </c>
      <c r="EQ30" s="229">
        <f>+SUM(F30:EP30)</f>
        <v>1728</v>
      </c>
    </row>
    <row r="31" spans="1:147" s="2" customFormat="1" ht="15.75" thickBot="1" x14ac:dyDescent="0.25">
      <c r="A31" s="7"/>
      <c r="B31" s="7"/>
      <c r="C31" s="7"/>
      <c r="D31" s="7"/>
      <c r="E31" s="852">
        <f>+SUM(E30:F30)</f>
        <v>1658.5</v>
      </c>
      <c r="F31" s="853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</row>
    <row r="32" spans="1:147" s="2" customFormat="1" x14ac:dyDescent="0.2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</row>
    <row r="33" spans="1:113" s="2" customFormat="1" x14ac:dyDescent="0.2">
      <c r="A33" s="7"/>
      <c r="B33" s="7"/>
      <c r="C33" s="7"/>
      <c r="D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</row>
    <row r="34" spans="1:113" s="2" customFormat="1" x14ac:dyDescent="0.2">
      <c r="E34" s="7"/>
      <c r="F34" s="7"/>
    </row>
    <row r="35" spans="1:113" s="2" customFormat="1" x14ac:dyDescent="0.2"/>
    <row r="36" spans="1:113" s="2" customFormat="1" x14ac:dyDescent="0.2"/>
    <row r="37" spans="1:113" s="2" customFormat="1" x14ac:dyDescent="0.2"/>
    <row r="38" spans="1:113" s="2" customFormat="1" x14ac:dyDescent="0.2"/>
    <row r="39" spans="1:113" s="2" customFormat="1" x14ac:dyDescent="0.2"/>
    <row r="40" spans="1:113" s="2" customFormat="1" x14ac:dyDescent="0.2"/>
    <row r="41" spans="1:113" s="2" customFormat="1" x14ac:dyDescent="0.2"/>
    <row r="42" spans="1:113" s="2" customFormat="1" x14ac:dyDescent="0.2"/>
    <row r="43" spans="1:113" s="2" customFormat="1" x14ac:dyDescent="0.2"/>
    <row r="44" spans="1:113" s="2" customFormat="1" x14ac:dyDescent="0.2"/>
    <row r="45" spans="1:113" s="2" customFormat="1" x14ac:dyDescent="0.2"/>
    <row r="46" spans="1:113" s="2" customFormat="1" x14ac:dyDescent="0.2"/>
    <row r="47" spans="1:113" s="2" customFormat="1" x14ac:dyDescent="0.2"/>
    <row r="48" spans="1:113" s="2" customFormat="1" x14ac:dyDescent="0.2"/>
    <row r="49" s="2" customFormat="1" x14ac:dyDescent="0.2"/>
    <row r="50" s="2" customFormat="1" x14ac:dyDescent="0.2"/>
    <row r="51" s="2" customFormat="1" x14ac:dyDescent="0.2"/>
    <row r="52" s="2" customFormat="1" x14ac:dyDescent="0.2"/>
    <row r="53" s="2" customFormat="1" x14ac:dyDescent="0.2"/>
    <row r="54" s="2" customFormat="1" x14ac:dyDescent="0.2"/>
    <row r="55" s="2" customFormat="1" x14ac:dyDescent="0.2"/>
    <row r="56" s="2" customFormat="1" x14ac:dyDescent="0.2"/>
    <row r="57" s="2" customFormat="1" x14ac:dyDescent="0.2"/>
    <row r="58" s="2" customFormat="1" x14ac:dyDescent="0.2"/>
    <row r="59" s="2" customFormat="1" x14ac:dyDescent="0.2"/>
    <row r="60" s="2" customFormat="1" x14ac:dyDescent="0.2"/>
    <row r="61" s="2" customFormat="1" x14ac:dyDescent="0.2"/>
    <row r="62" s="2" customFormat="1" x14ac:dyDescent="0.2"/>
    <row r="63" s="2" customFormat="1" x14ac:dyDescent="0.2"/>
    <row r="64" s="2" customFormat="1" x14ac:dyDescent="0.2"/>
    <row r="65" s="2" customFormat="1" x14ac:dyDescent="0.2"/>
    <row r="66" s="2" customFormat="1" x14ac:dyDescent="0.2"/>
    <row r="67" s="2" customFormat="1" x14ac:dyDescent="0.2"/>
    <row r="68" s="2" customFormat="1" x14ac:dyDescent="0.2"/>
    <row r="69" s="2" customFormat="1" x14ac:dyDescent="0.2"/>
    <row r="70" s="2" customFormat="1" x14ac:dyDescent="0.2"/>
    <row r="71" s="2" customFormat="1" x14ac:dyDescent="0.2"/>
    <row r="72" s="2" customFormat="1" x14ac:dyDescent="0.2"/>
    <row r="73" s="2" customFormat="1" x14ac:dyDescent="0.2"/>
    <row r="74" s="2" customFormat="1" x14ac:dyDescent="0.2"/>
    <row r="75" s="2" customFormat="1" x14ac:dyDescent="0.2"/>
    <row r="76" s="2" customFormat="1" x14ac:dyDescent="0.2"/>
    <row r="77" s="2" customFormat="1" x14ac:dyDescent="0.2"/>
    <row r="78" s="2" customFormat="1" x14ac:dyDescent="0.2"/>
    <row r="79" s="2" customFormat="1" x14ac:dyDescent="0.2"/>
    <row r="80" s="2" customFormat="1" x14ac:dyDescent="0.2"/>
    <row r="81" s="2" customFormat="1" x14ac:dyDescent="0.2"/>
    <row r="82" s="2" customFormat="1" x14ac:dyDescent="0.2"/>
    <row r="83" s="2" customFormat="1" x14ac:dyDescent="0.2"/>
    <row r="84" s="2" customFormat="1" x14ac:dyDescent="0.2"/>
    <row r="85" s="2" customFormat="1" x14ac:dyDescent="0.2"/>
    <row r="86" s="2" customFormat="1" x14ac:dyDescent="0.2"/>
    <row r="87" s="2" customFormat="1" x14ac:dyDescent="0.2"/>
    <row r="88" s="2" customFormat="1" x14ac:dyDescent="0.2"/>
    <row r="89" s="2" customFormat="1" x14ac:dyDescent="0.2"/>
    <row r="90" s="2" customFormat="1" x14ac:dyDescent="0.2"/>
    <row r="91" s="2" customFormat="1" x14ac:dyDescent="0.2"/>
    <row r="92" s="2" customFormat="1" x14ac:dyDescent="0.2"/>
    <row r="93" s="2" customFormat="1" x14ac:dyDescent="0.2"/>
    <row r="94" s="2" customFormat="1" x14ac:dyDescent="0.2"/>
  </sheetData>
  <sheetProtection formatCells="0" formatColumns="0" formatRows="0" insertColumns="0" insertRows="0" insertHyperlinks="0" deleteColumns="0" deleteRows="0" sort="0" autoFilter="0" pivotTables="0"/>
  <mergeCells count="123">
    <mergeCell ref="A27:D27"/>
    <mergeCell ref="A28:D28"/>
    <mergeCell ref="A29:D29"/>
    <mergeCell ref="A30:D30"/>
    <mergeCell ref="E31:F31"/>
    <mergeCell ref="A19:D19"/>
    <mergeCell ref="A21:D21"/>
    <mergeCell ref="A22:D22"/>
    <mergeCell ref="A23:D23"/>
    <mergeCell ref="A25:D25"/>
    <mergeCell ref="A26:D26"/>
    <mergeCell ref="A11:D11"/>
    <mergeCell ref="A13:D13"/>
    <mergeCell ref="A14:D14"/>
    <mergeCell ref="A15:D15"/>
    <mergeCell ref="A17:D17"/>
    <mergeCell ref="A18:D18"/>
    <mergeCell ref="CU5:CU7"/>
    <mergeCell ref="CW6:DI6"/>
    <mergeCell ref="E7:F7"/>
    <mergeCell ref="G8:DI8"/>
    <mergeCell ref="A9:D9"/>
    <mergeCell ref="A10:D10"/>
    <mergeCell ref="CO5:CO7"/>
    <mergeCell ref="CP5:CP7"/>
    <mergeCell ref="CQ5:CQ7"/>
    <mergeCell ref="CR5:CR7"/>
    <mergeCell ref="CS5:CS7"/>
    <mergeCell ref="CT5:CT7"/>
    <mergeCell ref="CI5:CI7"/>
    <mergeCell ref="CJ5:CJ7"/>
    <mergeCell ref="CK5:CK7"/>
    <mergeCell ref="CL5:CL7"/>
    <mergeCell ref="CM5:CM7"/>
    <mergeCell ref="CN5:CN7"/>
    <mergeCell ref="CC5:CC7"/>
    <mergeCell ref="CD5:CD7"/>
    <mergeCell ref="CE5:CE7"/>
    <mergeCell ref="CF5:CF7"/>
    <mergeCell ref="CG5:CG7"/>
    <mergeCell ref="CH5:CH7"/>
    <mergeCell ref="BW5:BW7"/>
    <mergeCell ref="BX5:BX7"/>
    <mergeCell ref="BY5:BY7"/>
    <mergeCell ref="BZ5:BZ7"/>
    <mergeCell ref="CA5:CA7"/>
    <mergeCell ref="CB5:CB7"/>
    <mergeCell ref="BQ5:BQ7"/>
    <mergeCell ref="BR5:BR7"/>
    <mergeCell ref="BS5:BS7"/>
    <mergeCell ref="BT5:BT7"/>
    <mergeCell ref="BU5:BU7"/>
    <mergeCell ref="BV5:BV7"/>
    <mergeCell ref="BK5:BK7"/>
    <mergeCell ref="BL5:BL7"/>
    <mergeCell ref="BM5:BM7"/>
    <mergeCell ref="BN5:BN7"/>
    <mergeCell ref="BO5:BO7"/>
    <mergeCell ref="BP5:BP7"/>
    <mergeCell ref="BE5:BE7"/>
    <mergeCell ref="BF5:BF7"/>
    <mergeCell ref="BG5:BG7"/>
    <mergeCell ref="BH5:BH7"/>
    <mergeCell ref="BI5:BI7"/>
    <mergeCell ref="BJ5:BJ7"/>
    <mergeCell ref="AY5:AY7"/>
    <mergeCell ref="AZ5:AZ7"/>
    <mergeCell ref="BA5:BA7"/>
    <mergeCell ref="BB5:BB7"/>
    <mergeCell ref="BC5:BC7"/>
    <mergeCell ref="BD5:BD7"/>
    <mergeCell ref="AU5:AU7"/>
    <mergeCell ref="AV5:AV7"/>
    <mergeCell ref="AW5:AW7"/>
    <mergeCell ref="AX5:AX7"/>
    <mergeCell ref="AM5:AM7"/>
    <mergeCell ref="AN5:AN7"/>
    <mergeCell ref="AO5:AO7"/>
    <mergeCell ref="AP5:AP7"/>
    <mergeCell ref="AQ5:AQ7"/>
    <mergeCell ref="AR5:AR7"/>
    <mergeCell ref="AL5:AL7"/>
    <mergeCell ref="AA5:AA7"/>
    <mergeCell ref="AB5:AB7"/>
    <mergeCell ref="AC5:AC7"/>
    <mergeCell ref="AD5:AD7"/>
    <mergeCell ref="AE5:AE7"/>
    <mergeCell ref="AF5:AF7"/>
    <mergeCell ref="AS5:AS7"/>
    <mergeCell ref="AT5:AT7"/>
    <mergeCell ref="Q5:Q7"/>
    <mergeCell ref="R5:R7"/>
    <mergeCell ref="S5:S7"/>
    <mergeCell ref="T5:T7"/>
    <mergeCell ref="AG5:AG7"/>
    <mergeCell ref="AH5:AH7"/>
    <mergeCell ref="AI5:AI7"/>
    <mergeCell ref="AJ5:AJ7"/>
    <mergeCell ref="AK5:AK7"/>
    <mergeCell ref="J1:AL1"/>
    <mergeCell ref="G4:X4"/>
    <mergeCell ref="AA4:AU4"/>
    <mergeCell ref="AV4:BI4"/>
    <mergeCell ref="BJ4:BU4"/>
    <mergeCell ref="BV4:CE4"/>
    <mergeCell ref="CF4:CM4"/>
    <mergeCell ref="CN4:CU4"/>
    <mergeCell ref="G5:G7"/>
    <mergeCell ref="H5:H7"/>
    <mergeCell ref="I5:I7"/>
    <mergeCell ref="J5:J7"/>
    <mergeCell ref="K5:K7"/>
    <mergeCell ref="L5:L7"/>
    <mergeCell ref="M5:M7"/>
    <mergeCell ref="N5:N7"/>
    <mergeCell ref="U5:U7"/>
    <mergeCell ref="V5:V7"/>
    <mergeCell ref="W5:W7"/>
    <mergeCell ref="X5:X7"/>
    <mergeCell ref="Y5:Y7"/>
    <mergeCell ref="Z5:Z7"/>
    <mergeCell ref="O5:O7"/>
    <mergeCell ref="P5:P7"/>
  </mergeCells>
  <conditionalFormatting sqref="E31:F31">
    <cfRule type="cellIs" dxfId="1" priority="1" operator="notEqual">
      <formula>$DR$30</formula>
    </cfRule>
    <cfRule type="cellIs" dxfId="0" priority="2" operator="equal">
      <formula>$DR$30</formula>
    </cfRule>
  </conditionalFormatting>
  <printOptions horizontalCentered="1" verticalCentered="1"/>
  <pageMargins left="0" right="0" top="0.39370078740157483" bottom="0.39370078740157483" header="0" footer="0"/>
  <pageSetup paperSize="8" scale="65" orientation="landscape" r:id="rId1"/>
  <headerFooter alignWithMargins="0">
    <oddHeader>&amp;R&amp;T;&amp;D</oddHeader>
    <oddFooter>&amp;L&amp;Z&amp;F&amp;R&amp;P/&amp;N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20</vt:i4>
      </vt:variant>
    </vt:vector>
  </HeadingPairs>
  <TitlesOfParts>
    <vt:vector size="46" baseType="lpstr">
      <vt:lpstr>Accueil</vt:lpstr>
      <vt:lpstr>Notre contre étude</vt:lpstr>
      <vt:lpstr>Notes Gestion 1</vt:lpstr>
      <vt:lpstr>Notre Gestion 4 - 060924</vt:lpstr>
      <vt:lpstr>Evol générale</vt:lpstr>
      <vt:lpstr>FC</vt:lpstr>
      <vt:lpstr>Ratios</vt:lpstr>
      <vt:lpstr>Hono</vt:lpstr>
      <vt:lpstr>Février 2025</vt:lpstr>
      <vt:lpstr>THM</vt:lpstr>
      <vt:lpstr>Heures avec QMa</vt:lpstr>
      <vt:lpstr>Répartition Budget MO </vt:lpstr>
      <vt:lpstr>Béton</vt:lpstr>
      <vt:lpstr>PU béton</vt:lpstr>
      <vt:lpstr>Préfa CMEG-S2G</vt:lpstr>
      <vt:lpstr>Préfa externe</vt:lpstr>
      <vt:lpstr>Aciers HA</vt:lpstr>
      <vt:lpstr>Aciers TS</vt:lpstr>
      <vt:lpstr>PU aciers</vt:lpstr>
      <vt:lpstr>ST GO</vt:lpstr>
      <vt:lpstr>Affectations reporting</vt:lpstr>
      <vt:lpstr>Pour memoire - fourniture div </vt:lpstr>
      <vt:lpstr>octobre 2024</vt:lpstr>
      <vt:lpstr>Novembre 2024</vt:lpstr>
      <vt:lpstr>Décembre 2024</vt:lpstr>
      <vt:lpstr>Janvier 2025</vt:lpstr>
      <vt:lpstr>FC!Impression_des_titres</vt:lpstr>
      <vt:lpstr>'Heures avec QMa'!Impression_des_titres</vt:lpstr>
      <vt:lpstr>Hono!Impression_des_titres</vt:lpstr>
      <vt:lpstr>'Aciers HA'!Zone_d_impression</vt:lpstr>
      <vt:lpstr>'Aciers TS'!Zone_d_impression</vt:lpstr>
      <vt:lpstr>Béton!Zone_d_impression</vt:lpstr>
      <vt:lpstr>'Evol générale'!Zone_d_impression</vt:lpstr>
      <vt:lpstr>FC!Zone_d_impression</vt:lpstr>
      <vt:lpstr>FV!Zone_d_impression</vt:lpstr>
      <vt:lpstr>'Heures avec QMa'!Zone_d_impression</vt:lpstr>
      <vt:lpstr>Hono!Zone_d_impression</vt:lpstr>
      <vt:lpstr>'Notes Gestion 1'!Zone_d_impression</vt:lpstr>
      <vt:lpstr>'Notre Gestion 4 - 060924'!Zone_d_impression</vt:lpstr>
      <vt:lpstr>'Pour memoire - fourniture div '!Zone_d_impression</vt:lpstr>
      <vt:lpstr>'Préfa CMEG-S2G'!Zone_d_impression</vt:lpstr>
      <vt:lpstr>'Préfa externe'!Zone_d_impression</vt:lpstr>
      <vt:lpstr>'PU aciers'!Zone_d_impression</vt:lpstr>
      <vt:lpstr>'PU béton'!Zone_d_impression</vt:lpstr>
      <vt:lpstr>Ratios!Zone_d_impression</vt:lpstr>
      <vt:lpstr>'ST GO'!Zone_d_impression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PILATE</dc:creator>
  <cp:lastModifiedBy>Dany</cp:lastModifiedBy>
  <cp:lastPrinted>2025-03-10T14:10:51Z</cp:lastPrinted>
  <dcterms:created xsi:type="dcterms:W3CDTF">2007-09-11T14:52:24Z</dcterms:created>
  <dcterms:modified xsi:type="dcterms:W3CDTF">2025-03-14T13:27:40Z</dcterms:modified>
</cp:coreProperties>
</file>