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ctrlProps/ctrlProp9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drawings/drawing6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CC715146-78F7-4CB7-8769-79B1442136B1}" xr6:coauthVersionLast="47" xr6:coauthVersionMax="47" xr10:uidLastSave="{00000000-0000-0000-0000-000000000000}"/>
  <bookViews>
    <workbookView xWindow="-120" yWindow="-120" windowWidth="20730" windowHeight="11160" tabRatio="772" firstSheet="1" activeTab="2" xr2:uid="{3303FC20-9EEE-4123-AF31-6DC9029FDF02}"/>
  </bookViews>
  <sheets>
    <sheet name="Accueil" sheetId="5" r:id="rId1"/>
    <sheet name="Stock" sheetId="1" r:id="rId2"/>
    <sheet name="Dotation" sheetId="8" r:id="rId3"/>
    <sheet name="QTE Dotation" sheetId="7" r:id="rId4"/>
    <sheet name="Réappro" sheetId="3" r:id="rId5"/>
    <sheet name="Listes" sheetId="4" r:id="rId6"/>
    <sheet name="Inventaire du 101242" sheetId="6" r:id="rId7"/>
    <sheet name="Dotation_old" sheetId="2" r:id="rId8"/>
  </sheets>
  <definedNames>
    <definedName name="_xleta.DATE" hidden="1" xlm="1">#NAME?</definedName>
    <definedName name="bla">Listes!#REF!</definedName>
    <definedName name="EQPMT">Listes!$F$3:$F$9</definedName>
    <definedName name="EQPMTT">Listes!#REF!</definedName>
    <definedName name="POINTURES">Listes!$N$3:$N$13</definedName>
    <definedName name="QTE">Listes!$P$3:$P$7</definedName>
    <definedName name="Tailles">Listes!$H$3:$J$17</definedName>
    <definedName name="TFR">Listes!$L$3:$L$12</definedName>
    <definedName name="TFrance">Listes!#REF!</definedName>
    <definedName name="TINTER">Listes!$J$3:$J$10</definedName>
    <definedName name="TVESTT">Listes!$H$3:$H$17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C42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0" i="7"/>
  <c r="C27" i="7"/>
  <c r="C26" i="7"/>
  <c r="C25" i="7"/>
  <c r="C24" i="7"/>
  <c r="C23" i="7"/>
  <c r="C22" i="7"/>
  <c r="C21" i="7"/>
  <c r="C15" i="7"/>
  <c r="C18" i="7"/>
  <c r="C17" i="7"/>
  <c r="C16" i="7"/>
  <c r="C14" i="7"/>
  <c r="C13" i="7"/>
  <c r="C12" i="7"/>
  <c r="C11" i="7"/>
  <c r="C9" i="7"/>
  <c r="C8" i="7"/>
  <c r="C7" i="7"/>
  <c r="C6" i="7"/>
  <c r="C5" i="7"/>
  <c r="C4" i="7"/>
  <c r="C3" i="7"/>
  <c r="C2" i="7"/>
  <c r="C32" i="1"/>
  <c r="D32" i="1"/>
  <c r="E32" i="1"/>
  <c r="F32" i="1"/>
  <c r="B32" i="1"/>
  <c r="B29" i="1"/>
  <c r="L18" i="1"/>
  <c r="K18" i="1"/>
  <c r="J18" i="1"/>
  <c r="I18" i="1"/>
  <c r="H18" i="1"/>
  <c r="G18" i="1"/>
  <c r="F18" i="1"/>
  <c r="E18" i="1"/>
  <c r="D18" i="1"/>
  <c r="C18" i="1"/>
  <c r="B18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B8" i="1"/>
  <c r="C8" i="1"/>
  <c r="D8" i="1"/>
  <c r="E8" i="1"/>
  <c r="F8" i="1"/>
  <c r="G8" i="1"/>
  <c r="H8" i="1"/>
  <c r="I8" i="1"/>
  <c r="B9" i="1"/>
  <c r="C9" i="1"/>
  <c r="D9" i="1"/>
  <c r="E9" i="1"/>
  <c r="F9" i="1"/>
  <c r="G9" i="1"/>
  <c r="H9" i="1"/>
  <c r="I9" i="1"/>
  <c r="E11" i="1"/>
  <c r="F11" i="1"/>
  <c r="G11" i="1"/>
  <c r="H11" i="1"/>
  <c r="I11" i="1"/>
  <c r="B5" i="1"/>
  <c r="D12" i="1" l="1"/>
  <c r="H12" i="1"/>
  <c r="O15" i="1"/>
  <c r="I12" i="1"/>
  <c r="E12" i="1"/>
  <c r="E10" i="1"/>
  <c r="L15" i="1"/>
  <c r="H15" i="1"/>
  <c r="D15" i="1"/>
  <c r="I10" i="1"/>
  <c r="H10" i="1"/>
  <c r="F12" i="1"/>
  <c r="B12" i="1"/>
  <c r="E15" i="1"/>
  <c r="I15" i="1"/>
  <c r="M15" i="1"/>
  <c r="D10" i="1"/>
  <c r="B10" i="1"/>
  <c r="F10" i="1"/>
  <c r="B11" i="1"/>
  <c r="C12" i="1"/>
  <c r="G12" i="1"/>
  <c r="B15" i="1"/>
  <c r="F15" i="1"/>
  <c r="J15" i="1"/>
  <c r="N15" i="1"/>
  <c r="D11" i="1"/>
  <c r="C10" i="1"/>
  <c r="G10" i="1"/>
  <c r="C11" i="1"/>
  <c r="C15" i="1"/>
  <c r="G15" i="1"/>
  <c r="K15" i="1"/>
  <c r="B22" i="1"/>
  <c r="B27" i="1"/>
  <c r="B25" i="1"/>
  <c r="B26" i="1"/>
  <c r="B23" i="1"/>
  <c r="B21" i="1"/>
  <c r="B20" i="1"/>
</calcChain>
</file>

<file path=xl/sharedStrings.xml><?xml version="1.0" encoding="utf-8"?>
<sst xmlns="http://schemas.openxmlformats.org/spreadsheetml/2006/main" count="299" uniqueCount="157">
  <si>
    <t>Nombre limite alerte</t>
  </si>
  <si>
    <t>STOCK</t>
  </si>
  <si>
    <t>Veste Treillis</t>
  </si>
  <si>
    <t>36/38</t>
  </si>
  <si>
    <t>38/40</t>
  </si>
  <si>
    <t>40/42</t>
  </si>
  <si>
    <t>42/44</t>
  </si>
  <si>
    <t>44/46</t>
  </si>
  <si>
    <t>46/48</t>
  </si>
  <si>
    <t>48/50</t>
  </si>
  <si>
    <t>50/52</t>
  </si>
  <si>
    <t>52/54</t>
  </si>
  <si>
    <t>54/56</t>
  </si>
  <si>
    <t>56/58</t>
  </si>
  <si>
    <t>58/60</t>
  </si>
  <si>
    <t>60/62</t>
  </si>
  <si>
    <t>62/64</t>
  </si>
  <si>
    <t>64/66</t>
  </si>
  <si>
    <t>S</t>
  </si>
  <si>
    <t>M</t>
  </si>
  <si>
    <t>L</t>
  </si>
  <si>
    <t>XL</t>
  </si>
  <si>
    <t>XXL</t>
  </si>
  <si>
    <t>XXXL</t>
  </si>
  <si>
    <t>XXXXL</t>
  </si>
  <si>
    <t>XXXXXL</t>
  </si>
  <si>
    <t>Parka</t>
  </si>
  <si>
    <t>Veste polaire</t>
  </si>
  <si>
    <t>Tee shirt orange</t>
  </si>
  <si>
    <t>Tee shirt bleu</t>
  </si>
  <si>
    <t>Chemise F1</t>
  </si>
  <si>
    <t>Pantalon treillis</t>
  </si>
  <si>
    <t>Chaussures d'intervention</t>
  </si>
  <si>
    <t>Casquette d'intervention</t>
  </si>
  <si>
    <t>Casquette de cérémonie</t>
  </si>
  <si>
    <t>Bonnet</t>
  </si>
  <si>
    <t>Ceinture bleue</t>
  </si>
  <si>
    <t xml:space="preserve">Cagoule feu </t>
  </si>
  <si>
    <t>Gants feu</t>
  </si>
  <si>
    <t>Ceinturon</t>
  </si>
  <si>
    <t>Pantalon pluie</t>
  </si>
  <si>
    <t>Veste pluie</t>
  </si>
  <si>
    <t>Tailles veste treillis</t>
  </si>
  <si>
    <t>Tailles internationales</t>
  </si>
  <si>
    <t>Tailles françaises</t>
  </si>
  <si>
    <t>Pointures</t>
  </si>
  <si>
    <t>Quantité</t>
  </si>
  <si>
    <t>Date</t>
  </si>
  <si>
    <t>Nom</t>
  </si>
  <si>
    <t>Prénom</t>
  </si>
  <si>
    <t>Tee shirt orange S</t>
  </si>
  <si>
    <t>Tee shirt orange M</t>
  </si>
  <si>
    <t>Tee shirt orange L</t>
  </si>
  <si>
    <t>Tee shirt orange XL</t>
  </si>
  <si>
    <t>Tee shirt orange XXL</t>
  </si>
  <si>
    <t>Tee shirt orange XXXL</t>
  </si>
  <si>
    <t>Tee shirt orange XXXXL</t>
  </si>
  <si>
    <t>Tee shirt orange XXXXXL</t>
  </si>
  <si>
    <t>Tee shirt bleu S</t>
  </si>
  <si>
    <t>Tee shirt bleu M</t>
  </si>
  <si>
    <t>Tee shirt bleu L</t>
  </si>
  <si>
    <t>Tee shirt bleu XL</t>
  </si>
  <si>
    <t>Tee shirt bleu XXL</t>
  </si>
  <si>
    <t>Tee shirt bleu XXXL</t>
  </si>
  <si>
    <t>Tee shirt bleu XXXXL</t>
  </si>
  <si>
    <t>Tee shirt bleu XXXXXL</t>
  </si>
  <si>
    <t>Chemise F1 S</t>
  </si>
  <si>
    <t>Chemise F1 M</t>
  </si>
  <si>
    <t>Chemise F1 L</t>
  </si>
  <si>
    <t>Chemise F1 XL</t>
  </si>
  <si>
    <t>Chemise F1 XXL</t>
  </si>
  <si>
    <t>Chemise F1 XXXL</t>
  </si>
  <si>
    <t>Chemise F1 XXXXL</t>
  </si>
  <si>
    <t>Chemise F1 XXXXXL</t>
  </si>
  <si>
    <t>Pantalon treillis 36</t>
  </si>
  <si>
    <t>Pantalon treillis 38</t>
  </si>
  <si>
    <t>Pantalon treillis 42</t>
  </si>
  <si>
    <t>Pantalon treillis 44</t>
  </si>
  <si>
    <t>Pantalon treillis 48</t>
  </si>
  <si>
    <t>Pantalon treillis 50</t>
  </si>
  <si>
    <t>Pantalon treillis 54</t>
  </si>
  <si>
    <t>Pantalon treillis 56</t>
  </si>
  <si>
    <t>Pantalon treillis 58</t>
  </si>
  <si>
    <t>Pantalon treillis 60</t>
  </si>
  <si>
    <t>Pantalon treillis 62</t>
  </si>
  <si>
    <t>Chaussures
d'intervention</t>
  </si>
  <si>
    <t>Casquette
d'intervention</t>
  </si>
  <si>
    <t>Casquette
de cérémonie</t>
  </si>
  <si>
    <t>Veste
Polaire</t>
  </si>
  <si>
    <t>Pantalon
Treillis</t>
  </si>
  <si>
    <t>Tee Shirt 
Orange</t>
  </si>
  <si>
    <t>Tee Shirt 
Bleu</t>
  </si>
  <si>
    <t>Qté</t>
  </si>
  <si>
    <t>Ceinture
Bleue</t>
  </si>
  <si>
    <t xml:space="preserve">Cagoule
Feu </t>
  </si>
  <si>
    <t>Gants
Feu</t>
  </si>
  <si>
    <t>Pantalon treillis 40</t>
  </si>
  <si>
    <t>Pantalon treillis 46</t>
  </si>
  <si>
    <t>Pantalon treillis 52</t>
  </si>
  <si>
    <t>Qté2</t>
  </si>
  <si>
    <t>Qté3</t>
  </si>
  <si>
    <t>Qté4</t>
  </si>
  <si>
    <t>Accessoires</t>
  </si>
  <si>
    <t>Equipements Pluie</t>
  </si>
  <si>
    <t>Equipements Base</t>
  </si>
  <si>
    <t>Désignation</t>
  </si>
  <si>
    <t>Taille</t>
  </si>
  <si>
    <t>Veste treillis 36/38</t>
  </si>
  <si>
    <t>Veste treillis 38/40</t>
  </si>
  <si>
    <t>Veste treillis 40/42</t>
  </si>
  <si>
    <t>Veste treillis 42/44</t>
  </si>
  <si>
    <t>Veste treillis 48/50</t>
  </si>
  <si>
    <t>Veste treillis 46/48</t>
  </si>
  <si>
    <t>Veste treillis 44/46</t>
  </si>
  <si>
    <t>Veste treillis 50/52</t>
  </si>
  <si>
    <t>Veste treillis 52/54</t>
  </si>
  <si>
    <t>Veste treillis 54/56</t>
  </si>
  <si>
    <t>Veste treillis 56/58</t>
  </si>
  <si>
    <t>Veste treillis 58/60</t>
  </si>
  <si>
    <t>Veste treillis 60/62</t>
  </si>
  <si>
    <t>Veste treillis 62/64</t>
  </si>
  <si>
    <t>Veste treillis 64/66</t>
  </si>
  <si>
    <t>Parka S</t>
  </si>
  <si>
    <t>Parka M</t>
  </si>
  <si>
    <t>Parka L</t>
  </si>
  <si>
    <t>Parka XL</t>
  </si>
  <si>
    <t>Parka XXL</t>
  </si>
  <si>
    <t>Parka XXXL</t>
  </si>
  <si>
    <t>Parka XXXXL</t>
  </si>
  <si>
    <t>Parka XXXXXL</t>
  </si>
  <si>
    <t>Chaussures d'intervention 36</t>
  </si>
  <si>
    <t>Chaussures d'intervention 37</t>
  </si>
  <si>
    <t>Veste polaire S</t>
  </si>
  <si>
    <t>Veste polaire M</t>
  </si>
  <si>
    <t>Veste polaire L</t>
  </si>
  <si>
    <t>Veste polaire XL</t>
  </si>
  <si>
    <t>Veste polaire XXL</t>
  </si>
  <si>
    <t>Veste polaire XXXL</t>
  </si>
  <si>
    <t>Veste polaire XXXXL</t>
  </si>
  <si>
    <t>Veste polaire XXXXXL</t>
  </si>
  <si>
    <t>Panatalon treillis 52</t>
  </si>
  <si>
    <t>Chaussures d'intervention 38</t>
  </si>
  <si>
    <t>Chaussures d'intervention 39</t>
  </si>
  <si>
    <t>Chaussures d'intervention 40</t>
  </si>
  <si>
    <t>Chaussures d'intervention 41</t>
  </si>
  <si>
    <t>Chaussures d'intervention 42</t>
  </si>
  <si>
    <t>Chaussures d'intervention 43</t>
  </si>
  <si>
    <t>Chaussures d'intervention 44</t>
  </si>
  <si>
    <t>Chaussures d'intervention 45</t>
  </si>
  <si>
    <t>Cagoule Feu</t>
  </si>
  <si>
    <t>Gants Feu</t>
  </si>
  <si>
    <t>Pantalon Pluie</t>
  </si>
  <si>
    <t>Veste Pluie S</t>
  </si>
  <si>
    <t>Veste pluie M</t>
  </si>
  <si>
    <t>Veste Pluie L</t>
  </si>
  <si>
    <t>Veste pluie XL</t>
  </si>
  <si>
    <t>Veste pluie XXL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</si>
</sst>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48"/>
      <color theme="1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Aptos Narrow"/>
      <family val="2"/>
    </font>
    <font>
      <sz val="48"/>
      <color rgb="FF05479B"/>
      <name val="Aptos Narrow"/>
      <family val="2"/>
      <scheme val="minor"/>
    </font>
    <font>
      <sz val="20"/>
      <color rgb="FF333399"/>
      <name val="Aptos Narrow"/>
      <family val="2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29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14" fontId="0" fillId="0" borderId="0" xfId="0" applyNumberFormat="1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/>
    <xf numFmtId="0" fontId="0" fillId="0" borderId="1" xfId="0" quotePrefix="1" applyBorder="1"/>
    <xf numFmtId="14" fontId="7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" fontId="0" fillId="0" borderId="5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1" fontId="0" fillId="0" borderId="8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167"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</dxf>
    <dxf>
      <border outline="0"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29000"/>
      <color rgb="FF0547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152400</xdr:colOff>
          <xdr:row>1</xdr:row>
          <xdr:rowOff>9525</xdr:rowOff>
        </xdr:from>
        <xdr:to>
          <xdr:col>3</xdr:col>
          <xdr:colOff>742950</xdr:colOff>
          <xdr:row>8</xdr:row>
          <xdr:rowOff>114300</xdr:rowOff>
        </xdr:to>
        <xdr:sp macro="" textlink="">
          <xdr:nvSpPr>
            <xdr:cNvPr id="2049" name="BoutonStock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2000" b="0" i="0" u="none" strike="noStrike" baseline="0">
                  <a:solidFill>
                    <a:srgbClr val="333399"/>
                  </a:solidFill>
                  <a:latin typeface="Aptos Narrow"/>
                </a:rPr>
                <a:t>Consulter le STOCK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1</xdr:row>
          <xdr:rowOff>9525</xdr:rowOff>
        </xdr:from>
        <xdr:to>
          <xdr:col>8</xdr:col>
          <xdr:colOff>95250</xdr:colOff>
          <xdr:row>8</xdr:row>
          <xdr:rowOff>114300</xdr:rowOff>
        </xdr:to>
        <xdr:sp macro="" textlink="">
          <xdr:nvSpPr>
            <xdr:cNvPr id="2050" name="BoutonDotation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2000" b="0" i="0" u="none" strike="noStrike" baseline="0">
                  <a:solidFill>
                    <a:srgbClr val="333399"/>
                  </a:solidFill>
                  <a:latin typeface="Aptos Narrow"/>
                </a:rPr>
                <a:t>Consulter ou saisir une DOTATION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371475</xdr:colOff>
          <xdr:row>0</xdr:row>
          <xdr:rowOff>180975</xdr:rowOff>
        </xdr:from>
        <xdr:to>
          <xdr:col>12</xdr:col>
          <xdr:colOff>200025</xdr:colOff>
          <xdr:row>8</xdr:row>
          <xdr:rowOff>95250</xdr:rowOff>
        </xdr:to>
        <xdr:sp macro="" textlink="">
          <xdr:nvSpPr>
            <xdr:cNvPr id="2051" name="BoutonReappro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2000" b="0" i="0" u="none" strike="noStrike" baseline="0">
                  <a:solidFill>
                    <a:srgbClr val="333399"/>
                  </a:solidFill>
                  <a:latin typeface="Aptos Narrow"/>
                </a:rPr>
                <a:t>Consulter ou saisir un REAPPROVISIONNEMENT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885825</xdr:colOff>
          <xdr:row>1</xdr:row>
          <xdr:rowOff>47625</xdr:rowOff>
        </xdr:from>
        <xdr:to>
          <xdr:col>3</xdr:col>
          <xdr:colOff>19050</xdr:colOff>
          <xdr:row>1</xdr:row>
          <xdr:rowOff>771525</xdr:rowOff>
        </xdr:to>
        <xdr:sp macro="" textlink="">
          <xdr:nvSpPr>
            <xdr:cNvPr id="3073" name="Retour Accueil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2000" b="0" i="0" u="none" strike="noStrike" baseline="0">
                  <a:solidFill>
                    <a:srgbClr val="333399"/>
                  </a:solidFill>
                  <a:latin typeface="Aptos Narrow"/>
                </a:rPr>
                <a:t>Revenir à l'Accueil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419100</xdr:colOff>
          <xdr:row>0</xdr:row>
          <xdr:rowOff>85725</xdr:rowOff>
        </xdr:from>
        <xdr:to>
          <xdr:col>2</xdr:col>
          <xdr:colOff>514350</xdr:colOff>
          <xdr:row>0</xdr:row>
          <xdr:rowOff>581025</xdr:rowOff>
        </xdr:to>
        <xdr:sp macro="" textlink="">
          <xdr:nvSpPr>
            <xdr:cNvPr id="7169" name="Retour Accueil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2000" b="0" i="0" u="none" strike="noStrike" baseline="0">
                  <a:solidFill>
                    <a:srgbClr val="333399"/>
                  </a:solidFill>
                  <a:latin typeface="Aptos Narrow"/>
                </a:rPr>
                <a:t>Revenir à l'Accueil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0</xdr:row>
          <xdr:rowOff>85725</xdr:rowOff>
        </xdr:from>
        <xdr:to>
          <xdr:col>3</xdr:col>
          <xdr:colOff>1438275</xdr:colOff>
          <xdr:row>0</xdr:row>
          <xdr:rowOff>561975</xdr:rowOff>
        </xdr:to>
        <xdr:sp macro="" textlink="">
          <xdr:nvSpPr>
            <xdr:cNvPr id="7170" name="BoutonSaisirDotation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2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2000" b="0" i="0" u="none" strike="noStrike" baseline="0">
                  <a:solidFill>
                    <a:srgbClr val="333399"/>
                  </a:solidFill>
                  <a:latin typeface="Aptos Narrow"/>
                </a:rPr>
                <a:t>Saisir une dotation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0</xdr:row>
          <xdr:rowOff>66675</xdr:rowOff>
        </xdr:from>
        <xdr:to>
          <xdr:col>1</xdr:col>
          <xdr:colOff>428625</xdr:colOff>
          <xdr:row>0</xdr:row>
          <xdr:rowOff>838200</xdr:rowOff>
        </xdr:to>
        <xdr:sp macro="" textlink="">
          <xdr:nvSpPr>
            <xdr:cNvPr id="5122" name="Retour Accueil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2000" b="0" i="0" u="none" strike="noStrike" baseline="0">
                  <a:solidFill>
                    <a:srgbClr val="333399"/>
                  </a:solidFill>
                  <a:latin typeface="Aptos Narrow"/>
                </a:rPr>
                <a:t>Revenir à l'Accueil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552450</xdr:colOff>
          <xdr:row>0</xdr:row>
          <xdr:rowOff>57150</xdr:rowOff>
        </xdr:from>
        <xdr:to>
          <xdr:col>4</xdr:col>
          <xdr:colOff>200025</xdr:colOff>
          <xdr:row>0</xdr:row>
          <xdr:rowOff>838200</xdr:rowOff>
        </xdr:to>
        <xdr:sp macro="" textlink="">
          <xdr:nvSpPr>
            <xdr:cNvPr id="5125" name="BoutonSaisirRéappro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4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2000" b="0" i="0" u="none" strike="noStrike" baseline="0">
                  <a:solidFill>
                    <a:srgbClr val="333399"/>
                  </a:solidFill>
                  <a:latin typeface="Aptos Narrow"/>
                </a:rPr>
                <a:t>Saisir Réapprovisionnement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161925</xdr:colOff>
          <xdr:row>0</xdr:row>
          <xdr:rowOff>76200</xdr:rowOff>
        </xdr:from>
        <xdr:to>
          <xdr:col>1</xdr:col>
          <xdr:colOff>1409700</xdr:colOff>
          <xdr:row>0</xdr:row>
          <xdr:rowOff>361950</xdr:rowOff>
        </xdr:to>
        <xdr:sp macro="" textlink="">
          <xdr:nvSpPr>
            <xdr:cNvPr id="6146" name="Retour Accueil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5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419100</xdr:colOff>
          <xdr:row>0</xdr:row>
          <xdr:rowOff>85725</xdr:rowOff>
        </xdr:from>
        <xdr:to>
          <xdr:col>2</xdr:col>
          <xdr:colOff>514350</xdr:colOff>
          <xdr:row>0</xdr:row>
          <xdr:rowOff>466725</xdr:rowOff>
        </xdr:to>
        <xdr:sp macro="" textlink="">
          <xdr:nvSpPr>
            <xdr:cNvPr id="4098" name="Retour Accueil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7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2000" b="0" i="0" u="none" strike="noStrike" baseline="0">
                  <a:solidFill>
                    <a:srgbClr val="333399"/>
                  </a:solidFill>
                  <a:latin typeface="Aptos Narrow"/>
                </a:rPr>
                <a:t>Revenir à l'Accueil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0</xdr:row>
          <xdr:rowOff>85725</xdr:rowOff>
        </xdr:from>
        <xdr:to>
          <xdr:col>6</xdr:col>
          <xdr:colOff>19050</xdr:colOff>
          <xdr:row>0</xdr:row>
          <xdr:rowOff>466725</xdr:rowOff>
        </xdr:to>
        <xdr:sp macro="" textlink="">
          <xdr:nvSpPr>
            <xdr:cNvPr id="4100" name="BoutonSaisirDotation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7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2000" b="0" i="0" u="none" strike="noStrike" baseline="0">
                  <a:solidFill>
                    <a:srgbClr val="333399"/>
                  </a:solidFill>
                  <a:latin typeface="Aptos Narrow"/>
                </a:rPr>
                <a:t>Saisir une dotation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948B625-2186-407F-9A39-D7766EE234DD}" name="Tab_DOTATION" displayName="Tab_DOTATION" ref="A2:F3" insertRow="1" insertRowShift="1" totalsRowShown="0" headerRowDxfId="166" dataDxfId="164" headerRowBorderDxfId="165" tableBorderDxfId="163" totalsRowBorderDxfId="162">
  <autoFilter ref="A2:F3" xr:uid="{97CD58E9-EF2A-41C4-92FC-4B589FE8A5F0}"/>
  <tableColumns count="6">
    <tableColumn id="1" xr3:uid="{3D564B27-E796-4C03-8647-58F274A3F2CB}" name="Date" dataDxfId="161"/>
    <tableColumn id="2" xr3:uid="{E668CB7F-1FA8-4030-94FE-A8BE631365A9}" name="Nom" dataDxfId="160"/>
    <tableColumn id="3" xr3:uid="{F48D7D79-CD2C-4F6C-AB4F-533F5250F587}" name="Prénom" dataDxfId="159"/>
    <tableColumn id="4" xr3:uid="{23740B77-0141-41BD-B3A4-E78AC0B91FC0}" name="Désignation" dataDxfId="158"/>
    <tableColumn id="5" xr3:uid="{E8C3C9A2-3512-426C-8B43-3375A9D63E5F}" name="Taille" dataDxfId="157"/>
    <tableColumn id="6" xr3:uid="{94210941-8728-40C3-925C-2F76257DC40F}" name="Qté" dataDxfId="15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FD55247-4887-43B2-B112-480A359B6799}" name="Tab_REAPPRO" displayName="Tab_REAPPRO" ref="A2:CO3" insertRow="1" insertRowShift="1" totalsRowShown="0" headerRowDxfId="155" dataDxfId="153" headerRowBorderDxfId="154" tableBorderDxfId="152" totalsRowBorderDxfId="151">
  <autoFilter ref="A2:CO3" xr:uid="{FFD55247-4887-43B2-B112-480A359B6799}"/>
  <tableColumns count="93">
    <tableColumn id="1" xr3:uid="{F098AA14-2E0B-4B81-B3C1-2A3455BB9F1A}" name="Date" dataDxfId="150"/>
    <tableColumn id="2" xr3:uid="{0A41D429-6041-4854-9381-3A36EE8A29C6}" name="Veste treillis 36/38" dataDxfId="149"/>
    <tableColumn id="3" xr3:uid="{89BBFCF3-CB1D-425E-9FD7-E5576C2C8FA0}" name="Veste treillis 38/40" dataDxfId="148"/>
    <tableColumn id="4" xr3:uid="{2DF6CAE7-6EDB-44D5-B950-110344F35CF9}" name="Veste treillis 40/42" dataDxfId="147"/>
    <tableColumn id="5" xr3:uid="{67EC53D5-73A4-42EB-8EF9-E48E55746EDC}" name="Veste treillis 42/44" dataDxfId="146"/>
    <tableColumn id="6" xr3:uid="{3BB609AB-D615-4061-BEA0-9A5E18E261BB}" name="Veste treillis 44/46" dataDxfId="145"/>
    <tableColumn id="7" xr3:uid="{5BD79F4B-CD83-47DD-9E97-BC40638F327F}" name="Veste treillis 46/48" dataDxfId="144"/>
    <tableColumn id="8" xr3:uid="{724A2132-EEDC-43FB-B479-90E06B0CC359}" name="Veste treillis 48/50" dataDxfId="143"/>
    <tableColumn id="9" xr3:uid="{1F094D90-0E65-4B53-8D84-D4796385E2C5}" name="Veste treillis 50/52" dataDxfId="142"/>
    <tableColumn id="10" xr3:uid="{2A2BAEBE-9C5B-4603-B028-6F782CD9977D}" name="Veste treillis 52/54" dataDxfId="141"/>
    <tableColumn id="11" xr3:uid="{C129A7AD-553C-41D4-9DA0-8DA91439E83B}" name="Veste treillis 54/56" dataDxfId="140"/>
    <tableColumn id="12" xr3:uid="{E7165C5E-7E44-4F5E-B4EE-D97CAAAA626C}" name="Veste treillis 56/58" dataDxfId="139"/>
    <tableColumn id="13" xr3:uid="{27DC129A-234C-4DBA-92D3-DC5C06DFCC6C}" name="Veste treillis 58/60" dataDxfId="138"/>
    <tableColumn id="14" xr3:uid="{F5B1A50C-310C-443F-951E-BE8854A084EB}" name="Veste treillis 60/62" dataDxfId="137"/>
    <tableColumn id="15" xr3:uid="{34D9FBEE-A9F2-4757-A385-1547316212AA}" name="Veste treillis 62/64" dataDxfId="136"/>
    <tableColumn id="16" xr3:uid="{0946FD8B-6861-407C-8F75-1BC6E6596533}" name="Veste treillis 64/66" dataDxfId="135"/>
    <tableColumn id="17" xr3:uid="{638AA24A-BE3C-41C1-B211-2BFC7AFE28A4}" name="Parka S" dataDxfId="134"/>
    <tableColumn id="18" xr3:uid="{2E1BD93A-4F75-4B83-8FD3-89EE447AF935}" name="Parka M" dataDxfId="133"/>
    <tableColumn id="19" xr3:uid="{D5AE8F80-1297-46E4-8E9A-2B1FDF322E6B}" name="Parka L" dataDxfId="132"/>
    <tableColumn id="20" xr3:uid="{BC105C34-2AED-4D55-8931-5582D488FD0A}" name="Parka XL" dataDxfId="131"/>
    <tableColumn id="21" xr3:uid="{08AB223E-4EB6-468E-AA00-C9A96455B24B}" name="Parka XXL" dataDxfId="130"/>
    <tableColumn id="22" xr3:uid="{134613D7-9DA5-490C-A917-8D00173FA9ED}" name="Parka XXXL" dataDxfId="129"/>
    <tableColumn id="23" xr3:uid="{63FD0872-0116-47BF-A6CE-CE67A99C2BAA}" name="Parka XXXXL" dataDxfId="128"/>
    <tableColumn id="24" xr3:uid="{EE6B3D9E-F581-4BB5-A5D3-35A5E8BFFB98}" name="Parka XXXXXL" dataDxfId="127"/>
    <tableColumn id="25" xr3:uid="{1A7BDCA0-A8FA-423D-A621-FF2EACE00B21}" name="Veste polaire S" dataDxfId="126"/>
    <tableColumn id="26" xr3:uid="{D3A29733-A761-4CC9-8CC9-CA099E6FD491}" name="Veste polaire M" dataDxfId="125"/>
    <tableColumn id="27" xr3:uid="{F3AF5DC9-E905-43F4-AC93-92846EF3BE5E}" name="Veste polaire L" dataDxfId="124"/>
    <tableColumn id="28" xr3:uid="{2D26BD30-85FF-4123-9E49-2080B058F53A}" name="Veste polaire XL" dataDxfId="123"/>
    <tableColumn id="29" xr3:uid="{2FB7E9A6-67ED-47CE-8EB4-BAFABF25EB38}" name="Veste polaire XXL" dataDxfId="122"/>
    <tableColumn id="30" xr3:uid="{41F11E2D-1622-4EFD-8BDF-889665A1F8FC}" name="Veste polaire XXXL" dataDxfId="121"/>
    <tableColumn id="31" xr3:uid="{0239EA25-B170-4538-923D-BF04F71ADC5D}" name="Veste polaire XXXXL" dataDxfId="120"/>
    <tableColumn id="32" xr3:uid="{BE387A9F-954D-45D7-9D96-EA9362DDDD90}" name="Veste polaire XXXXXL" dataDxfId="119"/>
    <tableColumn id="33" xr3:uid="{17895A82-E733-4CD0-AEA1-DAE3E84F636E}" name="Tee shirt orange S" dataDxfId="118"/>
    <tableColumn id="34" xr3:uid="{2016E529-E282-440B-B50E-EF9CE7DCC7DE}" name="Tee shirt orange M" dataDxfId="117"/>
    <tableColumn id="35" xr3:uid="{341C6EEE-AE88-4E29-83DE-EABFA5C9590E}" name="Tee shirt orange L" dataDxfId="116"/>
    <tableColumn id="36" xr3:uid="{73973325-515D-4E0D-96BB-1C9AD48E1F96}" name="Tee shirt orange XL" dataDxfId="115"/>
    <tableColumn id="37" xr3:uid="{EC16F4EF-6AEB-4FB7-830A-4DC40761C75E}" name="Tee shirt orange XXL" dataDxfId="114"/>
    <tableColumn id="38" xr3:uid="{521EBEF3-00B0-451C-A331-A2D867B72858}" name="Tee shirt orange XXXL" dataDxfId="113"/>
    <tableColumn id="39" xr3:uid="{D1FE567B-430B-48E1-AB86-9F1C001AC233}" name="Tee shirt orange XXXXL" dataDxfId="112"/>
    <tableColumn id="40" xr3:uid="{DF585E00-CBF2-40BF-BF27-2029354F5569}" name="Tee shirt orange XXXXXL" dataDxfId="111"/>
    <tableColumn id="41" xr3:uid="{ECB47EC6-3B97-4F82-A236-52085ADFA46B}" name="Tee shirt bleu S" dataDxfId="110"/>
    <tableColumn id="42" xr3:uid="{0256F215-DD25-4433-8AA4-6FB12FA86394}" name="Tee shirt bleu M" dataDxfId="109"/>
    <tableColumn id="43" xr3:uid="{CAA44A05-56DE-4107-9A65-011E763D22BD}" name="Tee shirt bleu L" dataDxfId="108"/>
    <tableColumn id="44" xr3:uid="{C83ED6E2-1A7A-4DB1-907E-ECB0D7FEED1F}" name="Tee shirt bleu XL" dataDxfId="107"/>
    <tableColumn id="45" xr3:uid="{E49350F3-0655-4736-B442-3C9465C397A6}" name="Tee shirt bleu XXL" dataDxfId="106"/>
    <tableColumn id="46" xr3:uid="{60B7731E-8049-415D-A68B-4AD21B9C0FF4}" name="Tee shirt bleu XXXL" dataDxfId="105"/>
    <tableColumn id="47" xr3:uid="{420FC768-C858-4E11-BB9D-3492DEF36D59}" name="Tee shirt bleu XXXXL" dataDxfId="104"/>
    <tableColumn id="48" xr3:uid="{7A87C868-34A2-4479-B32C-5928BA639513}" name="Tee shirt bleu XXXXXL" dataDxfId="103"/>
    <tableColumn id="49" xr3:uid="{A0B1A0E6-5FBD-449A-A4D7-7A9F7182E987}" name="Chemise F1 S" dataDxfId="102"/>
    <tableColumn id="50" xr3:uid="{66AF4C56-F9FB-4730-BD0C-53A43C44745C}" name="Chemise F1 M" dataDxfId="101"/>
    <tableColumn id="51" xr3:uid="{10087C8D-4E10-4144-B126-BF71DE87F8E2}" name="Chemise F1 L" dataDxfId="100"/>
    <tableColumn id="52" xr3:uid="{BC416B1F-EA79-48A8-901B-2D48F6976B31}" name="Chemise F1 XL" dataDxfId="99"/>
    <tableColumn id="53" xr3:uid="{608BC96A-E863-43D3-BF8B-17181409D50C}" name="Chemise F1 XXL" dataDxfId="98"/>
    <tableColumn id="54" xr3:uid="{55E0AC31-05EF-4E5B-855D-1B32F4CDAE03}" name="Chemise F1 XXXL" dataDxfId="97"/>
    <tableColumn id="55" xr3:uid="{272689B9-CB89-4C10-A179-47B18B8A74EE}" name="Chemise F1 XXXXL" dataDxfId="96"/>
    <tableColumn id="56" xr3:uid="{2463D136-AB70-4B7A-831B-70FDCD8B1A60}" name="Chemise F1 XXXXXL" dataDxfId="95"/>
    <tableColumn id="57" xr3:uid="{7F52ECE6-03DB-4D73-8921-8A323DF02B6F}" name="Pantalon treillis 36" dataDxfId="94"/>
    <tableColumn id="58" xr3:uid="{05D7D6B3-689C-4D3F-B5C4-78D7B510FD51}" name="Pantalon treillis 38" dataDxfId="93"/>
    <tableColumn id="59" xr3:uid="{46B3DC2D-0547-420E-B897-E080432ACA77}" name="Pantalon treillis 40" dataDxfId="92"/>
    <tableColumn id="60" xr3:uid="{E771E2F0-860B-48B7-B652-FFDBE60C06F2}" name="Pantalon treillis 42" dataDxfId="91"/>
    <tableColumn id="61" xr3:uid="{8E075C3A-16DD-4673-BEE3-91B9C910D531}" name="Pantalon treillis 44" dataDxfId="90"/>
    <tableColumn id="62" xr3:uid="{2D707D8D-4640-4D32-B8A0-F18F60079FCA}" name="Pantalon treillis 46" dataDxfId="89"/>
    <tableColumn id="63" xr3:uid="{FF34599D-7DCA-44C4-BE7C-5668CA8F0BF3}" name="Pantalon treillis 48" dataDxfId="88"/>
    <tableColumn id="64" xr3:uid="{254193F6-3AE4-4E1E-9AC6-319F66AFFC1A}" name="Pantalon treillis 50" dataDxfId="87"/>
    <tableColumn id="65" xr3:uid="{8D92C576-8226-4656-AE7D-403431E188D0}" name="Panatalon treillis 52" dataDxfId="86"/>
    <tableColumn id="66" xr3:uid="{C5DCE9A2-9C56-4C26-A20F-F99ABD7AB536}" name="Pantalon treillis 54" dataDxfId="85"/>
    <tableColumn id="67" xr3:uid="{C21EDA45-CCC0-4B30-952A-22E896CFECA5}" name="Pantalon treillis 56" dataDxfId="84"/>
    <tableColumn id="68" xr3:uid="{0F0714A3-1F2F-45B4-82E0-21D5F80BBC1E}" name="Pantalon treillis 58" dataDxfId="83"/>
    <tableColumn id="69" xr3:uid="{E4528701-D342-448C-BEF2-26CDEAA2C7CD}" name="Pantalon treillis 60" dataDxfId="82"/>
    <tableColumn id="70" xr3:uid="{12C12CD0-F292-4BB8-AAFA-840794FA957E}" name="Pantalon treillis 62" dataDxfId="81"/>
    <tableColumn id="71" xr3:uid="{31DBC86B-449D-4278-B97F-01CF4D23F3C5}" name="Chaussures d'intervention 36" dataDxfId="80"/>
    <tableColumn id="72" xr3:uid="{109FB9E4-D195-4C6F-983A-14D57C7D1FD5}" name="Chaussures d'intervention 37" dataDxfId="79"/>
    <tableColumn id="73" xr3:uid="{D869CAC1-C6FC-4674-9A06-A2502D4F2D62}" name="Chaussures d'intervention 38" dataDxfId="78"/>
    <tableColumn id="74" xr3:uid="{A8CB292D-C108-4EC3-8F88-6DE01CC7BB23}" name="Chaussures d'intervention 39" dataDxfId="77"/>
    <tableColumn id="75" xr3:uid="{5D2E6A6A-7D51-4691-BD0E-97D9EECACEC6}" name="Chaussures d'intervention 40" dataDxfId="76"/>
    <tableColumn id="76" xr3:uid="{5B0F232C-40D5-437F-BE1E-E089E2CF1832}" name="Chaussures d'intervention 41" dataDxfId="75"/>
    <tableColumn id="77" xr3:uid="{7997BEA6-73D0-4437-A6B3-1394581995DD}" name="Chaussures d'intervention 42" dataDxfId="74"/>
    <tableColumn id="78" xr3:uid="{03143C50-B5EB-4F48-BCBA-5E28F2F91466}" name="Chaussures d'intervention 43" dataDxfId="73"/>
    <tableColumn id="79" xr3:uid="{24321366-C748-408E-A040-E6AFCD5680D4}" name="Chaussures d'intervention 44" dataDxfId="72"/>
    <tableColumn id="80" xr3:uid="{3958CCA7-2CD1-4CCC-A5AC-5573AA937626}" name="Chaussures d'intervention 45" dataDxfId="71"/>
    <tableColumn id="81" xr3:uid="{B635B60F-C160-4D71-AF1E-A4ACBE8870DB}" name="Casquette d'intervention" dataDxfId="70"/>
    <tableColumn id="82" xr3:uid="{1072F267-8359-4387-B436-C127D24F3610}" name="Casquette de cérémonie" dataDxfId="69"/>
    <tableColumn id="83" xr3:uid="{3BFAD789-FFE3-4557-88FC-74869C6F92C6}" name="Bonnet" dataDxfId="68"/>
    <tableColumn id="84" xr3:uid="{75E09CDF-0EA8-41D4-B00F-D18CC6AE9367}" name="Ceinture bleue" dataDxfId="67"/>
    <tableColumn id="85" xr3:uid="{556C554D-386E-407A-AE65-96A2451A25D2}" name="Cagoule Feu" dataDxfId="66"/>
    <tableColumn id="86" xr3:uid="{B8A7BF7B-ECC7-4DF9-8A71-FB03773BF8FE}" name="Gants Feu" dataDxfId="65"/>
    <tableColumn id="87" xr3:uid="{621053CA-1D7B-4C97-A6FF-7AF6B46B4047}" name="Ceinturon" dataDxfId="64"/>
    <tableColumn id="88" xr3:uid="{53134CE6-CBC7-43D3-B15C-5295E2950123}" name="Pantalon Pluie" dataDxfId="63"/>
    <tableColumn id="89" xr3:uid="{0A8BDC40-EF8F-4900-B47B-60D3FD517AA8}" name="Veste Pluie S" dataDxfId="62"/>
    <tableColumn id="90" xr3:uid="{1C008B52-6BEF-49C2-989E-249B1C125A3F}" name="Veste pluie M" dataDxfId="61"/>
    <tableColumn id="91" xr3:uid="{3148B6AC-863A-4AD7-A081-48C117D6374D}" name="Veste Pluie L" dataDxfId="60"/>
    <tableColumn id="92" xr3:uid="{36D6E82B-65CE-4B89-947E-47E28D43FFEE}" name="Veste pluie XL" dataDxfId="59"/>
    <tableColumn id="93" xr3:uid="{C1A14524-65CD-4F8D-9F17-CC547D8F5AC0}" name="Veste pluie XXL" dataDxfId="5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6C2DE0-78E4-4A5A-A7E7-97436F594ADA}" name="Tab_TVESTT" displayName="Tab_TVESTT" ref="H2:H17" totalsRowShown="0" headerRowDxfId="57" dataDxfId="56">
  <autoFilter ref="H2:H17" xr:uid="{826C2DE0-78E4-4A5A-A7E7-97436F594ADA}"/>
  <tableColumns count="1">
    <tableColumn id="1" xr3:uid="{59FD276C-014F-4841-AADA-7E2897011951}" name="Tailles veste treillis" dataDxfId="55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4BA43E-CF2A-4939-AAC8-68B0A3D06DF8}" name="Tab_TINTER" displayName="Tab_TINTER" ref="J2:J10" totalsRowShown="0" headerRowDxfId="54" dataDxfId="53">
  <autoFilter ref="J2:J10" xr:uid="{F74BA43E-CF2A-4939-AAC8-68B0A3D06DF8}"/>
  <tableColumns count="1">
    <tableColumn id="1" xr3:uid="{8898EBEF-3A1F-441D-8C85-15B79BF30204}" name="Tailles internationales" dataDxfId="52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9DFAFA7-D4CB-4CD9-955C-C7D9D3C61F75}" name="Tab_TFRANCE" displayName="Tab_TFRANCE" ref="L2:L12" totalsRowShown="0" headerRowDxfId="51" dataDxfId="50">
  <autoFilter ref="L2:L12" xr:uid="{F9DFAFA7-D4CB-4CD9-955C-C7D9D3C61F75}"/>
  <tableColumns count="1">
    <tableColumn id="1" xr3:uid="{5EF956BB-88A6-4748-BF0B-6EFB68222A34}" name="Tailles françaises" dataDxfId="49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72B5103-B33A-4ECC-AD86-3FDF48FDF202}" name="Tab_POINTURES" displayName="Tab_POINTURES" ref="N2:N13" totalsRowShown="0" headerRowDxfId="48" dataDxfId="47">
  <autoFilter ref="N2:N13" xr:uid="{072B5103-B33A-4ECC-AD86-3FDF48FDF202}"/>
  <tableColumns count="1">
    <tableColumn id="1" xr3:uid="{BD162989-DED9-43FA-BD1A-593E839B66CC}" name="Pointures" dataDxfId="46"/>
  </tableColumns>
  <tableStyleInfo name="TableStyleMedium4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7CFA997-19FA-4DA3-B289-77659DB06E05}" name="Tab_EQPMT" displayName="Tab_EQPMT" ref="B2:B10" totalsRowShown="0" headerRowDxfId="45" dataDxfId="44">
  <autoFilter ref="B2:B10" xr:uid="{37CFA997-19FA-4DA3-B289-77659DB06E05}"/>
  <tableColumns count="1">
    <tableColumn id="1" xr3:uid="{66EFDE3A-6A09-4FB3-9B83-A357393E18A5}" name="Equipements Base" dataDxfId="43"/>
  </tableColumns>
  <tableStyleInfo name="TableStyleMedium4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1CB72A4-B6F1-4000-8448-0B2B4B7508A4}" name="Tab_EQPMTPluie" displayName="Tab_EQPMTPluie" ref="D2:D4" totalsRowShown="0" headerRowDxfId="42" dataDxfId="41">
  <autoFilter ref="D2:D4" xr:uid="{F1CB72A4-B6F1-4000-8448-0B2B4B7508A4}"/>
  <tableColumns count="1">
    <tableColumn id="1" xr3:uid="{ACF82C72-0B93-4175-AEEB-1CCDD7D9F21B}" name="Equipements Pluie" dataDxfId="40"/>
  </tableColumns>
  <tableStyleInfo name="TableStyleMedium4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2DFAF17-8B05-438C-A62A-9D3F4C3D300A}" name="Tab_ACCESSOIRES" displayName="Tab_ACCESSOIRES" ref="F2:F9" totalsRowShown="0" headerRowDxfId="39" dataDxfId="38">
  <autoFilter ref="F2:F9" xr:uid="{F2DFAF17-8B05-438C-A62A-9D3F4C3D300A}"/>
  <tableColumns count="1">
    <tableColumn id="1" xr3:uid="{106D6B64-4A8D-48EC-B2A1-DE73F1E952F0}" name="Accessoires" dataDxfId="37"/>
  </tableColumns>
  <tableStyleInfo name="TableStyleMedium4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3AEE096-B0E6-42B6-9CF7-B853BEFB43CB}" name="Tab_QTE" displayName="Tab_QTE" ref="P2:P7" totalsRowShown="0" headerRowDxfId="36" dataDxfId="35">
  <autoFilter ref="P2:P7" xr:uid="{33AEE096-B0E6-42B6-9CF7-B853BEFB43CB}"/>
  <tableColumns count="1">
    <tableColumn id="1" xr3:uid="{2D613EB6-3F8B-4672-BCFB-E20E98F23417}" name="Quantité" dataDxfId="34"/>
  </tableColumns>
  <tableStyleInfo name="TableStyleMedium4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7CD58E9-EF2A-41C4-92FC-4B589FE8A5F0}" name="Tab_DOTATIONOLD" displayName="Tab_DOTATIONOLD" ref="A2:V3" insertRow="1" insertRowShift="1" totalsRowShown="0" headerRowDxfId="33" dataDxfId="31" headerRowBorderDxfId="32" tableBorderDxfId="30" totalsRowBorderDxfId="29">
  <autoFilter ref="A2:V3" xr:uid="{97CD58E9-EF2A-41C4-92FC-4B589FE8A5F0}"/>
  <tableColumns count="22">
    <tableColumn id="1" xr3:uid="{5EE713B8-F97F-472D-97AB-07B07C59C7DE}" name="Date" dataDxfId="28"/>
    <tableColumn id="2" xr3:uid="{1A0462C5-7B2F-4282-8B34-D3B416D4D62D}" name="Nom" dataDxfId="27"/>
    <tableColumn id="3" xr3:uid="{C25F1434-CF8B-456A-841A-CF06B6450DEC}" name="Prénom" dataDxfId="26"/>
    <tableColumn id="4" xr3:uid="{0A2DCDA4-830E-4D0D-A288-2FFBD5A06054}" name="Veste Treillis" dataDxfId="25"/>
    <tableColumn id="5" xr3:uid="{4BBCF395-DE2F-401F-BD25-0157720CBF8A}" name="Parka" dataDxfId="24"/>
    <tableColumn id="6" xr3:uid="{27DDA865-95EF-4062-A065-A35152CBF94B}" name="Veste_x000a_Polaire" dataDxfId="23"/>
    <tableColumn id="7" xr3:uid="{2C6D352A-EF84-4FF5-967F-C18B31D58CFE}" name="Tee Shirt _x000a_Orange" dataDxfId="22"/>
    <tableColumn id="8" xr3:uid="{856DFD5D-70C0-4795-A4EA-F5A46744D176}" name="Qté" dataDxfId="21"/>
    <tableColumn id="9" xr3:uid="{2603BA7A-2F1D-4C78-AB16-FEF7D39B0039}" name="Tee Shirt _x000a_Bleu" dataDxfId="20"/>
    <tableColumn id="10" xr3:uid="{601918B9-5971-4FCA-AC20-9E4E6ED18B52}" name="Qté2" dataDxfId="19"/>
    <tableColumn id="11" xr3:uid="{4C5E4D43-3E4F-41C0-A672-E803E6969DE1}" name="Chemise F1" dataDxfId="18"/>
    <tableColumn id="12" xr3:uid="{9D468A8E-D316-4F0D-8137-662BE6EB5CF0}" name="Qté3" dataDxfId="17"/>
    <tableColumn id="13" xr3:uid="{6F78D772-94C3-4FCC-86E4-662CF8F3BA12}" name="Pantalon_x000a_Treillis" dataDxfId="16"/>
    <tableColumn id="14" xr3:uid="{33470612-5C7B-4BF3-83EA-FA13EDD8AEAE}" name="Qté4" dataDxfId="15"/>
    <tableColumn id="15" xr3:uid="{99895E96-201C-4F7E-9F70-91C5717E3E62}" name="Chaussures_x000a_d'intervention" dataDxfId="14"/>
    <tableColumn id="16" xr3:uid="{4008B84B-457E-4E1C-B260-2B14CFDF3492}" name="Casquette_x000a_d'intervention" dataDxfId="13"/>
    <tableColumn id="17" xr3:uid="{63D1FFC1-A943-42B1-BBE6-9257C9503C4A}" name="Casquette_x000a_de cérémonie" dataDxfId="12"/>
    <tableColumn id="18" xr3:uid="{0220420C-8E4C-42D0-AF10-2DDE222EA0A1}" name="Bonnet" dataDxfId="11"/>
    <tableColumn id="19" xr3:uid="{0BB5F1E4-557F-4030-BFC8-E26E2765DC58}" name="Ceinture_x000a_Bleue" dataDxfId="10"/>
    <tableColumn id="20" xr3:uid="{2B9F0ED4-0F26-48AA-829B-5081F3013782}" name="Cagoule_x000a_Feu " dataDxfId="9"/>
    <tableColumn id="21" xr3:uid="{5885D826-6D0D-4F35-9F41-E1CFADCDA336}" name="Gants_x000a_Feu" dataDxfId="8"/>
    <tableColumn id="22" xr3:uid="{6D72833D-67D6-44CB-87A8-4198D2E44051}" name="Ceinturon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8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ctrlProp" Target="../ctrlProps/ctrlProp9.xml"/><Relationship Id="rId7" Type="http://schemas.openxmlformats.org/officeDocument/2006/relationships/table" Target="../tables/table6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5" Type="http://schemas.openxmlformats.org/officeDocument/2006/relationships/table" Target="../tables/table11.xml"/><Relationship Id="rId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74E6F-43CC-4053-A3E2-2BD7BD43CF75}">
  <sheetPr codeName="Feuil1"/>
  <dimension ref="A1"/>
  <sheetViews>
    <sheetView workbookViewId="0">
      <selection activeCell="B19" sqref="B19"/>
    </sheetView>
  </sheetViews>
  <sheetFormatPr baseColWidth="10" defaultRowHeight="15" x14ac:dyDescent="0.25"/>
  <sheetData/>
  <sheetProtection selectLockedCells="1" selectUn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outonStock">
              <controlPr defaultSize="0" print="0" autoFill="0" autoPict="0" macro="[0]!StockClic">
                <anchor>
                  <from>
                    <xdr:col>0</xdr:col>
                    <xdr:colOff>152400</xdr:colOff>
                    <xdr:row>1</xdr:row>
                    <xdr:rowOff>9525</xdr:rowOff>
                  </from>
                  <to>
                    <xdr:col>3</xdr:col>
                    <xdr:colOff>742950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outonDotation">
              <controlPr defaultSize="0" print="0" autoFill="0" autoPict="0" macro="[0]!DotationClic">
                <anchor moveWithCells="1" sizeWithCells="1">
                  <from>
                    <xdr:col>4</xdr:col>
                    <xdr:colOff>266700</xdr:colOff>
                    <xdr:row>1</xdr:row>
                    <xdr:rowOff>9525</xdr:rowOff>
                  </from>
                  <to>
                    <xdr:col>8</xdr:col>
                    <xdr:colOff>95250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outonReappro">
              <controlPr defaultSize="0" print="0" autoFill="0" autoPict="0" macro="[0]!RéapproClic">
                <anchor moveWithCells="1" sizeWithCells="1">
                  <from>
                    <xdr:col>8</xdr:col>
                    <xdr:colOff>371475</xdr:colOff>
                    <xdr:row>0</xdr:row>
                    <xdr:rowOff>180975</xdr:rowOff>
                  </from>
                  <to>
                    <xdr:col>12</xdr:col>
                    <xdr:colOff>200025</xdr:colOff>
                    <xdr:row>8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F8E3E-1046-4CA7-92B9-E5EA52676A21}">
  <sheetPr codeName="Feuil2"/>
  <dimension ref="A1:P32"/>
  <sheetViews>
    <sheetView topLeftCell="A14" workbookViewId="0">
      <selection activeCell="P5" sqref="P5"/>
    </sheetView>
  </sheetViews>
  <sheetFormatPr baseColWidth="10" defaultRowHeight="15" x14ac:dyDescent="0.25"/>
  <cols>
    <col min="1" max="1" width="24.140625" bestFit="1" customWidth="1"/>
    <col min="2" max="2" width="15.5703125" bestFit="1" customWidth="1"/>
    <col min="3" max="7" width="5.7109375" bestFit="1" customWidth="1"/>
    <col min="8" max="8" width="6.42578125" bestFit="1" customWidth="1"/>
    <col min="9" max="9" width="7.5703125" bestFit="1" customWidth="1"/>
    <col min="10" max="16" width="5.7109375" bestFit="1" customWidth="1"/>
    <col min="17" max="17" width="15.28515625" customWidth="1"/>
  </cols>
  <sheetData>
    <row r="1" spans="1:16" hidden="1" x14ac:dyDescent="0.25">
      <c r="A1" s="7" t="s">
        <v>0</v>
      </c>
      <c r="B1" s="8">
        <v>0</v>
      </c>
    </row>
    <row r="2" spans="1:16" ht="63.75" x14ac:dyDescent="1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</row>
    <row r="3" spans="1:16" ht="18.75" customHeight="1" x14ac:dyDescent="1">
      <c r="A3" s="13">
        <f ca="1">TODAY()</f>
        <v>45659</v>
      </c>
      <c r="F3" s="1"/>
      <c r="G3" s="1"/>
      <c r="H3" s="1"/>
      <c r="I3" s="1"/>
      <c r="J3" s="1"/>
      <c r="K3" s="1"/>
      <c r="L3" s="1"/>
      <c r="M3" s="1"/>
    </row>
    <row r="4" spans="1:16" ht="15.75" customHeight="1" x14ac:dyDescent="0.25"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  <c r="M4" s="8" t="s">
        <v>14</v>
      </c>
      <c r="N4" s="8" t="s">
        <v>15</v>
      </c>
      <c r="O4" s="8" t="s">
        <v>16</v>
      </c>
      <c r="P4" s="8" t="s">
        <v>17</v>
      </c>
    </row>
    <row r="5" spans="1:16" x14ac:dyDescent="0.25">
      <c r="A5" s="9" t="s">
        <v>2</v>
      </c>
      <c r="B5" s="8" t="e">
        <f>'Inventaire du 101242'!B2- COUNTIF(Dotation_old!D4:D49987,"36/38")+Réappro!#REF!</f>
        <v>#REF!</v>
      </c>
      <c r="C5" s="8" t="e">
        <f>'Inventaire du 101242'!C2- COUNTIF(Dotation_old!D4:D49987,"38/40")+Réappro!#REF!</f>
        <v>#REF!</v>
      </c>
      <c r="D5" s="8" t="e">
        <f>'Inventaire du 101242'!D2- COUNTIF(Dotation_old!D4:D49987,"40/42")+Réappro!#REF!</f>
        <v>#REF!</v>
      </c>
      <c r="E5" s="8" t="e">
        <f>'Inventaire du 101242'!E2- COUNTIF(Dotation_old!D4:D49987,"42/44")+Réappro!#REF!</f>
        <v>#REF!</v>
      </c>
      <c r="F5" s="8" t="e">
        <f>'Inventaire du 101242'!F2- COUNTIF(Dotation_old!D4:D49987,"44/46")+Réappro!#REF!</f>
        <v>#REF!</v>
      </c>
      <c r="G5" s="8" t="e">
        <f>'Inventaire du 101242'!G2- COUNTIF(Dotation_old!D4:D49987,"46/48")+Réappro!#REF!</f>
        <v>#REF!</v>
      </c>
      <c r="H5" s="8" t="e">
        <f>'Inventaire du 101242'!H2- COUNTIF(Dotation_old!D4:D49987,"48/50")+Réappro!#REF!</f>
        <v>#REF!</v>
      </c>
      <c r="I5" s="8" t="e">
        <f>'Inventaire du 101242'!I2- COUNTIF(Dotation_old!D4:D49987,"50/52")+Réappro!#REF!</f>
        <v>#REF!</v>
      </c>
      <c r="J5" s="8" t="e">
        <f>'Inventaire du 101242'!J2- COUNTIF(Dotation_old!D4:D49987,"52/54")+Réappro!#REF!</f>
        <v>#REF!</v>
      </c>
      <c r="K5" s="8" t="e">
        <f>'Inventaire du 101242'!K2- COUNTIF(Dotation_old!D4:D49987,"54/56")+Réappro!#REF!</f>
        <v>#REF!</v>
      </c>
      <c r="L5" s="8" t="e">
        <f>'Inventaire du 101242'!L2- COUNTIF(Dotation_old!D4:D49987,"56/58")+Réappro!#REF!</f>
        <v>#REF!</v>
      </c>
      <c r="M5" s="8" t="e">
        <f>'Inventaire du 101242'!M2- COUNTIF(Dotation_old!D4:D49987,"58/60")+Réappro!#REF!</f>
        <v>#REF!</v>
      </c>
      <c r="N5" s="8" t="e">
        <f>'Inventaire du 101242'!N2- COUNTIF(Dotation_old!D4:D49987,"60/62")+Réappro!#REF!</f>
        <v>#REF!</v>
      </c>
      <c r="O5" s="8" t="e">
        <f>'Inventaire du 101242'!O2- COUNTIF(Dotation_old!D4:D49987,"62/64")+Réappro!#REF!</f>
        <v>#REF!</v>
      </c>
      <c r="P5" s="8" t="e">
        <f>'Inventaire du 101242'!P2- COUNTIF(Dotation_old!D4:D49987,"64/66")+Réappro!#REF!</f>
        <v>#REF!</v>
      </c>
    </row>
    <row r="6" spans="1:16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15.75" customHeight="1" x14ac:dyDescent="0.25">
      <c r="B7" s="8" t="s">
        <v>18</v>
      </c>
      <c r="C7" s="8" t="s">
        <v>19</v>
      </c>
      <c r="D7" s="8" t="s">
        <v>20</v>
      </c>
      <c r="E7" s="8" t="s">
        <v>21</v>
      </c>
      <c r="F7" s="8" t="s">
        <v>22</v>
      </c>
      <c r="G7" s="8" t="s">
        <v>23</v>
      </c>
      <c r="H7" s="8" t="s">
        <v>24</v>
      </c>
      <c r="I7" s="8" t="s">
        <v>25</v>
      </c>
    </row>
    <row r="8" spans="1:16" x14ac:dyDescent="0.25">
      <c r="A8" s="8" t="s">
        <v>26</v>
      </c>
      <c r="B8" s="8" t="e">
        <f>'Inventaire du 101242'!B5 - COUNTIF(Dotation_old!E4:E49987,"S")+Réappro!#REF!</f>
        <v>#REF!</v>
      </c>
      <c r="C8" s="8" t="e">
        <f>'Inventaire du 101242'!C5- COUNTIF(Dotation_old!E4:E49987,"M")+Réappro!#REF!</f>
        <v>#REF!</v>
      </c>
      <c r="D8" s="8" t="e">
        <f>'Inventaire du 101242'!D5- COUNTIF(Dotation_old!E4:E49987,"L")+Réappro!#REF!</f>
        <v>#REF!</v>
      </c>
      <c r="E8" s="8" t="e">
        <f>'Inventaire du 101242'!E5- COUNTIF(Dotation_old!E4:E49987,"XL")+Réappro!#REF!</f>
        <v>#REF!</v>
      </c>
      <c r="F8" s="8" t="e">
        <f>'Inventaire du 101242'!F5- COUNTIF(Dotation_old!E4:E49987,"XXL")+Réappro!#REF!</f>
        <v>#REF!</v>
      </c>
      <c r="G8" s="8" t="e">
        <f>'Inventaire du 101242'!G5- COUNTIF(Dotation_old!E4:E49987,"XXXL")+Réappro!#REF!</f>
        <v>#REF!</v>
      </c>
      <c r="H8" s="8" t="e">
        <f>'Inventaire du 101242'!H5- COUNTIF(Dotation_old!E4:E49987,"XXXXL")+Réappro!#REF!</f>
        <v>#REF!</v>
      </c>
      <c r="I8" s="8" t="e">
        <f>'Inventaire du 101242'!I5- COUNTIF(Dotation_old!E4:E49987,"XXXXXL")+Réappro!#REF!</f>
        <v>#REF!</v>
      </c>
    </row>
    <row r="9" spans="1:16" x14ac:dyDescent="0.25">
      <c r="A9" s="8" t="s">
        <v>27</v>
      </c>
      <c r="B9" s="8" t="e">
        <f>'Inventaire du 101242'!B6 - COUNTIF(Dotation_old!F4:F49987,"S")+Réappro!#REF!</f>
        <v>#REF!</v>
      </c>
      <c r="C9" s="8" t="e">
        <f>'Inventaire du 101242'!C6 - COUNTIF(Dotation_old!F4:F49987,"M")+Réappro!#REF!</f>
        <v>#REF!</v>
      </c>
      <c r="D9" s="8" t="e">
        <f>'Inventaire du 101242'!D6 - COUNTIF(Dotation_old!F4:F49987,"L")+Réappro!#REF!</f>
        <v>#REF!</v>
      </c>
      <c r="E9" s="8" t="e">
        <f>'Inventaire du 101242'!E6 - COUNTIF(Dotation_old!F4:F49987,"XL")+Réappro!#REF!</f>
        <v>#REF!</v>
      </c>
      <c r="F9" s="8" t="e">
        <f>'Inventaire du 101242'!F6 - COUNTIF(Dotation_old!F4:F49987,"XXL")+Réappro!#REF!</f>
        <v>#REF!</v>
      </c>
      <c r="G9" s="8" t="e">
        <f>'Inventaire du 101242'!G6 - COUNTIF(Dotation_old!F4:F49987,"XXXL")+Réappro!#REF!</f>
        <v>#REF!</v>
      </c>
      <c r="H9" s="8" t="e">
        <f>'Inventaire du 101242'!H6 - COUNTIF(Dotation_old!F4:F49987,"XXXXL")+Réappro!#REF!</f>
        <v>#REF!</v>
      </c>
      <c r="I9" s="8" t="e">
        <f>'Inventaire du 101242'!I6 - COUNTIF(Dotation_old!F4:F49987,"XXXXXL")+Réappro!#REF!</f>
        <v>#REF!</v>
      </c>
    </row>
    <row r="10" spans="1:16" x14ac:dyDescent="0.25">
      <c r="A10" s="8" t="s">
        <v>28</v>
      </c>
      <c r="B10" s="12" t="e">
        <f>'Inventaire du 101242'!B7-'QTE Dotation'!C2+Réappro!#REF!</f>
        <v>#REF!</v>
      </c>
      <c r="C10" s="8" t="e">
        <f>'Inventaire du 101242'!C7-'QTE Dotation'!C3+Réappro!#REF!</f>
        <v>#REF!</v>
      </c>
      <c r="D10" s="8" t="e">
        <f>'Inventaire du 101242'!D7-'QTE Dotation'!C4+Réappro!#REF!</f>
        <v>#REF!</v>
      </c>
      <c r="E10" s="8" t="e">
        <f>'Inventaire du 101242'!E7-'QTE Dotation'!C5+Réappro!#REF!</f>
        <v>#REF!</v>
      </c>
      <c r="F10" s="8" t="e">
        <f>'Inventaire du 101242'!F7-'QTE Dotation'!C6+Réappro!#REF!</f>
        <v>#REF!</v>
      </c>
      <c r="G10" s="8" t="e">
        <f>'Inventaire du 101242'!G7-'QTE Dotation'!C7+Réappro!#REF!</f>
        <v>#REF!</v>
      </c>
      <c r="H10" s="8" t="e">
        <f>'Inventaire du 101242'!H7-'QTE Dotation'!C8+Réappro!#REF!</f>
        <v>#REF!</v>
      </c>
      <c r="I10" s="8" t="e">
        <f>'Inventaire du 101242'!I7-'QTE Dotation'!C9+Réappro!#REF!</f>
        <v>#REF!</v>
      </c>
    </row>
    <row r="11" spans="1:16" x14ac:dyDescent="0.25">
      <c r="A11" s="8" t="s">
        <v>29</v>
      </c>
      <c r="B11" s="8" t="e">
        <f>'Inventaire du 101242'!B8-'QTE Dotation'!C11+Réappro!#REF!</f>
        <v>#REF!</v>
      </c>
      <c r="C11" s="8" t="e">
        <f>'Inventaire du 101242'!C8-'QTE Dotation'!C12+Réappro!#REF!</f>
        <v>#REF!</v>
      </c>
      <c r="D11" s="8" t="e">
        <f>'Inventaire du 101242'!D8-'QTE Dotation'!C13+Réappro!#REF!</f>
        <v>#REF!</v>
      </c>
      <c r="E11" s="8" t="e">
        <f>'Inventaire du 101242'!E8-'QTE Dotation'!D13+Réappro!#REF!</f>
        <v>#REF!</v>
      </c>
      <c r="F11" s="8" t="e">
        <f>'Inventaire du 101242'!F8-'QTE Dotation'!E13+Réappro!#REF!</f>
        <v>#REF!</v>
      </c>
      <c r="G11" s="8" t="e">
        <f>'Inventaire du 101242'!G8-'QTE Dotation'!F13+Réappro!#REF!</f>
        <v>#REF!</v>
      </c>
      <c r="H11" s="8" t="e">
        <f>'Inventaire du 101242'!H8-'QTE Dotation'!G13+Réappro!#REF!</f>
        <v>#REF!</v>
      </c>
      <c r="I11" s="8" t="e">
        <f>'Inventaire du 101242'!I8-'QTE Dotation'!H13+Réappro!#REF!</f>
        <v>#REF!</v>
      </c>
    </row>
    <row r="12" spans="1:16" x14ac:dyDescent="0.25">
      <c r="A12" s="8" t="s">
        <v>30</v>
      </c>
      <c r="B12" s="8" t="e">
        <f>'Inventaire du 101242'!B9-'QTE Dotation'!C20+Réappro!#REF!</f>
        <v>#REF!</v>
      </c>
      <c r="C12" s="8" t="e">
        <f>'Inventaire du 101242'!C9-'QTE Dotation'!C21+Réappro!#REF!</f>
        <v>#REF!</v>
      </c>
      <c r="D12" s="8" t="e">
        <f>'Inventaire du 101242'!D9-'QTE Dotation'!C22+Réappro!#REF!</f>
        <v>#REF!</v>
      </c>
      <c r="E12" s="8" t="e">
        <f>'Inventaire du 101242'!BE9-'QTE Dotation'!C23+Réappro!#REF!</f>
        <v>#REF!</v>
      </c>
      <c r="F12" s="8" t="e">
        <f>'Inventaire du 101242'!F9-'QTE Dotation'!C24+Réappro!#REF!</f>
        <v>#REF!</v>
      </c>
      <c r="G12" s="8" t="e">
        <f>'Inventaire du 101242'!G9-'QTE Dotation'!C25+Réappro!#REF!</f>
        <v>#REF!</v>
      </c>
      <c r="H12" s="8" t="e">
        <f>'Inventaire du 101242'!H9-'QTE Dotation'!C26+Réappro!#REF!</f>
        <v>#REF!</v>
      </c>
      <c r="I12" s="8" t="e">
        <f>'Inventaire du 101242'!I9-'QTE Dotation'!C27+Réappro!#REF!</f>
        <v>#REF!</v>
      </c>
    </row>
    <row r="13" spans="1:16" ht="15.75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5" customHeight="1" x14ac:dyDescent="0.25">
      <c r="B14" s="8">
        <v>36</v>
      </c>
      <c r="C14" s="8">
        <v>38</v>
      </c>
      <c r="D14" s="8">
        <v>40</v>
      </c>
      <c r="E14" s="8">
        <v>42</v>
      </c>
      <c r="F14" s="8">
        <v>44</v>
      </c>
      <c r="G14" s="8">
        <v>46</v>
      </c>
      <c r="H14" s="8">
        <v>48</v>
      </c>
      <c r="I14" s="8">
        <v>50</v>
      </c>
      <c r="J14" s="8">
        <v>52</v>
      </c>
      <c r="K14" s="8">
        <v>54</v>
      </c>
      <c r="L14" s="8">
        <v>56</v>
      </c>
      <c r="M14" s="8">
        <v>58</v>
      </c>
      <c r="N14" s="8">
        <v>60</v>
      </c>
      <c r="O14" s="8">
        <v>62</v>
      </c>
    </row>
    <row r="15" spans="1:16" ht="15.95" customHeight="1" x14ac:dyDescent="0.25">
      <c r="A15" s="8" t="s">
        <v>31</v>
      </c>
      <c r="B15" s="8" t="e">
        <f>'Inventaire du 101242'!B12-'QTE Dotation'!C29+Réappro!#REF!</f>
        <v>#REF!</v>
      </c>
      <c r="C15" s="8" t="e">
        <f>'Inventaire du 101242'!C12-'QTE Dotation'!C30+Réappro!#REF!</f>
        <v>#REF!</v>
      </c>
      <c r="D15" s="8" t="e">
        <f>'Inventaire du 101242'!D12-'QTE Dotation'!C31+Réappro!#REF!</f>
        <v>#REF!</v>
      </c>
      <c r="E15" s="8" t="e">
        <f>'Inventaire du 101242'!E12-'QTE Dotation'!C32+Réappro!#REF!</f>
        <v>#REF!</v>
      </c>
      <c r="F15" s="8" t="e">
        <f>'Inventaire du 101242'!F12-'QTE Dotation'!C33+Réappro!#REF!</f>
        <v>#REF!</v>
      </c>
      <c r="G15" s="8" t="e">
        <f>'Inventaire du 101242'!G12-'QTE Dotation'!C34+Réappro!#REF!</f>
        <v>#REF!</v>
      </c>
      <c r="H15" s="8" t="e">
        <f>'Inventaire du 101242'!H12-'QTE Dotation'!C35+Réappro!#REF!</f>
        <v>#REF!</v>
      </c>
      <c r="I15" s="8" t="e">
        <f>'Inventaire du 101242'!I12-'QTE Dotation'!C36+Réappro!#REF!</f>
        <v>#REF!</v>
      </c>
      <c r="J15" s="8" t="e">
        <f>'Inventaire du 101242'!J12-'QTE Dotation'!C37+Réappro!#REF!</f>
        <v>#REF!</v>
      </c>
      <c r="K15" s="8" t="e">
        <f>'Inventaire du 101242'!K12-'QTE Dotation'!C38+Réappro!#REF!</f>
        <v>#REF!</v>
      </c>
      <c r="L15" s="8" t="e">
        <f>'Inventaire du 101242'!L12-'QTE Dotation'!C39+Réappro!#REF!</f>
        <v>#REF!</v>
      </c>
      <c r="M15" s="8" t="e">
        <f>'Inventaire du 101242'!M12-'QTE Dotation'!C40+Réappro!#REF!</f>
        <v>#REF!</v>
      </c>
      <c r="N15" s="8" t="e">
        <f>'Inventaire du 101242'!N12-'QTE Dotation'!C41+Réappro!#REF!</f>
        <v>#REF!</v>
      </c>
      <c r="O15" s="8" t="e">
        <f>-'QTE Dotation'!C31-'QTE Dotation'!C42+Réappro!#REF!</f>
        <v>#REF!</v>
      </c>
    </row>
    <row r="17" spans="1:12" ht="15.95" customHeight="1" x14ac:dyDescent="0.25">
      <c r="B17" s="8">
        <v>36</v>
      </c>
      <c r="C17" s="8">
        <v>37</v>
      </c>
      <c r="D17" s="8">
        <v>38</v>
      </c>
      <c r="E17" s="8">
        <v>39</v>
      </c>
      <c r="F17" s="8">
        <v>40</v>
      </c>
      <c r="G17" s="8">
        <v>41</v>
      </c>
      <c r="H17" s="8">
        <v>42</v>
      </c>
      <c r="I17" s="8">
        <v>43</v>
      </c>
      <c r="J17" s="8">
        <v>44</v>
      </c>
      <c r="K17" s="8">
        <v>45</v>
      </c>
      <c r="L17" s="8">
        <v>46</v>
      </c>
    </row>
    <row r="18" spans="1:12" x14ac:dyDescent="0.25">
      <c r="A18" s="8" t="s">
        <v>32</v>
      </c>
      <c r="B18" s="8" t="e">
        <f>'Inventaire du 101242'!B15- COUNTIF(Dotation_old!O4:O49987,"36")+Réappro!#REF!</f>
        <v>#REF!</v>
      </c>
      <c r="C18" s="8" t="e">
        <f>'Inventaire du 101242'!C15- COUNTIF(Dotation_old!O4:O49987,"37")+Réappro!#REF!</f>
        <v>#REF!</v>
      </c>
      <c r="D18" s="8" t="e">
        <f>'Inventaire du 101242'!D15- COUNTIF(Dotation_old!O4:O49987,"38")+Réappro!#REF!</f>
        <v>#REF!</v>
      </c>
      <c r="E18" s="8" t="e">
        <f>'Inventaire du 101242'!E15- COUNTIF(Dotation_old!O4:O49987,"39")+Réappro!#REF!</f>
        <v>#REF!</v>
      </c>
      <c r="F18" s="8" t="e">
        <f>'Inventaire du 101242'!F15- COUNTIF(Dotation_old!O4:O49987,"40")+Réappro!#REF!</f>
        <v>#REF!</v>
      </c>
      <c r="G18" s="8" t="e">
        <f>'Inventaire du 101242'!G15- COUNTIF(Dotation_old!O4:O49987,"41")+Réappro!#REF!</f>
        <v>#REF!</v>
      </c>
      <c r="H18" s="8" t="e">
        <f>'Inventaire du 101242'!H15- COUNTIF(Dotation_old!O4:O49987,"42")+Réappro!#REF!</f>
        <v>#REF!</v>
      </c>
      <c r="I18" s="8" t="e">
        <f>'Inventaire du 101242'!I15- COUNTIF(Dotation_old!O4:O49987,"43")+Réappro!#REF!</f>
        <v>#REF!</v>
      </c>
      <c r="J18" s="8" t="e">
        <f>'Inventaire du 101242'!J15- COUNTIF(Dotation_old!O4:O49987,"44")+Réappro!#REF!</f>
        <v>#REF!</v>
      </c>
      <c r="K18" s="8" t="e">
        <f>'Inventaire du 101242'!K15- COUNTIF(Dotation_old!O4:O49987,"45")+Réappro!#REF!</f>
        <v>#REF!</v>
      </c>
      <c r="L18" s="8" t="e">
        <f>'Inventaire du 101242'!L15- COUNTIF(Dotation_old!O4:O49987,"46")+Réappro!#REF!</f>
        <v>#REF!</v>
      </c>
    </row>
    <row r="20" spans="1:12" x14ac:dyDescent="0.25">
      <c r="A20" s="8" t="s">
        <v>33</v>
      </c>
      <c r="B20" s="8" t="e">
        <f>'Inventaire du 101242'!B17+Dotation_old!#REF!-Réappro!#REF!</f>
        <v>#REF!</v>
      </c>
    </row>
    <row r="21" spans="1:12" x14ac:dyDescent="0.25">
      <c r="A21" s="8" t="s">
        <v>34</v>
      </c>
      <c r="B21" s="8" t="e">
        <f>'Inventaire du 101242'!B18+Dotation_old!#REF!-Réappro!#REF!</f>
        <v>#REF!</v>
      </c>
    </row>
    <row r="22" spans="1:12" x14ac:dyDescent="0.25">
      <c r="A22" s="8" t="s">
        <v>35</v>
      </c>
      <c r="B22" s="8" t="e">
        <f>'Inventaire du 101242'!B19+Dotation_old!#REF!-Réappro!#REF!</f>
        <v>#REF!</v>
      </c>
    </row>
    <row r="23" spans="1:12" x14ac:dyDescent="0.25">
      <c r="A23" s="8" t="s">
        <v>36</v>
      </c>
      <c r="B23" s="8" t="e">
        <f>'Inventaire du 101242'!B20+Dotation_old!#REF!-Réappro!#REF!</f>
        <v>#REF!</v>
      </c>
    </row>
    <row r="25" spans="1:12" x14ac:dyDescent="0.25">
      <c r="A25" s="8" t="s">
        <v>37</v>
      </c>
      <c r="B25" s="8" t="e">
        <f>'Inventaire du 101242'!B22+Dotation_old!#REF!-Réappro!#REF!</f>
        <v>#REF!</v>
      </c>
    </row>
    <row r="26" spans="1:12" x14ac:dyDescent="0.25">
      <c r="A26" s="8" t="s">
        <v>38</v>
      </c>
      <c r="B26" s="8" t="e">
        <f>'Inventaire du 101242'!B23+Dotation_old!#REF!-Réappro!#REF!</f>
        <v>#REF!</v>
      </c>
    </row>
    <row r="27" spans="1:12" x14ac:dyDescent="0.25">
      <c r="A27" s="8" t="s">
        <v>39</v>
      </c>
      <c r="B27" s="8" t="e">
        <f>'Inventaire du 101242'!B24+Dotation_old!#REF!-Réappro!#REF!</f>
        <v>#REF!</v>
      </c>
    </row>
    <row r="29" spans="1:12" ht="15.95" customHeight="1" x14ac:dyDescent="0.25">
      <c r="A29" s="8" t="s">
        <v>40</v>
      </c>
      <c r="B29" s="8">
        <f>'Inventaire du 101242'!B26</f>
        <v>29</v>
      </c>
    </row>
    <row r="30" spans="1:12" ht="15.95" customHeight="1" x14ac:dyDescent="0.25"/>
    <row r="31" spans="1:12" x14ac:dyDescent="0.25">
      <c r="B31" s="8" t="s">
        <v>18</v>
      </c>
      <c r="C31" s="8" t="s">
        <v>19</v>
      </c>
      <c r="D31" s="8" t="s">
        <v>20</v>
      </c>
      <c r="E31" s="8" t="s">
        <v>21</v>
      </c>
      <c r="F31" s="8" t="s">
        <v>22</v>
      </c>
    </row>
    <row r="32" spans="1:12" x14ac:dyDescent="0.25">
      <c r="A32" s="8" t="s">
        <v>41</v>
      </c>
      <c r="B32" s="8">
        <f>'Inventaire du 101242'!B28</f>
        <v>0</v>
      </c>
      <c r="C32" s="8">
        <f>'Inventaire du 101242'!C28</f>
        <v>2</v>
      </c>
      <c r="D32" s="8">
        <f>'Inventaire du 101242'!D28</f>
        <v>3</v>
      </c>
      <c r="E32" s="8">
        <f>'Inventaire du 101242'!E28</f>
        <v>2</v>
      </c>
      <c r="F32" s="8">
        <f>'Inventaire du 101242'!F28</f>
        <v>2</v>
      </c>
    </row>
  </sheetData>
  <sheetProtection selectLockedCells="1" selectUnlockedCells="1"/>
  <mergeCells count="1">
    <mergeCell ref="A2:P2"/>
  </mergeCells>
  <conditionalFormatting sqref="B5:P5">
    <cfRule type="cellIs" dxfId="6" priority="11" operator="lessThanOrEqual">
      <formula>$B$1</formula>
    </cfRule>
  </conditionalFormatting>
  <conditionalFormatting sqref="B8:I12">
    <cfRule type="cellIs" dxfId="5" priority="10" operator="lessThanOrEqual">
      <formula>$C$1</formula>
    </cfRule>
  </conditionalFormatting>
  <conditionalFormatting sqref="B18:L18">
    <cfRule type="cellIs" dxfId="4" priority="9" operator="lessThanOrEqual">
      <formula>$C$1</formula>
    </cfRule>
  </conditionalFormatting>
  <conditionalFormatting sqref="B20:B23 B25:B27 B29">
    <cfRule type="cellIs" dxfId="3" priority="8" operator="lessThanOrEqual">
      <formula>$C$1</formula>
    </cfRule>
  </conditionalFormatting>
  <conditionalFormatting sqref="B31:D31">
    <cfRule type="cellIs" dxfId="2" priority="6" operator="lessThanOrEqual">
      <formula>$C$1</formula>
    </cfRule>
  </conditionalFormatting>
  <conditionalFormatting sqref="B32:F32">
    <cfRule type="cellIs" dxfId="1" priority="3" operator="lessThanOrEqual">
      <formula>$C$1</formula>
    </cfRule>
  </conditionalFormatting>
  <conditionalFormatting sqref="B15:O15">
    <cfRule type="cellIs" dxfId="0" priority="1" operator="lessThanOrEqual">
      <formula>$C$1</formula>
    </cfRule>
  </conditionalFormatting>
  <pageMargins left="0.98425196850393704" right="0.70866141732283472" top="0.39370078740157483" bottom="0.39370078740157483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Retour Accueil">
              <controlPr defaultSize="0" print="0" autoFill="0" autoPict="0" macro="[0]!RetourAccueil">
                <anchor>
                  <from>
                    <xdr:col>0</xdr:col>
                    <xdr:colOff>885825</xdr:colOff>
                    <xdr:row>1</xdr:row>
                    <xdr:rowOff>47625</xdr:rowOff>
                  </from>
                  <to>
                    <xdr:col>3</xdr:col>
                    <xdr:colOff>19050</xdr:colOff>
                    <xdr:row>1</xdr:row>
                    <xdr:rowOff>771525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5134D-54B9-4C82-8B7C-0D376FED0B16}">
  <sheetPr codeName="Dotation1"/>
  <dimension ref="A1:O3"/>
  <sheetViews>
    <sheetView tabSelected="1" workbookViewId="0">
      <selection activeCell="C7" sqref="C7"/>
    </sheetView>
  </sheetViews>
  <sheetFormatPr baseColWidth="10" defaultRowHeight="15" x14ac:dyDescent="0.25"/>
  <cols>
    <col min="1" max="1" width="10.42578125" bestFit="1" customWidth="1"/>
    <col min="2" max="2" width="20.5703125" bestFit="1" customWidth="1"/>
    <col min="3" max="3" width="20.28515625" bestFit="1" customWidth="1"/>
    <col min="4" max="4" width="26.42578125" customWidth="1"/>
    <col min="5" max="5" width="15.5703125" customWidth="1"/>
    <col min="6" max="6" width="15" customWidth="1"/>
    <col min="7" max="7" width="8.42578125" bestFit="1" customWidth="1"/>
    <col min="8" max="8" width="6.140625" style="11" customWidth="1"/>
    <col min="9" max="9" width="8.42578125" bestFit="1" customWidth="1"/>
    <col min="10" max="10" width="7.140625" style="11" customWidth="1"/>
    <col min="11" max="11" width="13.140625" customWidth="1"/>
    <col min="12" max="12" width="7.140625" style="11" customWidth="1"/>
    <col min="13" max="13" width="12.7109375" style="11" customWidth="1"/>
    <col min="14" max="14" width="7.140625" style="11" customWidth="1"/>
    <col min="15" max="15" width="13" style="11" bestFit="1" customWidth="1"/>
    <col min="16" max="16" width="13" bestFit="1" customWidth="1"/>
    <col min="17" max="17" width="12.85546875" bestFit="1" customWidth="1"/>
    <col min="18" max="18" width="9.28515625" customWidth="1"/>
    <col min="19" max="19" width="9.5703125" customWidth="1"/>
    <col min="20" max="20" width="8.140625" bestFit="1" customWidth="1"/>
    <col min="21" max="21" width="6.140625" bestFit="1" customWidth="1"/>
    <col min="22" max="22" width="11.7109375" customWidth="1"/>
  </cols>
  <sheetData>
    <row r="1" spans="1:15" ht="56.25" customHeight="1" x14ac:dyDescent="0.25">
      <c r="A1" s="6"/>
    </row>
    <row r="2" spans="1:15" s="10" customFormat="1" x14ac:dyDescent="0.25">
      <c r="A2" s="15" t="s">
        <v>47</v>
      </c>
      <c r="B2" s="16" t="s">
        <v>48</v>
      </c>
      <c r="C2" s="16" t="s">
        <v>49</v>
      </c>
      <c r="D2" s="17" t="s">
        <v>105</v>
      </c>
      <c r="E2" s="16" t="s">
        <v>106</v>
      </c>
      <c r="F2" s="17" t="s">
        <v>92</v>
      </c>
    </row>
    <row r="3" spans="1:15" x14ac:dyDescent="0.25">
      <c r="A3" s="27"/>
      <c r="B3" s="22"/>
      <c r="C3" s="22"/>
      <c r="D3" s="23"/>
      <c r="E3" s="22"/>
      <c r="F3" s="23"/>
      <c r="H3"/>
      <c r="J3"/>
      <c r="L3"/>
      <c r="M3"/>
      <c r="N3"/>
      <c r="O3"/>
    </row>
  </sheetData>
  <sheetProtection selectLockedCells="1" selectUn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Retour Accueil">
              <controlPr defaultSize="0" print="0" autoFill="0" autoPict="0" macro="[0]!RetourAccueil">
                <anchor moveWithCells="1">
                  <from>
                    <xdr:col>0</xdr:col>
                    <xdr:colOff>419100</xdr:colOff>
                    <xdr:row>0</xdr:row>
                    <xdr:rowOff>85725</xdr:rowOff>
                  </from>
                  <to>
                    <xdr:col>2</xdr:col>
                    <xdr:colOff>514350</xdr:colOff>
                    <xdr:row>0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BoutonSaisirDotation">
              <controlPr defaultSize="0" print="0" autoFill="0" autoPict="0" macro="[0]!SaisirDotation">
                <anchor moveWithCells="1">
                  <from>
                    <xdr:col>2</xdr:col>
                    <xdr:colOff>685800</xdr:colOff>
                    <xdr:row>0</xdr:row>
                    <xdr:rowOff>85725</xdr:rowOff>
                  </from>
                  <to>
                    <xdr:col>3</xdr:col>
                    <xdr:colOff>1438275</xdr:colOff>
                    <xdr:row>0</xdr:row>
                    <xdr:rowOff>561975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6DC18-5827-4BCE-9833-C2A091B7653B}">
  <sheetPr codeName="Feuil6"/>
  <dimension ref="B2:C42"/>
  <sheetViews>
    <sheetView workbookViewId="0">
      <selection activeCell="C29" sqref="C29"/>
    </sheetView>
  </sheetViews>
  <sheetFormatPr baseColWidth="10" defaultRowHeight="15" x14ac:dyDescent="0.25"/>
  <cols>
    <col min="2" max="2" width="22.28515625" bestFit="1" customWidth="1"/>
  </cols>
  <sheetData>
    <row r="2" spans="2:3" x14ac:dyDescent="0.25">
      <c r="B2" t="s">
        <v>50</v>
      </c>
      <c r="C2">
        <f>SUMIF(Dotation_old!G4:G49987,"S",Dotation_old!H4:H49987)</f>
        <v>0</v>
      </c>
    </row>
    <row r="3" spans="2:3" x14ac:dyDescent="0.25">
      <c r="B3" t="s">
        <v>51</v>
      </c>
      <c r="C3">
        <f>SUMIF(Dotation_old!G4:G49987,"M",Dotation_old!H4:H49987)</f>
        <v>0</v>
      </c>
    </row>
    <row r="4" spans="2:3" x14ac:dyDescent="0.25">
      <c r="B4" t="s">
        <v>52</v>
      </c>
      <c r="C4">
        <f>SUMIF(Dotation_old!G4:G49987,"L",Dotation_old!H4:H49987)</f>
        <v>0</v>
      </c>
    </row>
    <row r="5" spans="2:3" x14ac:dyDescent="0.25">
      <c r="B5" t="s">
        <v>53</v>
      </c>
      <c r="C5">
        <f>SUMIF(Dotation_old!G4:G49987,"",Dotation_old!H4:H49987)</f>
        <v>0</v>
      </c>
    </row>
    <row r="6" spans="2:3" x14ac:dyDescent="0.25">
      <c r="B6" t="s">
        <v>54</v>
      </c>
      <c r="C6">
        <f>SUMIF(Dotation_old!G4:G49987,"XXL",Dotation_old!H4:H49987)</f>
        <v>0</v>
      </c>
    </row>
    <row r="7" spans="2:3" x14ac:dyDescent="0.25">
      <c r="B7" t="s">
        <v>55</v>
      </c>
      <c r="C7">
        <f>SUMIF(Dotation_old!G4:G49987,"XXXL",Dotation_old!H4:H49987)</f>
        <v>0</v>
      </c>
    </row>
    <row r="8" spans="2:3" x14ac:dyDescent="0.25">
      <c r="B8" t="s">
        <v>56</v>
      </c>
      <c r="C8">
        <f>SUMIF(Dotation_old!G4:G49987,"XXXXL",Dotation_old!H4:H49987)</f>
        <v>0</v>
      </c>
    </row>
    <row r="9" spans="2:3" x14ac:dyDescent="0.25">
      <c r="B9" t="s">
        <v>57</v>
      </c>
      <c r="C9">
        <f>SUMIF(Dotation_old!G4:G49987,"XXXXXL",Dotation_old!H4:H49987)</f>
        <v>0</v>
      </c>
    </row>
    <row r="11" spans="2:3" x14ac:dyDescent="0.25">
      <c r="B11" t="s">
        <v>58</v>
      </c>
      <c r="C11">
        <f>SUMIF(Dotation_old!I4:I49996,"S",Dotation_old!J4:J49996)</f>
        <v>0</v>
      </c>
    </row>
    <row r="12" spans="2:3" x14ac:dyDescent="0.25">
      <c r="B12" t="s">
        <v>59</v>
      </c>
      <c r="C12">
        <f>SUMIF(Dotation_old!I4:I49996,"M",Dotation_old!J4:J49996)</f>
        <v>0</v>
      </c>
    </row>
    <row r="13" spans="2:3" x14ac:dyDescent="0.25">
      <c r="B13" t="s">
        <v>60</v>
      </c>
      <c r="C13">
        <f>SUMIF(Dotation_old!I4:I49996,"L",Dotation_old!J4:J49996)</f>
        <v>0</v>
      </c>
    </row>
    <row r="14" spans="2:3" x14ac:dyDescent="0.25">
      <c r="B14" t="s">
        <v>61</v>
      </c>
      <c r="C14">
        <f>SUMIF(Dotation_old!I4:I49996,"XL",Dotation_old!J4:J49996)</f>
        <v>0</v>
      </c>
    </row>
    <row r="15" spans="2:3" x14ac:dyDescent="0.25">
      <c r="B15" t="s">
        <v>62</v>
      </c>
      <c r="C15">
        <f>SUMIF(Dotation_old!I4:I49996,"XXL",Dotation_old!J4:J49996)</f>
        <v>0</v>
      </c>
    </row>
    <row r="16" spans="2:3" x14ac:dyDescent="0.25">
      <c r="B16" t="s">
        <v>63</v>
      </c>
      <c r="C16">
        <f>SUMIF(Dotation_old!I4:I49996,"XXXL",Dotation_old!J4:J49996)</f>
        <v>0</v>
      </c>
    </row>
    <row r="17" spans="2:3" x14ac:dyDescent="0.25">
      <c r="B17" t="s">
        <v>64</v>
      </c>
      <c r="C17">
        <f>SUMIF(Dotation_old!I4:I49996,"XXXXL",Dotation_old!J4:J49996)</f>
        <v>0</v>
      </c>
    </row>
    <row r="18" spans="2:3" x14ac:dyDescent="0.25">
      <c r="B18" t="s">
        <v>65</v>
      </c>
      <c r="C18">
        <f>SUMIF(Dotation_old!I4:I49996,"XXXXXL",Dotation_old!J4:J49996)</f>
        <v>0</v>
      </c>
    </row>
    <row r="20" spans="2:3" x14ac:dyDescent="0.25">
      <c r="B20" t="s">
        <v>66</v>
      </c>
      <c r="C20">
        <f>SUMIF(Dotation_old!K4:K50005,"S",Dotation_old!L4:L50005)</f>
        <v>0</v>
      </c>
    </row>
    <row r="21" spans="2:3" x14ac:dyDescent="0.25">
      <c r="B21" t="s">
        <v>67</v>
      </c>
      <c r="C21">
        <f>SUMIF(Dotation_old!K4:K50005,"M",Dotation_old!L4:L50005)</f>
        <v>0</v>
      </c>
    </row>
    <row r="22" spans="2:3" x14ac:dyDescent="0.25">
      <c r="B22" t="s">
        <v>68</v>
      </c>
      <c r="C22">
        <f>SUMIF(Dotation_old!K4:K50005,"L",Dotation_old!L4:L50005)</f>
        <v>0</v>
      </c>
    </row>
    <row r="23" spans="2:3" x14ac:dyDescent="0.25">
      <c r="B23" t="s">
        <v>69</v>
      </c>
      <c r="C23">
        <f>SUMIF(Dotation_old!K4:K50005,"XL",Dotation_old!L4:L50005)</f>
        <v>0</v>
      </c>
    </row>
    <row r="24" spans="2:3" x14ac:dyDescent="0.25">
      <c r="B24" t="s">
        <v>70</v>
      </c>
      <c r="C24">
        <f>SUMIF(Dotation_old!K4:K50005,"XXL",Dotation_old!L4:L50005)</f>
        <v>0</v>
      </c>
    </row>
    <row r="25" spans="2:3" x14ac:dyDescent="0.25">
      <c r="B25" t="s">
        <v>71</v>
      </c>
      <c r="C25">
        <f>SUMIF(Dotation_old!K4:K50005,"XXXL",Dotation_old!L4:L50005)</f>
        <v>0</v>
      </c>
    </row>
    <row r="26" spans="2:3" x14ac:dyDescent="0.25">
      <c r="B26" t="s">
        <v>72</v>
      </c>
      <c r="C26">
        <f>SUMIF(Dotation_old!K4:K50005,"XXXXL",Dotation_old!L4:L50005)</f>
        <v>0</v>
      </c>
    </row>
    <row r="27" spans="2:3" x14ac:dyDescent="0.25">
      <c r="B27" t="s">
        <v>73</v>
      </c>
      <c r="C27">
        <f>SUMIF(Dotation_old!K4:K50005,"XXXXXL",Dotation_old!L4:L50005)</f>
        <v>0</v>
      </c>
    </row>
    <row r="29" spans="2:3" x14ac:dyDescent="0.25">
      <c r="B29" t="s">
        <v>74</v>
      </c>
      <c r="C29">
        <f>SUMIF(Dotation_old!M4:M50005,"36",Dotation_old!N4:N50005)</f>
        <v>0</v>
      </c>
    </row>
    <row r="30" spans="2:3" x14ac:dyDescent="0.25">
      <c r="B30" t="s">
        <v>75</v>
      </c>
      <c r="C30">
        <f>SUMIF(Dotation_old!M4:M50006,"38",Dotation_old!N4:N50006)</f>
        <v>0</v>
      </c>
    </row>
    <row r="31" spans="2:3" x14ac:dyDescent="0.25">
      <c r="B31" t="s">
        <v>96</v>
      </c>
      <c r="C31">
        <f>SUMIF(Dotation_old!M4:M50007,"40",Dotation_old!N4:N50007)</f>
        <v>0</v>
      </c>
    </row>
    <row r="32" spans="2:3" x14ac:dyDescent="0.25">
      <c r="B32" t="s">
        <v>76</v>
      </c>
      <c r="C32">
        <f>SUMIF(Dotation_old!M4:M50008,"42",Dotation_old!N4:N50008)</f>
        <v>0</v>
      </c>
    </row>
    <row r="33" spans="2:3" x14ac:dyDescent="0.25">
      <c r="B33" t="s">
        <v>77</v>
      </c>
      <c r="C33">
        <f>SUMIF(Dotation_old!M4:M50009,"44",Dotation_old!N4:N50009)</f>
        <v>0</v>
      </c>
    </row>
    <row r="34" spans="2:3" x14ac:dyDescent="0.25">
      <c r="B34" t="s">
        <v>97</v>
      </c>
      <c r="C34">
        <f>SUMIF(Dotation_old!M4:M50010,"46",Dotation_old!N4:N50010)</f>
        <v>0</v>
      </c>
    </row>
    <row r="35" spans="2:3" x14ac:dyDescent="0.25">
      <c r="B35" t="s">
        <v>78</v>
      </c>
      <c r="C35">
        <f>SUMIF(Dotation_old!M4:M50011,"48",Dotation_old!N4:N50011)</f>
        <v>0</v>
      </c>
    </row>
    <row r="36" spans="2:3" x14ac:dyDescent="0.25">
      <c r="B36" t="s">
        <v>79</v>
      </c>
      <c r="C36">
        <f>SUMIF(Dotation_old!M4:M50012,"50",Dotation_old!N4:N50012)</f>
        <v>0</v>
      </c>
    </row>
    <row r="37" spans="2:3" x14ac:dyDescent="0.25">
      <c r="B37" t="s">
        <v>98</v>
      </c>
      <c r="C37">
        <f>SUMIF(Dotation_old!M4:M50013,"52",Dotation_old!N4:N50013)</f>
        <v>0</v>
      </c>
    </row>
    <row r="38" spans="2:3" x14ac:dyDescent="0.25">
      <c r="B38" t="s">
        <v>80</v>
      </c>
      <c r="C38">
        <f>SUMIF(Dotation_old!M4:M50014,"54",Dotation_old!N4:N50014)</f>
        <v>0</v>
      </c>
    </row>
    <row r="39" spans="2:3" x14ac:dyDescent="0.25">
      <c r="B39" t="s">
        <v>81</v>
      </c>
      <c r="C39">
        <f>SUMIF(Dotation_old!M4:M50015,"56",Dotation_old!N4:N50015)</f>
        <v>0</v>
      </c>
    </row>
    <row r="40" spans="2:3" x14ac:dyDescent="0.25">
      <c r="B40" t="s">
        <v>82</v>
      </c>
      <c r="C40">
        <f>SUMIF(Dotation_old!M4:M50016,"58",Dotation_old!N4:N50016)</f>
        <v>0</v>
      </c>
    </row>
    <row r="41" spans="2:3" x14ac:dyDescent="0.25">
      <c r="B41" t="s">
        <v>83</v>
      </c>
      <c r="C41">
        <f>SUMIF(Dotation_old!M4:M50017,"60",Dotation_old!N4:N50017)</f>
        <v>0</v>
      </c>
    </row>
    <row r="42" spans="2:3" x14ac:dyDescent="0.25">
      <c r="B42" t="s">
        <v>84</v>
      </c>
      <c r="C42">
        <f>SUMIF(Dotation_old!M4:M50018,"62",Dotation_old!N4:N50018)</f>
        <v>0</v>
      </c>
    </row>
  </sheetData>
  <sheetProtection algorithmName="SHA-512" hashValue="0gMRTlz4u5Hm7V293I3uCIFt1E5b3+TFng6gmUSjIyOgUgbuZ3EpCWlijWw4reQaaex/orJjKMYxLHi0B48oxg==" saltValue="ot4kvHUSK+M0jsZxW540sw==" spinCount="100000" sheet="1" objects="1" scenarios="1" selectLockedCells="1" selectUnlockedCells="1"/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6473A-2350-4FCB-877C-F934FE73FC85}">
  <sheetPr codeName="Feuil4"/>
  <dimension ref="A1:CO8"/>
  <sheetViews>
    <sheetView topLeftCell="C1" zoomScale="96" zoomScaleNormal="70" workbookViewId="0">
      <selection activeCell="I1" sqref="I1"/>
    </sheetView>
  </sheetViews>
  <sheetFormatPr baseColWidth="10" defaultRowHeight="15" x14ac:dyDescent="0.25"/>
  <cols>
    <col min="1" max="1" width="23" bestFit="1" customWidth="1"/>
    <col min="2" max="16" width="13.7109375" customWidth="1"/>
    <col min="17" max="17" width="10.5703125" customWidth="1"/>
    <col min="18" max="24" width="13.7109375" customWidth="1"/>
    <col min="25" max="31" width="7.28515625" bestFit="1" customWidth="1"/>
    <col min="32" max="32" width="7.5703125" bestFit="1" customWidth="1"/>
    <col min="33" max="33" width="8.5703125" bestFit="1" customWidth="1"/>
    <col min="34" max="34" width="9.140625" bestFit="1" customWidth="1"/>
    <col min="35" max="35" width="8.42578125" bestFit="1" customWidth="1"/>
    <col min="36" max="36" width="9.5703125" bestFit="1" customWidth="1"/>
    <col min="37" max="37" width="10.7109375" bestFit="1" customWidth="1"/>
    <col min="38" max="38" width="11.140625" bestFit="1" customWidth="1"/>
    <col min="39" max="45" width="8.42578125" bestFit="1" customWidth="1"/>
    <col min="46" max="46" width="9.5703125" bestFit="1" customWidth="1"/>
    <col min="47" max="47" width="10.7109375" bestFit="1" customWidth="1"/>
    <col min="48" max="48" width="11.140625" bestFit="1" customWidth="1"/>
    <col min="49" max="54" width="8.5703125" bestFit="1" customWidth="1"/>
    <col min="55" max="55" width="8.85546875" bestFit="1" customWidth="1"/>
    <col min="56" max="56" width="10" bestFit="1" customWidth="1"/>
    <col min="57" max="58" width="9" bestFit="1" customWidth="1"/>
    <col min="59" max="59" width="10.140625" bestFit="1" customWidth="1"/>
    <col min="60" max="64" width="9" bestFit="1" customWidth="1"/>
    <col min="65" max="65" width="10.140625" bestFit="1" customWidth="1"/>
    <col min="66" max="70" width="9" bestFit="1" customWidth="1"/>
    <col min="71" max="80" width="13.5703125" customWidth="1"/>
    <col min="81" max="81" width="11.28515625" bestFit="1" customWidth="1"/>
    <col min="82" max="82" width="10.28515625" bestFit="1" customWidth="1"/>
    <col min="83" max="83" width="9.140625" customWidth="1"/>
    <col min="84" max="84" width="8.28515625" bestFit="1" customWidth="1"/>
    <col min="85" max="85" width="8.140625" bestFit="1" customWidth="1"/>
    <col min="86" max="86" width="6.140625" bestFit="1" customWidth="1"/>
    <col min="87" max="87" width="11.28515625" customWidth="1"/>
  </cols>
  <sheetData>
    <row r="1" spans="1:93" ht="84.75" customHeight="1" x14ac:dyDescent="0.25"/>
    <row r="2" spans="1:93" s="10" customFormat="1" ht="45" x14ac:dyDescent="0.25">
      <c r="A2" s="15" t="s">
        <v>47</v>
      </c>
      <c r="B2" s="17" t="s">
        <v>107</v>
      </c>
      <c r="C2" s="17" t="s">
        <v>108</v>
      </c>
      <c r="D2" s="17" t="s">
        <v>109</v>
      </c>
      <c r="E2" s="17" t="s">
        <v>110</v>
      </c>
      <c r="F2" s="17" t="s">
        <v>113</v>
      </c>
      <c r="G2" s="17" t="s">
        <v>112</v>
      </c>
      <c r="H2" s="17" t="s">
        <v>111</v>
      </c>
      <c r="I2" s="17" t="s">
        <v>114</v>
      </c>
      <c r="J2" s="17" t="s">
        <v>115</v>
      </c>
      <c r="K2" s="17" t="s">
        <v>116</v>
      </c>
      <c r="L2" s="17" t="s">
        <v>117</v>
      </c>
      <c r="M2" s="17" t="s">
        <v>118</v>
      </c>
      <c r="N2" s="17" t="s">
        <v>119</v>
      </c>
      <c r="O2" s="17" t="s">
        <v>120</v>
      </c>
      <c r="P2" s="17" t="s">
        <v>121</v>
      </c>
      <c r="Q2" s="17" t="s">
        <v>122</v>
      </c>
      <c r="R2" s="17" t="s">
        <v>123</v>
      </c>
      <c r="S2" s="17" t="s">
        <v>124</v>
      </c>
      <c r="T2" s="17" t="s">
        <v>125</v>
      </c>
      <c r="U2" s="17" t="s">
        <v>126</v>
      </c>
      <c r="V2" s="17" t="s">
        <v>127</v>
      </c>
      <c r="W2" s="17" t="s">
        <v>128</v>
      </c>
      <c r="X2" s="17" t="s">
        <v>129</v>
      </c>
      <c r="Y2" s="17" t="s">
        <v>132</v>
      </c>
      <c r="Z2" s="17" t="s">
        <v>133</v>
      </c>
      <c r="AA2" s="17" t="s">
        <v>134</v>
      </c>
      <c r="AB2" s="17" t="s">
        <v>135</v>
      </c>
      <c r="AC2" s="17" t="s">
        <v>136</v>
      </c>
      <c r="AD2" s="17" t="s">
        <v>137</v>
      </c>
      <c r="AE2" s="17" t="s">
        <v>138</v>
      </c>
      <c r="AF2" s="17" t="s">
        <v>139</v>
      </c>
      <c r="AG2" s="17" t="s">
        <v>50</v>
      </c>
      <c r="AH2" s="17" t="s">
        <v>51</v>
      </c>
      <c r="AI2" s="17" t="s">
        <v>52</v>
      </c>
      <c r="AJ2" s="17" t="s">
        <v>53</v>
      </c>
      <c r="AK2" s="17" t="s">
        <v>54</v>
      </c>
      <c r="AL2" s="17" t="s">
        <v>55</v>
      </c>
      <c r="AM2" s="17" t="s">
        <v>56</v>
      </c>
      <c r="AN2" s="17" t="s">
        <v>57</v>
      </c>
      <c r="AO2" s="17" t="s">
        <v>58</v>
      </c>
      <c r="AP2" s="17" t="s">
        <v>59</v>
      </c>
      <c r="AQ2" s="17" t="s">
        <v>60</v>
      </c>
      <c r="AR2" s="17" t="s">
        <v>61</v>
      </c>
      <c r="AS2" s="17" t="s">
        <v>62</v>
      </c>
      <c r="AT2" s="17" t="s">
        <v>63</v>
      </c>
      <c r="AU2" s="17" t="s">
        <v>64</v>
      </c>
      <c r="AV2" s="17" t="s">
        <v>65</v>
      </c>
      <c r="AW2" s="17" t="s">
        <v>66</v>
      </c>
      <c r="AX2" s="17" t="s">
        <v>67</v>
      </c>
      <c r="AY2" s="17" t="s">
        <v>68</v>
      </c>
      <c r="AZ2" s="17" t="s">
        <v>69</v>
      </c>
      <c r="BA2" s="17" t="s">
        <v>70</v>
      </c>
      <c r="BB2" s="17" t="s">
        <v>71</v>
      </c>
      <c r="BC2" s="17" t="s">
        <v>72</v>
      </c>
      <c r="BD2" s="17" t="s">
        <v>73</v>
      </c>
      <c r="BE2" s="17" t="s">
        <v>74</v>
      </c>
      <c r="BF2" s="17" t="s">
        <v>75</v>
      </c>
      <c r="BG2" s="17" t="s">
        <v>96</v>
      </c>
      <c r="BH2" s="17" t="s">
        <v>76</v>
      </c>
      <c r="BI2" s="17" t="s">
        <v>77</v>
      </c>
      <c r="BJ2" s="17" t="s">
        <v>97</v>
      </c>
      <c r="BK2" s="17" t="s">
        <v>78</v>
      </c>
      <c r="BL2" s="17" t="s">
        <v>79</v>
      </c>
      <c r="BM2" s="17" t="s">
        <v>140</v>
      </c>
      <c r="BN2" s="17" t="s">
        <v>80</v>
      </c>
      <c r="BO2" s="17" t="s">
        <v>81</v>
      </c>
      <c r="BP2" s="17" t="s">
        <v>82</v>
      </c>
      <c r="BQ2" s="17" t="s">
        <v>83</v>
      </c>
      <c r="BR2" s="17" t="s">
        <v>84</v>
      </c>
      <c r="BS2" s="17" t="s">
        <v>130</v>
      </c>
      <c r="BT2" s="17" t="s">
        <v>131</v>
      </c>
      <c r="BU2" s="17" t="s">
        <v>141</v>
      </c>
      <c r="BV2" s="17" t="s">
        <v>142</v>
      </c>
      <c r="BW2" s="17" t="s">
        <v>143</v>
      </c>
      <c r="BX2" s="17" t="s">
        <v>144</v>
      </c>
      <c r="BY2" s="17" t="s">
        <v>145</v>
      </c>
      <c r="BZ2" s="17" t="s">
        <v>146</v>
      </c>
      <c r="CA2" s="17" t="s">
        <v>147</v>
      </c>
      <c r="CB2" s="17" t="s">
        <v>148</v>
      </c>
      <c r="CC2" s="17" t="s">
        <v>33</v>
      </c>
      <c r="CD2" s="17" t="s">
        <v>34</v>
      </c>
      <c r="CE2" s="16" t="s">
        <v>35</v>
      </c>
      <c r="CF2" s="17" t="s">
        <v>36</v>
      </c>
      <c r="CG2" s="17" t="s">
        <v>149</v>
      </c>
      <c r="CH2" s="17" t="s">
        <v>150</v>
      </c>
      <c r="CI2" s="16" t="s">
        <v>39</v>
      </c>
      <c r="CJ2" s="17" t="s">
        <v>151</v>
      </c>
      <c r="CK2" s="17" t="s">
        <v>152</v>
      </c>
      <c r="CL2" s="17" t="s">
        <v>153</v>
      </c>
      <c r="CM2" s="17" t="s">
        <v>154</v>
      </c>
      <c r="CN2" s="17" t="s">
        <v>155</v>
      </c>
      <c r="CO2" s="28" t="s">
        <v>156</v>
      </c>
    </row>
    <row r="3" spans="1:93" x14ac:dyDescent="0.25">
      <c r="A3" s="27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2"/>
      <c r="CF3" s="23"/>
      <c r="CG3" s="23"/>
      <c r="CH3" s="23"/>
      <c r="CI3" s="22"/>
      <c r="CJ3" s="23"/>
      <c r="CK3" s="23"/>
      <c r="CL3" s="23"/>
      <c r="CM3" s="23"/>
      <c r="CN3" s="23"/>
      <c r="CO3" s="29"/>
    </row>
    <row r="4" spans="1:93" x14ac:dyDescent="0.25">
      <c r="A4" s="6"/>
    </row>
    <row r="5" spans="1:93" x14ac:dyDescent="0.25">
      <c r="A5" s="6"/>
    </row>
    <row r="6" spans="1:93" x14ac:dyDescent="0.25">
      <c r="A6" s="6"/>
    </row>
    <row r="7" spans="1:93" x14ac:dyDescent="0.25">
      <c r="A7" s="6"/>
    </row>
    <row r="8" spans="1:93" x14ac:dyDescent="0.25">
      <c r="A8" s="6"/>
    </row>
  </sheetData>
  <sheetProtection selectLockedCells="1" selectUnlockedCells="1"/>
  <phoneticPr fontId="3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3" name="Retour Accueil">
              <controlPr defaultSize="0" print="0" autoFill="0" autoPict="0" macro="[0]!RetourAccueil">
                <anchor moveWithCells="1">
                  <from>
                    <xdr:col>0</xdr:col>
                    <xdr:colOff>57150</xdr:colOff>
                    <xdr:row>0</xdr:row>
                    <xdr:rowOff>66675</xdr:rowOff>
                  </from>
                  <to>
                    <xdr:col>1</xdr:col>
                    <xdr:colOff>428625</xdr:colOff>
                    <xdr:row>0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4" name="BoutonSaisirRéappro">
              <controlPr defaultSize="0" print="0" autoFill="0" autoPict="0" macro="[0]!SaisirRéapproClic">
                <anchor moveWithCells="1">
                  <from>
                    <xdr:col>1</xdr:col>
                    <xdr:colOff>552450</xdr:colOff>
                    <xdr:row>0</xdr:row>
                    <xdr:rowOff>57150</xdr:rowOff>
                  </from>
                  <to>
                    <xdr:col>4</xdr:col>
                    <xdr:colOff>200025</xdr:colOff>
                    <xdr:row>0</xdr:row>
                    <xdr:rowOff>838200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83229-5E44-4D69-BFC2-DFB9A4B0635A}">
  <sheetPr codeName="Feuil5"/>
  <dimension ref="B1:P20"/>
  <sheetViews>
    <sheetView workbookViewId="0">
      <selection activeCell="L3" sqref="L3"/>
    </sheetView>
  </sheetViews>
  <sheetFormatPr baseColWidth="10" defaultRowHeight="15" x14ac:dyDescent="0.25"/>
  <cols>
    <col min="1" max="1" width="2.7109375" customWidth="1"/>
    <col min="2" max="2" width="23.28515625" customWidth="1"/>
    <col min="3" max="3" width="2.28515625" customWidth="1"/>
    <col min="4" max="4" width="19.42578125" customWidth="1"/>
    <col min="5" max="5" width="2.28515625" customWidth="1"/>
    <col min="6" max="6" width="24.85546875" customWidth="1"/>
    <col min="7" max="7" width="2.85546875" customWidth="1"/>
    <col min="8" max="8" width="19.85546875" customWidth="1"/>
    <col min="9" max="9" width="2.7109375" customWidth="1"/>
    <col min="10" max="10" width="22.85546875" customWidth="1"/>
    <col min="11" max="11" width="2.7109375" customWidth="1"/>
    <col min="12" max="12" width="18.7109375" customWidth="1"/>
    <col min="13" max="13" width="2.28515625" customWidth="1"/>
    <col min="14" max="14" width="11.5703125" customWidth="1"/>
    <col min="15" max="15" width="2.28515625" customWidth="1"/>
  </cols>
  <sheetData>
    <row r="1" spans="2:16" ht="36" customHeight="1" x14ac:dyDescent="0.25"/>
    <row r="2" spans="2:16" x14ac:dyDescent="0.25">
      <c r="B2" s="10" t="s">
        <v>104</v>
      </c>
      <c r="C2" s="10"/>
      <c r="D2" s="10" t="s">
        <v>103</v>
      </c>
      <c r="E2" s="10"/>
      <c r="F2" s="10" t="s">
        <v>102</v>
      </c>
      <c r="H2" s="10" t="s">
        <v>42</v>
      </c>
      <c r="I2" s="10"/>
      <c r="J2" s="10" t="s">
        <v>43</v>
      </c>
      <c r="K2" s="10"/>
      <c r="L2" s="10" t="s">
        <v>44</v>
      </c>
      <c r="M2" s="10"/>
      <c r="N2" s="10" t="s">
        <v>45</v>
      </c>
      <c r="O2" s="10"/>
      <c r="P2" s="10" t="s">
        <v>46</v>
      </c>
    </row>
    <row r="3" spans="2:16" ht="15" customHeight="1" x14ac:dyDescent="0.25">
      <c r="B3" s="5" t="s">
        <v>2</v>
      </c>
      <c r="C3" s="5"/>
      <c r="D3" s="14" t="s">
        <v>40</v>
      </c>
      <c r="E3" s="5"/>
      <c r="F3" s="14" t="s">
        <v>33</v>
      </c>
      <c r="H3" s="10" t="s">
        <v>3</v>
      </c>
      <c r="J3" s="10" t="s">
        <v>18</v>
      </c>
      <c r="L3" s="10">
        <v>36</v>
      </c>
      <c r="N3" s="10">
        <v>36</v>
      </c>
      <c r="P3" s="10">
        <v>1</v>
      </c>
    </row>
    <row r="4" spans="2:16" x14ac:dyDescent="0.25">
      <c r="B4" s="14" t="s">
        <v>26</v>
      </c>
      <c r="C4" s="14"/>
      <c r="D4" s="14" t="s">
        <v>41</v>
      </c>
      <c r="E4" s="14"/>
      <c r="F4" s="14" t="s">
        <v>34</v>
      </c>
      <c r="H4" s="10" t="s">
        <v>4</v>
      </c>
      <c r="J4" s="10" t="s">
        <v>19</v>
      </c>
      <c r="L4" s="10">
        <v>38</v>
      </c>
      <c r="N4" s="10">
        <v>37</v>
      </c>
      <c r="P4" s="10">
        <v>2</v>
      </c>
    </row>
    <row r="5" spans="2:16" x14ac:dyDescent="0.25">
      <c r="B5" s="14" t="s">
        <v>27</v>
      </c>
      <c r="C5" s="14"/>
      <c r="D5" s="14"/>
      <c r="E5" s="14"/>
      <c r="F5" s="14" t="s">
        <v>35</v>
      </c>
      <c r="H5" s="10" t="s">
        <v>5</v>
      </c>
      <c r="J5" s="10" t="s">
        <v>20</v>
      </c>
      <c r="L5" s="10">
        <v>40</v>
      </c>
      <c r="N5" s="10">
        <v>38</v>
      </c>
      <c r="P5" s="10">
        <v>3</v>
      </c>
    </row>
    <row r="6" spans="2:16" x14ac:dyDescent="0.25">
      <c r="B6" s="14" t="s">
        <v>28</v>
      </c>
      <c r="C6" s="14"/>
      <c r="D6" s="14"/>
      <c r="E6" s="14"/>
      <c r="F6" s="14" t="s">
        <v>36</v>
      </c>
      <c r="H6" s="10" t="s">
        <v>6</v>
      </c>
      <c r="J6" s="10" t="s">
        <v>21</v>
      </c>
      <c r="L6" s="10">
        <v>42</v>
      </c>
      <c r="N6" s="10">
        <v>39</v>
      </c>
      <c r="P6" s="10">
        <v>4</v>
      </c>
    </row>
    <row r="7" spans="2:16" x14ac:dyDescent="0.25">
      <c r="B7" s="14" t="s">
        <v>29</v>
      </c>
      <c r="C7" s="14"/>
      <c r="D7" s="14"/>
      <c r="E7" s="14"/>
      <c r="F7" s="14" t="s">
        <v>37</v>
      </c>
      <c r="H7" s="10" t="s">
        <v>7</v>
      </c>
      <c r="J7" s="10" t="s">
        <v>22</v>
      </c>
      <c r="L7" s="10">
        <v>44</v>
      </c>
      <c r="N7" s="10">
        <v>40</v>
      </c>
      <c r="P7" s="10">
        <v>5</v>
      </c>
    </row>
    <row r="8" spans="2:16" x14ac:dyDescent="0.25">
      <c r="B8" s="14" t="s">
        <v>30</v>
      </c>
      <c r="C8" s="14"/>
      <c r="D8" s="14"/>
      <c r="E8" s="14"/>
      <c r="F8" s="14" t="s">
        <v>38</v>
      </c>
      <c r="H8" s="10" t="s">
        <v>8</v>
      </c>
      <c r="J8" s="10" t="s">
        <v>23</v>
      </c>
      <c r="L8" s="10">
        <v>46</v>
      </c>
      <c r="N8" s="10">
        <v>41</v>
      </c>
    </row>
    <row r="9" spans="2:16" x14ac:dyDescent="0.25">
      <c r="B9" s="14" t="s">
        <v>31</v>
      </c>
      <c r="C9" s="14"/>
      <c r="D9" s="14"/>
      <c r="E9" s="14"/>
      <c r="F9" s="14" t="s">
        <v>39</v>
      </c>
      <c r="H9" s="10" t="s">
        <v>9</v>
      </c>
      <c r="J9" s="10" t="s">
        <v>24</v>
      </c>
      <c r="L9" s="10">
        <v>48</v>
      </c>
      <c r="N9" s="10">
        <v>42</v>
      </c>
    </row>
    <row r="10" spans="2:16" x14ac:dyDescent="0.25">
      <c r="B10" s="14" t="s">
        <v>32</v>
      </c>
      <c r="F10" s="14"/>
      <c r="H10" s="10" t="s">
        <v>10</v>
      </c>
      <c r="J10" s="10" t="s">
        <v>25</v>
      </c>
      <c r="L10" s="10">
        <v>50</v>
      </c>
      <c r="N10" s="10">
        <v>43</v>
      </c>
    </row>
    <row r="11" spans="2:16" x14ac:dyDescent="0.25">
      <c r="F11" s="14"/>
      <c r="H11" s="10" t="s">
        <v>11</v>
      </c>
      <c r="L11" s="10">
        <v>52</v>
      </c>
      <c r="N11" s="10">
        <v>44</v>
      </c>
    </row>
    <row r="12" spans="2:16" x14ac:dyDescent="0.25">
      <c r="F12" s="14"/>
      <c r="H12" s="10" t="s">
        <v>12</v>
      </c>
      <c r="L12" s="10">
        <v>54</v>
      </c>
      <c r="N12" s="10">
        <v>45</v>
      </c>
    </row>
    <row r="13" spans="2:16" x14ac:dyDescent="0.25">
      <c r="F13" s="14"/>
      <c r="H13" s="10" t="s">
        <v>13</v>
      </c>
      <c r="N13" s="10">
        <v>46</v>
      </c>
    </row>
    <row r="14" spans="2:16" x14ac:dyDescent="0.25">
      <c r="F14" s="14"/>
      <c r="H14" s="10" t="s">
        <v>14</v>
      </c>
    </row>
    <row r="15" spans="2:16" x14ac:dyDescent="0.25">
      <c r="F15" s="14"/>
      <c r="H15" s="10" t="s">
        <v>15</v>
      </c>
    </row>
    <row r="16" spans="2:16" x14ac:dyDescent="0.25">
      <c r="F16" s="14"/>
      <c r="H16" s="10" t="s">
        <v>16</v>
      </c>
    </row>
    <row r="17" spans="3:8" x14ac:dyDescent="0.25">
      <c r="F17" s="14"/>
      <c r="H17" s="10" t="s">
        <v>17</v>
      </c>
    </row>
    <row r="18" spans="3:8" x14ac:dyDescent="0.25">
      <c r="C18" s="14"/>
      <c r="D18" s="14"/>
      <c r="E18" s="14"/>
      <c r="F18" s="14"/>
    </row>
    <row r="19" spans="3:8" x14ac:dyDescent="0.25">
      <c r="C19" s="14"/>
      <c r="D19" s="14"/>
      <c r="E19" s="14"/>
      <c r="F19" s="14"/>
    </row>
    <row r="20" spans="3:8" x14ac:dyDescent="0.25">
      <c r="C20" s="14"/>
      <c r="D20" s="14"/>
      <c r="E20" s="1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Retour Accueil">
              <controlPr defaultSize="0" print="0" autoFill="0" autoPict="0" macro="[0]!RetourAccueil">
                <anchor moveWithCells="1">
                  <from>
                    <xdr:col>1</xdr:col>
                    <xdr:colOff>161925</xdr:colOff>
                    <xdr:row>0</xdr:row>
                    <xdr:rowOff>76200</xdr:rowOff>
                  </from>
                  <to>
                    <xdr:col>1</xdr:col>
                    <xdr:colOff>1409700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  <tableParts count="8"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641BE-9C1B-4A8F-8581-6C313FFB9636}">
  <sheetPr codeName="Feuil3"/>
  <dimension ref="A1:P28"/>
  <sheetViews>
    <sheetView topLeftCell="A22" workbookViewId="0">
      <selection activeCell="B20" sqref="B20"/>
    </sheetView>
  </sheetViews>
  <sheetFormatPr baseColWidth="10" defaultRowHeight="15" x14ac:dyDescent="0.25"/>
  <sheetData>
    <row r="1" spans="1:16" x14ac:dyDescent="0.25">
      <c r="A1" s="3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  <c r="O1" t="s">
        <v>16</v>
      </c>
      <c r="P1" t="s">
        <v>17</v>
      </c>
    </row>
    <row r="2" spans="1:16" x14ac:dyDescent="0.25">
      <c r="A2" s="32"/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1</v>
      </c>
      <c r="I2">
        <v>0</v>
      </c>
      <c r="J2">
        <v>2</v>
      </c>
      <c r="K2">
        <v>0</v>
      </c>
      <c r="L2">
        <v>4</v>
      </c>
      <c r="M2">
        <v>0</v>
      </c>
      <c r="N2">
        <v>3</v>
      </c>
      <c r="O2">
        <v>0</v>
      </c>
      <c r="P2">
        <v>5</v>
      </c>
    </row>
    <row r="3" spans="1:16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x14ac:dyDescent="0.25"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</row>
    <row r="5" spans="1:16" x14ac:dyDescent="0.25">
      <c r="A5" t="s">
        <v>26</v>
      </c>
      <c r="B5">
        <v>0</v>
      </c>
      <c r="C5">
        <v>0</v>
      </c>
      <c r="D5">
        <v>1</v>
      </c>
      <c r="E5">
        <v>0</v>
      </c>
      <c r="F5">
        <v>0</v>
      </c>
      <c r="G5">
        <v>0</v>
      </c>
      <c r="H5">
        <v>0</v>
      </c>
      <c r="I5">
        <v>0</v>
      </c>
    </row>
    <row r="6" spans="1:16" x14ac:dyDescent="0.25">
      <c r="A6" t="s">
        <v>27</v>
      </c>
      <c r="B6">
        <v>0</v>
      </c>
      <c r="C6">
        <v>0</v>
      </c>
      <c r="D6">
        <v>0</v>
      </c>
      <c r="E6">
        <v>3</v>
      </c>
      <c r="F6">
        <v>1</v>
      </c>
      <c r="G6">
        <v>1</v>
      </c>
      <c r="H6">
        <v>0</v>
      </c>
      <c r="I6">
        <v>0</v>
      </c>
    </row>
    <row r="7" spans="1:16" x14ac:dyDescent="0.25">
      <c r="A7" t="s">
        <v>28</v>
      </c>
      <c r="B7">
        <v>14</v>
      </c>
      <c r="C7">
        <v>1</v>
      </c>
      <c r="D7">
        <v>14</v>
      </c>
      <c r="E7">
        <v>13</v>
      </c>
      <c r="F7">
        <v>10</v>
      </c>
      <c r="G7">
        <v>5</v>
      </c>
      <c r="H7">
        <v>6</v>
      </c>
      <c r="I7">
        <v>1</v>
      </c>
    </row>
    <row r="8" spans="1:16" x14ac:dyDescent="0.25">
      <c r="A8" t="s">
        <v>29</v>
      </c>
      <c r="B8">
        <v>4</v>
      </c>
      <c r="C8">
        <v>8</v>
      </c>
      <c r="D8">
        <v>6</v>
      </c>
      <c r="E8">
        <v>15</v>
      </c>
      <c r="F8">
        <v>11</v>
      </c>
      <c r="G8">
        <v>16</v>
      </c>
      <c r="H8">
        <v>1</v>
      </c>
      <c r="I8">
        <v>0</v>
      </c>
    </row>
    <row r="9" spans="1:16" x14ac:dyDescent="0.25">
      <c r="A9" t="s">
        <v>30</v>
      </c>
      <c r="B9">
        <v>5</v>
      </c>
      <c r="C9">
        <v>0</v>
      </c>
      <c r="D9">
        <v>0</v>
      </c>
      <c r="E9">
        <v>8</v>
      </c>
      <c r="F9">
        <v>2</v>
      </c>
      <c r="G9">
        <v>0</v>
      </c>
      <c r="H9">
        <v>0</v>
      </c>
      <c r="I9">
        <v>0</v>
      </c>
    </row>
    <row r="10" spans="1:16" ht="15.75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x14ac:dyDescent="0.25">
      <c r="B11">
        <v>36</v>
      </c>
      <c r="C11">
        <v>38</v>
      </c>
      <c r="D11">
        <v>40</v>
      </c>
      <c r="E11">
        <v>42</v>
      </c>
      <c r="F11">
        <v>44</v>
      </c>
      <c r="G11">
        <v>46</v>
      </c>
      <c r="H11">
        <v>48</v>
      </c>
      <c r="I11">
        <v>50</v>
      </c>
      <c r="J11">
        <v>52</v>
      </c>
      <c r="K11">
        <v>54</v>
      </c>
      <c r="L11">
        <v>56</v>
      </c>
      <c r="M11">
        <v>58</v>
      </c>
      <c r="N11">
        <v>60</v>
      </c>
      <c r="O11">
        <v>62</v>
      </c>
    </row>
    <row r="12" spans="1:16" x14ac:dyDescent="0.25">
      <c r="A12" t="s">
        <v>31</v>
      </c>
      <c r="B12">
        <v>0</v>
      </c>
      <c r="C12">
        <v>0</v>
      </c>
      <c r="D12">
        <v>0</v>
      </c>
      <c r="E12">
        <v>2</v>
      </c>
      <c r="F12">
        <v>1</v>
      </c>
      <c r="G12">
        <v>3</v>
      </c>
      <c r="H12">
        <v>0</v>
      </c>
      <c r="I12">
        <v>3</v>
      </c>
      <c r="J12">
        <v>0</v>
      </c>
      <c r="K12">
        <v>5</v>
      </c>
      <c r="L12">
        <v>0</v>
      </c>
      <c r="M12">
        <v>1</v>
      </c>
      <c r="N12">
        <v>0</v>
      </c>
      <c r="O12">
        <v>4</v>
      </c>
    </row>
    <row r="14" spans="1:16" x14ac:dyDescent="0.25">
      <c r="B14">
        <v>36</v>
      </c>
      <c r="C14">
        <v>37</v>
      </c>
      <c r="D14">
        <v>38</v>
      </c>
      <c r="E14">
        <v>39</v>
      </c>
      <c r="F14">
        <v>40</v>
      </c>
      <c r="G14">
        <v>41</v>
      </c>
      <c r="H14">
        <v>42</v>
      </c>
      <c r="I14">
        <v>43</v>
      </c>
      <c r="J14">
        <v>44</v>
      </c>
      <c r="K14">
        <v>45</v>
      </c>
      <c r="L14">
        <v>46</v>
      </c>
    </row>
    <row r="15" spans="1:16" x14ac:dyDescent="0.25">
      <c r="A15" t="s">
        <v>32</v>
      </c>
      <c r="B15">
        <v>0</v>
      </c>
      <c r="C15">
        <v>0</v>
      </c>
      <c r="D15">
        <v>1</v>
      </c>
      <c r="E15">
        <v>3</v>
      </c>
      <c r="F15">
        <v>0</v>
      </c>
      <c r="G15">
        <v>0</v>
      </c>
      <c r="H15">
        <v>1</v>
      </c>
      <c r="I15">
        <v>0</v>
      </c>
      <c r="J15">
        <v>0</v>
      </c>
      <c r="K15">
        <v>0</v>
      </c>
      <c r="L15">
        <v>1</v>
      </c>
    </row>
    <row r="17" spans="1:6" x14ac:dyDescent="0.25">
      <c r="A17" t="s">
        <v>33</v>
      </c>
      <c r="B17">
        <v>5</v>
      </c>
    </row>
    <row r="18" spans="1:6" x14ac:dyDescent="0.25">
      <c r="A18" t="s">
        <v>34</v>
      </c>
      <c r="B18">
        <v>8</v>
      </c>
    </row>
    <row r="19" spans="1:6" x14ac:dyDescent="0.25">
      <c r="A19" t="s">
        <v>35</v>
      </c>
      <c r="B19">
        <v>13</v>
      </c>
    </row>
    <row r="20" spans="1:6" x14ac:dyDescent="0.25">
      <c r="A20" t="s">
        <v>36</v>
      </c>
      <c r="B20">
        <v>0</v>
      </c>
    </row>
    <row r="22" spans="1:6" x14ac:dyDescent="0.25">
      <c r="A22" t="s">
        <v>37</v>
      </c>
      <c r="B22">
        <v>0</v>
      </c>
    </row>
    <row r="23" spans="1:6" x14ac:dyDescent="0.25">
      <c r="A23" t="s">
        <v>38</v>
      </c>
      <c r="B23">
        <v>8</v>
      </c>
    </row>
    <row r="24" spans="1:6" x14ac:dyDescent="0.25">
      <c r="A24" t="s">
        <v>39</v>
      </c>
      <c r="B24">
        <v>0</v>
      </c>
    </row>
    <row r="26" spans="1:6" x14ac:dyDescent="0.25">
      <c r="A26" t="s">
        <v>40</v>
      </c>
      <c r="B26">
        <v>29</v>
      </c>
    </row>
    <row r="27" spans="1:6" x14ac:dyDescent="0.25">
      <c r="B27" t="s">
        <v>18</v>
      </c>
      <c r="C27" t="s">
        <v>19</v>
      </c>
      <c r="D27" t="s">
        <v>20</v>
      </c>
      <c r="E27" t="s">
        <v>21</v>
      </c>
      <c r="F27" t="s">
        <v>22</v>
      </c>
    </row>
    <row r="28" spans="1:6" x14ac:dyDescent="0.25">
      <c r="A28" t="s">
        <v>41</v>
      </c>
      <c r="B28">
        <v>0</v>
      </c>
      <c r="C28">
        <v>2</v>
      </c>
      <c r="D28">
        <v>3</v>
      </c>
      <c r="E28">
        <v>2</v>
      </c>
      <c r="F28">
        <v>2</v>
      </c>
    </row>
  </sheetData>
  <sheetProtection algorithmName="SHA-512" hashValue="g9kuc2ntYK+9COSBxNfScw3HOSLGDJ34WhyjQzPcqefgPBffRAX6CLvaScEQQhJzrSELBvx3gNqGKVw9KzTrXA==" saltValue="IR9SQdRTYCruVKBssmPJKA==" spinCount="100000" sheet="1" objects="1" scenarios="1" selectLockedCells="1" selectUnlockedCells="1"/>
  <mergeCells count="1">
    <mergeCell ref="A1:A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D08E2-9EBF-4CBB-B384-9464422FEA73}">
  <sheetPr codeName="Dotation"/>
  <dimension ref="A1:V3"/>
  <sheetViews>
    <sheetView workbookViewId="0">
      <selection activeCell="F12" sqref="F12"/>
    </sheetView>
  </sheetViews>
  <sheetFormatPr baseColWidth="10" defaultRowHeight="15" x14ac:dyDescent="0.25"/>
  <cols>
    <col min="1" max="1" width="10.42578125" bestFit="1" customWidth="1"/>
    <col min="2" max="2" width="20.5703125" bestFit="1" customWidth="1"/>
    <col min="3" max="3" width="20.28515625" bestFit="1" customWidth="1"/>
    <col min="4" max="4" width="14.28515625" customWidth="1"/>
    <col min="5" max="5" width="8.28515625" customWidth="1"/>
    <col min="6" max="6" width="9.42578125" customWidth="1"/>
    <col min="7" max="7" width="8.42578125" bestFit="1" customWidth="1"/>
    <col min="8" max="8" width="6.140625" style="11" customWidth="1"/>
    <col min="9" max="9" width="8.42578125" bestFit="1" customWidth="1"/>
    <col min="10" max="10" width="7.140625" style="11" customWidth="1"/>
    <col min="11" max="11" width="13.140625" customWidth="1"/>
    <col min="12" max="12" width="7.140625" style="11" customWidth="1"/>
    <col min="13" max="13" width="12.7109375" style="11" customWidth="1"/>
    <col min="14" max="14" width="7.140625" style="11" customWidth="1"/>
    <col min="15" max="15" width="13" style="11" bestFit="1" customWidth="1"/>
    <col min="16" max="16" width="13" bestFit="1" customWidth="1"/>
    <col min="17" max="17" width="12.85546875" bestFit="1" customWidth="1"/>
    <col min="18" max="18" width="9.28515625" customWidth="1"/>
    <col min="19" max="19" width="9.5703125" customWidth="1"/>
    <col min="20" max="20" width="8.140625" bestFit="1" customWidth="1"/>
    <col min="21" max="21" width="6.140625" bestFit="1" customWidth="1"/>
    <col min="22" max="22" width="11.7109375" customWidth="1"/>
  </cols>
  <sheetData>
    <row r="1" spans="1:22" ht="46.5" customHeight="1" x14ac:dyDescent="0.25">
      <c r="A1" s="6"/>
    </row>
    <row r="2" spans="1:22" s="10" customFormat="1" ht="30" x14ac:dyDescent="0.25">
      <c r="A2" s="15" t="s">
        <v>47</v>
      </c>
      <c r="B2" s="16" t="s">
        <v>48</v>
      </c>
      <c r="C2" s="16" t="s">
        <v>49</v>
      </c>
      <c r="D2" s="17" t="s">
        <v>2</v>
      </c>
      <c r="E2" s="16" t="s">
        <v>26</v>
      </c>
      <c r="F2" s="17" t="s">
        <v>88</v>
      </c>
      <c r="G2" s="17" t="s">
        <v>90</v>
      </c>
      <c r="H2" s="18" t="s">
        <v>92</v>
      </c>
      <c r="I2" s="17" t="s">
        <v>91</v>
      </c>
      <c r="J2" s="18" t="s">
        <v>99</v>
      </c>
      <c r="K2" s="16" t="s">
        <v>30</v>
      </c>
      <c r="L2" s="18" t="s">
        <v>100</v>
      </c>
      <c r="M2" s="19" t="s">
        <v>89</v>
      </c>
      <c r="N2" s="18" t="s">
        <v>101</v>
      </c>
      <c r="O2" s="19" t="s">
        <v>85</v>
      </c>
      <c r="P2" s="17" t="s">
        <v>86</v>
      </c>
      <c r="Q2" s="17" t="s">
        <v>87</v>
      </c>
      <c r="R2" s="16" t="s">
        <v>35</v>
      </c>
      <c r="S2" s="17" t="s">
        <v>93</v>
      </c>
      <c r="T2" s="17" t="s">
        <v>94</v>
      </c>
      <c r="U2" s="17" t="s">
        <v>95</v>
      </c>
      <c r="V2" s="20" t="s">
        <v>39</v>
      </c>
    </row>
    <row r="3" spans="1:22" x14ac:dyDescent="0.25">
      <c r="A3" s="21"/>
      <c r="B3" s="22"/>
      <c r="C3" s="22"/>
      <c r="D3" s="23"/>
      <c r="E3" s="22"/>
      <c r="F3" s="23"/>
      <c r="G3" s="23"/>
      <c r="H3" s="24"/>
      <c r="I3" s="23"/>
      <c r="J3" s="24"/>
      <c r="K3" s="22"/>
      <c r="L3" s="24"/>
      <c r="M3" s="25"/>
      <c r="N3" s="24"/>
      <c r="O3" s="25"/>
      <c r="P3" s="23"/>
      <c r="Q3" s="23"/>
      <c r="R3" s="22"/>
      <c r="S3" s="23"/>
      <c r="T3" s="23"/>
      <c r="U3" s="23"/>
      <c r="V3" s="26"/>
    </row>
  </sheetData>
  <sheetProtection selectLockedCells="1" selectUn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Retour Accueil">
              <controlPr defaultSize="0" print="0" autoFill="0" autoPict="0" macro="[0]!RetourAccueil">
                <anchor moveWithCells="1">
                  <from>
                    <xdr:col>0</xdr:col>
                    <xdr:colOff>419100</xdr:colOff>
                    <xdr:row>0</xdr:row>
                    <xdr:rowOff>85725</xdr:rowOff>
                  </from>
                  <to>
                    <xdr:col>2</xdr:col>
                    <xdr:colOff>514350</xdr:colOff>
                    <xdr:row>0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4" name="BoutonSaisirDotation">
              <controlPr defaultSize="0" print="0" autoFill="0" autoPict="0" macro="[0]!SaisirDotation">
                <anchor moveWithCells="1">
                  <from>
                    <xdr:col>2</xdr:col>
                    <xdr:colOff>685800</xdr:colOff>
                    <xdr:row>0</xdr:row>
                    <xdr:rowOff>85725</xdr:rowOff>
                  </from>
                  <to>
                    <xdr:col>6</xdr:col>
                    <xdr:colOff>19050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Accueil</vt:lpstr>
      <vt:lpstr>Stock</vt:lpstr>
      <vt:lpstr>Dotation</vt:lpstr>
      <vt:lpstr>QTE Dotation</vt:lpstr>
      <vt:lpstr>Réappro</vt:lpstr>
      <vt:lpstr>Listes</vt:lpstr>
      <vt:lpstr>Inventaire du 101242</vt:lpstr>
      <vt:lpstr>Dotation_old</vt:lpstr>
      <vt:lpstr>EQPMT</vt:lpstr>
      <vt:lpstr>POINTURES</vt:lpstr>
      <vt:lpstr>QTE</vt:lpstr>
      <vt:lpstr>Tailles</vt:lpstr>
      <vt:lpstr>TFR</vt:lpstr>
      <vt:lpstr>TINTER</vt:lpstr>
      <vt:lpstr>TVESTT</vt:lpstr>
    </vt:vector>
  </TitlesOfParts>
  <Company>Departement des Bouches du Rhone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CORRAL MAUBLANC Maxandre</dc:creator>
  <cp:lastModifiedBy>Dany</cp:lastModifiedBy>
  <cp:lastPrinted>2024-12-27T06:51:38Z</cp:lastPrinted>
  <dcterms:created xsi:type="dcterms:W3CDTF">2024-12-17T08:27:01Z</dcterms:created>
  <dcterms:modified xsi:type="dcterms:W3CDTF">2025-01-02T17:59:12Z</dcterms:modified>
</cp:coreProperties>
</file>