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tables/table13.xml" ContentType="application/vnd.openxmlformats-officedocument.spreadsheetml.table+xml"/>
  <Override PartName="/xl/tables/table14.xml" ContentType="application/vnd.openxmlformats-officedocument.spreadsheetml.table+xml"/>
  <Override PartName="/xl/tables/table15.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430" codeName="{C5BBEA04-B48B-DB03-FC8F-E18A6752861A}"/>
  <workbookPr codeName="ThisWorkbook"/>
  <mc:AlternateContent xmlns:mc="http://schemas.openxmlformats.org/markup-compatibility/2006">
    <mc:Choice Requires="x15">
      <x15ac:absPath xmlns:x15ac="http://schemas.microsoft.com/office/spreadsheetml/2010/11/ac" url="C:\Users\vinciane\Desktop\"/>
    </mc:Choice>
  </mc:AlternateContent>
  <xr:revisionPtr revIDLastSave="0" documentId="13_ncr:1_{0DA84550-F768-44F2-9409-D200988D8141}" xr6:coauthVersionLast="47" xr6:coauthVersionMax="47" xr10:uidLastSave="{00000000-0000-0000-0000-000000000000}"/>
  <bookViews>
    <workbookView xWindow="-120" yWindow="-120" windowWidth="20730" windowHeight="11160" tabRatio="686" firstSheet="8" activeTab="14" xr2:uid="{00000000-000D-0000-FFFF-FFFF00000000}"/>
  </bookViews>
  <sheets>
    <sheet name="Janvier" sheetId="4" r:id="rId1"/>
    <sheet name="Fevrier" sheetId="29" r:id="rId2"/>
    <sheet name="Mars" sheetId="30" r:id="rId3"/>
    <sheet name="Avril" sheetId="31" r:id="rId4"/>
    <sheet name="Mai" sheetId="32" r:id="rId5"/>
    <sheet name="Juin" sheetId="33" r:id="rId6"/>
    <sheet name="Juillet" sheetId="34" r:id="rId7"/>
    <sheet name="Aout" sheetId="35" r:id="rId8"/>
    <sheet name="Septembre" sheetId="36" r:id="rId9"/>
    <sheet name="Octobre" sheetId="37" r:id="rId10"/>
    <sheet name="Novembre" sheetId="38" r:id="rId11"/>
    <sheet name="Decembre" sheetId="39" r:id="rId12"/>
    <sheet name="Noms des employés" sheetId="16" r:id="rId13"/>
    <sheet name="Type d'absence" sheetId="27" r:id="rId14"/>
    <sheet name="Récap mensuel voulue" sheetId="41" r:id="rId15"/>
  </sheets>
  <definedNames>
    <definedName name="AnnéeCalendrier" localSheetId="7">Janvier!$AK$5</definedName>
    <definedName name="AnnéeCalendrier" localSheetId="3">Janvier!$AK$5</definedName>
    <definedName name="AnnéeCalendrier" localSheetId="11">Janvier!$AK$5</definedName>
    <definedName name="AnnéeCalendrier" localSheetId="1">Fevrier!$AK$5</definedName>
    <definedName name="AnnéeCalendrier" localSheetId="6">Janvier!$AK$5</definedName>
    <definedName name="AnnéeCalendrier" localSheetId="5">Janvier!$AK$5</definedName>
    <definedName name="AnnéeCalendrier" localSheetId="4">Janvier!$AK$5</definedName>
    <definedName name="AnnéeCalendrier" localSheetId="2">Janvier!$AK$5</definedName>
    <definedName name="AnnéeCalendrier" localSheetId="10">Janvier!$AK$5</definedName>
    <definedName name="AnnéeCalendrier" localSheetId="9">Janvier!$AK$5</definedName>
    <definedName name="AnnéeCalendrier" localSheetId="8">Janvier!$AK$5</definedName>
    <definedName name="AnnéeCalendrier">Janvier!$AK$5</definedName>
    <definedName name="AnnéeCalendrier01">Janvier!$AK$5</definedName>
    <definedName name="CléAbsenceJustifiée">Janvier!$Z$3</definedName>
    <definedName name="CléCompteEpargneTemps">Janvier!$AD$3</definedName>
    <definedName name="CléCongé" localSheetId="7">Janvier!$C$3</definedName>
    <definedName name="CléCongé" localSheetId="3">Janvier!$C$3</definedName>
    <definedName name="CléCongé" localSheetId="11">Janvier!$C$3</definedName>
    <definedName name="CléCongé" localSheetId="1">Janvier!$C$3</definedName>
    <definedName name="CléCongé" localSheetId="6">Janvier!$C$3</definedName>
    <definedName name="CléCongé" localSheetId="5">Janvier!$C$3</definedName>
    <definedName name="CléCongé" localSheetId="4">Janvier!$C$3</definedName>
    <definedName name="CléCongé" localSheetId="2">Janvier!$C$3</definedName>
    <definedName name="CléCongé" localSheetId="10">Janvier!$C$3</definedName>
    <definedName name="CléCongé" localSheetId="9">Janvier!$C$3</definedName>
    <definedName name="CléCongé" localSheetId="8">Janvier!$C$3</definedName>
    <definedName name="CléCongé">Janvier!$C$3</definedName>
    <definedName name="CléCongéMalade">Janvier!$S$3</definedName>
    <definedName name="CléCongéSpécial">Janvier!$C$2</definedName>
    <definedName name="CléDemiCompteEpargneTemps">Janvier!$AD$2</definedName>
    <definedName name="CléDemiEnfantMalade">Janvier!$V$2</definedName>
    <definedName name="CléDemiRécupération">Janvier!$I$2</definedName>
    <definedName name="CléDemiRtt">Janvier!$F$2</definedName>
    <definedName name="CléEnfantMalade">Janvier!$V$3</definedName>
    <definedName name="CléFormation">Janvier!$M$3</definedName>
    <definedName name="CléNonTravaillé">Janvier!$Z$2</definedName>
    <definedName name="CléPrésenceExceptionnelle">Janvier!$P$2</definedName>
    <definedName name="CléRécupération">Janvier!$I$3</definedName>
    <definedName name="CléRTT">Janvier!$F$3</definedName>
    <definedName name="CléTélétravail">Janvier!$P$3</definedName>
    <definedName name="Enfant_malade">Juin!$AF$3</definedName>
    <definedName name="Entrez_l’année">Janvier!$AK$5</definedName>
    <definedName name="ÉtiquetteCléAbsenceJustifiée">Janvier!$AA$3</definedName>
    <definedName name="ÉtiquetteCléCongé">Janvier!$D$3</definedName>
    <definedName name="EtiquetteCléCongéMaladie">Janvier!$T$3</definedName>
    <definedName name="ÉtiquetteCléCongéSpécial">Janvier!$D$2</definedName>
    <definedName name="EtiquetteCléDemiCompteEpargneTemps">Janvier!$AE$2</definedName>
    <definedName name="ÉtiquetteCléDemiEnfantMalade">Janvier!$W$2</definedName>
    <definedName name="ÉtiquetteCléDemiRécupération">Janvier!$J$2</definedName>
    <definedName name="ÉtiquetteCléDemiRTT">Janvier!$G$2</definedName>
    <definedName name="ÉtiquetteCléEnfantMalade">Janvier!$W$3</definedName>
    <definedName name="EtiquetteCléEpargneTemps">Janvier!$AE$3</definedName>
    <definedName name="ÉtiquetteCléFormation">Janvier!$N$3</definedName>
    <definedName name="ÉtiquetteCléNontravaillé">Janvier!$AA$2</definedName>
    <definedName name="ÉtiquetteCléPrésenceExceptionnelle">Janvier!$Q$2</definedName>
    <definedName name="ÉtiquetteCléRécupération">Janvier!$J$3</definedName>
    <definedName name="ÉtiquetteCléRTT">Janvier!$G$3</definedName>
    <definedName name="EtiquetteCléTélétravail">Janvier!$Q$3</definedName>
    <definedName name="_xlnm.Print_Titles" localSheetId="7">Aout!$5:$7</definedName>
    <definedName name="_xlnm.Print_Titles" localSheetId="3">Avril!$5:$7</definedName>
    <definedName name="_xlnm.Print_Titles" localSheetId="11">Decembre!$5:$7</definedName>
    <definedName name="_xlnm.Print_Titles" localSheetId="1">Fevrier!$5:$7</definedName>
    <definedName name="_xlnm.Print_Titles" localSheetId="0">Janvier!$5:$7</definedName>
    <definedName name="_xlnm.Print_Titles" localSheetId="6">Juillet!$5:$7</definedName>
    <definedName name="_xlnm.Print_Titles" localSheetId="5">Juin!$5:$7</definedName>
    <definedName name="_xlnm.Print_Titles" localSheetId="4">Mai!$5:$7</definedName>
    <definedName name="_xlnm.Print_Titles" localSheetId="2">Mars!$5:$7</definedName>
    <definedName name="_xlnm.Print_Titles" localSheetId="10">Novembre!$5:$7</definedName>
    <definedName name="_xlnm.Print_Titles" localSheetId="9">Octobre!$5:$7</definedName>
    <definedName name="_xlnm.Print_Titles" localSheetId="8">Septembre!$5:$7</definedName>
    <definedName name="Nom_clé">Janvier!$B$3</definedName>
    <definedName name="Nom_Employe">T_Employés[Noms des employés]</definedName>
    <definedName name="NomMois" localSheetId="7">Aout!$B$5</definedName>
    <definedName name="NomMois" localSheetId="3">Avril!$B$5</definedName>
    <definedName name="NomMois" localSheetId="11">Decembre!$B$5</definedName>
    <definedName name="NomMois" localSheetId="1">Fevrier!$B$5</definedName>
    <definedName name="NomMois" localSheetId="0">Janvier!$B$5</definedName>
    <definedName name="NomMois" localSheetId="6">Juillet!$B$5</definedName>
    <definedName name="NomMois" localSheetId="5">Juin!$B$5</definedName>
    <definedName name="NomMois" localSheetId="4">Mai!$B$5</definedName>
    <definedName name="NomMois" localSheetId="2">Mars!$B$5</definedName>
    <definedName name="NomMois" localSheetId="10">Novembre!$B$5</definedName>
    <definedName name="NomMois" localSheetId="9">Octobre!$B$5</definedName>
    <definedName name="NomMois" localSheetId="8">Septembre!$B$5</definedName>
    <definedName name="Titre_Absence_Employé" localSheetId="7">Janvier!$B$1</definedName>
    <definedName name="Titre_Absence_Employé" localSheetId="3">Janvier!$B$1</definedName>
    <definedName name="Titre_Absence_Employé" localSheetId="11">Janvier!$B$1</definedName>
    <definedName name="Titre_Absence_Employé" localSheetId="1">Janvier!$B$1</definedName>
    <definedName name="Titre_Absence_Employé" localSheetId="6">Janvier!$B$1</definedName>
    <definedName name="Titre_Absence_Employé" localSheetId="5">Janvier!$B$1</definedName>
    <definedName name="Titre_Absence_Employé" localSheetId="4">Janvier!$B$1</definedName>
    <definedName name="Titre_Absence_Employé" localSheetId="2">Janvier!$B$1</definedName>
    <definedName name="Titre_Absence_Employé" localSheetId="10">Janvier!$B$1</definedName>
    <definedName name="Titre_Absence_Employé" localSheetId="9">Janvier!$B$1</definedName>
    <definedName name="Titre_Absence_Employé" localSheetId="8">Janvier!$B$1</definedName>
    <definedName name="Titre_Absence_Employé">Janvier!$B$1</definedName>
    <definedName name="Titre1" localSheetId="7">Janvier[[#Headers],[Nom de l’employé]]</definedName>
    <definedName name="Titre1" localSheetId="3">Janvier[[#Headers],[Nom de l’employé]]</definedName>
    <definedName name="Titre1" localSheetId="11">Janvier[[#Headers],[Nom de l’employé]]</definedName>
    <definedName name="Titre1" localSheetId="1">Janvier[[#Headers],[Nom de l’employé]]</definedName>
    <definedName name="Titre1" localSheetId="6">Janvier[[#Headers],[Nom de l’employé]]</definedName>
    <definedName name="Titre1" localSheetId="5">Janvier[[#Headers],[Nom de l’employé]]</definedName>
    <definedName name="Titre1" localSheetId="4">Janvier[[#Headers],[Nom de l’employé]]</definedName>
    <definedName name="Titre1" localSheetId="2">Janvier[[#Headers],[Nom de l’employé]]</definedName>
    <definedName name="Titre1" localSheetId="10">Janvier[[#Headers],[Nom de l’employé]]</definedName>
    <definedName name="Titre1" localSheetId="9">Janvier[[#Headers],[Nom de l’employé]]</definedName>
    <definedName name="Titre1" localSheetId="8">Janvier[[#Headers],[Nom de l’employé]]</definedName>
    <definedName name="Titre1">Janvier[[#Headers],[Nom de l’employé]]</definedName>
    <definedName name="Titre10" localSheetId="7">Octobre[[#Headers],[Nom de l’employé]]</definedName>
    <definedName name="Titre10" localSheetId="3">Octobre[[#Headers],[Nom de l’employé]]</definedName>
    <definedName name="Titre10" localSheetId="11">Octobre[[#Headers],[Nom de l’employé]]</definedName>
    <definedName name="Titre10" localSheetId="1">Octobre[[#Headers],[Nom de l’employé]]</definedName>
    <definedName name="Titre10" localSheetId="6">Octobre[[#Headers],[Nom de l’employé]]</definedName>
    <definedName name="Titre10" localSheetId="5">Octobre[[#Headers],[Nom de l’employé]]</definedName>
    <definedName name="Titre10" localSheetId="4">Octobre[[#Headers],[Nom de l’employé]]</definedName>
    <definedName name="Titre10" localSheetId="2">Octobre[[#Headers],[Nom de l’employé]]</definedName>
    <definedName name="Titre10" localSheetId="10">Octobre[[#Headers],[Nom de l’employé]]</definedName>
    <definedName name="Titre10" localSheetId="9">Octobre[[#Headers],[Nom de l’employé]]</definedName>
    <definedName name="Titre10" localSheetId="8">Octobre[[#Headers],[Nom de l’employé]]</definedName>
    <definedName name="Titre11" localSheetId="7">Novembre[[#Headers],[Nom de l’employé]]</definedName>
    <definedName name="Titre11" localSheetId="3">Novembre[[#Headers],[Nom de l’employé]]</definedName>
    <definedName name="Titre11" localSheetId="11">Novembre[[#Headers],[Nom de l’employé]]</definedName>
    <definedName name="Titre11" localSheetId="1">Novembre[[#Headers],[Nom de l’employé]]</definedName>
    <definedName name="Titre11" localSheetId="6">Novembre[[#Headers],[Nom de l’employé]]</definedName>
    <definedName name="Titre11" localSheetId="5">Novembre[[#Headers],[Nom de l’employé]]</definedName>
    <definedName name="Titre11" localSheetId="4">Novembre[[#Headers],[Nom de l’employé]]</definedName>
    <definedName name="Titre11" localSheetId="2">Novembre[[#Headers],[Nom de l’employé]]</definedName>
    <definedName name="Titre11" localSheetId="10">Novembre[[#Headers],[Nom de l’employé]]</definedName>
    <definedName name="Titre11" localSheetId="9">Novembre[[#Headers],[Nom de l’employé]]</definedName>
    <definedName name="Titre11" localSheetId="8">Novembre[[#Headers],[Nom de l’employé]]</definedName>
    <definedName name="Titre12" localSheetId="7">Décembre[[#Headers],[Nom de l’employé]]</definedName>
    <definedName name="Titre12" localSheetId="3">Décembre[[#Headers],[Nom de l’employé]]</definedName>
    <definedName name="Titre12" localSheetId="11">Décembre[[#Headers],[Nom de l’employé]]</definedName>
    <definedName name="Titre12" localSheetId="1">Décembre[[#Headers],[Nom de l’employé]]</definedName>
    <definedName name="Titre12" localSheetId="6">Décembre[[#Headers],[Nom de l’employé]]</definedName>
    <definedName name="Titre12" localSheetId="5">Décembre[[#Headers],[Nom de l’employé]]</definedName>
    <definedName name="Titre12" localSheetId="4">Décembre[[#Headers],[Nom de l’employé]]</definedName>
    <definedName name="Titre12" localSheetId="2">Décembre[[#Headers],[Nom de l’employé]]</definedName>
    <definedName name="Titre12" localSheetId="10">Décembre[[#Headers],[Nom de l’employé]]</definedName>
    <definedName name="Titre12" localSheetId="9">Décembre[[#Headers],[Nom de l’employé]]</definedName>
    <definedName name="Titre12" localSheetId="8">Décembre[[#Headers],[Nom de l’employé]]</definedName>
    <definedName name="Titre2" localSheetId="7">Fevrier[[#Headers],[Nom de l’employé]]</definedName>
    <definedName name="Titre2" localSheetId="3">Fevrier[[#Headers],[Nom de l’employé]]</definedName>
    <definedName name="Titre2" localSheetId="11">Fevrier[[#Headers],[Nom de l’employé]]</definedName>
    <definedName name="Titre2" localSheetId="1">Fevrier[[#Headers],[Nom de l’employé]]</definedName>
    <definedName name="Titre2" localSheetId="6">Fevrier[[#Headers],[Nom de l’employé]]</definedName>
    <definedName name="Titre2" localSheetId="5">Fevrier[[#Headers],[Nom de l’employé]]</definedName>
    <definedName name="Titre2" localSheetId="4">Fevrier[[#Headers],[Nom de l’employé]]</definedName>
    <definedName name="Titre2" localSheetId="2">Fevrier[[#Headers],[Nom de l’employé]]</definedName>
    <definedName name="Titre2" localSheetId="10">Fevrier[[#Headers],[Nom de l’employé]]</definedName>
    <definedName name="Titre2" localSheetId="9">Fevrier[[#Headers],[Nom de l’employé]]</definedName>
    <definedName name="Titre2" localSheetId="8">Fevrier[[#Headers],[Nom de l’employé]]</definedName>
    <definedName name="Titre3" localSheetId="7">Mars[[#Headers],[Nom de l’employé]]</definedName>
    <definedName name="Titre3" localSheetId="3">Mars[[#Headers],[Nom de l’employé]]</definedName>
    <definedName name="Titre3" localSheetId="11">Mars[[#Headers],[Nom de l’employé]]</definedName>
    <definedName name="Titre3" localSheetId="1">Mars[[#Headers],[Nom de l’employé]]</definedName>
    <definedName name="Titre3" localSheetId="6">Mars[[#Headers],[Nom de l’employé]]</definedName>
    <definedName name="Titre3" localSheetId="5">Mars[[#Headers],[Nom de l’employé]]</definedName>
    <definedName name="Titre3" localSheetId="4">Mars[[#Headers],[Nom de l’employé]]</definedName>
    <definedName name="Titre3" localSheetId="2">Mars[[#Headers],[Nom de l’employé]]</definedName>
    <definedName name="Titre3" localSheetId="10">Mars[[#Headers],[Nom de l’employé]]</definedName>
    <definedName name="Titre3" localSheetId="9">Mars[[#Headers],[Nom de l’employé]]</definedName>
    <definedName name="Titre3" localSheetId="8">Mars[[#Headers],[Nom de l’employé]]</definedName>
    <definedName name="Titre4" localSheetId="7">Avril[[#Headers],[Nom de l’employé]]</definedName>
    <definedName name="Titre4" localSheetId="3">Avril[[#Headers],[Nom de l’employé]]</definedName>
    <definedName name="Titre4" localSheetId="11">Avril[[#Headers],[Nom de l’employé]]</definedName>
    <definedName name="Titre4" localSheetId="1">Avril[[#Headers],[Nom de l’employé]]</definedName>
    <definedName name="Titre4" localSheetId="6">Avril[[#Headers],[Nom de l’employé]]</definedName>
    <definedName name="Titre4" localSheetId="5">Avril[[#Headers],[Nom de l’employé]]</definedName>
    <definedName name="Titre4" localSheetId="4">Avril[[#Headers],[Nom de l’employé]]</definedName>
    <definedName name="Titre4" localSheetId="2">Avril[[#Headers],[Nom de l’employé]]</definedName>
    <definedName name="Titre4" localSheetId="10">Avril[[#Headers],[Nom de l’employé]]</definedName>
    <definedName name="Titre4" localSheetId="9">Avril[[#Headers],[Nom de l’employé]]</definedName>
    <definedName name="Titre4" localSheetId="8">Avril[[#Headers],[Nom de l’employé]]</definedName>
    <definedName name="Titre5" localSheetId="7">Mai[[#Headers],[Nom de l’employé]]</definedName>
    <definedName name="Titre5" localSheetId="3">Mai[[#Headers],[Nom de l’employé]]</definedName>
    <definedName name="Titre5" localSheetId="11">Mai[[#Headers],[Nom de l’employé]]</definedName>
    <definedName name="Titre5" localSheetId="1">Mai[[#Headers],[Nom de l’employé]]</definedName>
    <definedName name="Titre5" localSheetId="6">Mai[[#Headers],[Nom de l’employé]]</definedName>
    <definedName name="Titre5" localSheetId="5">Mai[[#Headers],[Nom de l’employé]]</definedName>
    <definedName name="Titre5" localSheetId="4">Mai[[#Headers],[Nom de l’employé]]</definedName>
    <definedName name="Titre5" localSheetId="2">Mai[[#Headers],[Nom de l’employé]]</definedName>
    <definedName name="Titre5" localSheetId="10">Mai[[#Headers],[Nom de l’employé]]</definedName>
    <definedName name="Titre5" localSheetId="9">Mai[[#Headers],[Nom de l’employé]]</definedName>
    <definedName name="Titre5" localSheetId="8">Mai[[#Headers],[Nom de l’employé]]</definedName>
    <definedName name="Titre6" localSheetId="7">Juin[[#Headers],[Nom de l’employé]]</definedName>
    <definedName name="Titre6" localSheetId="3">Juin[[#Headers],[Nom de l’employé]]</definedName>
    <definedName name="Titre6" localSheetId="11">Juin[[#Headers],[Nom de l’employé]]</definedName>
    <definedName name="Titre6" localSheetId="1">Juin[[#Headers],[Nom de l’employé]]</definedName>
    <definedName name="Titre6" localSheetId="6">Juin[[#Headers],[Nom de l’employé]]</definedName>
    <definedName name="Titre6" localSheetId="5">Juin[[#Headers],[Nom de l’employé]]</definedName>
    <definedName name="Titre6" localSheetId="4">Juin[[#Headers],[Nom de l’employé]]</definedName>
    <definedName name="Titre6" localSheetId="2">Juin[[#Headers],[Nom de l’employé]]</definedName>
    <definedName name="Titre6" localSheetId="10">Juin[[#Headers],[Nom de l’employé]]</definedName>
    <definedName name="Titre6" localSheetId="9">Juin[[#Headers],[Nom de l’employé]]</definedName>
    <definedName name="Titre6" localSheetId="8">Juin[[#Headers],[Nom de l’employé]]</definedName>
    <definedName name="Titre7" localSheetId="7">Juillet[[#Headers],[Nom de l’employé]]</definedName>
    <definedName name="Titre7" localSheetId="3">Juillet[[#Headers],[Nom de l’employé]]</definedName>
    <definedName name="Titre7" localSheetId="11">Juillet[[#Headers],[Nom de l’employé]]</definedName>
    <definedName name="Titre7" localSheetId="1">Juillet[[#Headers],[Nom de l’employé]]</definedName>
    <definedName name="Titre7" localSheetId="6">Juillet[[#Headers],[Nom de l’employé]]</definedName>
    <definedName name="Titre7" localSheetId="5">Juillet[[#Headers],[Nom de l’employé]]</definedName>
    <definedName name="Titre7" localSheetId="4">Juillet[[#Headers],[Nom de l’employé]]</definedName>
    <definedName name="Titre7" localSheetId="2">Juillet[[#Headers],[Nom de l’employé]]</definedName>
    <definedName name="Titre7" localSheetId="10">Juillet[[#Headers],[Nom de l’employé]]</definedName>
    <definedName name="Titre7" localSheetId="9">Juillet[[#Headers],[Nom de l’employé]]</definedName>
    <definedName name="Titre7" localSheetId="8">Juillet[[#Headers],[Nom de l’employé]]</definedName>
    <definedName name="Titre8" localSheetId="7">Août[[#Headers],[Nom de l’employé]]</definedName>
    <definedName name="Titre8" localSheetId="3">Août[[#Headers],[Nom de l’employé]]</definedName>
    <definedName name="Titre8" localSheetId="11">Août[[#Headers],[Nom de l’employé]]</definedName>
    <definedName name="Titre8" localSheetId="1">Août[[#Headers],[Nom de l’employé]]</definedName>
    <definedName name="Titre8" localSheetId="6">Août[[#Headers],[Nom de l’employé]]</definedName>
    <definedName name="Titre8" localSheetId="5">Août[[#Headers],[Nom de l’employé]]</definedName>
    <definedName name="Titre8" localSheetId="4">Août[[#Headers],[Nom de l’employé]]</definedName>
    <definedName name="Titre8" localSheetId="2">Août[[#Headers],[Nom de l’employé]]</definedName>
    <definedName name="Titre8" localSheetId="10">Août[[#Headers],[Nom de l’employé]]</definedName>
    <definedName name="Titre8" localSheetId="9">Août[[#Headers],[Nom de l’employé]]</definedName>
    <definedName name="Titre8" localSheetId="8">Août[[#Headers],[Nom de l’employé]]</definedName>
    <definedName name="Titre9" localSheetId="7">Septembre[[#Headers],[Nom de l’employé]]</definedName>
    <definedName name="Titre9" localSheetId="3">Septembre[[#Headers],[Nom de l’employé]]</definedName>
    <definedName name="Titre9" localSheetId="11">Septembre[[#Headers],[Nom de l’employé]]</definedName>
    <definedName name="Titre9" localSheetId="1">Septembre[[#Headers],[Nom de l’employé]]</definedName>
    <definedName name="Titre9" localSheetId="6">Septembre[[#Headers],[Nom de l’employé]]</definedName>
    <definedName name="Titre9" localSheetId="5">Septembre[[#Headers],[Nom de l’employé]]</definedName>
    <definedName name="Titre9" localSheetId="4">Septembre[[#Headers],[Nom de l’employé]]</definedName>
    <definedName name="Titre9" localSheetId="2">Septembre[[#Headers],[Nom de l’employé]]</definedName>
    <definedName name="Titre9" localSheetId="10">Septembre[[#Headers],[Nom de l’employé]]</definedName>
    <definedName name="Titre9" localSheetId="9">Septembre[[#Headers],[Nom de l’employé]]</definedName>
    <definedName name="Titre9" localSheetId="8">Septembre[[#Headers],[Nom de l’employé]]</definedName>
    <definedName name="TitreColonne13" localSheetId="7">T_Employés[[#Headers],[Noms des employés]]</definedName>
    <definedName name="TitreColonne13" localSheetId="3">T_Employés[[#Headers],[Noms des employés]]</definedName>
    <definedName name="TitreColonne13" localSheetId="11">T_Employés[[#Headers],[Noms des employés]]</definedName>
    <definedName name="TitreColonne13" localSheetId="1">T_Employés[[#Headers],[Noms des employés]]</definedName>
    <definedName name="TitreColonne13" localSheetId="6">T_Employés[[#Headers],[Noms des employés]]</definedName>
    <definedName name="TitreColonne13" localSheetId="5">T_Employés[[#Headers],[Noms des employés]]</definedName>
    <definedName name="TitreColonne13" localSheetId="4">T_Employés[[#Headers],[Noms des employés]]</definedName>
    <definedName name="TitreColonne13" localSheetId="2">T_Employés[[#Headers],[Noms des employés]]</definedName>
    <definedName name="TitreColonne13" localSheetId="10">T_Employés[[#Headers],[Noms des employés]]</definedName>
    <definedName name="TitreColonne13" localSheetId="9">T_Employés[[#Headers],[Noms des employés]]</definedName>
    <definedName name="TitreColonne13" localSheetId="8">T_Employés[[#Headers],[Noms des employés]]</definedName>
    <definedName name="TitreColonne13">T_Employés[[#Headers],[Noms des employés]]</definedName>
  </definedNames>
  <calcPr calcId="181029" concurrentCalc="0"/>
  <extLst>
    <ext xmlns:xcalcf="http://schemas.microsoft.com/office/spreadsheetml/2018/calcfeatures" uri="{B58B0392-4F1F-4190-BB64-5DF3571DCE5F}">
      <xcalcf:calcFeatures>
        <xcalcf:feature name="microsoft.com:RD"/>
        <xcalcf:feature name="microsoft.com:FV"/>
        <xcalcf:feature name="microsoft.com:LET_WF"/>
      </xcalcf:calcFeatures>
    </ext>
  </extLst>
</workbook>
</file>

<file path=xl/calcChain.xml><?xml version="1.0" encoding="utf-8"?>
<calcChain xmlns="http://schemas.openxmlformats.org/spreadsheetml/2006/main">
  <c r="AJ8" i="39" l="1"/>
  <c r="AJ9" i="39"/>
  <c r="AJ10" i="39"/>
  <c r="AJ11" i="39"/>
  <c r="AJ12" i="39"/>
  <c r="AJ13" i="39"/>
  <c r="AJ14" i="39"/>
  <c r="AJ15" i="39"/>
  <c r="AJ16" i="39"/>
  <c r="AJ17" i="39"/>
  <c r="AJ18" i="39"/>
  <c r="AJ19" i="39"/>
  <c r="AJ20" i="39"/>
  <c r="AJ21" i="39"/>
  <c r="AJ18" i="38"/>
  <c r="AJ17" i="38"/>
  <c r="AJ16" i="38"/>
  <c r="AJ15" i="38"/>
  <c r="AJ14" i="38"/>
  <c r="AJ13" i="38"/>
  <c r="AJ12" i="38"/>
  <c r="AJ11" i="38"/>
  <c r="AJ10" i="38"/>
  <c r="AJ9" i="38"/>
  <c r="AJ8" i="38"/>
  <c r="AJ18" i="37"/>
  <c r="AJ17" i="37"/>
  <c r="AJ16" i="37"/>
  <c r="AJ15" i="37"/>
  <c r="AJ14" i="37"/>
  <c r="AJ13" i="37"/>
  <c r="AJ12" i="37"/>
  <c r="AJ11" i="37"/>
  <c r="AJ10" i="37"/>
  <c r="AJ9" i="37"/>
  <c r="AJ8" i="37"/>
  <c r="AJ18" i="36"/>
  <c r="AJ17" i="36"/>
  <c r="AJ16" i="36"/>
  <c r="AJ15" i="36"/>
  <c r="AJ14" i="36"/>
  <c r="AJ13" i="36"/>
  <c r="AJ12" i="36"/>
  <c r="AJ11" i="36"/>
  <c r="AJ10" i="36"/>
  <c r="AJ9" i="36"/>
  <c r="AJ8" i="36"/>
  <c r="AJ18" i="35"/>
  <c r="AJ17" i="35"/>
  <c r="AJ16" i="35"/>
  <c r="AJ15" i="35"/>
  <c r="AJ14" i="35"/>
  <c r="AJ13" i="35"/>
  <c r="AJ12" i="35"/>
  <c r="AJ11" i="35"/>
  <c r="AJ10" i="35"/>
  <c r="AJ9" i="35"/>
  <c r="AJ8" i="35"/>
  <c r="AJ18" i="34"/>
  <c r="AJ17" i="34"/>
  <c r="AJ16" i="34"/>
  <c r="AJ15" i="34"/>
  <c r="AJ14" i="34"/>
  <c r="AJ13" i="34"/>
  <c r="AJ12" i="34"/>
  <c r="AJ11" i="34"/>
  <c r="AJ10" i="34"/>
  <c r="AJ9" i="34"/>
  <c r="AJ8" i="34"/>
  <c r="AJ18" i="33"/>
  <c r="AJ17" i="33"/>
  <c r="AJ16" i="33"/>
  <c r="AJ15" i="33"/>
  <c r="AJ14" i="33"/>
  <c r="AJ13" i="33"/>
  <c r="AJ12" i="33"/>
  <c r="AJ11" i="33"/>
  <c r="AJ10" i="33"/>
  <c r="AJ9" i="33"/>
  <c r="AJ8" i="33"/>
  <c r="AJ18" i="32"/>
  <c r="AJ17" i="32"/>
  <c r="AJ16" i="32"/>
  <c r="AJ15" i="32"/>
  <c r="AJ14" i="32"/>
  <c r="AJ13" i="32"/>
  <c r="AJ12" i="32"/>
  <c r="AJ11" i="32"/>
  <c r="AJ10" i="32"/>
  <c r="AJ9" i="32"/>
  <c r="AJ8" i="32"/>
  <c r="AJ9" i="31"/>
  <c r="AJ10" i="31"/>
  <c r="AJ11" i="31"/>
  <c r="AJ12" i="31"/>
  <c r="AJ13" i="31"/>
  <c r="AJ14" i="31"/>
  <c r="AJ15" i="31"/>
  <c r="AJ16" i="31"/>
  <c r="AJ17" i="31"/>
  <c r="AJ18" i="31"/>
  <c r="AJ8" i="31"/>
  <c r="AJ8" i="30"/>
  <c r="AJ9" i="30"/>
  <c r="AJ10" i="30"/>
  <c r="AJ11" i="30"/>
  <c r="AJ12" i="30"/>
  <c r="AJ13" i="30"/>
  <c r="AJ14" i="30"/>
  <c r="AJ15" i="30"/>
  <c r="AJ16" i="30"/>
  <c r="AJ17" i="30"/>
  <c r="AJ18" i="30"/>
  <c r="AJ8" i="29"/>
  <c r="AJ9" i="29"/>
  <c r="AJ10" i="29"/>
  <c r="AJ11" i="29"/>
  <c r="AJ12" i="29"/>
  <c r="AJ13" i="29"/>
  <c r="AJ14" i="29"/>
  <c r="AJ15" i="29"/>
  <c r="AJ16" i="29"/>
  <c r="AJ17" i="29"/>
  <c r="AJ18" i="29"/>
  <c r="AI8" i="39"/>
  <c r="AI9" i="39"/>
  <c r="AI10" i="39"/>
  <c r="AI11" i="39"/>
  <c r="AI12" i="39"/>
  <c r="AI13" i="39"/>
  <c r="AI14" i="39"/>
  <c r="AI15" i="39"/>
  <c r="AI16" i="39"/>
  <c r="AI17" i="39"/>
  <c r="AI18" i="39"/>
  <c r="AI19" i="39"/>
  <c r="AI20" i="39"/>
  <c r="AI21" i="39"/>
  <c r="AI8" i="38"/>
  <c r="AI9" i="38"/>
  <c r="AI10" i="38"/>
  <c r="AI11" i="38"/>
  <c r="AI12" i="38"/>
  <c r="AI13" i="38"/>
  <c r="AI14" i="38"/>
  <c r="AI15" i="38"/>
  <c r="AI16" i="38"/>
  <c r="AI17" i="38"/>
  <c r="AI18" i="38"/>
  <c r="AI19" i="38"/>
  <c r="AI20" i="38"/>
  <c r="AI21" i="38"/>
  <c r="AI8" i="37"/>
  <c r="AI9" i="37"/>
  <c r="AI10" i="37"/>
  <c r="AI11" i="37"/>
  <c r="AI12" i="37"/>
  <c r="AI13" i="37"/>
  <c r="AI14" i="37"/>
  <c r="AI15" i="37"/>
  <c r="AI16" i="37"/>
  <c r="AI17" i="37"/>
  <c r="AI18" i="37"/>
  <c r="AI19" i="37"/>
  <c r="AI20" i="37"/>
  <c r="AI21" i="37"/>
  <c r="AI8" i="36"/>
  <c r="AI9" i="36"/>
  <c r="AI10" i="36"/>
  <c r="AI11" i="36"/>
  <c r="AI12" i="36"/>
  <c r="AI13" i="36"/>
  <c r="AI14" i="36"/>
  <c r="AI15" i="36"/>
  <c r="AI16" i="36"/>
  <c r="AI17" i="36"/>
  <c r="AI18" i="36"/>
  <c r="AI8" i="35"/>
  <c r="AI9" i="35"/>
  <c r="AI10" i="35"/>
  <c r="AI11" i="35"/>
  <c r="AI12" i="35"/>
  <c r="AI13" i="35"/>
  <c r="AI14" i="35"/>
  <c r="AI15" i="35"/>
  <c r="AI16" i="35"/>
  <c r="AI17" i="35"/>
  <c r="AI18" i="35"/>
  <c r="AI8" i="34"/>
  <c r="AI9" i="34"/>
  <c r="AI10" i="34"/>
  <c r="AI11" i="34"/>
  <c r="AI12" i="34"/>
  <c r="AI13" i="34"/>
  <c r="AI14" i="34"/>
  <c r="AI15" i="34"/>
  <c r="AI16" i="34"/>
  <c r="AI17" i="34"/>
  <c r="AI18" i="34"/>
  <c r="AI8" i="33"/>
  <c r="AI9" i="33"/>
  <c r="AI10" i="33"/>
  <c r="AI11" i="33"/>
  <c r="AI12" i="33"/>
  <c r="AI13" i="33"/>
  <c r="AI14" i="33"/>
  <c r="AI15" i="33"/>
  <c r="AI16" i="33"/>
  <c r="AI17" i="33"/>
  <c r="AI18" i="33"/>
  <c r="AI8" i="31"/>
  <c r="AI9" i="31"/>
  <c r="AI10" i="31"/>
  <c r="AI11" i="31"/>
  <c r="AI12" i="31"/>
  <c r="AI13" i="31"/>
  <c r="AI14" i="31"/>
  <c r="AI15" i="31"/>
  <c r="AI16" i="31"/>
  <c r="AI17" i="31"/>
  <c r="AI18" i="31"/>
  <c r="AI8" i="30"/>
  <c r="AI9" i="30"/>
  <c r="AI10" i="30"/>
  <c r="AI11" i="30"/>
  <c r="AI12" i="30"/>
  <c r="AI13" i="30"/>
  <c r="AI14" i="30"/>
  <c r="AI15" i="30"/>
  <c r="AI16" i="30"/>
  <c r="AI17" i="30"/>
  <c r="AI18" i="30"/>
  <c r="AI8" i="29"/>
  <c r="AI9" i="29"/>
  <c r="AI10" i="29"/>
  <c r="AI11" i="29"/>
  <c r="AI12" i="29"/>
  <c r="AI13" i="29"/>
  <c r="AI14" i="29"/>
  <c r="AI15" i="29"/>
  <c r="AI16" i="29"/>
  <c r="AI17" i="29"/>
  <c r="AI18" i="29"/>
  <c r="AH8" i="39"/>
  <c r="AH9" i="39"/>
  <c r="AH10" i="39"/>
  <c r="AH11" i="39"/>
  <c r="AH12" i="39"/>
  <c r="AH13" i="39"/>
  <c r="AH14" i="39"/>
  <c r="AH15" i="39"/>
  <c r="AH16" i="39"/>
  <c r="AH17" i="39"/>
  <c r="AH18" i="39"/>
  <c r="AH19" i="39"/>
  <c r="AH20" i="39"/>
  <c r="AH21" i="39"/>
  <c r="AH8" i="38"/>
  <c r="AH9" i="38"/>
  <c r="AH10" i="38"/>
  <c r="AH11" i="38"/>
  <c r="AH12" i="38"/>
  <c r="AH13" i="38"/>
  <c r="AH14" i="38"/>
  <c r="AH15" i="38"/>
  <c r="AH16" i="38"/>
  <c r="AH17" i="38"/>
  <c r="AH18" i="38"/>
  <c r="AH19" i="38"/>
  <c r="AH20" i="38"/>
  <c r="AH21" i="38"/>
  <c r="AH8" i="37"/>
  <c r="AH9" i="37"/>
  <c r="AH10" i="37"/>
  <c r="AH11" i="37"/>
  <c r="AH12" i="37"/>
  <c r="AH13" i="37"/>
  <c r="AH14" i="37"/>
  <c r="AH15" i="37"/>
  <c r="AH16" i="37"/>
  <c r="AH17" i="37"/>
  <c r="AH18" i="37"/>
  <c r="AH19" i="37"/>
  <c r="AH20" i="37"/>
  <c r="AH21" i="37"/>
  <c r="AH8" i="36"/>
  <c r="AH9" i="36"/>
  <c r="AH10" i="36"/>
  <c r="AH11" i="36"/>
  <c r="AH12" i="36"/>
  <c r="AH13" i="36"/>
  <c r="AH14" i="36"/>
  <c r="AH15" i="36"/>
  <c r="AH16" i="36"/>
  <c r="AH17" i="36"/>
  <c r="AH18" i="36"/>
  <c r="AH8" i="35"/>
  <c r="AH9" i="35"/>
  <c r="AH10" i="35"/>
  <c r="AH11" i="35"/>
  <c r="AH12" i="35"/>
  <c r="AH13" i="35"/>
  <c r="AH14" i="35"/>
  <c r="AH15" i="35"/>
  <c r="AH16" i="35"/>
  <c r="AH17" i="35"/>
  <c r="AH18" i="35"/>
  <c r="AH8" i="34"/>
  <c r="AH9" i="34"/>
  <c r="AH10" i="34"/>
  <c r="AH11" i="34"/>
  <c r="AH12" i="34"/>
  <c r="AH13" i="34"/>
  <c r="AH14" i="34"/>
  <c r="AH15" i="34"/>
  <c r="AH16" i="34"/>
  <c r="AH17" i="34"/>
  <c r="AH18" i="34"/>
  <c r="AH8" i="33"/>
  <c r="AH9" i="33"/>
  <c r="AH10" i="33"/>
  <c r="AH11" i="33"/>
  <c r="AH12" i="33"/>
  <c r="AH13" i="33"/>
  <c r="AH14" i="33"/>
  <c r="AH15" i="33"/>
  <c r="AH16" i="33"/>
  <c r="AH17" i="33"/>
  <c r="AH18" i="33"/>
  <c r="AH8" i="32"/>
  <c r="AH9" i="32"/>
  <c r="AH10" i="32"/>
  <c r="AH11" i="32"/>
  <c r="AH12" i="32"/>
  <c r="AH13" i="32"/>
  <c r="AH14" i="32"/>
  <c r="AH15" i="32"/>
  <c r="AH16" i="32"/>
  <c r="AH17" i="32"/>
  <c r="AH18" i="32"/>
  <c r="AH8" i="31"/>
  <c r="AH9" i="31"/>
  <c r="AH10" i="31"/>
  <c r="AH11" i="31"/>
  <c r="AH12" i="31"/>
  <c r="AH13" i="31"/>
  <c r="AH14" i="31"/>
  <c r="AH15" i="31"/>
  <c r="AH16" i="31"/>
  <c r="AH17" i="31"/>
  <c r="AH18" i="31"/>
  <c r="AH8" i="30"/>
  <c r="AH9" i="30"/>
  <c r="AH10" i="30"/>
  <c r="AH11" i="30"/>
  <c r="AH12" i="30"/>
  <c r="AH13" i="30"/>
  <c r="AH14" i="30"/>
  <c r="AH15" i="30"/>
  <c r="AH16" i="30"/>
  <c r="AH17" i="30"/>
  <c r="AH18" i="30"/>
  <c r="AH8" i="29"/>
  <c r="AH9" i="29"/>
  <c r="AH10" i="29"/>
  <c r="AH11" i="29"/>
  <c r="AH12" i="29"/>
  <c r="AH13" i="29"/>
  <c r="AH14" i="29"/>
  <c r="AH15" i="29"/>
  <c r="AH16" i="29"/>
  <c r="AH17" i="29"/>
  <c r="AH18" i="29"/>
  <c r="AJ9" i="4"/>
  <c r="AJ10" i="4"/>
  <c r="AJ11" i="4"/>
  <c r="AJ12" i="4"/>
  <c r="AJ13" i="4"/>
  <c r="AJ14" i="4"/>
  <c r="AJ15" i="4"/>
  <c r="AJ16" i="4"/>
  <c r="AJ17" i="4"/>
  <c r="AJ18" i="4"/>
  <c r="AI12" i="4"/>
  <c r="AI13" i="4"/>
  <c r="AI14" i="4"/>
  <c r="AI15" i="4"/>
  <c r="AI16" i="4"/>
  <c r="AI17" i="4"/>
  <c r="AI18" i="4"/>
  <c r="AI9" i="4"/>
  <c r="AI10" i="4"/>
  <c r="AI11" i="4"/>
  <c r="AJ8" i="4"/>
  <c r="AI8" i="4"/>
  <c r="AH8" i="4"/>
  <c r="AH9" i="4"/>
  <c r="AH10" i="4"/>
  <c r="AH11" i="4"/>
  <c r="AH12" i="4"/>
  <c r="AH13" i="4"/>
  <c r="AH14" i="4"/>
  <c r="AH15" i="4"/>
  <c r="AH16" i="4"/>
  <c r="AH17" i="4"/>
  <c r="AH18" i="4"/>
  <c r="D22" i="39"/>
  <c r="E22" i="39"/>
  <c r="F22" i="39"/>
  <c r="G22" i="39"/>
  <c r="H22" i="39"/>
  <c r="I22" i="39"/>
  <c r="J22" i="39"/>
  <c r="K22" i="39"/>
  <c r="L22" i="39"/>
  <c r="M22" i="39"/>
  <c r="N22" i="39"/>
  <c r="O22" i="39"/>
  <c r="P22" i="39"/>
  <c r="Q22" i="39"/>
  <c r="R22" i="39"/>
  <c r="S22" i="39"/>
  <c r="T22" i="39"/>
  <c r="U22" i="39"/>
  <c r="V22" i="39"/>
  <c r="W22" i="39"/>
  <c r="X22" i="39"/>
  <c r="Y22" i="39"/>
  <c r="Z22" i="39"/>
  <c r="AA22" i="39"/>
  <c r="AB22" i="39"/>
  <c r="AC22" i="39"/>
  <c r="AD22" i="39"/>
  <c r="AE22" i="39"/>
  <c r="AF22" i="39"/>
  <c r="AG22" i="39"/>
  <c r="C22" i="39"/>
  <c r="D22" i="38"/>
  <c r="E22" i="38"/>
  <c r="F22" i="38"/>
  <c r="G22" i="38"/>
  <c r="H22" i="38"/>
  <c r="I22" i="38"/>
  <c r="J22" i="38"/>
  <c r="K22" i="38"/>
  <c r="L22" i="38"/>
  <c r="M22" i="38"/>
  <c r="N22" i="38"/>
  <c r="O22" i="38"/>
  <c r="P22" i="38"/>
  <c r="Q22" i="38"/>
  <c r="R22" i="38"/>
  <c r="S22" i="38"/>
  <c r="T22" i="38"/>
  <c r="U22" i="38"/>
  <c r="V22" i="38"/>
  <c r="W22" i="38"/>
  <c r="X22" i="38"/>
  <c r="Y22" i="38"/>
  <c r="Z22" i="38"/>
  <c r="AA22" i="38"/>
  <c r="AB22" i="38"/>
  <c r="AC22" i="38"/>
  <c r="AD22" i="38"/>
  <c r="AE22" i="38"/>
  <c r="AF22" i="38"/>
  <c r="AG22" i="38"/>
  <c r="C22" i="38"/>
  <c r="D22" i="37"/>
  <c r="E22" i="37"/>
  <c r="F22" i="37"/>
  <c r="G22" i="37"/>
  <c r="H22" i="37"/>
  <c r="I22" i="37"/>
  <c r="J22" i="37"/>
  <c r="K22" i="37"/>
  <c r="L22" i="37"/>
  <c r="M22" i="37"/>
  <c r="N22" i="37"/>
  <c r="O22" i="37"/>
  <c r="P22" i="37"/>
  <c r="Q22" i="37"/>
  <c r="R22" i="37"/>
  <c r="S22" i="37"/>
  <c r="T22" i="37"/>
  <c r="U22" i="37"/>
  <c r="V22" i="37"/>
  <c r="W22" i="37"/>
  <c r="X22" i="37"/>
  <c r="Y22" i="37"/>
  <c r="Z22" i="37"/>
  <c r="AA22" i="37"/>
  <c r="AB22" i="37"/>
  <c r="AC22" i="37"/>
  <c r="AD22" i="37"/>
  <c r="AE22" i="37"/>
  <c r="AF22" i="37"/>
  <c r="AG22" i="37"/>
  <c r="C22" i="37"/>
  <c r="D19" i="36"/>
  <c r="E19" i="36"/>
  <c r="F19" i="36"/>
  <c r="G19" i="36"/>
  <c r="H19" i="36"/>
  <c r="I19" i="36"/>
  <c r="J19" i="36"/>
  <c r="K19" i="36"/>
  <c r="L19" i="36"/>
  <c r="M19" i="36"/>
  <c r="N19" i="36"/>
  <c r="O19" i="36"/>
  <c r="P19" i="36"/>
  <c r="Q19" i="36"/>
  <c r="R19" i="36"/>
  <c r="S19" i="36"/>
  <c r="T19" i="36"/>
  <c r="U19" i="36"/>
  <c r="V19" i="36"/>
  <c r="W19" i="36"/>
  <c r="X19" i="36"/>
  <c r="Y19" i="36"/>
  <c r="Z19" i="36"/>
  <c r="AA19" i="36"/>
  <c r="AB19" i="36"/>
  <c r="AC19" i="36"/>
  <c r="AD19" i="36"/>
  <c r="AE19" i="36"/>
  <c r="AF19" i="36"/>
  <c r="AG19" i="36"/>
  <c r="C19" i="36"/>
  <c r="D19" i="35"/>
  <c r="E19" i="35"/>
  <c r="F19" i="35"/>
  <c r="G19" i="35"/>
  <c r="H19" i="35"/>
  <c r="I19" i="35"/>
  <c r="J19" i="35"/>
  <c r="K19" i="35"/>
  <c r="L19" i="35"/>
  <c r="M19" i="35"/>
  <c r="N19" i="35"/>
  <c r="O19" i="35"/>
  <c r="P19" i="35"/>
  <c r="Q19" i="35"/>
  <c r="R19" i="35"/>
  <c r="S19" i="35"/>
  <c r="T19" i="35"/>
  <c r="U19" i="35"/>
  <c r="V19" i="35"/>
  <c r="W19" i="35"/>
  <c r="X19" i="35"/>
  <c r="Y19" i="35"/>
  <c r="Z19" i="35"/>
  <c r="AA19" i="35"/>
  <c r="AB19" i="35"/>
  <c r="AC19" i="35"/>
  <c r="AD19" i="35"/>
  <c r="AE19" i="35"/>
  <c r="AF19" i="35"/>
  <c r="AG19" i="35"/>
  <c r="C19" i="35"/>
  <c r="D19" i="34"/>
  <c r="E19" i="34"/>
  <c r="F19" i="34"/>
  <c r="G19" i="34"/>
  <c r="H19" i="34"/>
  <c r="I19" i="34"/>
  <c r="J19" i="34"/>
  <c r="K19" i="34"/>
  <c r="L19" i="34"/>
  <c r="M19" i="34"/>
  <c r="N19" i="34"/>
  <c r="O19" i="34"/>
  <c r="P19" i="34"/>
  <c r="Q19" i="34"/>
  <c r="R19" i="34"/>
  <c r="S19" i="34"/>
  <c r="T19" i="34"/>
  <c r="U19" i="34"/>
  <c r="V19" i="34"/>
  <c r="W19" i="34"/>
  <c r="X19" i="34"/>
  <c r="Y19" i="34"/>
  <c r="Z19" i="34"/>
  <c r="AA19" i="34"/>
  <c r="AB19" i="34"/>
  <c r="AC19" i="34"/>
  <c r="AD19" i="34"/>
  <c r="AE19" i="34"/>
  <c r="AF19" i="34"/>
  <c r="AG19" i="34"/>
  <c r="C19" i="34"/>
  <c r="D19" i="32"/>
  <c r="E19" i="32"/>
  <c r="F19" i="32"/>
  <c r="G19" i="32"/>
  <c r="H19" i="32"/>
  <c r="I19" i="32"/>
  <c r="J19" i="32"/>
  <c r="K19" i="32"/>
  <c r="L19" i="32"/>
  <c r="M19" i="32"/>
  <c r="N19" i="32"/>
  <c r="O19" i="32"/>
  <c r="P19" i="32"/>
  <c r="Q19" i="32"/>
  <c r="R19" i="32"/>
  <c r="S19" i="32"/>
  <c r="T19" i="32"/>
  <c r="U19" i="32"/>
  <c r="V19" i="32"/>
  <c r="W19" i="32"/>
  <c r="X19" i="32"/>
  <c r="Y19" i="32"/>
  <c r="Z19" i="32"/>
  <c r="AA19" i="32"/>
  <c r="AB19" i="32"/>
  <c r="AC19" i="32"/>
  <c r="AD19" i="32"/>
  <c r="AE19" i="32"/>
  <c r="AF19" i="32"/>
  <c r="AG19" i="32"/>
  <c r="C19" i="32"/>
  <c r="D19" i="31"/>
  <c r="E19" i="31"/>
  <c r="F19" i="31"/>
  <c r="G19" i="31"/>
  <c r="H19" i="31"/>
  <c r="I19" i="31"/>
  <c r="J19" i="31"/>
  <c r="K19" i="31"/>
  <c r="L19" i="31"/>
  <c r="M19" i="31"/>
  <c r="N19" i="31"/>
  <c r="O19" i="31"/>
  <c r="P19" i="31"/>
  <c r="Q19" i="31"/>
  <c r="R19" i="31"/>
  <c r="S19" i="31"/>
  <c r="T19" i="31"/>
  <c r="U19" i="31"/>
  <c r="V19" i="31"/>
  <c r="W19" i="31"/>
  <c r="X19" i="31"/>
  <c r="Y19" i="31"/>
  <c r="Z19" i="31"/>
  <c r="AA19" i="31"/>
  <c r="AB19" i="31"/>
  <c r="AC19" i="31"/>
  <c r="AD19" i="31"/>
  <c r="AE19" i="31"/>
  <c r="AF19" i="31"/>
  <c r="AG19" i="31"/>
  <c r="C19" i="31"/>
  <c r="D19" i="30"/>
  <c r="E19" i="30"/>
  <c r="F19" i="30"/>
  <c r="G19" i="30"/>
  <c r="H19" i="30"/>
  <c r="I19" i="30"/>
  <c r="J19" i="30"/>
  <c r="K19" i="30"/>
  <c r="L19" i="30"/>
  <c r="M19" i="30"/>
  <c r="N19" i="30"/>
  <c r="O19" i="30"/>
  <c r="P19" i="30"/>
  <c r="Q19" i="30"/>
  <c r="R19" i="30"/>
  <c r="S19" i="30"/>
  <c r="T19" i="30"/>
  <c r="U19" i="30"/>
  <c r="V19" i="30"/>
  <c r="W19" i="30"/>
  <c r="X19" i="30"/>
  <c r="Y19" i="30"/>
  <c r="Z19" i="30"/>
  <c r="AA19" i="30"/>
  <c r="AB19" i="30"/>
  <c r="AC19" i="30"/>
  <c r="AD19" i="30"/>
  <c r="AE19" i="30"/>
  <c r="AF19" i="30"/>
  <c r="AG19" i="30"/>
  <c r="C19" i="30"/>
  <c r="D19" i="29"/>
  <c r="E19" i="29"/>
  <c r="F19" i="29"/>
  <c r="G19" i="29"/>
  <c r="H19" i="29"/>
  <c r="I19" i="29"/>
  <c r="J19" i="29"/>
  <c r="K19" i="29"/>
  <c r="L19" i="29"/>
  <c r="M19" i="29"/>
  <c r="N19" i="29"/>
  <c r="O19" i="29"/>
  <c r="P19" i="29"/>
  <c r="Q19" i="29"/>
  <c r="R19" i="29"/>
  <c r="S19" i="29"/>
  <c r="T19" i="29"/>
  <c r="U19" i="29"/>
  <c r="V19" i="29"/>
  <c r="W19" i="29"/>
  <c r="X19" i="29"/>
  <c r="Y19" i="29"/>
  <c r="Z19" i="29"/>
  <c r="AA19" i="29"/>
  <c r="AB19" i="29"/>
  <c r="AC19" i="29"/>
  <c r="AD19" i="29"/>
  <c r="AE19" i="29"/>
  <c r="AF19" i="29"/>
  <c r="AG19" i="29"/>
  <c r="C19" i="29"/>
  <c r="R19" i="4"/>
  <c r="S19" i="4"/>
  <c r="T19" i="4"/>
  <c r="U19" i="4"/>
  <c r="V19" i="4"/>
  <c r="W19" i="4"/>
  <c r="X19" i="4"/>
  <c r="Y19" i="4"/>
  <c r="Z19" i="4"/>
  <c r="AA19" i="4"/>
  <c r="AB19" i="4"/>
  <c r="AC19" i="4"/>
  <c r="AD19" i="4"/>
  <c r="AE19" i="4"/>
  <c r="AF19" i="4"/>
  <c r="AG19" i="4"/>
  <c r="C19" i="4"/>
  <c r="D19" i="4"/>
  <c r="E19" i="4"/>
  <c r="F19" i="4"/>
  <c r="G19" i="4"/>
  <c r="H19" i="4"/>
  <c r="I19" i="4"/>
  <c r="J19" i="4"/>
  <c r="K19" i="4"/>
  <c r="L19" i="4"/>
  <c r="M19" i="4"/>
  <c r="N19" i="4"/>
  <c r="O19" i="4"/>
  <c r="P19" i="4"/>
  <c r="Q19" i="4"/>
  <c r="G4" i="16"/>
  <c r="B1" i="39"/>
  <c r="B1" i="38"/>
  <c r="B1" i="37"/>
  <c r="B1" i="36"/>
  <c r="B1" i="35"/>
  <c r="B1" i="34"/>
  <c r="B1" i="33"/>
  <c r="B1" i="32"/>
  <c r="B1" i="31"/>
  <c r="B22" i="37"/>
  <c r="AH22" i="37"/>
  <c r="AI22" i="37"/>
  <c r="AJ19" i="37"/>
  <c r="AJ20" i="37"/>
  <c r="AJ21" i="37"/>
  <c r="AJ22" i="37"/>
  <c r="AJ21" i="38"/>
  <c r="AJ20" i="38"/>
  <c r="AJ19" i="38"/>
  <c r="AK5" i="29"/>
  <c r="N6" i="29"/>
  <c r="AK5" i="33"/>
  <c r="AK5" i="34"/>
  <c r="AK5" i="35"/>
  <c r="AK5" i="36"/>
  <c r="AK5" i="37"/>
  <c r="AK5" i="38"/>
  <c r="AK5" i="39"/>
  <c r="AK5" i="30"/>
  <c r="AK5" i="32"/>
  <c r="AK5" i="31"/>
  <c r="C19" i="33"/>
  <c r="D19" i="33"/>
  <c r="E19" i="33"/>
  <c r="F19" i="33"/>
  <c r="G19" i="33"/>
  <c r="H19" i="33"/>
  <c r="I19" i="33"/>
  <c r="J19" i="33"/>
  <c r="K19" i="33"/>
  <c r="L19" i="33"/>
  <c r="M19" i="33"/>
  <c r="N19" i="33"/>
  <c r="O19" i="33"/>
  <c r="P19" i="33"/>
  <c r="Q19" i="33"/>
  <c r="R19" i="33"/>
  <c r="S19" i="33"/>
  <c r="T19" i="33"/>
  <c r="U19" i="33"/>
  <c r="V19" i="33"/>
  <c r="W19" i="33"/>
  <c r="X19" i="33"/>
  <c r="Y19" i="33"/>
  <c r="Z19" i="33"/>
  <c r="AA19" i="33"/>
  <c r="AB19" i="33"/>
  <c r="AC19" i="33"/>
  <c r="AD19" i="33"/>
  <c r="AE19" i="33"/>
  <c r="AF19" i="33"/>
  <c r="AG19" i="33"/>
  <c r="AK9" i="4"/>
  <c r="AK9" i="29"/>
  <c r="AK9" i="30"/>
  <c r="AK9" i="31"/>
  <c r="AI9" i="32"/>
  <c r="AK9" i="32"/>
  <c r="AK9" i="33"/>
  <c r="AK9" i="34"/>
  <c r="AK9" i="35"/>
  <c r="AK9" i="36"/>
  <c r="AK9" i="37"/>
  <c r="AK9" i="38"/>
  <c r="AK9" i="39"/>
  <c r="AI19" i="35"/>
  <c r="AK10" i="4"/>
  <c r="AK10" i="29"/>
  <c r="AK10" i="30"/>
  <c r="AK10" i="31"/>
  <c r="AI10" i="32"/>
  <c r="AK10" i="32"/>
  <c r="AK10" i="33"/>
  <c r="AK10" i="34"/>
  <c r="AK10" i="35"/>
  <c r="AK10" i="36"/>
  <c r="AK10" i="37"/>
  <c r="AK10" i="38"/>
  <c r="AK10" i="39"/>
  <c r="AI19" i="31"/>
  <c r="AI19" i="4"/>
  <c r="AK13" i="4"/>
  <c r="AK13" i="29"/>
  <c r="AK13" i="30"/>
  <c r="AK13" i="31"/>
  <c r="AI13" i="32"/>
  <c r="AK13" i="32"/>
  <c r="AK13" i="33"/>
  <c r="AK13" i="34"/>
  <c r="AK13" i="35"/>
  <c r="AK13" i="36"/>
  <c r="AK13" i="37"/>
  <c r="AK13" i="38"/>
  <c r="AK13" i="39"/>
  <c r="AK14" i="4"/>
  <c r="AK14" i="29"/>
  <c r="AK14" i="30"/>
  <c r="AK14" i="31"/>
  <c r="AI14" i="32"/>
  <c r="AK14" i="32"/>
  <c r="AK14" i="33"/>
  <c r="AK14" i="34"/>
  <c r="AK14" i="35"/>
  <c r="AK14" i="36"/>
  <c r="AK14" i="37"/>
  <c r="AK14" i="38"/>
  <c r="AK14" i="39"/>
  <c r="AK15" i="4"/>
  <c r="AK15" i="29"/>
  <c r="AK15" i="30"/>
  <c r="AK15" i="31"/>
  <c r="AI15" i="32"/>
  <c r="AK15" i="32"/>
  <c r="AK15" i="33"/>
  <c r="AK15" i="34"/>
  <c r="AK15" i="35"/>
  <c r="AK15" i="36"/>
  <c r="AK15" i="37"/>
  <c r="AK15" i="38"/>
  <c r="AK15" i="39"/>
  <c r="AK16" i="4"/>
  <c r="AK16" i="29"/>
  <c r="AK16" i="30"/>
  <c r="AK16" i="31"/>
  <c r="AI16" i="32"/>
  <c r="AK16" i="32"/>
  <c r="AK16" i="33"/>
  <c r="AK16" i="34"/>
  <c r="AK16" i="35"/>
  <c r="AK16" i="36"/>
  <c r="AK16" i="37"/>
  <c r="AK16" i="38"/>
  <c r="AK16" i="39"/>
  <c r="AK17" i="4"/>
  <c r="AK17" i="29"/>
  <c r="AK17" i="30"/>
  <c r="AK17" i="31"/>
  <c r="AI17" i="32"/>
  <c r="AK17" i="32"/>
  <c r="AK17" i="33"/>
  <c r="AK17" i="34"/>
  <c r="AK17" i="35"/>
  <c r="AK17" i="36"/>
  <c r="AK17" i="37"/>
  <c r="AK17" i="38"/>
  <c r="AK17" i="39"/>
  <c r="AK18" i="4"/>
  <c r="AK18" i="29"/>
  <c r="AK18" i="30"/>
  <c r="AK18" i="31"/>
  <c r="AI18" i="32"/>
  <c r="AK18" i="32"/>
  <c r="AK18" i="33"/>
  <c r="AK18" i="34"/>
  <c r="AK18" i="35"/>
  <c r="AK18" i="36"/>
  <c r="AK18" i="37"/>
  <c r="AK18" i="38"/>
  <c r="AK18" i="39"/>
  <c r="AH19" i="35"/>
  <c r="AJ19" i="35"/>
  <c r="AH19" i="34"/>
  <c r="AI19" i="34"/>
  <c r="AJ19" i="34"/>
  <c r="AJ22" i="39"/>
  <c r="AJ22" i="38"/>
  <c r="AJ19" i="36"/>
  <c r="AH19" i="36"/>
  <c r="AI19" i="36"/>
  <c r="AJ19" i="33"/>
  <c r="AJ19" i="32"/>
  <c r="AJ19" i="29"/>
  <c r="AJ19" i="30"/>
  <c r="AJ19" i="31"/>
  <c r="AJ19" i="4"/>
  <c r="AH22" i="39"/>
  <c r="AH22" i="38"/>
  <c r="AH19" i="33"/>
  <c r="AH19" i="32"/>
  <c r="AH19" i="31"/>
  <c r="AH19" i="29"/>
  <c r="AH19" i="4"/>
  <c r="AH19" i="30"/>
  <c r="AI19" i="33"/>
  <c r="AI22" i="38"/>
  <c r="AI22" i="39"/>
  <c r="AI19" i="30"/>
  <c r="AI19" i="29"/>
  <c r="AI8" i="32"/>
  <c r="AI11" i="32"/>
  <c r="AI12" i="32"/>
  <c r="AI19" i="32"/>
  <c r="B22" i="39"/>
  <c r="AG6" i="39"/>
  <c r="AF6" i="39"/>
  <c r="AE6" i="39"/>
  <c r="AD6" i="39"/>
  <c r="AC6" i="39"/>
  <c r="AB6" i="39"/>
  <c r="AA6" i="39"/>
  <c r="Z6" i="39"/>
  <c r="Y6" i="39"/>
  <c r="X6" i="39"/>
  <c r="W6" i="39"/>
  <c r="V6" i="39"/>
  <c r="U6" i="39"/>
  <c r="T6" i="39"/>
  <c r="S6" i="39"/>
  <c r="R6" i="39"/>
  <c r="Q6" i="39"/>
  <c r="P6" i="39"/>
  <c r="O6" i="39"/>
  <c r="N6" i="39"/>
  <c r="M6" i="39"/>
  <c r="L6" i="39"/>
  <c r="K6" i="39"/>
  <c r="J6" i="39"/>
  <c r="I6" i="39"/>
  <c r="H6" i="39"/>
  <c r="G6" i="39"/>
  <c r="F6" i="39"/>
  <c r="E6" i="39"/>
  <c r="D6" i="39"/>
  <c r="C6" i="39"/>
  <c r="B22" i="38"/>
  <c r="AF6" i="38"/>
  <c r="AE6" i="38"/>
  <c r="AD6" i="38"/>
  <c r="AC6" i="38"/>
  <c r="AB6" i="38"/>
  <c r="AA6" i="38"/>
  <c r="Z6" i="38"/>
  <c r="Y6" i="38"/>
  <c r="X6" i="38"/>
  <c r="W6" i="38"/>
  <c r="V6" i="38"/>
  <c r="U6" i="38"/>
  <c r="T6" i="38"/>
  <c r="S6" i="38"/>
  <c r="R6" i="38"/>
  <c r="Q6" i="38"/>
  <c r="P6" i="38"/>
  <c r="O6" i="38"/>
  <c r="N6" i="38"/>
  <c r="M6" i="38"/>
  <c r="L6" i="38"/>
  <c r="K6" i="38"/>
  <c r="J6" i="38"/>
  <c r="I6" i="38"/>
  <c r="H6" i="38"/>
  <c r="G6" i="38"/>
  <c r="F6" i="38"/>
  <c r="E6" i="38"/>
  <c r="D6" i="38"/>
  <c r="C6" i="38"/>
  <c r="AG6" i="37"/>
  <c r="AF6" i="37"/>
  <c r="AE6" i="37"/>
  <c r="AD6" i="37"/>
  <c r="AC6" i="37"/>
  <c r="AB6" i="37"/>
  <c r="AA6" i="37"/>
  <c r="Z6" i="37"/>
  <c r="Y6" i="37"/>
  <c r="X6" i="37"/>
  <c r="W6" i="37"/>
  <c r="V6" i="37"/>
  <c r="U6" i="37"/>
  <c r="T6" i="37"/>
  <c r="S6" i="37"/>
  <c r="R6" i="37"/>
  <c r="Q6" i="37"/>
  <c r="P6" i="37"/>
  <c r="O6" i="37"/>
  <c r="N6" i="37"/>
  <c r="M6" i="37"/>
  <c r="L6" i="37"/>
  <c r="K6" i="37"/>
  <c r="J6" i="37"/>
  <c r="I6" i="37"/>
  <c r="H6" i="37"/>
  <c r="G6" i="37"/>
  <c r="F6" i="37"/>
  <c r="E6" i="37"/>
  <c r="D6" i="37"/>
  <c r="C6" i="37"/>
  <c r="B19" i="36"/>
  <c r="AF6" i="36"/>
  <c r="AE6" i="36"/>
  <c r="AD6" i="36"/>
  <c r="AC6" i="36"/>
  <c r="AB6" i="36"/>
  <c r="AA6" i="36"/>
  <c r="Z6" i="36"/>
  <c r="Y6" i="36"/>
  <c r="X6" i="36"/>
  <c r="W6" i="36"/>
  <c r="V6" i="36"/>
  <c r="U6" i="36"/>
  <c r="T6" i="36"/>
  <c r="S6" i="36"/>
  <c r="R6" i="36"/>
  <c r="Q6" i="36"/>
  <c r="P6" i="36"/>
  <c r="O6" i="36"/>
  <c r="N6" i="36"/>
  <c r="M6" i="36"/>
  <c r="L6" i="36"/>
  <c r="K6" i="36"/>
  <c r="J6" i="36"/>
  <c r="I6" i="36"/>
  <c r="H6" i="36"/>
  <c r="G6" i="36"/>
  <c r="F6" i="36"/>
  <c r="E6" i="36"/>
  <c r="D6" i="36"/>
  <c r="C6" i="36"/>
  <c r="B19" i="35"/>
  <c r="AG6" i="35"/>
  <c r="AF6" i="35"/>
  <c r="AE6" i="35"/>
  <c r="AD6" i="35"/>
  <c r="AC6" i="35"/>
  <c r="AB6" i="35"/>
  <c r="AA6" i="35"/>
  <c r="Z6" i="35"/>
  <c r="Y6" i="35"/>
  <c r="X6" i="35"/>
  <c r="W6" i="35"/>
  <c r="V6" i="35"/>
  <c r="U6" i="35"/>
  <c r="T6" i="35"/>
  <c r="S6" i="35"/>
  <c r="R6" i="35"/>
  <c r="Q6" i="35"/>
  <c r="P6" i="35"/>
  <c r="O6" i="35"/>
  <c r="N6" i="35"/>
  <c r="M6" i="35"/>
  <c r="L6" i="35"/>
  <c r="K6" i="35"/>
  <c r="J6" i="35"/>
  <c r="I6" i="35"/>
  <c r="H6" i="35"/>
  <c r="G6" i="35"/>
  <c r="F6" i="35"/>
  <c r="E6" i="35"/>
  <c r="D6" i="35"/>
  <c r="C6" i="35"/>
  <c r="B19" i="34"/>
  <c r="AG6" i="34"/>
  <c r="AF6" i="34"/>
  <c r="AE6" i="34"/>
  <c r="AD6" i="34"/>
  <c r="AC6" i="34"/>
  <c r="AB6" i="34"/>
  <c r="AA6" i="34"/>
  <c r="Z6" i="34"/>
  <c r="Y6" i="34"/>
  <c r="X6" i="34"/>
  <c r="W6" i="34"/>
  <c r="V6" i="34"/>
  <c r="U6" i="34"/>
  <c r="T6" i="34"/>
  <c r="S6" i="34"/>
  <c r="R6" i="34"/>
  <c r="Q6" i="34"/>
  <c r="P6" i="34"/>
  <c r="O6" i="34"/>
  <c r="N6" i="34"/>
  <c r="M6" i="34"/>
  <c r="L6" i="34"/>
  <c r="K6" i="34"/>
  <c r="J6" i="34"/>
  <c r="I6" i="34"/>
  <c r="H6" i="34"/>
  <c r="G6" i="34"/>
  <c r="F6" i="34"/>
  <c r="E6" i="34"/>
  <c r="D6" i="34"/>
  <c r="C6" i="34"/>
  <c r="B19" i="33"/>
  <c r="AF6" i="33"/>
  <c r="AE6" i="33"/>
  <c r="AD6" i="33"/>
  <c r="AC6" i="33"/>
  <c r="AB6" i="33"/>
  <c r="AA6" i="33"/>
  <c r="Z6" i="33"/>
  <c r="Y6" i="33"/>
  <c r="X6" i="33"/>
  <c r="W6" i="33"/>
  <c r="V6" i="33"/>
  <c r="U6" i="33"/>
  <c r="T6" i="33"/>
  <c r="S6" i="33"/>
  <c r="R6" i="33"/>
  <c r="Q6" i="33"/>
  <c r="P6" i="33"/>
  <c r="O6" i="33"/>
  <c r="N6" i="33"/>
  <c r="M6" i="33"/>
  <c r="L6" i="33"/>
  <c r="K6" i="33"/>
  <c r="J6" i="33"/>
  <c r="I6" i="33"/>
  <c r="H6" i="33"/>
  <c r="G6" i="33"/>
  <c r="F6" i="33"/>
  <c r="E6" i="33"/>
  <c r="D6" i="33"/>
  <c r="C6" i="33"/>
  <c r="B19" i="32"/>
  <c r="AG6" i="32"/>
  <c r="AF6" i="32"/>
  <c r="AE6" i="32"/>
  <c r="AD6" i="32"/>
  <c r="AC6" i="32"/>
  <c r="AB6" i="32"/>
  <c r="AA6" i="32"/>
  <c r="Z6" i="32"/>
  <c r="Y6" i="32"/>
  <c r="X6" i="32"/>
  <c r="W6" i="32"/>
  <c r="V6" i="32"/>
  <c r="U6" i="32"/>
  <c r="T6" i="32"/>
  <c r="S6" i="32"/>
  <c r="R6" i="32"/>
  <c r="Q6" i="32"/>
  <c r="P6" i="32"/>
  <c r="O6" i="32"/>
  <c r="N6" i="32"/>
  <c r="M6" i="32"/>
  <c r="L6" i="32"/>
  <c r="K6" i="32"/>
  <c r="J6" i="32"/>
  <c r="I6" i="32"/>
  <c r="H6" i="32"/>
  <c r="G6" i="32"/>
  <c r="F6" i="32"/>
  <c r="E6" i="32"/>
  <c r="D6" i="32"/>
  <c r="C6" i="32"/>
  <c r="B19" i="31"/>
  <c r="AF6" i="31"/>
  <c r="AE6" i="31"/>
  <c r="AD6" i="31"/>
  <c r="AC6" i="31"/>
  <c r="AB6" i="31"/>
  <c r="AA6" i="31"/>
  <c r="Z6" i="31"/>
  <c r="Y6" i="31"/>
  <c r="X6" i="31"/>
  <c r="W6" i="31"/>
  <c r="V6" i="31"/>
  <c r="U6" i="31"/>
  <c r="T6" i="31"/>
  <c r="S6" i="31"/>
  <c r="R6" i="31"/>
  <c r="Q6" i="31"/>
  <c r="P6" i="31"/>
  <c r="O6" i="31"/>
  <c r="N6" i="31"/>
  <c r="M6" i="31"/>
  <c r="L6" i="31"/>
  <c r="K6" i="31"/>
  <c r="J6" i="31"/>
  <c r="I6" i="31"/>
  <c r="H6" i="31"/>
  <c r="G6" i="31"/>
  <c r="F6" i="31"/>
  <c r="E6" i="31"/>
  <c r="D6" i="31"/>
  <c r="C6" i="31"/>
  <c r="B19" i="30"/>
  <c r="AG6" i="30"/>
  <c r="AF6" i="30"/>
  <c r="AE6" i="30"/>
  <c r="AD6" i="30"/>
  <c r="AC6" i="30"/>
  <c r="AB6" i="30"/>
  <c r="AA6" i="30"/>
  <c r="Z6" i="30"/>
  <c r="Y6" i="30"/>
  <c r="X6" i="30"/>
  <c r="W6" i="30"/>
  <c r="V6" i="30"/>
  <c r="U6" i="30"/>
  <c r="T6" i="30"/>
  <c r="S6" i="30"/>
  <c r="R6" i="30"/>
  <c r="Q6" i="30"/>
  <c r="P6" i="30"/>
  <c r="O6" i="30"/>
  <c r="N6" i="30"/>
  <c r="M6" i="30"/>
  <c r="L6" i="30"/>
  <c r="K6" i="30"/>
  <c r="J6" i="30"/>
  <c r="I6" i="30"/>
  <c r="H6" i="30"/>
  <c r="G6" i="30"/>
  <c r="F6" i="30"/>
  <c r="E6" i="30"/>
  <c r="D6" i="30"/>
  <c r="C6" i="30"/>
  <c r="B1" i="30"/>
  <c r="B19" i="29"/>
  <c r="B1" i="29"/>
  <c r="B19" i="4"/>
  <c r="AG6" i="4"/>
  <c r="AF6" i="4"/>
  <c r="AE6" i="4"/>
  <c r="AD6" i="4"/>
  <c r="AC6" i="4"/>
  <c r="AB6" i="4"/>
  <c r="AA6" i="4"/>
  <c r="Z6" i="4"/>
  <c r="Y6" i="4"/>
  <c r="X6" i="4"/>
  <c r="W6" i="4"/>
  <c r="V6" i="4"/>
  <c r="U6" i="4"/>
  <c r="T6" i="4"/>
  <c r="S6" i="4"/>
  <c r="R6" i="4"/>
  <c r="Q6" i="4"/>
  <c r="P6" i="4"/>
  <c r="O6" i="4"/>
  <c r="N6" i="4"/>
  <c r="M6" i="4"/>
  <c r="L6" i="4"/>
  <c r="K6" i="4"/>
  <c r="J6" i="4"/>
  <c r="I6" i="4"/>
  <c r="H6" i="4"/>
  <c r="G6" i="4"/>
  <c r="F6" i="4"/>
  <c r="E6" i="4"/>
  <c r="D6" i="4"/>
  <c r="C6" i="4"/>
  <c r="D6" i="29"/>
  <c r="G6" i="29"/>
  <c r="K6" i="29"/>
  <c r="L6" i="29"/>
  <c r="M6" i="29"/>
  <c r="P6" i="29"/>
  <c r="S6" i="29"/>
  <c r="W6" i="29"/>
  <c r="X6" i="29"/>
  <c r="Y6" i="29"/>
  <c r="AB6" i="29"/>
  <c r="AE6" i="29"/>
  <c r="V6" i="29"/>
  <c r="J6" i="29"/>
  <c r="U6" i="29"/>
  <c r="I6" i="29"/>
  <c r="T6" i="29"/>
  <c r="H6" i="29"/>
  <c r="AD6" i="29"/>
  <c r="R6" i="29"/>
  <c r="F6" i="29"/>
  <c r="AC6" i="29"/>
  <c r="Q6" i="29"/>
  <c r="E6" i="29"/>
  <c r="O6" i="29"/>
  <c r="AA6" i="29"/>
  <c r="C6" i="29"/>
  <c r="Z6" i="29"/>
</calcChain>
</file>

<file path=xl/connections.xml><?xml version="1.0" encoding="utf-8"?>
<connections xmlns="http://schemas.openxmlformats.org/spreadsheetml/2006/main" xmlns:mc="http://schemas.openxmlformats.org/markup-compatibility/2006" xmlns:xr16="http://schemas.microsoft.com/office/spreadsheetml/2017/revision16" mc:Ignorable="xr16">
  <connection id="1" xr16:uid="{304611CE-16E8-49BC-BC7D-553E3D31782F}" keepAlive="1" name="Requête - Data" description="Connexion à la requête « Data » dans le classeur." type="5" refreshedVersion="0" background="1">
    <dbPr connection="Provider=Microsoft.Mashup.OleDb.1;Data Source=$Workbook$;Location=Data;Extended Properties=&quot;&quot;" command="SELECT * FROM [Data]"/>
  </connection>
  <connection id="2" xr16:uid="{BE563F7A-7D63-4030-8918-1D58EBC11823}" keepAlive="1" name="Requête - Mois" description="Connexion à la requête « Mois » dans le classeur." type="5" refreshedVersion="0" background="1">
    <dbPr connection="Provider=Microsoft.Mashup.OleDb.1;Data Source=$Workbook$;Location=Mois;Extended Properties=&quot;&quot;" command="SELECT * FROM [Mois]"/>
  </connection>
  <connection id="3" xr16:uid="{5F52297D-F61C-486B-AFE0-A407855CABE1}" keepAlive="1" name="Requête - Mois0" description="Connexion à la requête « Mois0 » dans le classeur." type="5" refreshedVersion="0" background="1">
    <dbPr connection="Provider=Microsoft.Mashup.OleDb.1;Data Source=$Workbook$;Location=Mois0;Extended Properties=&quot;&quot;" command="SELECT * FROM [Mois0]"/>
  </connection>
  <connection id="4" xr16:uid="{83BAFCD7-5A8B-40FA-8583-C67464AC6E21}" keepAlive="1" name="Requête - Synthese" description="Connexion à la requête « Synthese » dans le classeur." type="5" refreshedVersion="7" background="1">
    <dbPr connection="Provider=Microsoft.Mashup.OleDb.1;Data Source=$Workbook$;Location=Synthese;Extended Properties=&quot;&quot;" command="SELECT * FROM [Synthese]"/>
  </connection>
  <connection id="5" xr16:uid="{78A75689-780F-4B8F-9FB8-1D365B307017}" keepAlive="1" name="Requête - T_Employés" description="Connexion à la requête « T_Employés » dans le classeur." type="5" refreshedVersion="0" background="1">
    <dbPr connection="Provider=Microsoft.Mashup.OleDb.1;Data Source=$Workbook$;Location=T_Employés;Extended Properties=&quot;&quot;" command="SELECT * FROM [T_Employés]"/>
  </connection>
  <connection id="6" xr16:uid="{D60884BA-3148-4310-BE8E-D5B7B6F4AB1D}" keepAlive="1" name="Requête - T_Types" description="Connexion à la requête « T_Types » dans le classeur." type="5" refreshedVersion="0" background="1">
    <dbPr connection="Provider=Microsoft.Mashup.OleDb.1;Data Source=$Workbook$;Location=T_Types;Extended Properties=&quot;&quot;" command="SELECT * FROM [T_Types]"/>
  </connection>
</connections>
</file>

<file path=xl/sharedStrings.xml><?xml version="1.0" encoding="utf-8"?>
<sst xmlns="http://schemas.openxmlformats.org/spreadsheetml/2006/main" count="878" uniqueCount="121">
  <si>
    <t>Calendrier des absences des employés</t>
  </si>
  <si>
    <t>Clé de motif d’absence</t>
  </si>
  <si>
    <t>Janvier</t>
  </si>
  <si>
    <t>Nom de l’employé</t>
  </si>
  <si>
    <t>C</t>
  </si>
  <si>
    <t>Dates d’absence</t>
  </si>
  <si>
    <t>1</t>
  </si>
  <si>
    <t>Congé</t>
  </si>
  <si>
    <t>2</t>
  </si>
  <si>
    <t>3</t>
  </si>
  <si>
    <t>4</t>
  </si>
  <si>
    <t>M</t>
  </si>
  <si>
    <t>5</t>
  </si>
  <si>
    <t>6</t>
  </si>
  <si>
    <t>7</t>
  </si>
  <si>
    <t>8</t>
  </si>
  <si>
    <t>9</t>
  </si>
  <si>
    <t>Maladie</t>
  </si>
  <si>
    <t>10</t>
  </si>
  <si>
    <t>11</t>
  </si>
  <si>
    <t>12</t>
  </si>
  <si>
    <t>13</t>
  </si>
  <si>
    <t>14</t>
  </si>
  <si>
    <t>15</t>
  </si>
  <si>
    <t>16</t>
  </si>
  <si>
    <t>17</t>
  </si>
  <si>
    <t>18</t>
  </si>
  <si>
    <t>19</t>
  </si>
  <si>
    <t>20</t>
  </si>
  <si>
    <t>21</t>
  </si>
  <si>
    <t>22</t>
  </si>
  <si>
    <t>23</t>
  </si>
  <si>
    <t>24</t>
  </si>
  <si>
    <t>25</t>
  </si>
  <si>
    <t>26</t>
  </si>
  <si>
    <t>27</t>
  </si>
  <si>
    <t>28</t>
  </si>
  <si>
    <t>29</t>
  </si>
  <si>
    <t>30</t>
  </si>
  <si>
    <t>31</t>
  </si>
  <si>
    <t>Entrez l’année :</t>
  </si>
  <si>
    <t>Février</t>
  </si>
  <si>
    <t xml:space="preserve"> </t>
  </si>
  <si>
    <t xml:space="preserve">  </t>
  </si>
  <si>
    <t>Mars</t>
  </si>
  <si>
    <t>Avril</t>
  </si>
  <si>
    <t>Mai</t>
  </si>
  <si>
    <t>Juin</t>
  </si>
  <si>
    <t>Juillet</t>
  </si>
  <si>
    <t>Août</t>
  </si>
  <si>
    <t>Septembre</t>
  </si>
  <si>
    <t>Octobre</t>
  </si>
  <si>
    <t>Novembre</t>
  </si>
  <si>
    <t>Décembre</t>
  </si>
  <si>
    <t>Noms des employés</t>
  </si>
  <si>
    <t>Rec</t>
  </si>
  <si>
    <t>Récupération</t>
  </si>
  <si>
    <t>RTT</t>
  </si>
  <si>
    <t>F</t>
  </si>
  <si>
    <t>Formation</t>
  </si>
  <si>
    <t>TT</t>
  </si>
  <si>
    <t>Télétravail</t>
  </si>
  <si>
    <t>Type d'absence</t>
  </si>
  <si>
    <t>Motif</t>
  </si>
  <si>
    <t>Solde RTT disponible au 01/02/2021</t>
  </si>
  <si>
    <t>Solde RTT disponible au 01/03/2021</t>
  </si>
  <si>
    <t>Demi RTT</t>
  </si>
  <si>
    <t>Total absence</t>
  </si>
  <si>
    <t>Enfant malade</t>
  </si>
  <si>
    <t>EM</t>
  </si>
  <si>
    <t>DEM</t>
  </si>
  <si>
    <t>DREC</t>
  </si>
  <si>
    <t>DRTT</t>
  </si>
  <si>
    <t>Demi journée EM</t>
  </si>
  <si>
    <t>Demi récup</t>
  </si>
  <si>
    <t>Solde RTT disponible au 01/04/2021</t>
  </si>
  <si>
    <t>Solde RTT disponible au 01/05/2021</t>
  </si>
  <si>
    <t>Solde RTT disponible au 01/06/2021</t>
  </si>
  <si>
    <t>Dont RTT</t>
  </si>
  <si>
    <t>Solde RTT disponible au 01/08/2021</t>
  </si>
  <si>
    <t>Solde RTT disponible au 01/01/2022</t>
  </si>
  <si>
    <t>Solde RTT disponible au 01/12/2021</t>
  </si>
  <si>
    <t>Solde RTT disponible au 01/11/2021</t>
  </si>
  <si>
    <t>Solde RTT disponible au 01/10/2021</t>
  </si>
  <si>
    <t>Solde RTT disponible au 01/09/2021</t>
  </si>
  <si>
    <t>Solde RTT disponible au 01/07/2021</t>
  </si>
  <si>
    <t>Solde cp disponible au 1er janvier 2021</t>
  </si>
  <si>
    <t>PE</t>
  </si>
  <si>
    <t>Présence exceptionnelle</t>
  </si>
  <si>
    <t>CS</t>
  </si>
  <si>
    <t>Congé spéc.</t>
  </si>
  <si>
    <t>Total</t>
  </si>
  <si>
    <t>Demi récupération</t>
  </si>
  <si>
    <t>Demi Enfant Malade</t>
  </si>
  <si>
    <t>Congé spécial</t>
  </si>
  <si>
    <t>Descriptif</t>
  </si>
  <si>
    <t>NT</t>
  </si>
  <si>
    <t>Non travaillé</t>
  </si>
  <si>
    <t>Dont MALADIE</t>
  </si>
  <si>
    <t>Commentaires</t>
  </si>
  <si>
    <t>AJ</t>
  </si>
  <si>
    <t>Absence justifiée</t>
  </si>
  <si>
    <t>Solde rtt disponible au 1er janvier 2022</t>
  </si>
  <si>
    <t>CET</t>
  </si>
  <si>
    <t>DCET</t>
  </si>
  <si>
    <t>Compte épargne temps</t>
  </si>
  <si>
    <t>Demi épargne temps</t>
  </si>
  <si>
    <t>Employés 01</t>
  </si>
  <si>
    <t>Employés 02</t>
  </si>
  <si>
    <t>Employés 03</t>
  </si>
  <si>
    <t>Employés 04</t>
  </si>
  <si>
    <t>rtt</t>
  </si>
  <si>
    <t>rec</t>
  </si>
  <si>
    <t>m</t>
  </si>
  <si>
    <t>Version MAC donc pas de PowerQuery</t>
  </si>
  <si>
    <t xml:space="preserve">Merci beaucoup ! </t>
  </si>
  <si>
    <r>
      <t xml:space="preserve">J'aimerais pouvoir afficher en temps réél un récapitulatif </t>
    </r>
    <r>
      <rPr>
        <b/>
        <u/>
        <sz val="11"/>
        <color theme="1"/>
        <rFont val="Calibri (Corps)_x0000_"/>
      </rPr>
      <t>par mois et par employé</t>
    </r>
    <r>
      <rPr>
        <b/>
        <sz val="11"/>
        <color theme="1"/>
        <rFont val="Calibri"/>
        <family val="2"/>
        <scheme val="minor"/>
      </rPr>
      <t xml:space="preserve"> avec la liste des absences et leur motif. </t>
    </r>
  </si>
  <si>
    <t>Mois</t>
  </si>
  <si>
    <t>Employé</t>
  </si>
  <si>
    <t>Absences</t>
  </si>
  <si>
    <t>Date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</si>
</sst>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8">
    <numFmt numFmtId="42" formatCode="_-* #,##0\ &quot;€&quot;_-;\-* #,##0\ &quot;€&quot;_-;_-* &quot;-&quot;\ &quot;€&quot;_-;_-@_-"/>
    <numFmt numFmtId="44" formatCode="_-* #,##0.00\ &quot;€&quot;_-;\-* #,##0.00\ &quot;€&quot;_-;_-* &quot;-&quot;??\ &quot;€&quot;_-;_-@_-"/>
    <numFmt numFmtId="164" formatCode="_(* #,##0_);_(* \(#,##0\);_(* &quot;-&quot;_);_(@_)"/>
    <numFmt numFmtId="165" formatCode="_(* #,##0.00_);_(* \(#,##0.00\);_(* &quot;-&quot;??_);_(@_)"/>
    <numFmt numFmtId="166" formatCode="0;0;"/>
    <numFmt numFmtId="167" formatCode="0.0"/>
    <numFmt numFmtId="168" formatCode="0.0;0.0;"/>
    <numFmt numFmtId="169" formatCode="[$-F800]dddd\,\ mmmm\ dd\,\ yyyy"/>
  </numFmts>
  <fonts count="25">
    <font>
      <sz val="11"/>
      <color theme="1"/>
      <name val="Calibri"/>
      <family val="2"/>
      <scheme val="minor"/>
    </font>
    <font>
      <sz val="11"/>
      <color theme="1"/>
      <name val="Calibri"/>
      <family val="2"/>
      <scheme val="minor"/>
    </font>
    <font>
      <b/>
      <sz val="11"/>
      <color theme="1"/>
      <name val="Calibri"/>
      <family val="2"/>
      <scheme val="minor"/>
    </font>
    <font>
      <sz val="11"/>
      <color theme="0"/>
      <name val="Calibri"/>
      <family val="2"/>
      <scheme val="minor"/>
    </font>
    <font>
      <b/>
      <sz val="26"/>
      <color theme="3" tint="-0.24994659260841701"/>
      <name val="Calibri"/>
      <family val="2"/>
      <scheme val="major"/>
    </font>
    <font>
      <b/>
      <sz val="18"/>
      <color theme="4" tint="-0.24994659260841701"/>
      <name val="Calibri"/>
      <family val="2"/>
      <scheme val="minor"/>
    </font>
    <font>
      <b/>
      <sz val="26"/>
      <color theme="3"/>
      <name val="Calibri"/>
      <family val="2"/>
      <scheme val="minor"/>
    </font>
    <font>
      <sz val="11"/>
      <color theme="4" tint="-0.499984740745262"/>
      <name val="Calibri"/>
      <family val="2"/>
      <scheme val="minor"/>
    </font>
    <font>
      <sz val="11"/>
      <color rgb="FF006100"/>
      <name val="Calibri"/>
      <family val="2"/>
      <scheme val="minor"/>
    </font>
    <font>
      <sz val="11"/>
      <color rgb="FF9C0006"/>
      <name val="Calibri"/>
      <family val="2"/>
      <scheme val="minor"/>
    </font>
    <font>
      <sz val="11"/>
      <color rgb="FF9C57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8"/>
      <color theme="1"/>
      <name val="Calibri"/>
      <family val="2"/>
      <scheme val="minor"/>
    </font>
    <font>
      <b/>
      <sz val="18"/>
      <color rgb="FF941651"/>
      <name val="Calibri"/>
      <family val="2"/>
      <scheme val="minor"/>
    </font>
    <font>
      <b/>
      <sz val="18"/>
      <color rgb="FF941651"/>
      <name val="Calibri (Corps)_x0000_"/>
    </font>
    <font>
      <b/>
      <u/>
      <sz val="11"/>
      <color theme="1"/>
      <name val="Calibri (Corps)_x0000_"/>
    </font>
    <font>
      <b/>
      <sz val="11"/>
      <color rgb="FFFF0000"/>
      <name val="Calibri"/>
      <family val="2"/>
      <scheme val="minor"/>
    </font>
    <font>
      <sz val="8"/>
      <name val="Calibri"/>
      <family val="2"/>
      <scheme val="minor"/>
    </font>
    <font>
      <sz val="11"/>
      <name val="Calibri"/>
      <family val="2"/>
      <scheme val="minor"/>
    </font>
  </fonts>
  <fills count="59">
    <fill>
      <patternFill patternType="none"/>
    </fill>
    <fill>
      <patternFill patternType="gray125"/>
    </fill>
    <fill>
      <patternFill patternType="solid">
        <fgColor theme="2"/>
        <bgColor indexed="64"/>
      </patternFill>
    </fill>
    <fill>
      <patternFill patternType="solid">
        <fgColor theme="7"/>
        <bgColor indexed="64"/>
      </patternFill>
    </fill>
    <fill>
      <patternFill patternType="solid">
        <fgColor theme="7" tint="0.79998168889431442"/>
        <bgColor indexed="65"/>
      </patternFill>
    </fill>
    <fill>
      <patternFill patternType="solid">
        <fgColor theme="7" tint="0.39997558519241921"/>
        <bgColor indexed="65"/>
      </patternFill>
    </fill>
    <fill>
      <patternFill patternType="solid">
        <fgColor theme="3" tint="0.79998168889431442"/>
        <bgColor indexed="64"/>
      </patternFill>
    </fill>
    <fill>
      <patternFill patternType="solid">
        <fgColor theme="3" tint="-0.24994659260841701"/>
        <bgColor indexed="64"/>
      </patternFill>
    </fill>
    <fill>
      <patternFill patternType="solid">
        <fgColor theme="3" tint="0.39994506668294322"/>
        <bgColor indexed="64"/>
      </patternFill>
    </fill>
    <fill>
      <patternFill patternType="solid">
        <fgColor theme="7" tint="0.59996337778862885"/>
        <bgColor indexed="64"/>
      </patternFill>
    </fill>
    <fill>
      <patternFill patternType="solid">
        <fgColor theme="5" tint="0.59999389629810485"/>
        <bgColor indexed="65"/>
      </patternFill>
    </fill>
    <fill>
      <patternFill patternType="solid">
        <fgColor theme="6"/>
      </patternFill>
    </fill>
    <fill>
      <patternFill patternType="solid">
        <fgColor theme="6" tint="0.59999389629810485"/>
        <bgColor indexed="65"/>
      </patternFill>
    </fill>
    <fill>
      <patternFill patternType="solid">
        <fgColor theme="6" tint="0.39997558519241921"/>
        <bgColor indexed="65"/>
      </patternFill>
    </fill>
    <fill>
      <patternFill patternType="solid">
        <fgColor theme="8" tint="0.59999389629810485"/>
        <bgColor indexed="65"/>
      </patternFill>
    </fill>
    <fill>
      <patternFill patternType="solid">
        <fgColor theme="4" tint="0.39994506668294322"/>
        <bgColor indexed="64"/>
      </patternFill>
    </fill>
    <fill>
      <patternFill patternType="solid">
        <fgColor theme="4" tint="0.59996337778862885"/>
        <bgColor indexed="64"/>
      </patternFill>
    </fill>
    <fill>
      <patternFill patternType="solid">
        <fgColor theme="4" tint="0.79998168889431442"/>
        <bgColor indexed="64"/>
      </patternFill>
    </fill>
    <fill>
      <patternFill patternType="solid">
        <fgColor rgb="FFF8E3E0"/>
        <bgColor indexed="64"/>
      </patternFill>
    </fill>
    <fill>
      <patternFill patternType="solid">
        <fgColor theme="5" tint="0.39994506668294322"/>
        <bgColor indexed="64"/>
      </patternFill>
    </fill>
    <fill>
      <patternFill patternType="solid">
        <fgColor theme="6" tint="0.59996337778862885"/>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5" tint="0.79998168889431442"/>
        <bgColor indexed="65"/>
      </patternFill>
    </fill>
    <fill>
      <patternFill patternType="solid">
        <fgColor theme="5"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39997558519241921"/>
        <bgColor indexed="65"/>
      </patternFill>
    </fill>
    <fill>
      <patternFill patternType="solid">
        <fgColor theme="7" tint="0.79998168889431442"/>
        <bgColor indexed="64"/>
      </patternFill>
    </fill>
    <fill>
      <patternFill patternType="solid">
        <fgColor theme="0" tint="-0.14999847407452621"/>
        <bgColor indexed="64"/>
      </patternFill>
    </fill>
    <fill>
      <patternFill patternType="solid">
        <fgColor theme="8"/>
        <bgColor indexed="64"/>
      </patternFill>
    </fill>
    <fill>
      <patternFill patternType="solid">
        <fgColor theme="8" tint="0.79998168889431442"/>
        <bgColor indexed="64"/>
      </patternFill>
    </fill>
    <fill>
      <patternFill patternType="solid">
        <fgColor rgb="FFFFC000"/>
        <bgColor indexed="64"/>
      </patternFill>
    </fill>
    <fill>
      <patternFill patternType="solid">
        <fgColor theme="8" tint="0.39997558519241921"/>
        <bgColor indexed="64"/>
      </patternFill>
    </fill>
    <fill>
      <patternFill patternType="solid">
        <fgColor rgb="FFFFFF00"/>
        <bgColor indexed="64"/>
      </patternFill>
    </fill>
    <fill>
      <patternFill patternType="solid">
        <fgColor rgb="FF92D050"/>
        <bgColor indexed="64"/>
      </patternFill>
    </fill>
    <fill>
      <patternFill patternType="solid">
        <fgColor rgb="FFFF7E79"/>
        <bgColor indexed="64"/>
      </patternFill>
    </fill>
    <fill>
      <patternFill patternType="solid">
        <fgColor rgb="FF00B0F0"/>
        <bgColor indexed="64"/>
      </patternFill>
    </fill>
    <fill>
      <patternFill patternType="solid">
        <fgColor rgb="FF941651"/>
        <bgColor indexed="64"/>
      </patternFill>
    </fill>
    <fill>
      <patternFill patternType="solid">
        <fgColor rgb="FFFF0000"/>
        <bgColor indexed="64"/>
      </patternFill>
    </fill>
    <fill>
      <patternFill patternType="solid">
        <fgColor rgb="FFD883FF"/>
        <bgColor indexed="64"/>
      </patternFill>
    </fill>
    <fill>
      <patternFill patternType="solid">
        <fgColor rgb="FF76D6FF"/>
        <bgColor indexed="64"/>
      </patternFill>
    </fill>
    <fill>
      <patternFill patternType="solid">
        <fgColor theme="6" tint="0.39994506668294322"/>
        <bgColor indexed="64"/>
      </patternFill>
    </fill>
    <fill>
      <patternFill patternType="solid">
        <fgColor rgb="FFFFB8D8"/>
        <bgColor indexed="64"/>
      </patternFill>
    </fill>
    <fill>
      <patternFill patternType="solid">
        <fgColor rgb="FF00B050"/>
        <bgColor indexed="64"/>
      </patternFill>
    </fill>
    <fill>
      <patternFill patternType="solid">
        <fgColor theme="7" tint="0.39997558519241921"/>
        <bgColor indexed="64"/>
      </patternFill>
    </fill>
    <fill>
      <patternFill patternType="solid">
        <fgColor theme="4" tint="0.59999389629810485"/>
        <bgColor indexed="64"/>
      </patternFill>
    </fill>
    <fill>
      <patternFill patternType="solid">
        <fgColor theme="9" tint="-0.249977111117893"/>
        <bgColor indexed="64"/>
      </patternFill>
    </fill>
    <fill>
      <patternFill patternType="solid">
        <fgColor theme="0" tint="-4.9989318521683403E-2"/>
        <bgColor theme="4" tint="0.79992065187536243"/>
      </patternFill>
    </fill>
    <fill>
      <patternFill patternType="solid">
        <fgColor rgb="FFFF2F92"/>
        <bgColor indexed="64"/>
      </patternFill>
    </fill>
    <fill>
      <patternFill patternType="solid">
        <fgColor rgb="FFDCE1EF"/>
        <bgColor rgb="FF000000"/>
      </patternFill>
    </fill>
    <fill>
      <patternFill patternType="solid">
        <fgColor theme="1" tint="0.499984740745262"/>
        <bgColor indexed="64"/>
      </patternFill>
    </fill>
    <fill>
      <patternFill patternType="solid">
        <fgColor theme="3"/>
        <bgColor indexed="64"/>
      </patternFill>
    </fill>
    <fill>
      <patternFill patternType="solid">
        <fgColor theme="0" tint="-0.14996795556505021"/>
        <bgColor indexed="64"/>
      </patternFill>
    </fill>
  </fills>
  <borders count="13">
    <border>
      <left/>
      <right/>
      <top/>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bottom style="thin">
        <color indexed="64"/>
      </bottom>
      <diagonal/>
    </border>
    <border>
      <left style="thin">
        <color theme="0"/>
      </left>
      <right/>
      <top/>
      <bottom style="thin">
        <color indexed="64"/>
      </bottom>
      <diagonal/>
    </border>
    <border>
      <left/>
      <right style="thin">
        <color theme="0"/>
      </right>
      <top/>
      <bottom style="thin">
        <color indexed="64"/>
      </bottom>
      <diagonal/>
    </border>
    <border>
      <left style="thin">
        <color theme="0"/>
      </left>
      <right style="thin">
        <color theme="0"/>
      </right>
      <top/>
      <bottom/>
      <diagonal/>
    </border>
    <border>
      <left style="thin">
        <color theme="0"/>
      </left>
      <right style="thin">
        <color theme="0"/>
      </right>
      <top/>
      <bottom style="thin">
        <color indexed="64"/>
      </bottom>
      <diagonal/>
    </border>
    <border>
      <left/>
      <right style="thin">
        <color theme="0"/>
      </right>
      <top/>
      <bottom/>
      <diagonal/>
    </border>
    <border>
      <left style="thin">
        <color theme="0"/>
      </left>
      <right/>
      <top/>
      <bottom/>
      <diagonal/>
    </border>
  </borders>
  <cellStyleXfs count="49">
    <xf numFmtId="2" fontId="0" fillId="0" borderId="0">
      <alignment horizontal="left" vertical="center"/>
    </xf>
    <xf numFmtId="0" fontId="6" fillId="0" borderId="0" applyNumberFormat="0" applyFill="0" applyBorder="0" applyProtection="0">
      <alignment vertical="top"/>
    </xf>
    <xf numFmtId="0" fontId="4" fillId="0" borderId="0" applyNumberFormat="0" applyFill="0" applyBorder="0" applyProtection="0">
      <alignment vertical="top"/>
    </xf>
    <xf numFmtId="0" fontId="5" fillId="2" borderId="0" applyNumberFormat="0" applyBorder="0" applyProtection="0">
      <alignment horizontal="center" vertical="center"/>
    </xf>
    <xf numFmtId="0" fontId="2" fillId="20" borderId="0" applyNumberFormat="0" applyProtection="0">
      <alignment horizontal="right" vertical="center" indent="1"/>
    </xf>
    <xf numFmtId="0" fontId="1" fillId="0" borderId="0" applyNumberFormat="0" applyFill="0" applyBorder="0" applyProtection="0">
      <alignment horizontal="left" vertical="center" indent="2"/>
    </xf>
    <xf numFmtId="0" fontId="3" fillId="3" borderId="0" applyNumberFormat="0" applyBorder="0" applyAlignment="0" applyProtection="0"/>
    <xf numFmtId="0" fontId="1" fillId="4" borderId="0" applyNumberFormat="0" applyBorder="0" applyProtection="0">
      <alignment horizontal="center" vertical="center"/>
    </xf>
    <xf numFmtId="0" fontId="2" fillId="9" borderId="0" applyNumberFormat="0" applyBorder="0" applyAlignment="0" applyProtection="0"/>
    <xf numFmtId="0" fontId="1" fillId="5" borderId="0" applyNumberFormat="0" applyBorder="0" applyAlignment="0" applyProtection="0"/>
    <xf numFmtId="0" fontId="3" fillId="7" borderId="0" applyNumberFormat="0" applyBorder="0" applyAlignment="0" applyProtection="0"/>
    <xf numFmtId="0" fontId="1" fillId="6" borderId="0" applyNumberFormat="0" applyBorder="0" applyAlignment="0" applyProtection="0"/>
    <xf numFmtId="0" fontId="2" fillId="15" borderId="0" applyNumberFormat="0" applyBorder="0" applyAlignment="0" applyProtection="0"/>
    <xf numFmtId="0" fontId="1" fillId="8" borderId="0" applyNumberFormat="0" applyBorder="0" applyAlignment="0" applyProtection="0"/>
    <xf numFmtId="0" fontId="3" fillId="15" borderId="0" applyNumberFormat="0" applyBorder="0" applyAlignment="0" applyProtection="0"/>
    <xf numFmtId="0" fontId="1" fillId="18" borderId="0" applyNumberFormat="0" applyBorder="0" applyAlignment="0" applyProtection="0"/>
    <xf numFmtId="0" fontId="2" fillId="17" borderId="0" applyNumberFormat="0" applyBorder="0" applyAlignment="0" applyProtection="0"/>
    <xf numFmtId="0" fontId="3" fillId="16" borderId="0" applyNumberFormat="0" applyBorder="0" applyAlignment="0" applyProtection="0"/>
    <xf numFmtId="0" fontId="3" fillId="19" borderId="0" applyNumberFormat="0" applyBorder="0" applyAlignment="0" applyProtection="0"/>
    <xf numFmtId="0" fontId="2" fillId="10" borderId="0" applyNumberFormat="0" applyBorder="0" applyAlignment="0" applyProtection="0"/>
    <xf numFmtId="0" fontId="3" fillId="11" borderId="0" applyNumberFormat="0" applyBorder="0" applyAlignment="0" applyProtection="0"/>
    <xf numFmtId="0" fontId="1" fillId="2" borderId="0" applyNumberFormat="0" applyBorder="0" applyAlignment="0" applyProtection="0"/>
    <xf numFmtId="0" fontId="2" fillId="12" borderId="0" applyNumberFormat="0" applyBorder="0" applyProtection="0">
      <alignment horizontal="left" vertical="center" indent="1"/>
    </xf>
    <xf numFmtId="0" fontId="2" fillId="13" borderId="0" applyNumberFormat="0" applyBorder="0" applyAlignment="0" applyProtection="0"/>
    <xf numFmtId="0" fontId="2" fillId="14" borderId="0" applyNumberFormat="0" applyBorder="0" applyAlignment="0" applyProtection="0"/>
    <xf numFmtId="1" fontId="1" fillId="0" borderId="0" applyFill="0" applyBorder="0" applyProtection="0">
      <alignment horizontal="center" vertical="center"/>
    </xf>
    <xf numFmtId="0" fontId="1" fillId="0" borderId="0" applyNumberFormat="0" applyFill="0" applyBorder="0">
      <alignment horizontal="left" vertical="center" wrapText="1" indent="2"/>
    </xf>
    <xf numFmtId="0" fontId="7" fillId="0" borderId="0">
      <alignment horizontal="center"/>
    </xf>
    <xf numFmtId="165" fontId="1" fillId="0" borderId="0" applyFont="0" applyFill="0" applyBorder="0" applyAlignment="0" applyProtection="0"/>
    <xf numFmtId="164" fontId="1" fillId="0" borderId="0" applyFont="0" applyFill="0" applyBorder="0" applyAlignment="0" applyProtection="0"/>
    <xf numFmtId="44" fontId="1" fillId="0" borderId="0" applyFont="0" applyFill="0" applyBorder="0" applyAlignment="0" applyProtection="0"/>
    <xf numFmtId="42" fontId="1" fillId="0" borderId="0" applyFont="0" applyFill="0" applyBorder="0" applyAlignment="0" applyProtection="0"/>
    <xf numFmtId="9" fontId="1" fillId="0" borderId="0" applyFont="0" applyFill="0" applyBorder="0" applyAlignment="0" applyProtection="0"/>
    <xf numFmtId="0" fontId="8" fillId="21" borderId="0" applyNumberFormat="0" applyBorder="0" applyAlignment="0" applyProtection="0"/>
    <xf numFmtId="0" fontId="9" fillId="22" borderId="0" applyNumberFormat="0" applyBorder="0" applyAlignment="0" applyProtection="0"/>
    <xf numFmtId="0" fontId="10" fillId="23" borderId="0" applyNumberFormat="0" applyBorder="0" applyAlignment="0" applyProtection="0"/>
    <xf numFmtId="0" fontId="11" fillId="24" borderId="1" applyNumberFormat="0" applyAlignment="0" applyProtection="0"/>
    <xf numFmtId="0" fontId="12" fillId="25" borderId="2" applyNumberFormat="0" applyAlignment="0" applyProtection="0"/>
    <xf numFmtId="0" fontId="13" fillId="25" borderId="1" applyNumberFormat="0" applyAlignment="0" applyProtection="0"/>
    <xf numFmtId="0" fontId="14" fillId="0" borderId="3" applyNumberFormat="0" applyFill="0" applyAlignment="0" applyProtection="0"/>
    <xf numFmtId="0" fontId="15" fillId="26" borderId="4" applyNumberFormat="0" applyAlignment="0" applyProtection="0"/>
    <xf numFmtId="0" fontId="16" fillId="0" borderId="0" applyNumberFormat="0" applyFill="0" applyBorder="0" applyAlignment="0" applyProtection="0"/>
    <xf numFmtId="0" fontId="1" fillId="27" borderId="5" applyNumberFormat="0" applyFont="0" applyAlignment="0" applyProtection="0"/>
    <xf numFmtId="0" fontId="17" fillId="0" borderId="0" applyNumberFormat="0" applyFill="0" applyBorder="0" applyAlignment="0" applyProtection="0"/>
    <xf numFmtId="0" fontId="1" fillId="28" borderId="0" applyNumberFormat="0" applyBorder="0" applyAlignment="0" applyProtection="0"/>
    <xf numFmtId="0" fontId="1" fillId="29" borderId="0" applyNumberFormat="0" applyBorder="0" applyAlignment="0" applyProtection="0"/>
    <xf numFmtId="0" fontId="3"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96">
    <xf numFmtId="2" fontId="0" fillId="0" borderId="0" xfId="0">
      <alignment horizontal="left" vertical="center"/>
    </xf>
    <xf numFmtId="0" fontId="1" fillId="0" borderId="0" xfId="26">
      <alignment horizontal="left" vertical="center" wrapText="1" indent="2"/>
    </xf>
    <xf numFmtId="2" fontId="0" fillId="0" borderId="0" xfId="0" applyAlignment="1" applyProtection="1">
      <alignment horizontal="center" vertical="center"/>
    </xf>
    <xf numFmtId="2" fontId="0" fillId="0" borderId="0" xfId="0" applyProtection="1">
      <alignment horizontal="left" vertical="center"/>
    </xf>
    <xf numFmtId="0" fontId="6" fillId="0" borderId="0" xfId="1" applyAlignment="1" applyProtection="1">
      <alignment vertical="top"/>
    </xf>
    <xf numFmtId="2" fontId="0" fillId="0" borderId="0" xfId="0" applyAlignment="1" applyProtection="1">
      <alignment horizontal="left" vertical="center" wrapText="1"/>
    </xf>
    <xf numFmtId="0" fontId="6" fillId="0" borderId="0" xfId="1">
      <alignment vertical="top"/>
    </xf>
    <xf numFmtId="0" fontId="0" fillId="0" borderId="0" xfId="26" applyFont="1">
      <alignment horizontal="left" vertical="center" wrapText="1" indent="2"/>
    </xf>
    <xf numFmtId="0" fontId="0" fillId="0" borderId="0" xfId="26" applyFont="1" applyFill="1" applyBorder="1">
      <alignment horizontal="left" vertical="center" wrapText="1" indent="2"/>
    </xf>
    <xf numFmtId="0" fontId="2" fillId="33" borderId="0" xfId="4" applyFill="1" applyProtection="1">
      <alignment horizontal="right" vertical="center" indent="1"/>
    </xf>
    <xf numFmtId="0" fontId="5" fillId="34" borderId="0" xfId="3" applyFill="1" applyProtection="1">
      <alignment horizontal="center" vertical="center"/>
    </xf>
    <xf numFmtId="0" fontId="1" fillId="34" borderId="0" xfId="21" applyFill="1" applyBorder="1" applyAlignment="1" applyProtection="1">
      <alignment horizontal="left" vertical="center" indent="1"/>
    </xf>
    <xf numFmtId="2" fontId="0" fillId="35" borderId="0" xfId="0" applyFont="1" applyFill="1" applyBorder="1" applyAlignment="1" applyProtection="1">
      <alignment horizontal="center" vertical="center"/>
    </xf>
    <xf numFmtId="0" fontId="5" fillId="36" borderId="0" xfId="3" applyFill="1" applyProtection="1">
      <alignment horizontal="center" vertical="center"/>
    </xf>
    <xf numFmtId="166" fontId="2" fillId="37" borderId="0" xfId="24" applyNumberFormat="1" applyFont="1" applyFill="1" applyAlignment="1" applyProtection="1">
      <alignment horizontal="center" vertical="center"/>
    </xf>
    <xf numFmtId="2" fontId="2" fillId="0" borderId="0" xfId="0" applyFont="1" applyFill="1" applyBorder="1" applyAlignment="1" applyProtection="1">
      <alignment horizontal="center" vertical="center"/>
    </xf>
    <xf numFmtId="166" fontId="2" fillId="38" borderId="0" xfId="24" applyNumberFormat="1" applyFont="1" applyFill="1" applyAlignment="1" applyProtection="1">
      <alignment horizontal="center" vertical="center"/>
    </xf>
    <xf numFmtId="0" fontId="2" fillId="39" borderId="0" xfId="12" applyFill="1" applyAlignment="1" applyProtection="1">
      <alignment horizontal="center" vertical="center"/>
    </xf>
    <xf numFmtId="0" fontId="2" fillId="40" borderId="0" xfId="19" applyFill="1" applyAlignment="1" applyProtection="1">
      <alignment horizontal="center" vertical="center"/>
    </xf>
    <xf numFmtId="0" fontId="18" fillId="36" borderId="0" xfId="3" applyFont="1" applyFill="1" applyProtection="1">
      <alignment horizontal="center" vertical="center"/>
    </xf>
    <xf numFmtId="0" fontId="2" fillId="41" borderId="0" xfId="23" applyFont="1" applyFill="1" applyAlignment="1" applyProtection="1">
      <alignment horizontal="center" vertical="center"/>
    </xf>
    <xf numFmtId="166" fontId="2" fillId="42" borderId="0" xfId="8" applyNumberFormat="1" applyFont="1" applyFill="1" applyAlignment="1" applyProtection="1">
      <alignment horizontal="center" vertical="center"/>
    </xf>
    <xf numFmtId="2" fontId="2" fillId="0" borderId="0" xfId="0" applyFont="1" applyAlignment="1" applyProtection="1">
      <alignment horizontal="center" vertical="center"/>
    </xf>
    <xf numFmtId="0" fontId="19" fillId="36" borderId="0" xfId="3" applyFont="1" applyFill="1" applyAlignment="1" applyProtection="1">
      <alignment vertical="center"/>
    </xf>
    <xf numFmtId="0" fontId="0" fillId="43" borderId="0" xfId="21" applyFont="1" applyFill="1" applyBorder="1" applyAlignment="1" applyProtection="1">
      <alignment horizontal="center" vertical="center"/>
    </xf>
    <xf numFmtId="0" fontId="3" fillId="43" borderId="0" xfId="21" applyFont="1" applyFill="1" applyBorder="1" applyAlignment="1" applyProtection="1">
      <alignment horizontal="center" vertical="center"/>
    </xf>
    <xf numFmtId="166" fontId="2" fillId="17" borderId="6" xfId="0" applyNumberFormat="1" applyFont="1" applyFill="1" applyBorder="1" applyAlignment="1" applyProtection="1">
      <alignment horizontal="center" vertical="center"/>
    </xf>
    <xf numFmtId="166" fontId="2" fillId="17" borderId="8" xfId="0" applyNumberFormat="1" applyFont="1" applyFill="1" applyBorder="1" applyAlignment="1" applyProtection="1">
      <alignment horizontal="center" vertical="center"/>
    </xf>
    <xf numFmtId="2" fontId="2" fillId="36" borderId="8" xfId="0" applyFont="1" applyFill="1" applyBorder="1" applyAlignment="1" applyProtection="1">
      <alignment horizontal="left" vertical="center" indent="1"/>
    </xf>
    <xf numFmtId="166" fontId="0" fillId="17" borderId="6" xfId="0" applyNumberFormat="1" applyFont="1" applyFill="1" applyBorder="1" applyAlignment="1" applyProtection="1">
      <alignment horizontal="center" vertical="center"/>
    </xf>
    <xf numFmtId="2" fontId="0" fillId="36" borderId="6" xfId="0" applyFont="1" applyFill="1" applyBorder="1" applyAlignment="1" applyProtection="1">
      <alignment horizontal="center" vertical="center"/>
    </xf>
    <xf numFmtId="167" fontId="1" fillId="0" borderId="0" xfId="25" applyNumberFormat="1" applyFill="1" applyBorder="1" applyProtection="1">
      <alignment horizontal="center" vertical="center"/>
    </xf>
    <xf numFmtId="2" fontId="3" fillId="44" borderId="0" xfId="0" applyFont="1" applyFill="1" applyAlignment="1" applyProtection="1">
      <alignment horizontal="center" vertical="center" wrapText="1"/>
    </xf>
    <xf numFmtId="168" fontId="0" fillId="36" borderId="7" xfId="0" applyNumberFormat="1" applyFont="1" applyFill="1" applyBorder="1" applyAlignment="1" applyProtection="1">
      <alignment horizontal="center" vertical="center"/>
    </xf>
    <xf numFmtId="168" fontId="0" fillId="36" borderId="6" xfId="0" applyNumberFormat="1" applyFont="1" applyFill="1" applyBorder="1" applyAlignment="1" applyProtection="1">
      <alignment horizontal="center" vertical="center"/>
    </xf>
    <xf numFmtId="168" fontId="2" fillId="17" borderId="6" xfId="0" applyNumberFormat="1" applyFont="1" applyFill="1" applyBorder="1" applyAlignment="1" applyProtection="1">
      <alignment horizontal="center" vertical="center"/>
    </xf>
    <xf numFmtId="2" fontId="2" fillId="45" borderId="0" xfId="0" applyFont="1" applyFill="1" applyProtection="1">
      <alignment horizontal="left" vertical="center"/>
    </xf>
    <xf numFmtId="2" fontId="0" fillId="44" borderId="0" xfId="0" applyFill="1" applyAlignment="1" applyProtection="1">
      <alignment horizontal="center" vertical="center" wrapText="1"/>
    </xf>
    <xf numFmtId="168" fontId="2" fillId="46" borderId="0" xfId="8" applyNumberFormat="1" applyFont="1" applyFill="1" applyAlignment="1" applyProtection="1">
      <alignment horizontal="center" vertical="center"/>
    </xf>
    <xf numFmtId="2" fontId="2" fillId="47" borderId="0" xfId="0" applyFont="1" applyFill="1" applyProtection="1">
      <alignment horizontal="left" vertical="center"/>
    </xf>
    <xf numFmtId="2" fontId="2" fillId="48" borderId="0" xfId="0" applyFont="1" applyFill="1" applyProtection="1">
      <alignment horizontal="left" vertical="center"/>
    </xf>
    <xf numFmtId="2" fontId="0" fillId="36" borderId="7" xfId="0" applyFont="1" applyFill="1" applyBorder="1" applyAlignment="1" applyProtection="1">
      <alignment horizontal="center" vertical="center"/>
    </xf>
    <xf numFmtId="0" fontId="2" fillId="34" borderId="0" xfId="21" applyFont="1" applyFill="1" applyBorder="1" applyAlignment="1" applyProtection="1">
      <alignment horizontal="left" vertical="center" indent="1"/>
    </xf>
    <xf numFmtId="2" fontId="2" fillId="47" borderId="0" xfId="0" applyFont="1" applyFill="1" applyAlignment="1" applyProtection="1">
      <alignment horizontal="center" vertical="center"/>
    </xf>
    <xf numFmtId="2" fontId="2" fillId="48" borderId="0" xfId="0" applyFont="1" applyFill="1" applyAlignment="1" applyProtection="1">
      <alignment horizontal="center" vertical="center"/>
    </xf>
    <xf numFmtId="2" fontId="2" fillId="45" borderId="0" xfId="0" applyFont="1" applyFill="1" applyAlignment="1" applyProtection="1">
      <alignment horizontal="center" vertical="center"/>
    </xf>
    <xf numFmtId="2" fontId="1" fillId="0" borderId="0" xfId="26" applyNumberFormat="1">
      <alignment horizontal="left" vertical="center" wrapText="1" indent="2"/>
    </xf>
    <xf numFmtId="2" fontId="2" fillId="49" borderId="0" xfId="0" applyFont="1" applyFill="1" applyAlignment="1" applyProtection="1">
      <alignment horizontal="center" vertical="center"/>
    </xf>
    <xf numFmtId="2" fontId="2" fillId="50" borderId="0" xfId="0" applyFont="1" applyFill="1" applyAlignment="1" applyProtection="1">
      <alignment horizontal="center" vertical="center"/>
    </xf>
    <xf numFmtId="2" fontId="0" fillId="51" borderId="0" xfId="0" applyFont="1" applyFill="1" applyBorder="1" applyAlignment="1" applyProtection="1">
      <alignment horizontal="center" vertical="center"/>
    </xf>
    <xf numFmtId="0" fontId="0" fillId="43" borderId="0" xfId="21" applyFont="1" applyFill="1" applyBorder="1" applyAlignment="1" applyProtection="1">
      <alignment horizontal="center" vertical="center" wrapText="1"/>
    </xf>
    <xf numFmtId="2" fontId="2" fillId="52" borderId="0" xfId="0" applyFont="1" applyFill="1" applyAlignment="1" applyProtection="1">
      <alignment horizontal="center" vertical="center"/>
    </xf>
    <xf numFmtId="2" fontId="0" fillId="17" borderId="0" xfId="0" applyFont="1" applyFill="1" applyBorder="1" applyAlignment="1" applyProtection="1">
      <alignment horizontal="center" vertical="center"/>
    </xf>
    <xf numFmtId="168" fontId="0" fillId="17" borderId="7" xfId="0" applyNumberFormat="1" applyFont="1" applyFill="1" applyBorder="1" applyAlignment="1" applyProtection="1">
      <alignment horizontal="center" vertical="center"/>
    </xf>
    <xf numFmtId="2" fontId="2" fillId="53" borderId="9" xfId="0" applyFont="1" applyFill="1" applyBorder="1" applyAlignment="1">
      <alignment horizontal="center" vertical="center"/>
    </xf>
    <xf numFmtId="2" fontId="0" fillId="0" borderId="6" xfId="0" applyBorder="1" applyAlignment="1" applyProtection="1">
      <alignment horizontal="center" vertical="center"/>
    </xf>
    <xf numFmtId="2" fontId="0" fillId="0" borderId="0" xfId="0" applyBorder="1" applyAlignment="1" applyProtection="1">
      <alignment horizontal="center" vertical="center"/>
    </xf>
    <xf numFmtId="0" fontId="7" fillId="0" borderId="0" xfId="27" applyAlignment="1" applyProtection="1">
      <alignment horizontal="right"/>
    </xf>
    <xf numFmtId="2" fontId="0" fillId="0" borderId="0" xfId="26" applyNumberFormat="1" applyFont="1">
      <alignment horizontal="left" vertical="center" wrapText="1" indent="2"/>
    </xf>
    <xf numFmtId="0" fontId="1" fillId="0" borderId="0" xfId="26" applyNumberFormat="1" applyFill="1" applyProtection="1">
      <alignment horizontal="left" vertical="center" wrapText="1" indent="2"/>
    </xf>
    <xf numFmtId="2" fontId="2" fillId="0" borderId="0" xfId="0" applyFont="1" applyFill="1" applyAlignment="1" applyProtection="1">
      <alignment horizontal="center" vertical="center"/>
    </xf>
    <xf numFmtId="167" fontId="1" fillId="0" borderId="0" xfId="25" applyNumberFormat="1" applyFill="1" applyProtection="1">
      <alignment horizontal="center" vertical="center"/>
    </xf>
    <xf numFmtId="167" fontId="1" fillId="0" borderId="0" xfId="25" applyNumberFormat="1" applyFill="1" applyAlignment="1" applyProtection="1">
      <alignment horizontal="center" vertical="center"/>
    </xf>
    <xf numFmtId="166" fontId="0" fillId="36" borderId="0" xfId="0" applyNumberFormat="1" applyFont="1" applyFill="1" applyAlignment="1" applyProtection="1">
      <alignment horizontal="center" vertical="center"/>
    </xf>
    <xf numFmtId="2" fontId="0" fillId="36" borderId="10" xfId="0" applyFont="1" applyFill="1" applyBorder="1" applyAlignment="1" applyProtection="1">
      <alignment horizontal="center" vertical="center"/>
    </xf>
    <xf numFmtId="167" fontId="1" fillId="0" borderId="0" xfId="25" applyNumberFormat="1" applyFill="1" applyAlignment="1" applyProtection="1">
      <alignment horizontal="center" vertical="center" wrapText="1"/>
    </xf>
    <xf numFmtId="2" fontId="2" fillId="0" borderId="11" xfId="0" applyFont="1" applyFill="1" applyBorder="1" applyAlignment="1" applyProtection="1">
      <alignment horizontal="center" vertical="center"/>
    </xf>
    <xf numFmtId="0" fontId="1" fillId="43" borderId="0" xfId="21" applyFont="1" applyFill="1" applyBorder="1" applyAlignment="1" applyProtection="1">
      <alignment horizontal="center" vertical="center"/>
    </xf>
    <xf numFmtId="0" fontId="18" fillId="55" borderId="0" xfId="0" applyNumberFormat="1" applyFont="1" applyFill="1" applyAlignment="1">
      <alignment vertical="center"/>
    </xf>
    <xf numFmtId="0" fontId="18" fillId="36" borderId="0" xfId="3" applyFont="1" applyFill="1" applyAlignment="1" applyProtection="1">
      <alignment vertical="center"/>
    </xf>
    <xf numFmtId="0" fontId="18" fillId="34" borderId="0" xfId="3" applyFont="1" applyFill="1" applyProtection="1">
      <alignment horizontal="center" vertical="center"/>
    </xf>
    <xf numFmtId="2" fontId="3" fillId="56" borderId="0" xfId="0" applyFont="1" applyFill="1" applyAlignment="1" applyProtection="1">
      <alignment horizontal="center" vertical="center"/>
    </xf>
    <xf numFmtId="2" fontId="3" fillId="44" borderId="11" xfId="0" applyFont="1" applyFill="1" applyBorder="1" applyAlignment="1" applyProtection="1">
      <alignment horizontal="center" vertical="center" wrapText="1"/>
    </xf>
    <xf numFmtId="2" fontId="2" fillId="54" borderId="0" xfId="0" applyFont="1" applyFill="1" applyAlignment="1" applyProtection="1">
      <alignment horizontal="center" vertical="center"/>
    </xf>
    <xf numFmtId="2" fontId="2" fillId="0" borderId="0" xfId="0" applyFont="1" applyAlignment="1">
      <alignment horizontal="center" vertical="center"/>
    </xf>
    <xf numFmtId="169" fontId="0" fillId="0" borderId="0" xfId="0" applyNumberFormat="1">
      <alignment horizontal="left" vertical="center"/>
    </xf>
    <xf numFmtId="2" fontId="2" fillId="0" borderId="0" xfId="0" applyFont="1">
      <alignment horizontal="left" vertical="center"/>
    </xf>
    <xf numFmtId="2" fontId="0" fillId="0" borderId="0" xfId="0" applyAlignment="1">
      <alignment horizontal="center" vertical="center"/>
    </xf>
    <xf numFmtId="2" fontId="3" fillId="57" borderId="0" xfId="0" applyFont="1" applyFill="1" applyBorder="1">
      <alignment horizontal="left" vertical="center"/>
    </xf>
    <xf numFmtId="2" fontId="3" fillId="57" borderId="12" xfId="0" applyFont="1" applyFill="1" applyBorder="1">
      <alignment horizontal="left" vertical="center"/>
    </xf>
    <xf numFmtId="169" fontId="3" fillId="57" borderId="12" xfId="0" applyNumberFormat="1" applyFont="1" applyFill="1" applyBorder="1">
      <alignment horizontal="left" vertical="center"/>
    </xf>
    <xf numFmtId="2" fontId="0" fillId="58" borderId="0" xfId="0" applyFont="1" applyFill="1" applyBorder="1">
      <alignment horizontal="left" vertical="center"/>
    </xf>
    <xf numFmtId="2" fontId="0" fillId="58" borderId="12" xfId="0" applyFont="1" applyFill="1" applyBorder="1">
      <alignment horizontal="left" vertical="center"/>
    </xf>
    <xf numFmtId="169" fontId="0" fillId="58" borderId="12" xfId="0" applyNumberFormat="1" applyFont="1" applyFill="1" applyBorder="1">
      <alignment horizontal="left" vertical="center"/>
    </xf>
    <xf numFmtId="2" fontId="22" fillId="39" borderId="0" xfId="0" applyFont="1" applyFill="1" applyAlignment="1">
      <alignment horizontal="center" vertical="center"/>
    </xf>
    <xf numFmtId="0" fontId="24" fillId="34" borderId="0" xfId="21" applyFont="1" applyFill="1" applyBorder="1" applyAlignment="1" applyProtection="1">
      <alignment horizontal="left" vertical="center" indent="1"/>
    </xf>
    <xf numFmtId="0" fontId="20" fillId="36" borderId="0" xfId="3" applyFont="1" applyFill="1" applyProtection="1">
      <alignment horizontal="center" vertical="center"/>
    </xf>
    <xf numFmtId="0" fontId="19" fillId="36" borderId="0" xfId="3" applyFont="1" applyFill="1" applyProtection="1">
      <alignment horizontal="center" vertical="center"/>
    </xf>
    <xf numFmtId="0" fontId="0" fillId="33" borderId="0" xfId="21" applyFont="1" applyFill="1" applyAlignment="1" applyProtection="1">
      <alignment horizontal="left" vertical="center"/>
    </xf>
    <xf numFmtId="0" fontId="1" fillId="33" borderId="0" xfId="21" applyFill="1" applyAlignment="1" applyProtection="1">
      <alignment horizontal="left" vertical="center"/>
    </xf>
    <xf numFmtId="0" fontId="0" fillId="33" borderId="11" xfId="21" applyFont="1" applyFill="1" applyBorder="1" applyAlignment="1" applyProtection="1">
      <alignment horizontal="left" vertical="center"/>
    </xf>
    <xf numFmtId="0" fontId="0" fillId="33" borderId="12" xfId="21" applyFont="1" applyFill="1" applyBorder="1" applyAlignment="1" applyProtection="1">
      <alignment horizontal="left" vertical="center"/>
    </xf>
    <xf numFmtId="0" fontId="0" fillId="33" borderId="0" xfId="21" applyFont="1" applyFill="1" applyAlignment="1" applyProtection="1">
      <alignment horizontal="center" vertical="center"/>
    </xf>
    <xf numFmtId="2" fontId="0" fillId="33" borderId="0" xfId="0" applyFill="1" applyAlignment="1" applyProtection="1">
      <alignment horizontal="center" vertical="center"/>
    </xf>
    <xf numFmtId="2" fontId="0" fillId="0" borderId="0" xfId="0" applyAlignment="1" applyProtection="1">
      <alignment horizontal="center" vertical="center"/>
    </xf>
    <xf numFmtId="2" fontId="0" fillId="33" borderId="0" xfId="0" applyFill="1" applyAlignment="1" applyProtection="1">
      <alignment horizontal="left" vertical="center"/>
    </xf>
  </cellXfs>
  <cellStyles count="49">
    <cellStyle name="20 % - Accent1" xfId="15" builtinId="30" customBuiltin="1"/>
    <cellStyle name="20 % - Accent2" xfId="44" builtinId="34" customBuiltin="1"/>
    <cellStyle name="20 % - Accent3" xfId="21" builtinId="38" customBuiltin="1"/>
    <cellStyle name="20 % - Accent4" xfId="7" builtinId="42" customBuiltin="1"/>
    <cellStyle name="20 % - Accent5" xfId="47" builtinId="46" customBuiltin="1"/>
    <cellStyle name="20 % - Accent6" xfId="11" builtinId="50" customBuiltin="1"/>
    <cellStyle name="40 % - Accent1" xfId="16" builtinId="31" customBuiltin="1"/>
    <cellStyle name="40 % - Accent2" xfId="19" builtinId="35" customBuiltin="1"/>
    <cellStyle name="40 % - Accent3" xfId="22" builtinId="39" customBuiltin="1"/>
    <cellStyle name="40 % - Accent4" xfId="8" builtinId="43" customBuiltin="1"/>
    <cellStyle name="40 % - Accent5" xfId="24" builtinId="47" customBuiltin="1"/>
    <cellStyle name="40 % - Accent6" xfId="12" builtinId="51" customBuiltin="1"/>
    <cellStyle name="60 % - Accent1" xfId="17" builtinId="32" customBuiltin="1"/>
    <cellStyle name="60 % - Accent2" xfId="45" builtinId="36" customBuiltin="1"/>
    <cellStyle name="60 % - Accent3" xfId="23" builtinId="40" customBuiltin="1"/>
    <cellStyle name="60 % - Accent4" xfId="9" builtinId="44" customBuiltin="1"/>
    <cellStyle name="60 % - Accent5" xfId="48" builtinId="48" customBuiltin="1"/>
    <cellStyle name="60 % - Accent6" xfId="13" builtinId="52" customBuiltin="1"/>
    <cellStyle name="Accent1" xfId="14" builtinId="29" customBuiltin="1"/>
    <cellStyle name="Accent2" xfId="18" builtinId="33" customBuiltin="1"/>
    <cellStyle name="Accent3" xfId="20" builtinId="37" customBuiltin="1"/>
    <cellStyle name="Accent4" xfId="6" builtinId="41" customBuiltin="1"/>
    <cellStyle name="Accent5" xfId="46" builtinId="45" customBuiltin="1"/>
    <cellStyle name="Accent6" xfId="10" builtinId="49" customBuiltin="1"/>
    <cellStyle name="Avertissement" xfId="41" builtinId="11" customBuiltin="1"/>
    <cellStyle name="Calcul" xfId="38" builtinId="22" customBuiltin="1"/>
    <cellStyle name="Cellule liée" xfId="39" builtinId="24" customBuiltin="1"/>
    <cellStyle name="Employé" xfId="26" xr:uid="{00000000-0005-0000-0000-000013000000}"/>
    <cellStyle name="Entrée" xfId="36" builtinId="20" customBuiltin="1"/>
    <cellStyle name="Étiquette" xfId="27" xr:uid="{00000000-0005-0000-0000-000018000000}"/>
    <cellStyle name="Insatisfaisant" xfId="34" builtinId="27" customBuiltin="1"/>
    <cellStyle name="Milliers" xfId="28" builtinId="3" customBuiltin="1"/>
    <cellStyle name="Milliers [0]" xfId="29" builtinId="6" customBuiltin="1"/>
    <cellStyle name="Monétaire" xfId="30" builtinId="4" customBuiltin="1"/>
    <cellStyle name="Monétaire [0]" xfId="31" builtinId="7" customBuiltin="1"/>
    <cellStyle name="Neutre" xfId="35" builtinId="28" customBuiltin="1"/>
    <cellStyle name="Normal" xfId="0" builtinId="0" customBuiltin="1"/>
    <cellStyle name="Note" xfId="42" builtinId="10" customBuiltin="1"/>
    <cellStyle name="Pourcentage" xfId="32" builtinId="5" customBuiltin="1"/>
    <cellStyle name="Satisfaisant" xfId="33" builtinId="26" customBuiltin="1"/>
    <cellStyle name="Sortie" xfId="37" builtinId="21" customBuiltin="1"/>
    <cellStyle name="Texte explicatif" xfId="43" builtinId="53" customBuiltin="1"/>
    <cellStyle name="Titre" xfId="1" builtinId="15" customBuiltin="1"/>
    <cellStyle name="Titre 1" xfId="2" builtinId="16" customBuiltin="1"/>
    <cellStyle name="Titre 2" xfId="3" builtinId="17" customBuiltin="1"/>
    <cellStyle name="Titre 3" xfId="4" builtinId="18" customBuiltin="1"/>
    <cellStyle name="Titre 4" xfId="5" builtinId="19" customBuiltin="1"/>
    <cellStyle name="Total" xfId="25" builtinId="25" customBuiltin="1"/>
    <cellStyle name="Vérification" xfId="40" builtinId="23" customBuiltin="1"/>
  </cellStyles>
  <dxfs count="1426">
    <dxf>
      <font>
        <color theme="0" tint="-0.24994659260841701"/>
      </font>
      <fill>
        <patternFill patternType="none">
          <bgColor auto="1"/>
        </patternFill>
      </fill>
    </dxf>
    <dxf>
      <font>
        <color theme="0" tint="-0.24994659260841701"/>
      </font>
      <fill>
        <patternFill patternType="none">
          <bgColor auto="1"/>
        </patternFill>
      </fill>
    </dxf>
    <dxf>
      <font>
        <color theme="0" tint="-0.24994659260841701"/>
      </font>
      <fill>
        <patternFill patternType="none">
          <bgColor auto="1"/>
        </patternFill>
      </fill>
    </dxf>
    <dxf>
      <font>
        <color theme="0" tint="-0.24994659260841701"/>
      </font>
      <fill>
        <patternFill patternType="none">
          <bgColor auto="1"/>
        </patternFill>
      </fill>
    </dxf>
    <dxf>
      <font>
        <color theme="0" tint="-0.24994659260841701"/>
      </font>
      <fill>
        <patternFill patternType="none">
          <bgColor auto="1"/>
        </patternFill>
      </fill>
    </dxf>
    <dxf>
      <font>
        <color theme="0" tint="-0.24994659260841701"/>
      </font>
      <fill>
        <patternFill patternType="none">
          <bgColor auto="1"/>
        </patternFill>
      </fill>
    </dxf>
    <dxf>
      <font>
        <color theme="0" tint="-0.24994659260841701"/>
      </font>
      <fill>
        <patternFill patternType="none">
          <bgColor auto="1"/>
        </patternFill>
      </fill>
    </dxf>
    <dxf>
      <font>
        <color theme="0" tint="-0.24994659260841701"/>
      </font>
      <fill>
        <patternFill patternType="none">
          <bgColor auto="1"/>
        </patternFill>
      </fill>
    </dxf>
    <dxf>
      <font>
        <color theme="9"/>
      </font>
      <fill>
        <patternFill patternType="none">
          <bgColor auto="1"/>
        </patternFill>
      </fill>
    </dxf>
    <dxf>
      <font>
        <color theme="9"/>
      </font>
      <fill>
        <patternFill patternType="none">
          <bgColor auto="1"/>
        </patternFill>
      </fill>
    </dxf>
    <dxf>
      <font>
        <color theme="0" tint="-0.24994659260841701"/>
      </font>
      <fill>
        <patternFill patternType="none">
          <bgColor auto="1"/>
        </patternFill>
      </fill>
    </dxf>
    <dxf>
      <font>
        <color theme="9"/>
      </font>
      <fill>
        <patternFill patternType="none">
          <bgColor auto="1"/>
        </patternFill>
      </fill>
    </dxf>
    <dxf>
      <font>
        <color auto="1"/>
      </font>
      <fill>
        <patternFill>
          <bgColor rgb="FF73FDD6"/>
        </patternFill>
      </fill>
    </dxf>
    <dxf>
      <font>
        <color theme="1"/>
      </font>
      <fill>
        <patternFill>
          <bgColor rgb="FF92D050"/>
        </patternFill>
      </fill>
    </dxf>
    <dxf>
      <font>
        <color theme="1"/>
      </font>
      <fill>
        <patternFill>
          <bgColor rgb="FFFFC000"/>
        </patternFill>
      </fill>
    </dxf>
    <dxf>
      <font>
        <color auto="1"/>
      </font>
      <fill>
        <patternFill>
          <bgColor rgb="FF00B0F0"/>
        </patternFill>
      </fill>
      <border>
        <left/>
        <right/>
        <top/>
        <bottom/>
      </border>
    </dxf>
    <dxf>
      <font>
        <color theme="1"/>
      </font>
      <fill>
        <patternFill>
          <bgColor rgb="FFFFFF00"/>
        </patternFill>
      </fill>
    </dxf>
    <dxf>
      <font>
        <color auto="1"/>
      </font>
      <fill>
        <patternFill>
          <bgColor rgb="FFFF7E79"/>
        </patternFill>
      </fill>
    </dxf>
    <dxf>
      <font>
        <color auto="1"/>
      </font>
      <fill>
        <patternFill>
          <bgColor theme="6" tint="0.39994506668294322"/>
        </patternFill>
      </fill>
    </dxf>
    <dxf>
      <font>
        <color auto="1"/>
      </font>
      <fill>
        <patternFill>
          <bgColor rgb="FFD883FF"/>
        </patternFill>
      </fill>
    </dxf>
    <dxf>
      <font>
        <color auto="1"/>
      </font>
      <fill>
        <patternFill>
          <bgColor rgb="FFFFB8D8"/>
        </patternFill>
      </fill>
    </dxf>
    <dxf>
      <font>
        <color auto="1"/>
      </font>
      <fill>
        <patternFill>
          <bgColor rgb="FF76D6FF"/>
        </patternFill>
      </fill>
    </dxf>
    <dxf>
      <font>
        <color auto="1"/>
      </font>
      <fill>
        <patternFill>
          <bgColor rgb="FFFFC000"/>
        </patternFill>
      </fill>
    </dxf>
    <dxf>
      <font>
        <color auto="1"/>
      </font>
      <fill>
        <patternFill>
          <bgColor rgb="FF00B050"/>
        </patternFill>
      </fill>
    </dxf>
    <dxf>
      <font>
        <color theme="1"/>
      </font>
      <fill>
        <patternFill>
          <bgColor theme="9" tint="-0.24994659260841701"/>
        </patternFill>
      </fill>
    </dxf>
    <dxf>
      <font>
        <color auto="1"/>
      </font>
      <fill>
        <patternFill>
          <bgColor rgb="FFFF2F92"/>
        </patternFill>
      </fill>
    </dxf>
    <dxf>
      <font>
        <color theme="0" tint="-0.24994659260841701"/>
      </font>
      <fill>
        <patternFill patternType="none">
          <bgColor auto="1"/>
        </patternFill>
      </fill>
    </dxf>
    <dxf>
      <font>
        <color theme="0" tint="-0.24994659260841701"/>
      </font>
      <fill>
        <patternFill patternType="none">
          <bgColor auto="1"/>
        </patternFill>
      </fill>
    </dxf>
    <dxf>
      <font>
        <color auto="1"/>
      </font>
      <fill>
        <patternFill>
          <bgColor rgb="FF73FDD6"/>
        </patternFill>
      </fill>
    </dxf>
    <dxf>
      <font>
        <color theme="1"/>
      </font>
      <fill>
        <patternFill>
          <bgColor rgb="FF92D050"/>
        </patternFill>
      </fill>
    </dxf>
    <dxf>
      <font>
        <color theme="1"/>
      </font>
      <fill>
        <patternFill>
          <bgColor rgb="FFFFC000"/>
        </patternFill>
      </fill>
    </dxf>
    <dxf>
      <font>
        <color auto="1"/>
      </font>
      <fill>
        <patternFill>
          <bgColor rgb="FF00B0F0"/>
        </patternFill>
      </fill>
      <border>
        <left/>
        <right/>
        <top/>
        <bottom/>
      </border>
    </dxf>
    <dxf>
      <font>
        <color theme="1"/>
      </font>
      <fill>
        <patternFill>
          <bgColor rgb="FFFFFF00"/>
        </patternFill>
      </fill>
    </dxf>
    <dxf>
      <font>
        <color auto="1"/>
      </font>
      <fill>
        <patternFill>
          <bgColor rgb="FFFF7E79"/>
        </patternFill>
      </fill>
    </dxf>
    <dxf>
      <font>
        <color auto="1"/>
      </font>
      <fill>
        <patternFill>
          <bgColor theme="6" tint="0.39994506668294322"/>
        </patternFill>
      </fill>
    </dxf>
    <dxf>
      <font>
        <color auto="1"/>
      </font>
      <fill>
        <patternFill>
          <bgColor rgb="FFD883FF"/>
        </patternFill>
      </fill>
    </dxf>
    <dxf>
      <font>
        <color auto="1"/>
      </font>
      <fill>
        <patternFill>
          <bgColor rgb="FFFFB8D8"/>
        </patternFill>
      </fill>
    </dxf>
    <dxf>
      <font>
        <color auto="1"/>
      </font>
      <fill>
        <patternFill>
          <bgColor rgb="FF76D6FF"/>
        </patternFill>
      </fill>
    </dxf>
    <dxf>
      <font>
        <color auto="1"/>
      </font>
      <fill>
        <patternFill>
          <bgColor rgb="FFFFC000"/>
        </patternFill>
      </fill>
    </dxf>
    <dxf>
      <font>
        <color auto="1"/>
      </font>
      <fill>
        <patternFill>
          <bgColor rgb="FF00B050"/>
        </patternFill>
      </fill>
    </dxf>
    <dxf>
      <font>
        <color theme="1"/>
      </font>
      <fill>
        <patternFill>
          <bgColor theme="9" tint="-0.24994659260841701"/>
        </patternFill>
      </fill>
    </dxf>
    <dxf>
      <font>
        <color theme="0" tint="-0.24994659260841701"/>
      </font>
      <fill>
        <patternFill patternType="none">
          <bgColor auto="1"/>
        </patternFill>
      </fill>
    </dxf>
    <dxf>
      <font>
        <color theme="0" tint="-0.24994659260841701"/>
      </font>
      <fill>
        <patternFill patternType="none">
          <bgColor auto="1"/>
        </patternFill>
      </fill>
    </dxf>
    <dxf>
      <font>
        <color theme="0" tint="-0.24994659260841701"/>
      </font>
      <fill>
        <patternFill patternType="none">
          <bgColor auto="1"/>
        </patternFill>
      </fill>
    </dxf>
    <dxf>
      <font>
        <color theme="0" tint="-0.24994659260841701"/>
      </font>
      <fill>
        <patternFill patternType="none">
          <bgColor auto="1"/>
        </patternFill>
      </fill>
    </dxf>
    <dxf>
      <font>
        <color theme="0" tint="-0.24994659260841701"/>
      </font>
      <fill>
        <patternFill patternType="none">
          <bgColor auto="1"/>
        </patternFill>
      </fill>
    </dxf>
    <dxf>
      <font>
        <color theme="0" tint="-0.24994659260841701"/>
      </font>
      <fill>
        <patternFill patternType="none">
          <bgColor auto="1"/>
        </patternFill>
      </fill>
    </dxf>
    <dxf>
      <font>
        <color theme="0" tint="-0.24994659260841701"/>
      </font>
      <fill>
        <patternFill patternType="none">
          <bgColor auto="1"/>
        </patternFill>
      </fill>
    </dxf>
    <dxf>
      <font>
        <color theme="9"/>
      </font>
      <fill>
        <patternFill patternType="none">
          <bgColor auto="1"/>
        </patternFill>
      </fill>
    </dxf>
    <dxf>
      <font>
        <color theme="9"/>
      </font>
      <fill>
        <patternFill patternType="none">
          <bgColor auto="1"/>
        </patternFill>
      </fill>
    </dxf>
    <dxf>
      <font>
        <color theme="9"/>
      </font>
      <fill>
        <patternFill patternType="none">
          <bgColor auto="1"/>
        </patternFill>
      </fill>
    </dxf>
    <dxf>
      <font>
        <color theme="9"/>
      </font>
      <fill>
        <patternFill patternType="none">
          <bgColor auto="1"/>
        </patternFill>
      </fill>
    </dxf>
    <dxf>
      <font>
        <color theme="0" tint="-0.24994659260841701"/>
      </font>
      <fill>
        <patternFill patternType="none">
          <bgColor auto="1"/>
        </patternFill>
      </fill>
    </dxf>
    <dxf>
      <font>
        <color theme="9"/>
      </font>
      <fill>
        <patternFill patternType="none">
          <bgColor auto="1"/>
        </patternFill>
      </fill>
    </dxf>
    <dxf>
      <font>
        <color auto="1"/>
      </font>
      <fill>
        <patternFill>
          <bgColor rgb="FF73FDD6"/>
        </patternFill>
      </fill>
    </dxf>
    <dxf>
      <font>
        <color theme="1"/>
      </font>
      <fill>
        <patternFill>
          <bgColor rgb="FF92D050"/>
        </patternFill>
      </fill>
    </dxf>
    <dxf>
      <font>
        <color theme="1"/>
      </font>
      <fill>
        <patternFill>
          <bgColor rgb="FFFFC000"/>
        </patternFill>
      </fill>
    </dxf>
    <dxf>
      <font>
        <color auto="1"/>
      </font>
      <fill>
        <patternFill>
          <bgColor rgb="FF00B0F0"/>
        </patternFill>
      </fill>
      <border>
        <left/>
        <right/>
        <top/>
        <bottom/>
      </border>
    </dxf>
    <dxf>
      <font>
        <color theme="1"/>
      </font>
      <fill>
        <patternFill>
          <bgColor rgb="FFFFFF00"/>
        </patternFill>
      </fill>
    </dxf>
    <dxf>
      <font>
        <color auto="1"/>
      </font>
      <fill>
        <patternFill>
          <bgColor rgb="FFFF7E79"/>
        </patternFill>
      </fill>
    </dxf>
    <dxf>
      <font>
        <color auto="1"/>
      </font>
      <fill>
        <patternFill>
          <bgColor theme="6" tint="0.39994506668294322"/>
        </patternFill>
      </fill>
    </dxf>
    <dxf>
      <font>
        <color auto="1"/>
      </font>
      <fill>
        <patternFill>
          <bgColor rgb="FFD883FF"/>
        </patternFill>
      </fill>
    </dxf>
    <dxf>
      <font>
        <color auto="1"/>
      </font>
      <fill>
        <patternFill>
          <bgColor rgb="FFFFB8D8"/>
        </patternFill>
      </fill>
    </dxf>
    <dxf>
      <font>
        <color auto="1"/>
      </font>
      <fill>
        <patternFill>
          <bgColor rgb="FF76D6FF"/>
        </patternFill>
      </fill>
    </dxf>
    <dxf>
      <font>
        <color auto="1"/>
      </font>
      <fill>
        <patternFill>
          <bgColor rgb="FFFFC000"/>
        </patternFill>
      </fill>
    </dxf>
    <dxf>
      <font>
        <color auto="1"/>
      </font>
      <fill>
        <patternFill>
          <bgColor rgb="FF00B050"/>
        </patternFill>
      </fill>
    </dxf>
    <dxf>
      <font>
        <color theme="1"/>
      </font>
      <fill>
        <patternFill>
          <bgColor theme="9" tint="-0.24994659260841701"/>
        </patternFill>
      </fill>
    </dxf>
    <dxf>
      <font>
        <color auto="1"/>
      </font>
      <fill>
        <patternFill>
          <bgColor rgb="FFFF2F92"/>
        </patternFill>
      </fill>
    </dxf>
    <dxf>
      <font>
        <color theme="0" tint="-0.24994659260841701"/>
      </font>
      <fill>
        <patternFill patternType="none">
          <bgColor auto="1"/>
        </patternFill>
      </fill>
    </dxf>
    <dxf>
      <font>
        <color theme="0" tint="-0.24994659260841701"/>
      </font>
      <fill>
        <patternFill patternType="none">
          <bgColor auto="1"/>
        </patternFill>
      </fill>
    </dxf>
    <dxf>
      <font>
        <color auto="1"/>
      </font>
      <fill>
        <patternFill>
          <bgColor rgb="FF73FDD6"/>
        </patternFill>
      </fill>
    </dxf>
    <dxf>
      <font>
        <color theme="1"/>
      </font>
      <fill>
        <patternFill>
          <bgColor rgb="FF92D050"/>
        </patternFill>
      </fill>
    </dxf>
    <dxf>
      <font>
        <color theme="1"/>
      </font>
      <fill>
        <patternFill>
          <bgColor rgb="FFFFC000"/>
        </patternFill>
      </fill>
    </dxf>
    <dxf>
      <font>
        <color auto="1"/>
      </font>
      <fill>
        <patternFill>
          <bgColor rgb="FF00B0F0"/>
        </patternFill>
      </fill>
      <border>
        <left/>
        <right/>
        <top/>
        <bottom/>
      </border>
    </dxf>
    <dxf>
      <font>
        <color theme="1"/>
      </font>
      <fill>
        <patternFill>
          <bgColor rgb="FFFFFF00"/>
        </patternFill>
      </fill>
    </dxf>
    <dxf>
      <font>
        <color auto="1"/>
      </font>
      <fill>
        <patternFill>
          <bgColor rgb="FFFF7E79"/>
        </patternFill>
      </fill>
    </dxf>
    <dxf>
      <font>
        <color auto="1"/>
      </font>
      <fill>
        <patternFill>
          <bgColor theme="6" tint="0.39994506668294322"/>
        </patternFill>
      </fill>
    </dxf>
    <dxf>
      <font>
        <color auto="1"/>
      </font>
      <fill>
        <patternFill>
          <bgColor rgb="FFD883FF"/>
        </patternFill>
      </fill>
    </dxf>
    <dxf>
      <font>
        <color auto="1"/>
      </font>
      <fill>
        <patternFill>
          <bgColor rgb="FFFFB8D8"/>
        </patternFill>
      </fill>
    </dxf>
    <dxf>
      <font>
        <color auto="1"/>
      </font>
      <fill>
        <patternFill>
          <bgColor rgb="FF76D6FF"/>
        </patternFill>
      </fill>
    </dxf>
    <dxf>
      <font>
        <color auto="1"/>
      </font>
      <fill>
        <patternFill>
          <bgColor rgb="FFFFC000"/>
        </patternFill>
      </fill>
    </dxf>
    <dxf>
      <font>
        <color auto="1"/>
      </font>
      <fill>
        <patternFill>
          <bgColor rgb="FF00B050"/>
        </patternFill>
      </fill>
    </dxf>
    <dxf>
      <font>
        <color theme="1"/>
      </font>
      <fill>
        <patternFill>
          <bgColor theme="9" tint="-0.24994659260841701"/>
        </patternFill>
      </fill>
    </dxf>
    <dxf>
      <font>
        <color theme="0" tint="-0.24994659260841701"/>
      </font>
      <fill>
        <patternFill patternType="none">
          <bgColor auto="1"/>
        </patternFill>
      </fill>
    </dxf>
    <dxf>
      <font>
        <color theme="0" tint="-0.24994659260841701"/>
      </font>
      <fill>
        <patternFill patternType="none">
          <bgColor auto="1"/>
        </patternFill>
      </fill>
    </dxf>
    <dxf>
      <font>
        <color theme="0" tint="-0.24994659260841701"/>
      </font>
      <fill>
        <patternFill patternType="none">
          <bgColor auto="1"/>
        </patternFill>
      </fill>
    </dxf>
    <dxf>
      <font>
        <color theme="0" tint="-0.24994659260841701"/>
      </font>
      <fill>
        <patternFill patternType="none">
          <bgColor auto="1"/>
        </patternFill>
      </fill>
    </dxf>
    <dxf>
      <font>
        <color theme="0" tint="-0.24994659260841701"/>
      </font>
      <fill>
        <patternFill patternType="none">
          <bgColor auto="1"/>
        </patternFill>
      </fill>
    </dxf>
    <dxf>
      <font>
        <color theme="0" tint="-0.24994659260841701"/>
      </font>
      <fill>
        <patternFill patternType="none">
          <bgColor auto="1"/>
        </patternFill>
      </fill>
    </dxf>
    <dxf>
      <font>
        <color theme="0" tint="-0.24994659260841701"/>
      </font>
      <fill>
        <patternFill patternType="none">
          <bgColor auto="1"/>
        </patternFill>
      </fill>
    </dxf>
    <dxf>
      <font>
        <color theme="9"/>
      </font>
      <fill>
        <patternFill patternType="none">
          <bgColor auto="1"/>
        </patternFill>
      </fill>
    </dxf>
    <dxf>
      <font>
        <color theme="9"/>
      </font>
      <fill>
        <patternFill patternType="none">
          <bgColor auto="1"/>
        </patternFill>
      </fill>
    </dxf>
    <dxf>
      <font>
        <color theme="9"/>
      </font>
      <fill>
        <patternFill patternType="none">
          <bgColor auto="1"/>
        </patternFill>
      </fill>
    </dxf>
    <dxf>
      <font>
        <color theme="9"/>
      </font>
      <fill>
        <patternFill patternType="none">
          <bgColor auto="1"/>
        </patternFill>
      </fill>
    </dxf>
    <dxf>
      <font>
        <color theme="0" tint="-0.24994659260841701"/>
      </font>
      <fill>
        <patternFill patternType="none">
          <bgColor auto="1"/>
        </patternFill>
      </fill>
    </dxf>
    <dxf>
      <font>
        <color theme="9"/>
      </font>
      <fill>
        <patternFill patternType="none">
          <bgColor auto="1"/>
        </patternFill>
      </fill>
    </dxf>
    <dxf>
      <font>
        <color auto="1"/>
      </font>
      <fill>
        <patternFill>
          <bgColor rgb="FF73FDD6"/>
        </patternFill>
      </fill>
    </dxf>
    <dxf>
      <font>
        <color theme="1"/>
      </font>
      <fill>
        <patternFill>
          <bgColor rgb="FF92D050"/>
        </patternFill>
      </fill>
    </dxf>
    <dxf>
      <font>
        <color theme="1"/>
      </font>
      <fill>
        <patternFill>
          <bgColor rgb="FFFFC000"/>
        </patternFill>
      </fill>
    </dxf>
    <dxf>
      <font>
        <color auto="1"/>
      </font>
      <fill>
        <patternFill>
          <bgColor rgb="FF00B0F0"/>
        </patternFill>
      </fill>
      <border>
        <left/>
        <right/>
        <top/>
        <bottom/>
      </border>
    </dxf>
    <dxf>
      <font>
        <color theme="1"/>
      </font>
      <fill>
        <patternFill>
          <bgColor rgb="FFFFFF00"/>
        </patternFill>
      </fill>
    </dxf>
    <dxf>
      <font>
        <color auto="1"/>
      </font>
      <fill>
        <patternFill>
          <bgColor rgb="FFFF7E79"/>
        </patternFill>
      </fill>
    </dxf>
    <dxf>
      <font>
        <color auto="1"/>
      </font>
      <fill>
        <patternFill>
          <bgColor theme="6" tint="0.39994506668294322"/>
        </patternFill>
      </fill>
    </dxf>
    <dxf>
      <font>
        <color auto="1"/>
      </font>
      <fill>
        <patternFill>
          <bgColor rgb="FFD883FF"/>
        </patternFill>
      </fill>
    </dxf>
    <dxf>
      <font>
        <color auto="1"/>
      </font>
      <fill>
        <patternFill>
          <bgColor rgb="FFFFB8D8"/>
        </patternFill>
      </fill>
    </dxf>
    <dxf>
      <font>
        <color auto="1"/>
      </font>
      <fill>
        <patternFill>
          <bgColor rgb="FF76D6FF"/>
        </patternFill>
      </fill>
    </dxf>
    <dxf>
      <font>
        <color auto="1"/>
      </font>
      <fill>
        <patternFill>
          <bgColor rgb="FFFFC000"/>
        </patternFill>
      </fill>
    </dxf>
    <dxf>
      <font>
        <color auto="1"/>
      </font>
      <fill>
        <patternFill>
          <bgColor rgb="FF00B050"/>
        </patternFill>
      </fill>
    </dxf>
    <dxf>
      <font>
        <color theme="1"/>
      </font>
      <fill>
        <patternFill>
          <bgColor theme="9" tint="-0.24994659260841701"/>
        </patternFill>
      </fill>
    </dxf>
    <dxf>
      <font>
        <color auto="1"/>
      </font>
      <fill>
        <patternFill>
          <bgColor rgb="FFFF2F92"/>
        </patternFill>
      </fill>
    </dxf>
    <dxf>
      <font>
        <color theme="0" tint="-0.24994659260841701"/>
      </font>
      <fill>
        <patternFill patternType="none">
          <bgColor auto="1"/>
        </patternFill>
      </fill>
    </dxf>
    <dxf>
      <font>
        <color theme="0" tint="-0.24994659260841701"/>
      </font>
      <fill>
        <patternFill patternType="none">
          <bgColor auto="1"/>
        </patternFill>
      </fill>
    </dxf>
    <dxf>
      <font>
        <color auto="1"/>
      </font>
      <fill>
        <patternFill>
          <bgColor rgb="FF73FDD6"/>
        </patternFill>
      </fill>
    </dxf>
    <dxf>
      <font>
        <color theme="1"/>
      </font>
      <fill>
        <patternFill>
          <bgColor rgb="FF92D050"/>
        </patternFill>
      </fill>
    </dxf>
    <dxf>
      <font>
        <color theme="1"/>
      </font>
      <fill>
        <patternFill>
          <bgColor rgb="FFFFC000"/>
        </patternFill>
      </fill>
    </dxf>
    <dxf>
      <font>
        <color auto="1"/>
      </font>
      <fill>
        <patternFill>
          <bgColor rgb="FF00B0F0"/>
        </patternFill>
      </fill>
      <border>
        <left/>
        <right/>
        <top/>
        <bottom/>
      </border>
    </dxf>
    <dxf>
      <font>
        <color theme="1"/>
      </font>
      <fill>
        <patternFill>
          <bgColor rgb="FFFFFF00"/>
        </patternFill>
      </fill>
    </dxf>
    <dxf>
      <font>
        <color auto="1"/>
      </font>
      <fill>
        <patternFill>
          <bgColor rgb="FFFF7E79"/>
        </patternFill>
      </fill>
    </dxf>
    <dxf>
      <font>
        <color auto="1"/>
      </font>
      <fill>
        <patternFill>
          <bgColor theme="6" tint="0.39994506668294322"/>
        </patternFill>
      </fill>
    </dxf>
    <dxf>
      <font>
        <color auto="1"/>
      </font>
      <fill>
        <patternFill>
          <bgColor rgb="FFD883FF"/>
        </patternFill>
      </fill>
    </dxf>
    <dxf>
      <font>
        <color auto="1"/>
      </font>
      <fill>
        <patternFill>
          <bgColor rgb="FFFFB8D8"/>
        </patternFill>
      </fill>
    </dxf>
    <dxf>
      <font>
        <color auto="1"/>
      </font>
      <fill>
        <patternFill>
          <bgColor rgb="FF76D6FF"/>
        </patternFill>
      </fill>
    </dxf>
    <dxf>
      <font>
        <color auto="1"/>
      </font>
      <fill>
        <patternFill>
          <bgColor rgb="FFFFC000"/>
        </patternFill>
      </fill>
    </dxf>
    <dxf>
      <font>
        <color auto="1"/>
      </font>
      <fill>
        <patternFill>
          <bgColor rgb="FF00B050"/>
        </patternFill>
      </fill>
    </dxf>
    <dxf>
      <font>
        <color theme="1"/>
      </font>
      <fill>
        <patternFill>
          <bgColor theme="9" tint="-0.24994659260841701"/>
        </patternFill>
      </fill>
    </dxf>
    <dxf>
      <font>
        <color theme="0" tint="-0.24994659260841701"/>
      </font>
      <fill>
        <patternFill patternType="none">
          <bgColor auto="1"/>
        </patternFill>
      </fill>
    </dxf>
    <dxf>
      <font>
        <color theme="0" tint="-0.24994659260841701"/>
      </font>
      <fill>
        <patternFill patternType="none">
          <bgColor auto="1"/>
        </patternFill>
      </fill>
    </dxf>
    <dxf>
      <font>
        <color theme="0" tint="-0.24994659260841701"/>
      </font>
      <fill>
        <patternFill patternType="none">
          <bgColor auto="1"/>
        </patternFill>
      </fill>
    </dxf>
    <dxf>
      <font>
        <color theme="0" tint="-0.24994659260841701"/>
      </font>
      <fill>
        <patternFill patternType="none">
          <bgColor auto="1"/>
        </patternFill>
      </fill>
    </dxf>
    <dxf>
      <font>
        <color theme="0" tint="-0.24994659260841701"/>
      </font>
      <fill>
        <patternFill patternType="none">
          <bgColor auto="1"/>
        </patternFill>
      </fill>
    </dxf>
    <dxf>
      <font>
        <color theme="0" tint="-0.24994659260841701"/>
      </font>
      <fill>
        <patternFill patternType="none">
          <bgColor auto="1"/>
        </patternFill>
      </fill>
    </dxf>
    <dxf>
      <font>
        <color theme="0" tint="-0.24994659260841701"/>
      </font>
      <fill>
        <patternFill patternType="none">
          <bgColor auto="1"/>
        </patternFill>
      </fill>
    </dxf>
    <dxf>
      <font>
        <color theme="9"/>
      </font>
      <fill>
        <patternFill patternType="none">
          <bgColor auto="1"/>
        </patternFill>
      </fill>
    </dxf>
    <dxf>
      <font>
        <color theme="9"/>
      </font>
      <fill>
        <patternFill patternType="none">
          <bgColor auto="1"/>
        </patternFill>
      </fill>
    </dxf>
    <dxf>
      <font>
        <color theme="9"/>
      </font>
      <fill>
        <patternFill patternType="none">
          <bgColor auto="1"/>
        </patternFill>
      </fill>
    </dxf>
    <dxf>
      <font>
        <color theme="0" tint="-0.24994659260841701"/>
      </font>
      <fill>
        <patternFill patternType="none">
          <bgColor auto="1"/>
        </patternFill>
      </fill>
    </dxf>
    <dxf>
      <font>
        <color theme="9"/>
      </font>
      <fill>
        <patternFill patternType="none">
          <bgColor auto="1"/>
        </patternFill>
      </fill>
    </dxf>
    <dxf>
      <font>
        <color auto="1"/>
      </font>
      <fill>
        <patternFill>
          <bgColor rgb="FF73FDD6"/>
        </patternFill>
      </fill>
    </dxf>
    <dxf>
      <font>
        <color theme="1"/>
      </font>
      <fill>
        <patternFill>
          <bgColor rgb="FF92D050"/>
        </patternFill>
      </fill>
    </dxf>
    <dxf>
      <font>
        <color theme="1"/>
      </font>
      <fill>
        <patternFill>
          <bgColor rgb="FFFFC000"/>
        </patternFill>
      </fill>
    </dxf>
    <dxf>
      <font>
        <color auto="1"/>
      </font>
      <fill>
        <patternFill>
          <bgColor rgb="FF00B0F0"/>
        </patternFill>
      </fill>
      <border>
        <left/>
        <right/>
        <top/>
        <bottom/>
      </border>
    </dxf>
    <dxf>
      <font>
        <color theme="1"/>
      </font>
      <fill>
        <patternFill>
          <bgColor rgb="FFFFFF00"/>
        </patternFill>
      </fill>
    </dxf>
    <dxf>
      <font>
        <color auto="1"/>
      </font>
      <fill>
        <patternFill>
          <bgColor rgb="FFFF7E79"/>
        </patternFill>
      </fill>
    </dxf>
    <dxf>
      <font>
        <color auto="1"/>
      </font>
      <fill>
        <patternFill>
          <bgColor theme="6" tint="0.39994506668294322"/>
        </patternFill>
      </fill>
    </dxf>
    <dxf>
      <font>
        <color auto="1"/>
      </font>
      <fill>
        <patternFill>
          <bgColor rgb="FFD883FF"/>
        </patternFill>
      </fill>
    </dxf>
    <dxf>
      <font>
        <color auto="1"/>
      </font>
      <fill>
        <patternFill>
          <bgColor rgb="FFFFB8D8"/>
        </patternFill>
      </fill>
    </dxf>
    <dxf>
      <font>
        <color auto="1"/>
      </font>
      <fill>
        <patternFill>
          <bgColor rgb="FF76D6FF"/>
        </patternFill>
      </fill>
    </dxf>
    <dxf>
      <font>
        <color auto="1"/>
      </font>
      <fill>
        <patternFill>
          <bgColor rgb="FFFFC000"/>
        </patternFill>
      </fill>
    </dxf>
    <dxf>
      <font>
        <color auto="1"/>
      </font>
      <fill>
        <patternFill>
          <bgColor rgb="FF00B050"/>
        </patternFill>
      </fill>
    </dxf>
    <dxf>
      <font>
        <color theme="1"/>
      </font>
      <fill>
        <patternFill>
          <bgColor theme="9" tint="-0.24994659260841701"/>
        </patternFill>
      </fill>
    </dxf>
    <dxf>
      <font>
        <color auto="1"/>
      </font>
      <fill>
        <patternFill>
          <bgColor rgb="FFFF2F92"/>
        </patternFill>
      </fill>
    </dxf>
    <dxf>
      <font>
        <color theme="0" tint="-0.24994659260841701"/>
      </font>
      <fill>
        <patternFill patternType="none">
          <bgColor auto="1"/>
        </patternFill>
      </fill>
    </dxf>
    <dxf>
      <font>
        <color theme="0" tint="-0.24994659260841701"/>
      </font>
      <fill>
        <patternFill patternType="none">
          <bgColor auto="1"/>
        </patternFill>
      </fill>
    </dxf>
    <dxf>
      <font>
        <color auto="1"/>
      </font>
      <fill>
        <patternFill>
          <bgColor rgb="FF73FDD6"/>
        </patternFill>
      </fill>
    </dxf>
    <dxf>
      <font>
        <color theme="1"/>
      </font>
      <fill>
        <patternFill>
          <bgColor rgb="FF92D050"/>
        </patternFill>
      </fill>
    </dxf>
    <dxf>
      <font>
        <color theme="1"/>
      </font>
      <fill>
        <patternFill>
          <bgColor rgb="FFFFC000"/>
        </patternFill>
      </fill>
    </dxf>
    <dxf>
      <font>
        <color auto="1"/>
      </font>
      <fill>
        <patternFill>
          <bgColor rgb="FF00B0F0"/>
        </patternFill>
      </fill>
      <border>
        <left/>
        <right/>
        <top/>
        <bottom/>
      </border>
    </dxf>
    <dxf>
      <font>
        <color theme="1"/>
      </font>
      <fill>
        <patternFill>
          <bgColor rgb="FFFFFF00"/>
        </patternFill>
      </fill>
    </dxf>
    <dxf>
      <font>
        <color auto="1"/>
      </font>
      <fill>
        <patternFill>
          <bgColor rgb="FFFF7E79"/>
        </patternFill>
      </fill>
    </dxf>
    <dxf>
      <font>
        <color auto="1"/>
      </font>
      <fill>
        <patternFill>
          <bgColor theme="6" tint="0.39994506668294322"/>
        </patternFill>
      </fill>
    </dxf>
    <dxf>
      <font>
        <color auto="1"/>
      </font>
      <fill>
        <patternFill>
          <bgColor rgb="FFD883FF"/>
        </patternFill>
      </fill>
    </dxf>
    <dxf>
      <font>
        <color auto="1"/>
      </font>
      <fill>
        <patternFill>
          <bgColor rgb="FFFFB8D8"/>
        </patternFill>
      </fill>
    </dxf>
    <dxf>
      <font>
        <color auto="1"/>
      </font>
      <fill>
        <patternFill>
          <bgColor rgb="FF76D6FF"/>
        </patternFill>
      </fill>
    </dxf>
    <dxf>
      <font>
        <color auto="1"/>
      </font>
      <fill>
        <patternFill>
          <bgColor rgb="FFFFC000"/>
        </patternFill>
      </fill>
    </dxf>
    <dxf>
      <font>
        <color auto="1"/>
      </font>
      <fill>
        <patternFill>
          <bgColor rgb="FF00B050"/>
        </patternFill>
      </fill>
    </dxf>
    <dxf>
      <font>
        <color theme="1"/>
      </font>
      <fill>
        <patternFill>
          <bgColor theme="9" tint="-0.24994659260841701"/>
        </patternFill>
      </fill>
    </dxf>
    <dxf>
      <font>
        <color theme="0" tint="-0.24994659260841701"/>
      </font>
      <fill>
        <patternFill patternType="none">
          <bgColor auto="1"/>
        </patternFill>
      </fill>
    </dxf>
    <dxf>
      <font>
        <color theme="0" tint="-0.24994659260841701"/>
      </font>
      <fill>
        <patternFill patternType="none">
          <bgColor auto="1"/>
        </patternFill>
      </fill>
    </dxf>
    <dxf>
      <font>
        <color theme="0" tint="-0.24994659260841701"/>
      </font>
      <fill>
        <patternFill patternType="none">
          <bgColor auto="1"/>
        </patternFill>
      </fill>
    </dxf>
    <dxf>
      <font>
        <color theme="0" tint="-0.24994659260841701"/>
      </font>
      <fill>
        <patternFill patternType="none">
          <bgColor auto="1"/>
        </patternFill>
      </fill>
    </dxf>
    <dxf>
      <font>
        <color theme="0" tint="-0.24994659260841701"/>
      </font>
      <fill>
        <patternFill patternType="none">
          <bgColor auto="1"/>
        </patternFill>
      </fill>
    </dxf>
    <dxf>
      <font>
        <color theme="0" tint="-0.24994659260841701"/>
      </font>
      <fill>
        <patternFill patternType="none">
          <bgColor auto="1"/>
        </patternFill>
      </fill>
    </dxf>
    <dxf>
      <font>
        <color theme="0" tint="-0.24994659260841701"/>
      </font>
      <fill>
        <patternFill patternType="none">
          <bgColor auto="1"/>
        </patternFill>
      </fill>
    </dxf>
    <dxf>
      <font>
        <color theme="9"/>
      </font>
      <fill>
        <patternFill patternType="none">
          <bgColor auto="1"/>
        </patternFill>
      </fill>
    </dxf>
    <dxf>
      <font>
        <color theme="9"/>
      </font>
      <fill>
        <patternFill patternType="none">
          <bgColor auto="1"/>
        </patternFill>
      </fill>
    </dxf>
    <dxf>
      <font>
        <color theme="9"/>
      </font>
      <fill>
        <patternFill patternType="none">
          <bgColor auto="1"/>
        </patternFill>
      </fill>
    </dxf>
    <dxf>
      <font>
        <color theme="9"/>
      </font>
      <fill>
        <patternFill patternType="none">
          <bgColor auto="1"/>
        </patternFill>
      </fill>
    </dxf>
    <dxf>
      <font>
        <color auto="1"/>
      </font>
      <fill>
        <patternFill>
          <bgColor rgb="FF73FDD6"/>
        </patternFill>
      </fill>
    </dxf>
    <dxf>
      <font>
        <color theme="1"/>
      </font>
      <fill>
        <patternFill>
          <bgColor rgb="FF92D050"/>
        </patternFill>
      </fill>
    </dxf>
    <dxf>
      <font>
        <color theme="1"/>
      </font>
      <fill>
        <patternFill>
          <bgColor rgb="FFFFC000"/>
        </patternFill>
      </fill>
    </dxf>
    <dxf>
      <font>
        <color auto="1"/>
      </font>
      <fill>
        <patternFill>
          <bgColor rgb="FF00B0F0"/>
        </patternFill>
      </fill>
      <border>
        <left/>
        <right/>
        <top/>
        <bottom/>
      </border>
    </dxf>
    <dxf>
      <font>
        <color theme="1"/>
      </font>
      <fill>
        <patternFill>
          <bgColor rgb="FFFFFF00"/>
        </patternFill>
      </fill>
    </dxf>
    <dxf>
      <font>
        <color auto="1"/>
      </font>
      <fill>
        <patternFill>
          <bgColor rgb="FFFF7E79"/>
        </patternFill>
      </fill>
    </dxf>
    <dxf>
      <font>
        <color auto="1"/>
      </font>
      <fill>
        <patternFill>
          <bgColor theme="6" tint="0.39994506668294322"/>
        </patternFill>
      </fill>
    </dxf>
    <dxf>
      <font>
        <color auto="1"/>
      </font>
      <fill>
        <patternFill>
          <bgColor rgb="FFD883FF"/>
        </patternFill>
      </fill>
    </dxf>
    <dxf>
      <font>
        <color auto="1"/>
      </font>
      <fill>
        <patternFill>
          <bgColor rgb="FFFFB8D8"/>
        </patternFill>
      </fill>
    </dxf>
    <dxf>
      <font>
        <color auto="1"/>
      </font>
      <fill>
        <patternFill>
          <bgColor rgb="FF76D6FF"/>
        </patternFill>
      </fill>
    </dxf>
    <dxf>
      <font>
        <color auto="1"/>
      </font>
      <fill>
        <patternFill>
          <bgColor rgb="FFFFC000"/>
        </patternFill>
      </fill>
    </dxf>
    <dxf>
      <font>
        <color auto="1"/>
      </font>
      <fill>
        <patternFill>
          <bgColor rgb="FF00B050"/>
        </patternFill>
      </fill>
    </dxf>
    <dxf>
      <font>
        <color theme="1"/>
      </font>
      <fill>
        <patternFill>
          <bgColor theme="9" tint="-0.24994659260841701"/>
        </patternFill>
      </fill>
    </dxf>
    <dxf>
      <font>
        <color auto="1"/>
      </font>
      <fill>
        <patternFill>
          <bgColor rgb="FFFF2F92"/>
        </patternFill>
      </fill>
    </dxf>
    <dxf>
      <font>
        <color theme="0" tint="-0.24994659260841701"/>
      </font>
      <fill>
        <patternFill patternType="none">
          <bgColor auto="1"/>
        </patternFill>
      </fill>
    </dxf>
    <dxf>
      <font>
        <color theme="0" tint="-0.24994659260841701"/>
      </font>
      <fill>
        <patternFill patternType="none">
          <bgColor auto="1"/>
        </patternFill>
      </fill>
    </dxf>
    <dxf>
      <font>
        <color auto="1"/>
      </font>
      <fill>
        <patternFill>
          <bgColor rgb="FF73FDD6"/>
        </patternFill>
      </fill>
    </dxf>
    <dxf>
      <font>
        <color theme="1"/>
      </font>
      <fill>
        <patternFill>
          <bgColor rgb="FF92D050"/>
        </patternFill>
      </fill>
    </dxf>
    <dxf>
      <font>
        <color theme="1"/>
      </font>
      <fill>
        <patternFill>
          <bgColor rgb="FFFFC000"/>
        </patternFill>
      </fill>
    </dxf>
    <dxf>
      <font>
        <color auto="1"/>
      </font>
      <fill>
        <patternFill>
          <bgColor rgb="FF00B0F0"/>
        </patternFill>
      </fill>
      <border>
        <left/>
        <right/>
        <top/>
        <bottom/>
      </border>
    </dxf>
    <dxf>
      <font>
        <color theme="1"/>
      </font>
      <fill>
        <patternFill>
          <bgColor rgb="FFFFFF00"/>
        </patternFill>
      </fill>
    </dxf>
    <dxf>
      <font>
        <color auto="1"/>
      </font>
      <fill>
        <patternFill>
          <bgColor rgb="FFFF7E79"/>
        </patternFill>
      </fill>
    </dxf>
    <dxf>
      <font>
        <color auto="1"/>
      </font>
      <fill>
        <patternFill>
          <bgColor theme="6" tint="0.39994506668294322"/>
        </patternFill>
      </fill>
    </dxf>
    <dxf>
      <font>
        <color auto="1"/>
      </font>
      <fill>
        <patternFill>
          <bgColor rgb="FFD883FF"/>
        </patternFill>
      </fill>
    </dxf>
    <dxf>
      <font>
        <color auto="1"/>
      </font>
      <fill>
        <patternFill>
          <bgColor rgb="FFFFB8D8"/>
        </patternFill>
      </fill>
    </dxf>
    <dxf>
      <font>
        <color auto="1"/>
      </font>
      <fill>
        <patternFill>
          <bgColor rgb="FF76D6FF"/>
        </patternFill>
      </fill>
    </dxf>
    <dxf>
      <font>
        <color auto="1"/>
      </font>
      <fill>
        <patternFill>
          <bgColor rgb="FFFFC000"/>
        </patternFill>
      </fill>
    </dxf>
    <dxf>
      <font>
        <color auto="1"/>
      </font>
      <fill>
        <patternFill>
          <bgColor rgb="FF00B050"/>
        </patternFill>
      </fill>
    </dxf>
    <dxf>
      <font>
        <color theme="1"/>
      </font>
      <fill>
        <patternFill>
          <bgColor theme="9" tint="-0.24994659260841701"/>
        </patternFill>
      </fill>
    </dxf>
    <dxf>
      <font>
        <color theme="0" tint="-0.24994659260841701"/>
      </font>
      <fill>
        <patternFill patternType="none">
          <bgColor auto="1"/>
        </patternFill>
      </fill>
    </dxf>
    <dxf>
      <font>
        <color theme="0" tint="-0.24994659260841701"/>
      </font>
      <fill>
        <patternFill patternType="none">
          <bgColor auto="1"/>
        </patternFill>
      </fill>
    </dxf>
    <dxf>
      <font>
        <color theme="0" tint="-0.24994659260841701"/>
      </font>
      <fill>
        <patternFill patternType="none">
          <bgColor auto="1"/>
        </patternFill>
      </fill>
    </dxf>
    <dxf>
      <font>
        <color theme="0" tint="-0.24994659260841701"/>
      </font>
      <fill>
        <patternFill patternType="none">
          <bgColor auto="1"/>
        </patternFill>
      </fill>
    </dxf>
    <dxf>
      <font>
        <color theme="0" tint="-0.24994659260841701"/>
      </font>
      <fill>
        <patternFill patternType="none">
          <bgColor auto="1"/>
        </patternFill>
      </fill>
    </dxf>
    <dxf>
      <font>
        <color theme="0" tint="-0.24994659260841701"/>
      </font>
      <fill>
        <patternFill patternType="none">
          <bgColor auto="1"/>
        </patternFill>
      </fill>
    </dxf>
    <dxf>
      <font>
        <color theme="0" tint="-0.24994659260841701"/>
      </font>
      <fill>
        <patternFill patternType="none">
          <bgColor auto="1"/>
        </patternFill>
      </fill>
    </dxf>
    <dxf>
      <font>
        <color theme="0" tint="-0.24994659260841701"/>
      </font>
      <fill>
        <patternFill patternType="none">
          <bgColor auto="1"/>
        </patternFill>
      </fill>
    </dxf>
    <dxf>
      <font>
        <color theme="9"/>
      </font>
      <fill>
        <patternFill patternType="none">
          <bgColor auto="1"/>
        </patternFill>
      </fill>
    </dxf>
    <dxf>
      <font>
        <color theme="9"/>
      </font>
      <fill>
        <patternFill patternType="none">
          <bgColor auto="1"/>
        </patternFill>
      </fill>
    </dxf>
    <dxf>
      <font>
        <color theme="9"/>
      </font>
      <fill>
        <patternFill patternType="none">
          <bgColor auto="1"/>
        </patternFill>
      </fill>
    </dxf>
    <dxf>
      <font>
        <color theme="9"/>
      </font>
      <fill>
        <patternFill patternType="none">
          <bgColor auto="1"/>
        </patternFill>
      </fill>
    </dxf>
    <dxf>
      <font>
        <color theme="9"/>
      </font>
      <fill>
        <patternFill patternType="none">
          <bgColor auto="1"/>
        </patternFill>
      </fill>
    </dxf>
    <dxf>
      <font>
        <color auto="1"/>
      </font>
      <fill>
        <patternFill>
          <bgColor rgb="FF73FDD6"/>
        </patternFill>
      </fill>
    </dxf>
    <dxf>
      <font>
        <color theme="1"/>
      </font>
      <fill>
        <patternFill>
          <bgColor rgb="FF92D050"/>
        </patternFill>
      </fill>
    </dxf>
    <dxf>
      <font>
        <color theme="1"/>
      </font>
      <fill>
        <patternFill>
          <bgColor rgb="FFFFC000"/>
        </patternFill>
      </fill>
    </dxf>
    <dxf>
      <font>
        <color auto="1"/>
      </font>
      <fill>
        <patternFill>
          <bgColor rgb="FF00B0F0"/>
        </patternFill>
      </fill>
      <border>
        <left/>
        <right/>
        <top/>
        <bottom/>
      </border>
    </dxf>
    <dxf>
      <font>
        <color theme="1"/>
      </font>
      <fill>
        <patternFill>
          <bgColor rgb="FFFFFF00"/>
        </patternFill>
      </fill>
    </dxf>
    <dxf>
      <font>
        <color auto="1"/>
      </font>
      <fill>
        <patternFill>
          <bgColor rgb="FFFF7E79"/>
        </patternFill>
      </fill>
    </dxf>
    <dxf>
      <font>
        <color auto="1"/>
      </font>
      <fill>
        <patternFill>
          <bgColor theme="6" tint="0.39994506668294322"/>
        </patternFill>
      </fill>
    </dxf>
    <dxf>
      <font>
        <color auto="1"/>
      </font>
      <fill>
        <patternFill>
          <bgColor rgb="FFD883FF"/>
        </patternFill>
      </fill>
    </dxf>
    <dxf>
      <font>
        <color auto="1"/>
      </font>
      <fill>
        <patternFill>
          <bgColor rgb="FFFFB8D8"/>
        </patternFill>
      </fill>
    </dxf>
    <dxf>
      <font>
        <color auto="1"/>
      </font>
      <fill>
        <patternFill>
          <bgColor rgb="FF76D6FF"/>
        </patternFill>
      </fill>
    </dxf>
    <dxf>
      <font>
        <color auto="1"/>
      </font>
      <fill>
        <patternFill>
          <bgColor rgb="FFFFC000"/>
        </patternFill>
      </fill>
    </dxf>
    <dxf>
      <font>
        <color auto="1"/>
      </font>
      <fill>
        <patternFill>
          <bgColor rgb="FF00B050"/>
        </patternFill>
      </fill>
    </dxf>
    <dxf>
      <font>
        <color theme="1"/>
      </font>
      <fill>
        <patternFill>
          <bgColor theme="9" tint="-0.24994659260841701"/>
        </patternFill>
      </fill>
    </dxf>
    <dxf>
      <font>
        <color auto="1"/>
      </font>
      <fill>
        <patternFill>
          <bgColor rgb="FFFF2F92"/>
        </patternFill>
      </fill>
    </dxf>
    <dxf>
      <font>
        <color theme="0" tint="-0.24994659260841701"/>
      </font>
      <fill>
        <patternFill patternType="none">
          <bgColor auto="1"/>
        </patternFill>
      </fill>
    </dxf>
    <dxf>
      <font>
        <color theme="0" tint="-0.24994659260841701"/>
      </font>
      <fill>
        <patternFill patternType="none">
          <bgColor auto="1"/>
        </patternFill>
      </fill>
    </dxf>
    <dxf>
      <font>
        <color auto="1"/>
      </font>
      <fill>
        <patternFill>
          <bgColor rgb="FF73FDD6"/>
        </patternFill>
      </fill>
    </dxf>
    <dxf>
      <font>
        <color theme="1"/>
      </font>
      <fill>
        <patternFill>
          <bgColor rgb="FF92D050"/>
        </patternFill>
      </fill>
    </dxf>
    <dxf>
      <font>
        <color theme="1"/>
      </font>
      <fill>
        <patternFill>
          <bgColor rgb="FFFFC000"/>
        </patternFill>
      </fill>
    </dxf>
    <dxf>
      <font>
        <color auto="1"/>
      </font>
      <fill>
        <patternFill>
          <bgColor rgb="FF00B0F0"/>
        </patternFill>
      </fill>
      <border>
        <left/>
        <right/>
        <top/>
        <bottom/>
      </border>
    </dxf>
    <dxf>
      <font>
        <color theme="1"/>
      </font>
      <fill>
        <patternFill>
          <bgColor rgb="FFFFFF00"/>
        </patternFill>
      </fill>
    </dxf>
    <dxf>
      <font>
        <color auto="1"/>
      </font>
      <fill>
        <patternFill>
          <bgColor rgb="FFFF7E79"/>
        </patternFill>
      </fill>
    </dxf>
    <dxf>
      <font>
        <color auto="1"/>
      </font>
      <fill>
        <patternFill>
          <bgColor theme="6" tint="0.39994506668294322"/>
        </patternFill>
      </fill>
    </dxf>
    <dxf>
      <font>
        <color auto="1"/>
      </font>
      <fill>
        <patternFill>
          <bgColor rgb="FFD883FF"/>
        </patternFill>
      </fill>
    </dxf>
    <dxf>
      <font>
        <color auto="1"/>
      </font>
      <fill>
        <patternFill>
          <bgColor rgb="FFFFB8D8"/>
        </patternFill>
      </fill>
    </dxf>
    <dxf>
      <font>
        <color auto="1"/>
      </font>
      <fill>
        <patternFill>
          <bgColor rgb="FF76D6FF"/>
        </patternFill>
      </fill>
    </dxf>
    <dxf>
      <font>
        <color auto="1"/>
      </font>
      <fill>
        <patternFill>
          <bgColor rgb="FFFFC000"/>
        </patternFill>
      </fill>
    </dxf>
    <dxf>
      <font>
        <color auto="1"/>
      </font>
      <fill>
        <patternFill>
          <bgColor rgb="FF00B050"/>
        </patternFill>
      </fill>
    </dxf>
    <dxf>
      <font>
        <color theme="1"/>
      </font>
      <fill>
        <patternFill>
          <bgColor theme="9" tint="-0.24994659260841701"/>
        </patternFill>
      </fill>
    </dxf>
    <dxf>
      <font>
        <color theme="0" tint="-0.24994659260841701"/>
      </font>
      <fill>
        <patternFill patternType="none">
          <bgColor auto="1"/>
        </patternFill>
      </fill>
    </dxf>
    <dxf>
      <font>
        <color theme="0" tint="-0.24994659260841701"/>
      </font>
      <fill>
        <patternFill patternType="none">
          <bgColor auto="1"/>
        </patternFill>
      </fill>
    </dxf>
    <dxf>
      <font>
        <color theme="0" tint="-0.24994659260841701"/>
      </font>
      <fill>
        <patternFill patternType="none">
          <bgColor auto="1"/>
        </patternFill>
      </fill>
    </dxf>
    <dxf>
      <font>
        <color theme="0" tint="-0.24994659260841701"/>
      </font>
      <fill>
        <patternFill patternType="none">
          <bgColor auto="1"/>
        </patternFill>
      </fill>
    </dxf>
    <dxf>
      <font>
        <color theme="0" tint="-0.24994659260841701"/>
      </font>
      <fill>
        <patternFill patternType="none">
          <bgColor auto="1"/>
        </patternFill>
      </fill>
    </dxf>
    <dxf>
      <font>
        <color theme="0" tint="-0.24994659260841701"/>
      </font>
      <fill>
        <patternFill patternType="none">
          <bgColor auto="1"/>
        </patternFill>
      </fill>
    </dxf>
    <dxf>
      <font>
        <color theme="0" tint="-0.24994659260841701"/>
      </font>
      <fill>
        <patternFill patternType="none">
          <bgColor auto="1"/>
        </patternFill>
      </fill>
    </dxf>
    <dxf>
      <font>
        <color theme="9"/>
      </font>
      <fill>
        <patternFill patternType="none">
          <bgColor auto="1"/>
        </patternFill>
      </fill>
    </dxf>
    <dxf>
      <font>
        <color theme="9"/>
      </font>
      <fill>
        <patternFill patternType="none">
          <bgColor auto="1"/>
        </patternFill>
      </fill>
    </dxf>
    <dxf>
      <font>
        <color theme="9"/>
      </font>
      <fill>
        <patternFill patternType="none">
          <bgColor auto="1"/>
        </patternFill>
      </fill>
    </dxf>
    <dxf>
      <font>
        <color theme="9"/>
      </font>
      <fill>
        <patternFill patternType="none">
          <bgColor auto="1"/>
        </patternFill>
      </fill>
    </dxf>
    <dxf>
      <font>
        <color auto="1"/>
      </font>
      <fill>
        <patternFill>
          <bgColor rgb="FF73FDD6"/>
        </patternFill>
      </fill>
    </dxf>
    <dxf>
      <font>
        <color theme="1"/>
      </font>
      <fill>
        <patternFill>
          <bgColor rgb="FF92D050"/>
        </patternFill>
      </fill>
    </dxf>
    <dxf>
      <font>
        <color theme="1"/>
      </font>
      <fill>
        <patternFill>
          <bgColor rgb="FFFFC000"/>
        </patternFill>
      </fill>
    </dxf>
    <dxf>
      <font>
        <color auto="1"/>
      </font>
      <fill>
        <patternFill>
          <bgColor rgb="FF00B0F0"/>
        </patternFill>
      </fill>
      <border>
        <left/>
        <right/>
        <top/>
        <bottom/>
      </border>
    </dxf>
    <dxf>
      <font>
        <color theme="1"/>
      </font>
      <fill>
        <patternFill>
          <bgColor rgb="FFFFFF00"/>
        </patternFill>
      </fill>
    </dxf>
    <dxf>
      <font>
        <color auto="1"/>
      </font>
      <fill>
        <patternFill>
          <bgColor rgb="FFFF7E79"/>
        </patternFill>
      </fill>
    </dxf>
    <dxf>
      <font>
        <color auto="1"/>
      </font>
      <fill>
        <patternFill>
          <bgColor theme="6" tint="0.39994506668294322"/>
        </patternFill>
      </fill>
    </dxf>
    <dxf>
      <font>
        <color auto="1"/>
      </font>
      <fill>
        <patternFill>
          <bgColor rgb="FFD883FF"/>
        </patternFill>
      </fill>
    </dxf>
    <dxf>
      <font>
        <color auto="1"/>
      </font>
      <fill>
        <patternFill>
          <bgColor rgb="FFFFB8D8"/>
        </patternFill>
      </fill>
    </dxf>
    <dxf>
      <font>
        <color auto="1"/>
      </font>
      <fill>
        <patternFill>
          <bgColor rgb="FF76D6FF"/>
        </patternFill>
      </fill>
    </dxf>
    <dxf>
      <font>
        <color auto="1"/>
      </font>
      <fill>
        <patternFill>
          <bgColor rgb="FFFFC000"/>
        </patternFill>
      </fill>
    </dxf>
    <dxf>
      <font>
        <color auto="1"/>
      </font>
      <fill>
        <patternFill>
          <bgColor rgb="FF00B050"/>
        </patternFill>
      </fill>
    </dxf>
    <dxf>
      <font>
        <color theme="1"/>
      </font>
      <fill>
        <patternFill>
          <bgColor theme="9" tint="-0.24994659260841701"/>
        </patternFill>
      </fill>
    </dxf>
    <dxf>
      <font>
        <color auto="1"/>
      </font>
      <fill>
        <patternFill>
          <bgColor rgb="FFFF2F92"/>
        </patternFill>
      </fill>
    </dxf>
    <dxf>
      <font>
        <color theme="0" tint="-0.24994659260841701"/>
      </font>
      <fill>
        <patternFill patternType="none">
          <bgColor auto="1"/>
        </patternFill>
      </fill>
    </dxf>
    <dxf>
      <font>
        <color theme="0" tint="-0.24994659260841701"/>
      </font>
      <fill>
        <patternFill patternType="none">
          <bgColor auto="1"/>
        </patternFill>
      </fill>
    </dxf>
    <dxf>
      <font>
        <color auto="1"/>
      </font>
      <fill>
        <patternFill>
          <bgColor rgb="FF73FDD6"/>
        </patternFill>
      </fill>
    </dxf>
    <dxf>
      <font>
        <color theme="1"/>
      </font>
      <fill>
        <patternFill>
          <bgColor rgb="FF92D050"/>
        </patternFill>
      </fill>
    </dxf>
    <dxf>
      <font>
        <color theme="1"/>
      </font>
      <fill>
        <patternFill>
          <bgColor rgb="FFFFC000"/>
        </patternFill>
      </fill>
    </dxf>
    <dxf>
      <font>
        <color auto="1"/>
      </font>
      <fill>
        <patternFill>
          <bgColor rgb="FF00B0F0"/>
        </patternFill>
      </fill>
      <border>
        <left/>
        <right/>
        <top/>
        <bottom/>
      </border>
    </dxf>
    <dxf>
      <font>
        <color theme="1"/>
      </font>
      <fill>
        <patternFill>
          <bgColor rgb="FFFFFF00"/>
        </patternFill>
      </fill>
    </dxf>
    <dxf>
      <font>
        <color auto="1"/>
      </font>
      <fill>
        <patternFill>
          <bgColor rgb="FFFF7E79"/>
        </patternFill>
      </fill>
    </dxf>
    <dxf>
      <font>
        <color auto="1"/>
      </font>
      <fill>
        <patternFill>
          <bgColor theme="6" tint="0.39994506668294322"/>
        </patternFill>
      </fill>
    </dxf>
    <dxf>
      <font>
        <color auto="1"/>
      </font>
      <fill>
        <patternFill>
          <bgColor rgb="FFD883FF"/>
        </patternFill>
      </fill>
    </dxf>
    <dxf>
      <font>
        <color auto="1"/>
      </font>
      <fill>
        <patternFill>
          <bgColor rgb="FFFFB8D8"/>
        </patternFill>
      </fill>
    </dxf>
    <dxf>
      <font>
        <color auto="1"/>
      </font>
      <fill>
        <patternFill>
          <bgColor rgb="FF76D6FF"/>
        </patternFill>
      </fill>
    </dxf>
    <dxf>
      <font>
        <color auto="1"/>
      </font>
      <fill>
        <patternFill>
          <bgColor rgb="FFFFC000"/>
        </patternFill>
      </fill>
    </dxf>
    <dxf>
      <font>
        <color auto="1"/>
      </font>
      <fill>
        <patternFill>
          <bgColor rgb="FF00B050"/>
        </patternFill>
      </fill>
    </dxf>
    <dxf>
      <font>
        <color theme="1"/>
      </font>
      <fill>
        <patternFill>
          <bgColor theme="9" tint="-0.24994659260841701"/>
        </patternFill>
      </fill>
    </dxf>
    <dxf>
      <font>
        <color theme="0" tint="-0.24994659260841701"/>
      </font>
      <fill>
        <patternFill patternType="none">
          <bgColor auto="1"/>
        </patternFill>
      </fill>
    </dxf>
    <dxf>
      <font>
        <color theme="0" tint="-0.24994659260841701"/>
      </font>
      <fill>
        <patternFill patternType="none">
          <bgColor auto="1"/>
        </patternFill>
      </fill>
    </dxf>
    <dxf>
      <font>
        <color theme="0" tint="-0.24994659260841701"/>
      </font>
      <fill>
        <patternFill patternType="none">
          <bgColor auto="1"/>
        </patternFill>
      </fill>
    </dxf>
    <dxf>
      <font>
        <color theme="0" tint="-0.24994659260841701"/>
      </font>
      <fill>
        <patternFill patternType="none">
          <bgColor auto="1"/>
        </patternFill>
      </fill>
    </dxf>
    <dxf>
      <font>
        <color theme="0" tint="-0.24994659260841701"/>
      </font>
      <fill>
        <patternFill patternType="none">
          <bgColor auto="1"/>
        </patternFill>
      </fill>
    </dxf>
    <dxf>
      <font>
        <color theme="9"/>
      </font>
      <fill>
        <patternFill patternType="none">
          <bgColor auto="1"/>
        </patternFill>
      </fill>
    </dxf>
    <dxf>
      <font>
        <color theme="0" tint="-0.24994659260841701"/>
      </font>
      <fill>
        <patternFill patternType="none">
          <bgColor auto="1"/>
        </patternFill>
      </fill>
    </dxf>
    <dxf>
      <font>
        <color theme="0" tint="-0.24994659260841701"/>
      </font>
      <fill>
        <patternFill patternType="none">
          <bgColor auto="1"/>
        </patternFill>
      </fill>
    </dxf>
    <dxf>
      <font>
        <color theme="9"/>
      </font>
      <fill>
        <patternFill patternType="none">
          <bgColor auto="1"/>
        </patternFill>
      </fill>
    </dxf>
    <dxf>
      <font>
        <color theme="9"/>
      </font>
      <fill>
        <patternFill patternType="none">
          <bgColor auto="1"/>
        </patternFill>
      </fill>
    </dxf>
    <dxf>
      <font>
        <color theme="9"/>
      </font>
      <fill>
        <patternFill patternType="none">
          <bgColor auto="1"/>
        </patternFill>
      </fill>
    </dxf>
    <dxf>
      <font>
        <color theme="9"/>
      </font>
      <fill>
        <patternFill patternType="none">
          <bgColor auto="1"/>
        </patternFill>
      </fill>
    </dxf>
    <dxf>
      <font>
        <color auto="1"/>
      </font>
      <fill>
        <patternFill>
          <bgColor rgb="FF73FDD6"/>
        </patternFill>
      </fill>
    </dxf>
    <dxf>
      <font>
        <color theme="1"/>
      </font>
      <fill>
        <patternFill>
          <bgColor rgb="FF92D050"/>
        </patternFill>
      </fill>
    </dxf>
    <dxf>
      <font>
        <color theme="1"/>
      </font>
      <fill>
        <patternFill>
          <bgColor rgb="FFFFC000"/>
        </patternFill>
      </fill>
    </dxf>
    <dxf>
      <font>
        <color auto="1"/>
      </font>
      <fill>
        <patternFill>
          <bgColor rgb="FF00B0F0"/>
        </patternFill>
      </fill>
      <border>
        <left/>
        <right/>
        <top/>
        <bottom/>
      </border>
    </dxf>
    <dxf>
      <font>
        <color theme="1"/>
      </font>
      <fill>
        <patternFill>
          <bgColor rgb="FFFFFF00"/>
        </patternFill>
      </fill>
    </dxf>
    <dxf>
      <font>
        <color auto="1"/>
      </font>
      <fill>
        <patternFill>
          <bgColor rgb="FFFF7E79"/>
        </patternFill>
      </fill>
    </dxf>
    <dxf>
      <font>
        <color auto="1"/>
      </font>
      <fill>
        <patternFill>
          <bgColor theme="6" tint="0.39994506668294322"/>
        </patternFill>
      </fill>
    </dxf>
    <dxf>
      <font>
        <color auto="1"/>
      </font>
      <fill>
        <patternFill>
          <bgColor rgb="FFD883FF"/>
        </patternFill>
      </fill>
    </dxf>
    <dxf>
      <font>
        <color auto="1"/>
      </font>
      <fill>
        <patternFill>
          <bgColor rgb="FFFFB8D8"/>
        </patternFill>
      </fill>
    </dxf>
    <dxf>
      <font>
        <color auto="1"/>
      </font>
      <fill>
        <patternFill>
          <bgColor rgb="FF76D6FF"/>
        </patternFill>
      </fill>
    </dxf>
    <dxf>
      <font>
        <color auto="1"/>
      </font>
      <fill>
        <patternFill>
          <bgColor rgb="FFFFC000"/>
        </patternFill>
      </fill>
    </dxf>
    <dxf>
      <font>
        <color auto="1"/>
      </font>
      <fill>
        <patternFill>
          <bgColor rgb="FF00B050"/>
        </patternFill>
      </fill>
    </dxf>
    <dxf>
      <font>
        <color theme="1"/>
      </font>
      <fill>
        <patternFill>
          <bgColor theme="9" tint="-0.24994659260841701"/>
        </patternFill>
      </fill>
    </dxf>
    <dxf>
      <font>
        <color auto="1"/>
      </font>
      <fill>
        <patternFill>
          <bgColor rgb="FFFF2F92"/>
        </patternFill>
      </fill>
    </dxf>
    <dxf>
      <font>
        <color theme="0" tint="-0.24994659260841701"/>
      </font>
      <fill>
        <patternFill patternType="none">
          <bgColor auto="1"/>
        </patternFill>
      </fill>
    </dxf>
    <dxf>
      <font>
        <color theme="0" tint="-0.24994659260841701"/>
      </font>
      <fill>
        <patternFill patternType="none">
          <bgColor auto="1"/>
        </patternFill>
      </fill>
    </dxf>
    <dxf>
      <font>
        <color auto="1"/>
      </font>
      <fill>
        <patternFill>
          <bgColor rgb="FF73FDD6"/>
        </patternFill>
      </fill>
    </dxf>
    <dxf>
      <font>
        <color theme="1"/>
      </font>
      <fill>
        <patternFill>
          <bgColor rgb="FF92D050"/>
        </patternFill>
      </fill>
    </dxf>
    <dxf>
      <font>
        <color theme="1"/>
      </font>
      <fill>
        <patternFill>
          <bgColor rgb="FFFFC000"/>
        </patternFill>
      </fill>
    </dxf>
    <dxf>
      <font>
        <color auto="1"/>
      </font>
      <fill>
        <patternFill>
          <bgColor rgb="FF00B0F0"/>
        </patternFill>
      </fill>
      <border>
        <left/>
        <right/>
        <top/>
        <bottom/>
      </border>
    </dxf>
    <dxf>
      <font>
        <color theme="1"/>
      </font>
      <fill>
        <patternFill>
          <bgColor rgb="FFFFFF00"/>
        </patternFill>
      </fill>
    </dxf>
    <dxf>
      <font>
        <color auto="1"/>
      </font>
      <fill>
        <patternFill>
          <bgColor rgb="FFFF7E79"/>
        </patternFill>
      </fill>
    </dxf>
    <dxf>
      <font>
        <color auto="1"/>
      </font>
      <fill>
        <patternFill>
          <bgColor theme="6" tint="0.39994506668294322"/>
        </patternFill>
      </fill>
    </dxf>
    <dxf>
      <font>
        <color auto="1"/>
      </font>
      <fill>
        <patternFill>
          <bgColor rgb="FFD883FF"/>
        </patternFill>
      </fill>
    </dxf>
    <dxf>
      <font>
        <color auto="1"/>
      </font>
      <fill>
        <patternFill>
          <bgColor rgb="FFFFB8D8"/>
        </patternFill>
      </fill>
    </dxf>
    <dxf>
      <font>
        <color auto="1"/>
      </font>
      <fill>
        <patternFill>
          <bgColor rgb="FF76D6FF"/>
        </patternFill>
      </fill>
    </dxf>
    <dxf>
      <font>
        <color auto="1"/>
      </font>
      <fill>
        <patternFill>
          <bgColor rgb="FFFFC000"/>
        </patternFill>
      </fill>
    </dxf>
    <dxf>
      <font>
        <color auto="1"/>
      </font>
      <fill>
        <patternFill>
          <bgColor rgb="FF00B050"/>
        </patternFill>
      </fill>
    </dxf>
    <dxf>
      <font>
        <color theme="1"/>
      </font>
      <fill>
        <patternFill>
          <bgColor theme="9" tint="-0.24994659260841701"/>
        </patternFill>
      </fill>
    </dxf>
    <dxf>
      <font>
        <color theme="0" tint="-0.24994659260841701"/>
      </font>
      <fill>
        <patternFill patternType="none">
          <bgColor auto="1"/>
        </patternFill>
      </fill>
    </dxf>
    <dxf>
      <font>
        <color theme="0" tint="-0.24994659260841701"/>
      </font>
      <fill>
        <patternFill patternType="none">
          <bgColor auto="1"/>
        </patternFill>
      </fill>
    </dxf>
    <dxf>
      <font>
        <color theme="0" tint="-0.24994659260841701"/>
      </font>
      <fill>
        <patternFill patternType="none">
          <bgColor auto="1"/>
        </patternFill>
      </fill>
    </dxf>
    <dxf>
      <font>
        <color theme="0" tint="-0.24994659260841701"/>
      </font>
      <fill>
        <patternFill patternType="none">
          <bgColor auto="1"/>
        </patternFill>
      </fill>
    </dxf>
    <dxf>
      <font>
        <color theme="0" tint="-0.24994659260841701"/>
      </font>
      <fill>
        <patternFill patternType="none">
          <bgColor auto="1"/>
        </patternFill>
      </fill>
    </dxf>
    <dxf>
      <font>
        <color theme="0" tint="-0.24994659260841701"/>
      </font>
      <fill>
        <patternFill patternType="none">
          <bgColor auto="1"/>
        </patternFill>
      </fill>
    </dxf>
    <dxf>
      <font>
        <color theme="0" tint="-0.24994659260841701"/>
      </font>
      <fill>
        <patternFill patternType="none">
          <bgColor auto="1"/>
        </patternFill>
      </fill>
    </dxf>
    <dxf>
      <font>
        <color theme="9"/>
      </font>
      <fill>
        <patternFill patternType="none">
          <bgColor auto="1"/>
        </patternFill>
      </fill>
    </dxf>
    <dxf>
      <font>
        <color theme="9"/>
      </font>
      <fill>
        <patternFill patternType="none">
          <bgColor auto="1"/>
        </patternFill>
      </fill>
    </dxf>
    <dxf>
      <font>
        <color theme="9"/>
      </font>
      <fill>
        <patternFill patternType="none">
          <bgColor auto="1"/>
        </patternFill>
      </fill>
    </dxf>
    <dxf>
      <font>
        <color auto="1"/>
      </font>
      <fill>
        <patternFill>
          <bgColor rgb="FF73FDD6"/>
        </patternFill>
      </fill>
    </dxf>
    <dxf>
      <font>
        <color theme="1"/>
      </font>
      <fill>
        <patternFill>
          <bgColor rgb="FF92D050"/>
        </patternFill>
      </fill>
    </dxf>
    <dxf>
      <font>
        <color theme="1"/>
      </font>
      <fill>
        <patternFill>
          <bgColor rgb="FFFFC000"/>
        </patternFill>
      </fill>
    </dxf>
    <dxf>
      <font>
        <color auto="1"/>
      </font>
      <fill>
        <patternFill>
          <bgColor rgb="FF00B0F0"/>
        </patternFill>
      </fill>
      <border>
        <left/>
        <right/>
        <top/>
        <bottom/>
      </border>
    </dxf>
    <dxf>
      <font>
        <color theme="1"/>
      </font>
      <fill>
        <patternFill>
          <bgColor rgb="FFFFFF00"/>
        </patternFill>
      </fill>
    </dxf>
    <dxf>
      <font>
        <color auto="1"/>
      </font>
      <fill>
        <patternFill>
          <bgColor rgb="FFFF7E79"/>
        </patternFill>
      </fill>
    </dxf>
    <dxf>
      <font>
        <color auto="1"/>
      </font>
      <fill>
        <patternFill>
          <bgColor theme="6" tint="0.39994506668294322"/>
        </patternFill>
      </fill>
    </dxf>
    <dxf>
      <font>
        <color auto="1"/>
      </font>
      <fill>
        <patternFill>
          <bgColor rgb="FFD883FF"/>
        </patternFill>
      </fill>
    </dxf>
    <dxf>
      <font>
        <color auto="1"/>
      </font>
      <fill>
        <patternFill>
          <bgColor rgb="FFFFB8D8"/>
        </patternFill>
      </fill>
    </dxf>
    <dxf>
      <font>
        <color auto="1"/>
      </font>
      <fill>
        <patternFill>
          <bgColor rgb="FF76D6FF"/>
        </patternFill>
      </fill>
    </dxf>
    <dxf>
      <font>
        <color auto="1"/>
      </font>
      <fill>
        <patternFill>
          <bgColor rgb="FFFFC000"/>
        </patternFill>
      </fill>
    </dxf>
    <dxf>
      <font>
        <color auto="1"/>
      </font>
      <fill>
        <patternFill>
          <bgColor rgb="FF00B050"/>
        </patternFill>
      </fill>
    </dxf>
    <dxf>
      <font>
        <color theme="1"/>
      </font>
      <fill>
        <patternFill>
          <bgColor theme="9" tint="-0.24994659260841701"/>
        </patternFill>
      </fill>
    </dxf>
    <dxf>
      <font>
        <color auto="1"/>
      </font>
      <fill>
        <patternFill>
          <bgColor rgb="FFFF2F92"/>
        </patternFill>
      </fill>
    </dxf>
    <dxf>
      <font>
        <color theme="0" tint="-0.24994659260841701"/>
      </font>
      <fill>
        <patternFill patternType="none">
          <bgColor auto="1"/>
        </patternFill>
      </fill>
    </dxf>
    <dxf>
      <font>
        <color theme="0" tint="-0.24994659260841701"/>
      </font>
      <fill>
        <patternFill patternType="none">
          <bgColor auto="1"/>
        </patternFill>
      </fill>
    </dxf>
    <dxf>
      <font>
        <color auto="1"/>
      </font>
      <fill>
        <patternFill>
          <bgColor rgb="FF73FDD6"/>
        </patternFill>
      </fill>
    </dxf>
    <dxf>
      <font>
        <color theme="1"/>
      </font>
      <fill>
        <patternFill>
          <bgColor rgb="FF92D050"/>
        </patternFill>
      </fill>
    </dxf>
    <dxf>
      <font>
        <color theme="1"/>
      </font>
      <fill>
        <patternFill>
          <bgColor rgb="FFFFC000"/>
        </patternFill>
      </fill>
    </dxf>
    <dxf>
      <font>
        <color auto="1"/>
      </font>
      <fill>
        <patternFill>
          <bgColor rgb="FF00B0F0"/>
        </patternFill>
      </fill>
      <border>
        <left/>
        <right/>
        <top/>
        <bottom/>
      </border>
    </dxf>
    <dxf>
      <font>
        <color theme="1"/>
      </font>
      <fill>
        <patternFill>
          <bgColor rgb="FFFFFF00"/>
        </patternFill>
      </fill>
    </dxf>
    <dxf>
      <font>
        <color auto="1"/>
      </font>
      <fill>
        <patternFill>
          <bgColor rgb="FFFF7E79"/>
        </patternFill>
      </fill>
    </dxf>
    <dxf>
      <font>
        <color auto="1"/>
      </font>
      <fill>
        <patternFill>
          <bgColor theme="6" tint="0.39994506668294322"/>
        </patternFill>
      </fill>
    </dxf>
    <dxf>
      <font>
        <color auto="1"/>
      </font>
      <fill>
        <patternFill>
          <bgColor rgb="FFD883FF"/>
        </patternFill>
      </fill>
    </dxf>
    <dxf>
      <font>
        <color auto="1"/>
      </font>
      <fill>
        <patternFill>
          <bgColor rgb="FFFFB8D8"/>
        </patternFill>
      </fill>
    </dxf>
    <dxf>
      <font>
        <color auto="1"/>
      </font>
      <fill>
        <patternFill>
          <bgColor rgb="FF76D6FF"/>
        </patternFill>
      </fill>
    </dxf>
    <dxf>
      <font>
        <color auto="1"/>
      </font>
      <fill>
        <patternFill>
          <bgColor rgb="FFFFC000"/>
        </patternFill>
      </fill>
    </dxf>
    <dxf>
      <font>
        <color auto="1"/>
      </font>
      <fill>
        <patternFill>
          <bgColor rgb="FF00B050"/>
        </patternFill>
      </fill>
    </dxf>
    <dxf>
      <font>
        <color theme="1"/>
      </font>
      <fill>
        <patternFill>
          <bgColor theme="9" tint="-0.24994659260841701"/>
        </patternFill>
      </fill>
    </dxf>
    <dxf>
      <font>
        <color theme="0" tint="-0.24994659260841701"/>
      </font>
      <fill>
        <patternFill patternType="none">
          <bgColor auto="1"/>
        </patternFill>
      </fill>
    </dxf>
    <dxf>
      <font>
        <color theme="0" tint="-0.24994659260841701"/>
      </font>
      <fill>
        <patternFill patternType="none">
          <bgColor auto="1"/>
        </patternFill>
      </fill>
    </dxf>
    <dxf>
      <font>
        <color theme="0" tint="-0.24994659260841701"/>
      </font>
      <fill>
        <patternFill patternType="none">
          <bgColor auto="1"/>
        </patternFill>
      </fill>
    </dxf>
    <dxf>
      <font>
        <color theme="0" tint="-0.24994659260841701"/>
      </font>
      <fill>
        <patternFill patternType="none">
          <bgColor auto="1"/>
        </patternFill>
      </fill>
    </dxf>
    <dxf>
      <font>
        <color theme="0" tint="-0.24994659260841701"/>
      </font>
      <fill>
        <patternFill patternType="none">
          <bgColor auto="1"/>
        </patternFill>
      </fill>
    </dxf>
    <dxf>
      <font>
        <color theme="0" tint="-0.24994659260841701"/>
      </font>
      <fill>
        <patternFill patternType="none">
          <bgColor auto="1"/>
        </patternFill>
      </fill>
    </dxf>
    <dxf>
      <font>
        <color theme="0" tint="-0.24994659260841701"/>
      </font>
      <fill>
        <patternFill patternType="none">
          <bgColor auto="1"/>
        </patternFill>
      </fill>
    </dxf>
    <dxf>
      <font>
        <color theme="0" tint="-0.24994659260841701"/>
      </font>
      <fill>
        <patternFill patternType="none">
          <bgColor auto="1"/>
        </patternFill>
      </fill>
    </dxf>
    <dxf>
      <font>
        <color theme="9"/>
      </font>
      <fill>
        <patternFill patternType="none">
          <bgColor auto="1"/>
        </patternFill>
      </fill>
    </dxf>
    <dxf>
      <font>
        <color theme="9"/>
      </font>
      <fill>
        <patternFill patternType="none">
          <bgColor auto="1"/>
        </patternFill>
      </fill>
    </dxf>
    <dxf>
      <font>
        <color theme="9"/>
      </font>
      <fill>
        <patternFill patternType="none">
          <bgColor auto="1"/>
        </patternFill>
      </fill>
    </dxf>
    <dxf>
      <font>
        <color theme="9"/>
      </font>
      <fill>
        <patternFill patternType="none">
          <bgColor auto="1"/>
        </patternFill>
      </fill>
    </dxf>
    <dxf>
      <font>
        <color auto="1"/>
      </font>
      <fill>
        <patternFill>
          <bgColor rgb="FF73FDD6"/>
        </patternFill>
      </fill>
    </dxf>
    <dxf>
      <font>
        <color theme="1"/>
      </font>
      <fill>
        <patternFill>
          <bgColor rgb="FF92D050"/>
        </patternFill>
      </fill>
    </dxf>
    <dxf>
      <font>
        <color theme="1"/>
      </font>
      <fill>
        <patternFill>
          <bgColor rgb="FFFFC000"/>
        </patternFill>
      </fill>
    </dxf>
    <dxf>
      <font>
        <color auto="1"/>
      </font>
      <fill>
        <patternFill>
          <bgColor rgb="FF00B0F0"/>
        </patternFill>
      </fill>
      <border>
        <left/>
        <right/>
        <top/>
        <bottom/>
      </border>
    </dxf>
    <dxf>
      <font>
        <color theme="1"/>
      </font>
      <fill>
        <patternFill>
          <bgColor rgb="FFFFFF00"/>
        </patternFill>
      </fill>
    </dxf>
    <dxf>
      <font>
        <color auto="1"/>
      </font>
      <fill>
        <patternFill>
          <bgColor rgb="FFFF7E79"/>
        </patternFill>
      </fill>
    </dxf>
    <dxf>
      <font>
        <color auto="1"/>
      </font>
      <fill>
        <patternFill>
          <bgColor theme="6" tint="0.39994506668294322"/>
        </patternFill>
      </fill>
    </dxf>
    <dxf>
      <font>
        <color auto="1"/>
      </font>
      <fill>
        <patternFill>
          <bgColor rgb="FFD883FF"/>
        </patternFill>
      </fill>
    </dxf>
    <dxf>
      <font>
        <color auto="1"/>
      </font>
      <fill>
        <patternFill>
          <bgColor rgb="FFFFB8D8"/>
        </patternFill>
      </fill>
    </dxf>
    <dxf>
      <font>
        <color auto="1"/>
      </font>
      <fill>
        <patternFill>
          <bgColor rgb="FF76D6FF"/>
        </patternFill>
      </fill>
    </dxf>
    <dxf>
      <font>
        <color auto="1"/>
      </font>
      <fill>
        <patternFill>
          <bgColor rgb="FFFFC000"/>
        </patternFill>
      </fill>
    </dxf>
    <dxf>
      <font>
        <color auto="1"/>
      </font>
      <fill>
        <patternFill>
          <bgColor rgb="FF00B050"/>
        </patternFill>
      </fill>
    </dxf>
    <dxf>
      <font>
        <color theme="1"/>
      </font>
      <fill>
        <patternFill>
          <bgColor theme="9" tint="-0.24994659260841701"/>
        </patternFill>
      </fill>
    </dxf>
    <dxf>
      <font>
        <color auto="1"/>
      </font>
      <fill>
        <patternFill>
          <bgColor rgb="FFFF2F92"/>
        </patternFill>
      </fill>
    </dxf>
    <dxf>
      <font>
        <color theme="0" tint="-0.24994659260841701"/>
      </font>
      <fill>
        <patternFill patternType="none">
          <bgColor auto="1"/>
        </patternFill>
      </fill>
    </dxf>
    <dxf>
      <font>
        <color theme="0" tint="-0.24994659260841701"/>
      </font>
      <fill>
        <patternFill patternType="none">
          <bgColor auto="1"/>
        </patternFill>
      </fill>
    </dxf>
    <dxf>
      <font>
        <color auto="1"/>
      </font>
      <fill>
        <patternFill>
          <bgColor rgb="FF73FDD6"/>
        </patternFill>
      </fill>
    </dxf>
    <dxf>
      <font>
        <color theme="1"/>
      </font>
      <fill>
        <patternFill>
          <bgColor rgb="FF92D050"/>
        </patternFill>
      </fill>
    </dxf>
    <dxf>
      <font>
        <color theme="1"/>
      </font>
      <fill>
        <patternFill>
          <bgColor rgb="FFFFC000"/>
        </patternFill>
      </fill>
    </dxf>
    <dxf>
      <font>
        <color auto="1"/>
      </font>
      <fill>
        <patternFill>
          <bgColor rgb="FF00B0F0"/>
        </patternFill>
      </fill>
      <border>
        <left/>
        <right/>
        <top/>
        <bottom/>
      </border>
    </dxf>
    <dxf>
      <font>
        <color theme="1"/>
      </font>
      <fill>
        <patternFill>
          <bgColor rgb="FFFFFF00"/>
        </patternFill>
      </fill>
    </dxf>
    <dxf>
      <font>
        <color auto="1"/>
      </font>
      <fill>
        <patternFill>
          <bgColor rgb="FFFF7E79"/>
        </patternFill>
      </fill>
    </dxf>
    <dxf>
      <font>
        <color auto="1"/>
      </font>
      <fill>
        <patternFill>
          <bgColor theme="6" tint="0.39994506668294322"/>
        </patternFill>
      </fill>
    </dxf>
    <dxf>
      <font>
        <color auto="1"/>
      </font>
      <fill>
        <patternFill>
          <bgColor rgb="FFD883FF"/>
        </patternFill>
      </fill>
    </dxf>
    <dxf>
      <font>
        <color auto="1"/>
      </font>
      <fill>
        <patternFill>
          <bgColor rgb="FFFFB8D8"/>
        </patternFill>
      </fill>
    </dxf>
    <dxf>
      <font>
        <color auto="1"/>
      </font>
      <fill>
        <patternFill>
          <bgColor rgb="FF76D6FF"/>
        </patternFill>
      </fill>
    </dxf>
    <dxf>
      <font>
        <color auto="1"/>
      </font>
      <fill>
        <patternFill>
          <bgColor rgb="FFFFC000"/>
        </patternFill>
      </fill>
    </dxf>
    <dxf>
      <font>
        <color auto="1"/>
      </font>
      <fill>
        <patternFill>
          <bgColor rgb="FF00B050"/>
        </patternFill>
      </fill>
    </dxf>
    <dxf>
      <font>
        <color theme="1"/>
      </font>
      <fill>
        <patternFill>
          <bgColor theme="9" tint="-0.24994659260841701"/>
        </patternFill>
      </fill>
    </dxf>
    <dxf>
      <font>
        <color theme="0" tint="-0.24994659260841701"/>
      </font>
      <fill>
        <patternFill patternType="none">
          <bgColor auto="1"/>
        </patternFill>
      </fill>
    </dxf>
    <dxf>
      <font>
        <color theme="0" tint="-0.24994659260841701"/>
      </font>
      <fill>
        <patternFill patternType="none">
          <bgColor auto="1"/>
        </patternFill>
      </fill>
    </dxf>
    <dxf>
      <font>
        <color theme="0" tint="-0.24994659260841701"/>
      </font>
      <fill>
        <patternFill patternType="none">
          <bgColor auto="1"/>
        </patternFill>
      </fill>
    </dxf>
    <dxf>
      <font>
        <color theme="0" tint="-0.24994659260841701"/>
      </font>
      <fill>
        <patternFill patternType="none">
          <bgColor auto="1"/>
        </patternFill>
      </fill>
    </dxf>
    <dxf>
      <font>
        <color theme="0" tint="-0.24994659260841701"/>
      </font>
      <fill>
        <patternFill patternType="none">
          <bgColor auto="1"/>
        </patternFill>
      </fill>
    </dxf>
    <dxf>
      <font>
        <color theme="0" tint="-0.24994659260841701"/>
      </font>
      <fill>
        <patternFill patternType="none">
          <bgColor auto="1"/>
        </patternFill>
      </fill>
    </dxf>
    <dxf>
      <font>
        <color theme="0" tint="-0.24994659260841701"/>
      </font>
      <fill>
        <patternFill patternType="none">
          <bgColor auto="1"/>
        </patternFill>
      </fill>
    </dxf>
    <dxf>
      <font>
        <color theme="0" tint="-0.24994659260841701"/>
      </font>
      <fill>
        <patternFill patternType="none">
          <bgColor auto="1"/>
        </patternFill>
      </fill>
    </dxf>
    <dxf>
      <font>
        <color theme="9"/>
      </font>
      <fill>
        <patternFill patternType="none">
          <bgColor auto="1"/>
        </patternFill>
      </fill>
    </dxf>
    <dxf>
      <font>
        <color theme="9"/>
      </font>
      <fill>
        <patternFill patternType="none">
          <bgColor auto="1"/>
        </patternFill>
      </fill>
    </dxf>
    <dxf>
      <font>
        <color theme="9"/>
      </font>
      <fill>
        <patternFill patternType="none">
          <bgColor auto="1"/>
        </patternFill>
      </fill>
    </dxf>
    <dxf>
      <font>
        <color theme="9"/>
      </font>
      <fill>
        <patternFill patternType="none">
          <bgColor auto="1"/>
        </patternFill>
      </fill>
    </dxf>
    <dxf>
      <font>
        <color theme="0" tint="-0.24994659260841701"/>
      </font>
      <fill>
        <patternFill patternType="none">
          <bgColor auto="1"/>
        </patternFill>
      </fill>
    </dxf>
    <dxf>
      <font>
        <color auto="1"/>
      </font>
      <fill>
        <patternFill>
          <bgColor rgb="FF73FDD6"/>
        </patternFill>
      </fill>
    </dxf>
    <dxf>
      <font>
        <color theme="1"/>
      </font>
      <fill>
        <patternFill>
          <bgColor rgb="FF92D050"/>
        </patternFill>
      </fill>
    </dxf>
    <dxf>
      <font>
        <color theme="1"/>
      </font>
      <fill>
        <patternFill>
          <bgColor rgb="FFFFC000"/>
        </patternFill>
      </fill>
    </dxf>
    <dxf>
      <font>
        <color auto="1"/>
      </font>
      <fill>
        <patternFill>
          <bgColor rgb="FF00B0F0"/>
        </patternFill>
      </fill>
      <border>
        <left/>
        <right/>
        <top/>
        <bottom/>
      </border>
    </dxf>
    <dxf>
      <font>
        <color theme="1"/>
      </font>
      <fill>
        <patternFill>
          <bgColor rgb="FFFFFF00"/>
        </patternFill>
      </fill>
    </dxf>
    <dxf>
      <font>
        <color auto="1"/>
      </font>
      <fill>
        <patternFill>
          <bgColor rgb="FFFF7E79"/>
        </patternFill>
      </fill>
    </dxf>
    <dxf>
      <font>
        <color auto="1"/>
      </font>
      <fill>
        <patternFill>
          <bgColor theme="6" tint="0.39994506668294322"/>
        </patternFill>
      </fill>
    </dxf>
    <dxf>
      <font>
        <color auto="1"/>
      </font>
      <fill>
        <patternFill>
          <bgColor rgb="FFD883FF"/>
        </patternFill>
      </fill>
    </dxf>
    <dxf>
      <font>
        <color auto="1"/>
      </font>
      <fill>
        <patternFill>
          <bgColor rgb="FFFFB8D8"/>
        </patternFill>
      </fill>
    </dxf>
    <dxf>
      <font>
        <color auto="1"/>
      </font>
      <fill>
        <patternFill>
          <bgColor rgb="FF76D6FF"/>
        </patternFill>
      </fill>
    </dxf>
    <dxf>
      <font>
        <color auto="1"/>
      </font>
      <fill>
        <patternFill>
          <bgColor rgb="FFFFC000"/>
        </patternFill>
      </fill>
    </dxf>
    <dxf>
      <font>
        <color auto="1"/>
      </font>
      <fill>
        <patternFill>
          <bgColor rgb="FF00B050"/>
        </patternFill>
      </fill>
    </dxf>
    <dxf>
      <font>
        <color theme="1"/>
      </font>
      <fill>
        <patternFill>
          <bgColor theme="9" tint="-0.24994659260841701"/>
        </patternFill>
      </fill>
    </dxf>
    <dxf>
      <font>
        <color auto="1"/>
      </font>
      <fill>
        <patternFill>
          <bgColor rgb="FFFF2F92"/>
        </patternFill>
      </fill>
    </dxf>
    <dxf>
      <font>
        <color theme="0" tint="-0.24994659260841701"/>
      </font>
      <fill>
        <patternFill patternType="none">
          <bgColor auto="1"/>
        </patternFill>
      </fill>
    </dxf>
    <dxf>
      <font>
        <color theme="0" tint="-0.24994659260841701"/>
      </font>
      <fill>
        <patternFill patternType="none">
          <bgColor auto="1"/>
        </patternFill>
      </fill>
    </dxf>
    <dxf>
      <font>
        <color auto="1"/>
      </font>
      <fill>
        <patternFill>
          <bgColor rgb="FF73FDD6"/>
        </patternFill>
      </fill>
    </dxf>
    <dxf>
      <font>
        <color theme="1"/>
      </font>
      <fill>
        <patternFill>
          <bgColor rgb="FF92D050"/>
        </patternFill>
      </fill>
    </dxf>
    <dxf>
      <font>
        <color theme="1"/>
      </font>
      <fill>
        <patternFill>
          <bgColor rgb="FFFFC000"/>
        </patternFill>
      </fill>
    </dxf>
    <dxf>
      <font>
        <color auto="1"/>
      </font>
      <fill>
        <patternFill>
          <bgColor rgb="FF00B0F0"/>
        </patternFill>
      </fill>
      <border>
        <left/>
        <right/>
        <top/>
        <bottom/>
      </border>
    </dxf>
    <dxf>
      <font>
        <color theme="1"/>
      </font>
      <fill>
        <patternFill>
          <bgColor rgb="FFFFFF00"/>
        </patternFill>
      </fill>
    </dxf>
    <dxf>
      <font>
        <color auto="1"/>
      </font>
      <fill>
        <patternFill>
          <bgColor rgb="FFFF7E79"/>
        </patternFill>
      </fill>
    </dxf>
    <dxf>
      <font>
        <color auto="1"/>
      </font>
      <fill>
        <patternFill>
          <bgColor theme="6" tint="0.39994506668294322"/>
        </patternFill>
      </fill>
    </dxf>
    <dxf>
      <font>
        <color auto="1"/>
      </font>
      <fill>
        <patternFill>
          <bgColor rgb="FFD883FF"/>
        </patternFill>
      </fill>
    </dxf>
    <dxf>
      <font>
        <color auto="1"/>
      </font>
      <fill>
        <patternFill>
          <bgColor rgb="FFFFB8D8"/>
        </patternFill>
      </fill>
    </dxf>
    <dxf>
      <font>
        <color auto="1"/>
      </font>
      <fill>
        <patternFill>
          <bgColor rgb="FF76D6FF"/>
        </patternFill>
      </fill>
    </dxf>
    <dxf>
      <font>
        <color auto="1"/>
      </font>
      <fill>
        <patternFill>
          <bgColor rgb="FFFFC000"/>
        </patternFill>
      </fill>
    </dxf>
    <dxf>
      <font>
        <color auto="1"/>
      </font>
      <fill>
        <patternFill>
          <bgColor rgb="FF00B050"/>
        </patternFill>
      </fill>
    </dxf>
    <dxf>
      <font>
        <color theme="1"/>
      </font>
      <fill>
        <patternFill>
          <bgColor theme="9" tint="-0.24994659260841701"/>
        </patternFill>
      </fill>
    </dxf>
    <dxf>
      <font>
        <color theme="0" tint="-0.24994659260841701"/>
      </font>
      <fill>
        <patternFill patternType="none">
          <bgColor auto="1"/>
        </patternFill>
      </fill>
    </dxf>
    <dxf>
      <font>
        <color theme="0" tint="-0.24994659260841701"/>
      </font>
      <fill>
        <patternFill patternType="none">
          <bgColor auto="1"/>
        </patternFill>
      </fill>
    </dxf>
    <dxf>
      <font>
        <color theme="0" tint="-0.24994659260841701"/>
      </font>
      <fill>
        <patternFill patternType="none">
          <bgColor auto="1"/>
        </patternFill>
      </fill>
    </dxf>
    <dxf>
      <font>
        <color theme="0" tint="-0.24994659260841701"/>
      </font>
      <fill>
        <patternFill patternType="none">
          <bgColor auto="1"/>
        </patternFill>
      </fill>
    </dxf>
    <dxf>
      <font>
        <color theme="9"/>
      </font>
      <fill>
        <patternFill patternType="none">
          <bgColor auto="1"/>
        </patternFill>
      </fill>
    </dxf>
    <dxf>
      <font>
        <color theme="9"/>
      </font>
      <fill>
        <patternFill patternType="none">
          <bgColor auto="1"/>
        </patternFill>
      </fill>
    </dxf>
    <dxf>
      <font>
        <color theme="0" tint="-0.24994659260841701"/>
      </font>
      <fill>
        <patternFill patternType="none">
          <bgColor auto="1"/>
        </patternFill>
      </fill>
    </dxf>
    <dxf>
      <font>
        <color theme="0" tint="-0.24994659260841701"/>
      </font>
      <fill>
        <patternFill patternType="none">
          <bgColor auto="1"/>
        </patternFill>
      </fill>
    </dxf>
    <dxf>
      <font>
        <color theme="0" tint="-0.24994659260841701"/>
      </font>
      <fill>
        <patternFill patternType="none">
          <bgColor auto="1"/>
        </patternFill>
      </fill>
    </dxf>
    <dxf>
      <font>
        <color theme="0" tint="-0.24994659260841701"/>
      </font>
      <fill>
        <patternFill patternType="none">
          <bgColor auto="1"/>
        </patternFill>
      </fill>
    </dxf>
    <dxf>
      <font>
        <color theme="9"/>
      </font>
      <fill>
        <patternFill patternType="none">
          <bgColor auto="1"/>
        </patternFill>
      </fill>
    </dxf>
    <dxf>
      <font>
        <color auto="1"/>
      </font>
      <fill>
        <patternFill>
          <bgColor rgb="FF73FDD6"/>
        </patternFill>
      </fill>
    </dxf>
    <dxf>
      <font>
        <color theme="1"/>
      </font>
      <fill>
        <patternFill>
          <bgColor rgb="FF92D050"/>
        </patternFill>
      </fill>
    </dxf>
    <dxf>
      <font>
        <color theme="1"/>
      </font>
      <fill>
        <patternFill>
          <bgColor rgb="FFFFC000"/>
        </patternFill>
      </fill>
    </dxf>
    <dxf>
      <font>
        <color auto="1"/>
      </font>
      <fill>
        <patternFill>
          <bgColor rgb="FF00B0F0"/>
        </patternFill>
      </fill>
      <border>
        <left/>
        <right/>
        <top/>
        <bottom/>
      </border>
    </dxf>
    <dxf>
      <font>
        <color theme="1"/>
      </font>
      <fill>
        <patternFill>
          <bgColor rgb="FFFFFF00"/>
        </patternFill>
      </fill>
    </dxf>
    <dxf>
      <font>
        <color auto="1"/>
      </font>
      <fill>
        <patternFill>
          <bgColor rgb="FFFF7E79"/>
        </patternFill>
      </fill>
    </dxf>
    <dxf>
      <font>
        <color auto="1"/>
      </font>
      <fill>
        <patternFill>
          <bgColor theme="6" tint="0.39994506668294322"/>
        </patternFill>
      </fill>
    </dxf>
    <dxf>
      <font>
        <color auto="1"/>
      </font>
      <fill>
        <patternFill>
          <bgColor rgb="FFD883FF"/>
        </patternFill>
      </fill>
    </dxf>
    <dxf>
      <font>
        <color auto="1"/>
      </font>
      <fill>
        <patternFill>
          <bgColor rgb="FFFFB8D8"/>
        </patternFill>
      </fill>
    </dxf>
    <dxf>
      <font>
        <color auto="1"/>
      </font>
      <fill>
        <patternFill>
          <bgColor rgb="FF76D6FF"/>
        </patternFill>
      </fill>
    </dxf>
    <dxf>
      <font>
        <color auto="1"/>
      </font>
      <fill>
        <patternFill>
          <bgColor rgb="FFFFC000"/>
        </patternFill>
      </fill>
    </dxf>
    <dxf>
      <font>
        <color auto="1"/>
      </font>
      <fill>
        <patternFill>
          <bgColor rgb="FF00B050"/>
        </patternFill>
      </fill>
    </dxf>
    <dxf>
      <font>
        <color theme="1"/>
      </font>
      <fill>
        <patternFill>
          <bgColor theme="9" tint="-0.24994659260841701"/>
        </patternFill>
      </fill>
    </dxf>
    <dxf>
      <font>
        <color auto="1"/>
      </font>
      <fill>
        <patternFill>
          <bgColor rgb="FFFF2F92"/>
        </patternFill>
      </fill>
    </dxf>
    <dxf>
      <font>
        <color theme="0" tint="-0.24994659260841701"/>
      </font>
      <fill>
        <patternFill patternType="none">
          <bgColor auto="1"/>
        </patternFill>
      </fill>
    </dxf>
    <dxf>
      <font>
        <color theme="0" tint="-0.24994659260841701"/>
      </font>
      <fill>
        <patternFill patternType="none">
          <bgColor auto="1"/>
        </patternFill>
      </fill>
    </dxf>
    <dxf>
      <font>
        <color theme="0" tint="-0.24994659260841701"/>
      </font>
      <fill>
        <patternFill patternType="none">
          <bgColor auto="1"/>
        </patternFill>
      </fill>
    </dxf>
    <dxf>
      <font>
        <color theme="0" tint="-0.24994659260841701"/>
      </font>
      <fill>
        <patternFill patternType="none">
          <bgColor auto="1"/>
        </patternFill>
      </fill>
    </dxf>
    <dxf>
      <font>
        <color auto="1"/>
      </font>
      <fill>
        <patternFill>
          <bgColor rgb="FF73FDD6"/>
        </patternFill>
      </fill>
    </dxf>
    <dxf>
      <font>
        <color theme="1"/>
      </font>
      <fill>
        <patternFill>
          <bgColor rgb="FF92D050"/>
        </patternFill>
      </fill>
    </dxf>
    <dxf>
      <font>
        <color theme="1"/>
      </font>
      <fill>
        <patternFill>
          <bgColor rgb="FFFFC000"/>
        </patternFill>
      </fill>
    </dxf>
    <dxf>
      <font>
        <color auto="1"/>
      </font>
      <fill>
        <patternFill>
          <bgColor rgb="FF00B0F0"/>
        </patternFill>
      </fill>
      <border>
        <left/>
        <right/>
        <top/>
        <bottom/>
      </border>
    </dxf>
    <dxf>
      <font>
        <color theme="1"/>
      </font>
      <fill>
        <patternFill>
          <bgColor rgb="FFFFFF00"/>
        </patternFill>
      </fill>
    </dxf>
    <dxf>
      <font>
        <color auto="1"/>
      </font>
      <fill>
        <patternFill>
          <bgColor rgb="FFFF7E79"/>
        </patternFill>
      </fill>
    </dxf>
    <dxf>
      <font>
        <color auto="1"/>
      </font>
      <fill>
        <patternFill>
          <bgColor theme="6" tint="0.39994506668294322"/>
        </patternFill>
      </fill>
    </dxf>
    <dxf>
      <font>
        <color auto="1"/>
      </font>
      <fill>
        <patternFill>
          <bgColor rgb="FFD883FF"/>
        </patternFill>
      </fill>
    </dxf>
    <dxf>
      <font>
        <color auto="1"/>
      </font>
      <fill>
        <patternFill>
          <bgColor rgb="FFFFB8D8"/>
        </patternFill>
      </fill>
    </dxf>
    <dxf>
      <font>
        <color auto="1"/>
      </font>
      <fill>
        <patternFill>
          <bgColor rgb="FF76D6FF"/>
        </patternFill>
      </fill>
    </dxf>
    <dxf>
      <font>
        <color auto="1"/>
      </font>
      <fill>
        <patternFill>
          <bgColor rgb="FFFFC000"/>
        </patternFill>
      </fill>
    </dxf>
    <dxf>
      <font>
        <color auto="1"/>
      </font>
      <fill>
        <patternFill>
          <bgColor rgb="FF00B050"/>
        </patternFill>
      </fill>
    </dxf>
    <dxf>
      <font>
        <color theme="1"/>
      </font>
      <fill>
        <patternFill>
          <bgColor theme="9" tint="-0.24994659260841701"/>
        </patternFill>
      </fill>
    </dxf>
    <dxf>
      <font>
        <color theme="0" tint="-0.24994659260841701"/>
      </font>
      <fill>
        <patternFill patternType="none">
          <bgColor auto="1"/>
        </patternFill>
      </fill>
    </dxf>
    <dxf>
      <font>
        <color theme="0" tint="-0.24994659260841701"/>
      </font>
      <fill>
        <patternFill patternType="none">
          <bgColor auto="1"/>
        </patternFill>
      </fill>
    </dxf>
    <dxf>
      <font>
        <color theme="0" tint="-0.24994659260841701"/>
      </font>
      <fill>
        <patternFill patternType="none">
          <bgColor auto="1"/>
        </patternFill>
      </fill>
    </dxf>
    <dxf>
      <font>
        <color theme="0" tint="-0.24994659260841701"/>
      </font>
      <fill>
        <patternFill patternType="none">
          <bgColor auto="1"/>
        </patternFill>
      </fill>
    </dxf>
    <dxf>
      <font>
        <color theme="0" tint="-0.24994659260841701"/>
      </font>
      <fill>
        <patternFill patternType="none">
          <bgColor auto="1"/>
        </patternFill>
      </fill>
    </dxf>
    <dxf>
      <font>
        <color auto="1"/>
      </font>
      <fill>
        <patternFill>
          <bgColor rgb="FF73FDD6"/>
        </patternFill>
      </fill>
    </dxf>
    <dxf>
      <font>
        <color theme="1"/>
      </font>
      <fill>
        <patternFill>
          <bgColor rgb="FF92D050"/>
        </patternFill>
      </fill>
    </dxf>
    <dxf>
      <font>
        <color theme="1"/>
      </font>
      <fill>
        <patternFill>
          <bgColor rgb="FFFFC000"/>
        </patternFill>
      </fill>
    </dxf>
    <dxf>
      <font>
        <color auto="1"/>
      </font>
      <fill>
        <patternFill>
          <bgColor rgb="FF00B0F0"/>
        </patternFill>
      </fill>
      <border>
        <left/>
        <right/>
        <top/>
        <bottom/>
      </border>
    </dxf>
    <dxf>
      <font>
        <color theme="1"/>
      </font>
      <fill>
        <patternFill>
          <bgColor rgb="FFFFFF00"/>
        </patternFill>
      </fill>
    </dxf>
    <dxf>
      <font>
        <color auto="1"/>
      </font>
      <fill>
        <patternFill>
          <bgColor rgb="FFFF7E79"/>
        </patternFill>
      </fill>
    </dxf>
    <dxf>
      <font>
        <color auto="1"/>
      </font>
      <fill>
        <patternFill>
          <bgColor theme="6" tint="0.39994506668294322"/>
        </patternFill>
      </fill>
    </dxf>
    <dxf>
      <font>
        <color auto="1"/>
      </font>
      <fill>
        <patternFill>
          <bgColor rgb="FFD883FF"/>
        </patternFill>
      </fill>
    </dxf>
    <dxf>
      <font>
        <color auto="1"/>
      </font>
      <fill>
        <patternFill>
          <bgColor rgb="FFFFB8D8"/>
        </patternFill>
      </fill>
    </dxf>
    <dxf>
      <font>
        <color auto="1"/>
      </font>
      <fill>
        <patternFill>
          <bgColor rgb="FF76D6FF"/>
        </patternFill>
      </fill>
    </dxf>
    <dxf>
      <font>
        <color auto="1"/>
      </font>
      <fill>
        <patternFill>
          <bgColor rgb="FFFFC000"/>
        </patternFill>
      </fill>
    </dxf>
    <dxf>
      <font>
        <color auto="1"/>
      </font>
      <fill>
        <patternFill>
          <bgColor rgb="FF00B050"/>
        </patternFill>
      </fill>
    </dxf>
    <dxf>
      <font>
        <color theme="1"/>
      </font>
      <fill>
        <patternFill>
          <bgColor theme="9" tint="-0.24994659260841701"/>
        </patternFill>
      </fill>
    </dxf>
    <dxf>
      <font>
        <color auto="1"/>
      </font>
      <fill>
        <patternFill>
          <bgColor rgb="FFFF2F92"/>
        </patternFill>
      </fill>
    </dxf>
    <dxf>
      <font>
        <b val="0"/>
        <i val="0"/>
        <strike val="0"/>
        <condense val="0"/>
        <extend val="0"/>
        <outline val="0"/>
        <shadow val="0"/>
        <u val="none"/>
        <vertAlign val="baseline"/>
        <sz val="11"/>
        <color theme="1"/>
        <name val="Calibri"/>
        <family val="2"/>
        <scheme val="minor"/>
      </font>
      <numFmt numFmtId="169" formatCode="[$-F800]dddd\,\ mmmm\ dd\,\ yyyy"/>
      <fill>
        <patternFill patternType="solid">
          <fgColor indexed="64"/>
          <bgColor theme="0" tint="-0.14996795556505021"/>
        </patternFill>
      </fill>
      <border diagonalUp="0" diagonalDown="0">
        <left style="thin">
          <color theme="0"/>
        </left>
        <right/>
        <top/>
        <bottom/>
        <vertical/>
        <horizontal/>
      </border>
    </dxf>
    <dxf>
      <font>
        <b val="0"/>
        <i val="0"/>
        <strike val="0"/>
        <condense val="0"/>
        <extend val="0"/>
        <outline val="0"/>
        <shadow val="0"/>
        <u val="none"/>
        <vertAlign val="baseline"/>
        <sz val="11"/>
        <color theme="1"/>
        <name val="Calibri"/>
        <family val="2"/>
        <scheme val="minor"/>
      </font>
      <fill>
        <patternFill patternType="solid">
          <fgColor indexed="64"/>
          <bgColor theme="0" tint="-0.14996795556505021"/>
        </patternFill>
      </fill>
      <border diagonalUp="0" diagonalDown="0">
        <left style="thin">
          <color theme="0"/>
        </left>
        <right/>
        <top/>
        <bottom/>
        <vertical/>
        <horizontal/>
      </border>
    </dxf>
    <dxf>
      <font>
        <b val="0"/>
        <i val="0"/>
        <strike val="0"/>
        <condense val="0"/>
        <extend val="0"/>
        <outline val="0"/>
        <shadow val="0"/>
        <u val="none"/>
        <vertAlign val="baseline"/>
        <sz val="11"/>
        <color theme="1"/>
        <name val="Calibri"/>
        <family val="2"/>
        <scheme val="minor"/>
      </font>
      <fill>
        <patternFill patternType="solid">
          <fgColor indexed="64"/>
          <bgColor theme="0" tint="-0.14996795556505021"/>
        </patternFill>
      </fill>
    </dxf>
    <dxf>
      <font>
        <b val="0"/>
        <i val="0"/>
        <strike val="0"/>
        <condense val="0"/>
        <extend val="0"/>
        <outline val="0"/>
        <shadow val="0"/>
        <u val="none"/>
        <vertAlign val="baseline"/>
        <sz val="11"/>
        <color theme="1"/>
        <name val="Calibri"/>
        <family val="2"/>
        <scheme val="minor"/>
      </font>
      <alignment horizontal="left" vertical="center" textRotation="0" wrapText="1" indent="2" justifyLastLine="0" shrinkToFit="0" readingOrder="0"/>
      <protection locked="1" hidden="0"/>
    </dxf>
    <dxf>
      <font>
        <b val="0"/>
        <i val="0"/>
        <strike val="0"/>
        <condense val="0"/>
        <extend val="0"/>
        <outline val="0"/>
        <shadow val="0"/>
        <u val="none"/>
        <vertAlign val="baseline"/>
        <sz val="11"/>
        <color theme="1"/>
        <name val="Calibri"/>
        <family val="2"/>
        <scheme val="minor"/>
      </font>
      <alignment horizontal="left" vertical="center" textRotation="0" wrapText="1" indent="2" justifyLastLine="0" shrinkToFit="0" readingOrder="0"/>
      <protection locked="1" hidden="0"/>
    </dxf>
    <dxf>
      <numFmt numFmtId="0" formatCode="General"/>
    </dxf>
    <dxf>
      <font>
        <b val="0"/>
        <i val="0"/>
        <strike val="0"/>
        <condense val="0"/>
        <extend val="0"/>
        <outline val="0"/>
        <shadow val="0"/>
        <u val="none"/>
        <vertAlign val="baseline"/>
        <sz val="11"/>
        <color theme="1"/>
        <name val="Calibri"/>
        <family val="2"/>
        <scheme val="minor"/>
      </font>
      <alignment horizontal="left" vertical="center" textRotation="0" wrapText="1" indent="2"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6" formatCode="0;0;"/>
      <fill>
        <patternFill patternType="solid">
          <fgColor indexed="64"/>
          <bgColor theme="8" tint="0.79998168889431442"/>
        </patternFill>
      </fill>
      <alignment horizontal="center" vertical="center" textRotation="0" wrapText="0" indent="0" justifyLastLine="0" shrinkToFit="0" readingOrder="0"/>
      <protection locked="1" hidden="0"/>
    </dxf>
    <dxf>
      <numFmt numFmtId="167" formatCode="0.0"/>
      <fill>
        <patternFill patternType="none">
          <fgColor indexed="64"/>
          <bgColor indexed="65"/>
        </patternFill>
      </fill>
      <protection locked="1" hidden="0"/>
    </dxf>
    <dxf>
      <font>
        <b val="0"/>
        <i val="0"/>
        <strike val="0"/>
        <condense val="0"/>
        <extend val="0"/>
        <outline val="0"/>
        <shadow val="0"/>
        <u val="none"/>
        <vertAlign val="baseline"/>
        <sz val="11"/>
        <color theme="1"/>
        <name val="Calibri"/>
        <family val="2"/>
        <scheme val="minor"/>
      </font>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style="thin">
          <color theme="0"/>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4"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numFmt numFmtId="167" formatCode="0.0"/>
      <fill>
        <patternFill patternType="none">
          <fgColor indexed="64"/>
          <bgColor indexed="65"/>
        </patternFill>
      </fill>
      <protection locked="1" hidden="0"/>
    </dxf>
    <dxf>
      <font>
        <b/>
        <i val="0"/>
        <strike val="0"/>
        <condense val="0"/>
        <extend val="0"/>
        <outline val="0"/>
        <shadow val="0"/>
        <u val="none"/>
        <vertAlign val="baseline"/>
        <sz val="11"/>
        <color theme="1"/>
        <name val="Calibri"/>
        <family val="2"/>
        <scheme val="minor"/>
      </font>
      <numFmt numFmtId="166" formatCode="0;0;"/>
      <fill>
        <patternFill patternType="solid">
          <fgColor indexed="64"/>
          <bgColor theme="4" tint="0.79998168889431442"/>
        </patternFill>
      </fill>
      <alignment horizontal="center" vertical="center" textRotation="0" wrapText="0" indent="0" justifyLastLine="0" shrinkToFit="0" readingOrder="0"/>
      <border diagonalUp="0" diagonalDown="0" outline="0">
        <left/>
        <right style="thin">
          <color theme="0"/>
        </right>
        <top/>
        <bottom style="thin">
          <color indexed="64"/>
        </bottom>
      </border>
      <protection locked="1" hidden="0"/>
    </dxf>
    <dxf>
      <numFmt numFmtId="167" formatCode="0.0"/>
      <fill>
        <patternFill patternType="none">
          <fgColor indexed="64"/>
          <bgColor indexed="65"/>
        </patternFill>
      </fill>
      <protection locked="1" hidden="0"/>
    </dxf>
    <dxf>
      <font>
        <b/>
        <i val="0"/>
        <strike val="0"/>
        <condense val="0"/>
        <extend val="0"/>
        <outline val="0"/>
        <shadow val="0"/>
        <u val="none"/>
        <vertAlign val="baseline"/>
        <sz val="11"/>
        <color theme="1"/>
        <name val="Calibri"/>
        <family val="2"/>
        <scheme val="minor"/>
      </font>
      <numFmt numFmtId="166" formatCode="0;0;"/>
      <fill>
        <patternFill patternType="solid">
          <fgColor indexed="64"/>
          <bgColor theme="4" tint="0.79998168889431442"/>
        </patternFill>
      </fill>
      <alignment horizontal="center" vertical="center" textRotation="0" wrapText="0" indent="0" justifyLastLine="0" shrinkToFit="0" readingOrder="0"/>
      <border diagonalUp="0" diagonalDown="0" outline="0">
        <left/>
        <right style="thin">
          <color theme="0"/>
        </right>
        <top/>
        <bottom style="thin">
          <color indexed="64"/>
        </bottom>
      </border>
      <protection locked="1" hidden="0"/>
    </dxf>
    <dxf>
      <numFmt numFmtId="167" formatCode="0.0"/>
      <fill>
        <patternFill patternType="none">
          <fgColor indexed="64"/>
          <bgColor indexed="65"/>
        </patternFill>
      </fill>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i val="0"/>
        <strike val="0"/>
        <condense val="0"/>
        <extend val="0"/>
        <outline val="0"/>
        <shadow val="0"/>
        <u val="none"/>
        <vertAlign val="baseline"/>
        <sz val="11"/>
        <color theme="1"/>
        <name val="Calibri"/>
        <family val="2"/>
        <scheme val="minor"/>
      </font>
      <fill>
        <patternFill patternType="solid">
          <fgColor indexed="64"/>
          <bgColor theme="8" tint="0.79998168889431442"/>
        </patternFill>
      </fill>
      <alignment horizontal="left" vertical="center" textRotation="0" wrapText="0" indent="1" justifyLastLine="0" shrinkToFit="0" readingOrder="0"/>
      <border diagonalUp="0" diagonalDown="0" outline="0">
        <left/>
        <right style="thin">
          <color theme="0"/>
        </right>
        <top/>
        <bottom style="thin">
          <color indexed="64"/>
        </bottom>
      </border>
      <protection locked="1" hidden="0"/>
    </dxf>
    <dxf>
      <numFmt numFmtId="0" formatCode="General"/>
      <fill>
        <patternFill patternType="none">
          <fgColor indexed="64"/>
          <bgColor indexed="65"/>
        </patternFill>
      </fill>
      <protection locked="1" hidden="0"/>
    </dxf>
    <dxf>
      <font>
        <b val="0"/>
        <i val="0"/>
        <strike val="0"/>
        <condense val="0"/>
        <extend val="0"/>
        <outline val="0"/>
        <shadow val="0"/>
        <u val="none"/>
        <vertAlign val="baseline"/>
        <sz val="11"/>
        <color theme="1"/>
        <name val="Calibri"/>
        <family val="2"/>
        <scheme val="minor"/>
      </font>
      <numFmt numFmtId="166" formatCode="0;0;"/>
      <fill>
        <patternFill patternType="solid">
          <fgColor indexed="64"/>
          <bgColor theme="8" tint="0.79998168889431442"/>
        </patternFill>
      </fill>
      <alignment horizontal="center" vertical="center" textRotation="0" wrapText="0" indent="0" justifyLastLine="0" shrinkToFit="0" readingOrder="0"/>
      <protection locked="1" hidden="0"/>
    </dxf>
    <dxf>
      <fill>
        <patternFill patternType="none">
          <fgColor indexed="64"/>
          <bgColor indexed="65"/>
        </patternFill>
      </fill>
      <protection locked="1" hidden="0"/>
    </dxf>
    <dxf>
      <protection locked="1" hidden="0"/>
    </dxf>
    <dxf>
      <font>
        <b val="0"/>
        <i val="0"/>
        <strike val="0"/>
        <condense val="0"/>
        <extend val="0"/>
        <outline val="0"/>
        <shadow val="0"/>
        <u val="none"/>
        <vertAlign val="baseline"/>
        <sz val="11"/>
        <color theme="1"/>
        <name val="Calibri"/>
        <family val="2"/>
        <scheme val="minor"/>
      </font>
      <numFmt numFmtId="166" formatCode="0;0;"/>
      <fill>
        <patternFill patternType="solid">
          <fgColor indexed="64"/>
          <bgColor theme="8" tint="0.79998168889431442"/>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style="thin">
          <color theme="0"/>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4"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numFmt numFmtId="167" formatCode="0.0"/>
      <fill>
        <patternFill patternType="none">
          <fgColor indexed="64"/>
          <bgColor indexed="65"/>
        </patternFill>
      </fill>
      <protection locked="1" hidden="0"/>
    </dxf>
    <dxf>
      <font>
        <b/>
        <i val="0"/>
        <strike val="0"/>
        <condense val="0"/>
        <extend val="0"/>
        <outline val="0"/>
        <shadow val="0"/>
        <u val="none"/>
        <vertAlign val="baseline"/>
        <sz val="11"/>
        <color theme="1"/>
        <name val="Calibri"/>
        <family val="2"/>
        <scheme val="minor"/>
      </font>
      <numFmt numFmtId="166" formatCode="0;0;"/>
      <fill>
        <patternFill patternType="solid">
          <fgColor indexed="64"/>
          <bgColor theme="4" tint="0.79998168889431442"/>
        </patternFill>
      </fill>
      <alignment horizontal="center" vertical="center" textRotation="0" wrapText="0" indent="0" justifyLastLine="0" shrinkToFit="0" readingOrder="0"/>
      <border diagonalUp="0" diagonalDown="0" outline="0">
        <left/>
        <right style="thin">
          <color theme="0"/>
        </right>
        <top/>
        <bottom style="thin">
          <color indexed="64"/>
        </bottom>
      </border>
      <protection locked="1" hidden="0"/>
    </dxf>
    <dxf>
      <numFmt numFmtId="167" formatCode="0.0"/>
      <fill>
        <patternFill patternType="none">
          <fgColor indexed="64"/>
          <bgColor indexed="65"/>
        </patternFill>
      </fill>
      <alignment horizontal="center" vertical="center" textRotation="0" wrapText="0" indent="0" justifyLastLine="0" shrinkToFit="0" readingOrder="0"/>
      <protection locked="1" hidden="0"/>
    </dxf>
    <dxf>
      <font>
        <b/>
        <i val="0"/>
        <strike val="0"/>
        <condense val="0"/>
        <extend val="0"/>
        <outline val="0"/>
        <shadow val="0"/>
        <u val="none"/>
        <vertAlign val="baseline"/>
        <sz val="11"/>
        <color theme="1"/>
        <name val="Calibri"/>
        <family val="2"/>
        <scheme val="minor"/>
      </font>
      <numFmt numFmtId="166" formatCode="0;0;"/>
      <fill>
        <patternFill patternType="solid">
          <fgColor indexed="64"/>
          <bgColor theme="4" tint="0.79998168889431442"/>
        </patternFill>
      </fill>
      <alignment horizontal="center" vertical="center" textRotation="0" wrapText="0" indent="0" justifyLastLine="0" shrinkToFit="0" readingOrder="0"/>
      <border diagonalUp="0" diagonalDown="0" outline="0">
        <left/>
        <right style="thin">
          <color theme="0"/>
        </right>
        <top/>
        <bottom style="thin">
          <color indexed="64"/>
        </bottom>
      </border>
      <protection locked="1" hidden="0"/>
    </dxf>
    <dxf>
      <numFmt numFmtId="167" formatCode="0.0"/>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i val="0"/>
        <strike val="0"/>
        <condense val="0"/>
        <extend val="0"/>
        <outline val="0"/>
        <shadow val="0"/>
        <u val="none"/>
        <vertAlign val="baseline"/>
        <sz val="11"/>
        <color theme="1"/>
        <name val="Calibri"/>
        <family val="2"/>
        <scheme val="minor"/>
      </font>
      <fill>
        <patternFill patternType="solid">
          <fgColor indexed="64"/>
          <bgColor theme="8" tint="0.79998168889431442"/>
        </patternFill>
      </fill>
      <alignment horizontal="left" vertical="center" textRotation="0" wrapText="0" indent="1" justifyLastLine="0" shrinkToFit="0" readingOrder="0"/>
      <border diagonalUp="0" diagonalDown="0" outline="0">
        <left/>
        <right style="thin">
          <color theme="0"/>
        </right>
        <top/>
        <bottom style="thin">
          <color indexed="64"/>
        </bottom>
      </border>
      <protection locked="1" hidden="0"/>
    </dxf>
    <dxf>
      <numFmt numFmtId="0" formatCode="General"/>
      <fill>
        <patternFill patternType="none">
          <fgColor indexed="64"/>
          <bgColor indexed="65"/>
        </patternFill>
      </fill>
      <protection locked="1" hidden="0"/>
    </dxf>
    <dxf>
      <font>
        <b val="0"/>
        <i val="0"/>
        <strike val="0"/>
        <condense val="0"/>
        <extend val="0"/>
        <outline val="0"/>
        <shadow val="0"/>
        <u val="none"/>
        <vertAlign val="baseline"/>
        <sz val="11"/>
        <color theme="1"/>
        <name val="Calibri"/>
        <family val="2"/>
        <scheme val="minor"/>
      </font>
      <numFmt numFmtId="166" formatCode="0;0;"/>
      <fill>
        <patternFill patternType="solid">
          <fgColor indexed="64"/>
          <bgColor theme="8" tint="0.79998168889431442"/>
        </patternFill>
      </fill>
      <alignment horizontal="center" vertical="center" textRotation="0" wrapText="0" indent="0" justifyLastLine="0" shrinkToFit="0" readingOrder="0"/>
      <protection locked="1" hidden="0"/>
    </dxf>
    <dxf>
      <protection locked="1" hidden="0"/>
    </dxf>
    <dxf>
      <font>
        <b val="0"/>
        <i val="0"/>
        <strike val="0"/>
        <condense val="0"/>
        <extend val="0"/>
        <outline val="0"/>
        <shadow val="0"/>
        <u val="none"/>
        <vertAlign val="baseline"/>
        <sz val="11"/>
        <color theme="1"/>
        <name val="Calibri"/>
        <family val="2"/>
        <scheme val="minor"/>
      </font>
      <numFmt numFmtId="166" formatCode="0;0;"/>
      <fill>
        <patternFill patternType="solid">
          <fgColor indexed="64"/>
          <bgColor theme="8" tint="0.79998168889431442"/>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style="thin">
          <color theme="0"/>
        </right>
        <top/>
        <bottom style="thin">
          <color indexed="64"/>
        </bottom>
      </border>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4"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numFmt numFmtId="167" formatCode="0.0"/>
      <fill>
        <patternFill patternType="none">
          <fgColor indexed="64"/>
          <bgColor indexed="65"/>
        </patternFill>
      </fill>
      <protection locked="1" hidden="0"/>
    </dxf>
    <dxf>
      <font>
        <b/>
        <i val="0"/>
        <strike val="0"/>
        <condense val="0"/>
        <extend val="0"/>
        <outline val="0"/>
        <shadow val="0"/>
        <u val="none"/>
        <vertAlign val="baseline"/>
        <sz val="11"/>
        <color theme="1"/>
        <name val="Calibri"/>
        <family val="2"/>
        <scheme val="minor"/>
      </font>
      <numFmt numFmtId="166" formatCode="0;0;"/>
      <fill>
        <patternFill patternType="solid">
          <fgColor indexed="64"/>
          <bgColor theme="4" tint="0.79998168889431442"/>
        </patternFill>
      </fill>
      <alignment horizontal="center" vertical="center" textRotation="0" wrapText="0" indent="0" justifyLastLine="0" shrinkToFit="0" readingOrder="0"/>
      <border diagonalUp="0" diagonalDown="0" outline="0">
        <left/>
        <right style="thin">
          <color theme="0"/>
        </right>
        <top/>
        <bottom style="thin">
          <color indexed="64"/>
        </bottom>
      </border>
      <protection locked="1" hidden="0"/>
    </dxf>
    <dxf>
      <numFmt numFmtId="167" formatCode="0.0"/>
      <fill>
        <patternFill patternType="none">
          <fgColor indexed="64"/>
          <bgColor indexed="65"/>
        </patternFill>
      </fill>
      <protection locked="1" hidden="0"/>
    </dxf>
    <dxf>
      <font>
        <b/>
        <i val="0"/>
        <strike val="0"/>
        <condense val="0"/>
        <extend val="0"/>
        <outline val="0"/>
        <shadow val="0"/>
        <u val="none"/>
        <vertAlign val="baseline"/>
        <sz val="11"/>
        <color theme="1"/>
        <name val="Calibri"/>
        <family val="2"/>
        <scheme val="minor"/>
      </font>
      <numFmt numFmtId="166" formatCode="0;0;"/>
      <fill>
        <patternFill patternType="solid">
          <fgColor indexed="64"/>
          <bgColor theme="4" tint="0.79998168889431442"/>
        </patternFill>
      </fill>
      <alignment horizontal="center" vertical="center" textRotation="0" wrapText="0" indent="0" justifyLastLine="0" shrinkToFit="0" readingOrder="0"/>
      <border diagonalUp="0" diagonalDown="0" outline="0">
        <left/>
        <right style="thin">
          <color theme="0"/>
        </right>
        <top/>
        <bottom style="thin">
          <color indexed="64"/>
        </bottom>
      </border>
      <protection locked="1" hidden="0"/>
    </dxf>
    <dxf>
      <numFmt numFmtId="167" formatCode="0.0"/>
      <fill>
        <patternFill patternType="none">
          <fgColor indexed="64"/>
          <bgColor indexed="65"/>
        </patternFill>
      </fill>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i val="0"/>
        <strike val="0"/>
        <condense val="0"/>
        <extend val="0"/>
        <outline val="0"/>
        <shadow val="0"/>
        <u val="none"/>
        <vertAlign val="baseline"/>
        <sz val="11"/>
        <color theme="1"/>
        <name val="Calibri"/>
        <family val="2"/>
        <scheme val="minor"/>
      </font>
      <fill>
        <patternFill patternType="solid">
          <fgColor indexed="64"/>
          <bgColor theme="8" tint="0.79998168889431442"/>
        </patternFill>
      </fill>
      <alignment horizontal="left" vertical="center" textRotation="0" wrapText="0" indent="1" justifyLastLine="0" shrinkToFit="0" readingOrder="0"/>
      <border diagonalUp="0" diagonalDown="0" outline="0">
        <left/>
        <right style="thin">
          <color theme="0"/>
        </right>
        <top/>
        <bottom style="thin">
          <color indexed="64"/>
        </bottom>
      </border>
      <protection locked="1" hidden="0"/>
    </dxf>
    <dxf>
      <numFmt numFmtId="0" formatCode="General"/>
      <fill>
        <patternFill patternType="none">
          <fgColor indexed="64"/>
          <bgColor indexed="65"/>
        </patternFill>
      </fill>
      <protection locked="1" hidden="0"/>
    </dxf>
    <dxf>
      <font>
        <b val="0"/>
        <i val="0"/>
        <strike val="0"/>
        <condense val="0"/>
        <extend val="0"/>
        <outline val="0"/>
        <shadow val="0"/>
        <u val="none"/>
        <vertAlign val="baseline"/>
        <sz val="11"/>
        <color theme="1"/>
        <name val="Calibri"/>
        <family val="2"/>
        <scheme val="minor"/>
      </font>
      <numFmt numFmtId="166" formatCode="0;0;"/>
      <fill>
        <patternFill patternType="solid">
          <fgColor indexed="64"/>
          <bgColor theme="8" tint="0.79998168889431442"/>
        </patternFill>
      </fill>
      <alignment horizontal="center" vertical="center" textRotation="0" wrapText="0" indent="0" justifyLastLine="0" shrinkToFit="0" readingOrder="0"/>
      <protection locked="1" hidden="0"/>
    </dxf>
    <dxf>
      <fill>
        <patternFill patternType="none">
          <fgColor indexed="64"/>
          <bgColor indexed="65"/>
        </patternFill>
      </fill>
      <protection locked="1" hidden="0"/>
    </dxf>
    <dxf>
      <protection locked="1" hidden="0"/>
    </dxf>
    <dxf>
      <font>
        <b val="0"/>
        <i val="0"/>
        <strike val="0"/>
        <condense val="0"/>
        <extend val="0"/>
        <outline val="0"/>
        <shadow val="0"/>
        <u val="none"/>
        <vertAlign val="baseline"/>
        <sz val="11"/>
        <color theme="1"/>
        <name val="Calibri"/>
        <family val="2"/>
        <scheme val="minor"/>
      </font>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4"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numFmt numFmtId="167" formatCode="0.0"/>
      <fill>
        <patternFill patternType="none">
          <fgColor indexed="64"/>
          <bgColor indexed="65"/>
        </patternFill>
      </fill>
      <protection locked="1" hidden="0"/>
    </dxf>
    <dxf>
      <font>
        <b/>
        <i val="0"/>
        <strike val="0"/>
        <condense val="0"/>
        <extend val="0"/>
        <outline val="0"/>
        <shadow val="0"/>
        <u val="none"/>
        <vertAlign val="baseline"/>
        <sz val="11"/>
        <color theme="1"/>
        <name val="Calibri"/>
        <family val="2"/>
        <scheme val="minor"/>
      </font>
      <numFmt numFmtId="166" formatCode="0;0;"/>
      <fill>
        <patternFill patternType="solid">
          <fgColor indexed="64"/>
          <bgColor theme="4" tint="0.79998168889431442"/>
        </patternFill>
      </fill>
      <alignment horizontal="center" vertical="center" textRotation="0" wrapText="0" indent="0" justifyLastLine="0" shrinkToFit="0" readingOrder="0"/>
      <border diagonalUp="0" diagonalDown="0" outline="0">
        <left/>
        <right style="thin">
          <color theme="0"/>
        </right>
        <top/>
        <bottom style="thin">
          <color indexed="64"/>
        </bottom>
      </border>
      <protection locked="1" hidden="0"/>
    </dxf>
    <dxf>
      <numFmt numFmtId="167" formatCode="0.0"/>
      <fill>
        <patternFill patternType="none">
          <fgColor indexed="64"/>
          <bgColor indexed="65"/>
        </patternFill>
      </fill>
      <alignment horizontal="center" vertical="center" textRotation="0" wrapText="0" indent="0" justifyLastLine="0" shrinkToFit="0" readingOrder="0"/>
      <protection locked="1" hidden="0"/>
    </dxf>
    <dxf>
      <font>
        <b/>
        <i val="0"/>
        <strike val="0"/>
        <condense val="0"/>
        <extend val="0"/>
        <outline val="0"/>
        <shadow val="0"/>
        <u val="none"/>
        <vertAlign val="baseline"/>
        <sz val="11"/>
        <color theme="1"/>
        <name val="Calibri"/>
        <family val="2"/>
        <scheme val="minor"/>
      </font>
      <numFmt numFmtId="166" formatCode="0;0;"/>
      <fill>
        <patternFill patternType="solid">
          <fgColor indexed="64"/>
          <bgColor theme="4" tint="0.79998168889431442"/>
        </patternFill>
      </fill>
      <alignment horizontal="center" vertical="center" textRotation="0" wrapText="0" indent="0" justifyLastLine="0" shrinkToFit="0" readingOrder="0"/>
      <border diagonalUp="0" diagonalDown="0" outline="0">
        <left/>
        <right style="thin">
          <color theme="0"/>
        </right>
        <top/>
        <bottom style="thin">
          <color indexed="64"/>
        </bottom>
      </border>
      <protection locked="1" hidden="0"/>
    </dxf>
    <dxf>
      <numFmt numFmtId="167" formatCode="0.0"/>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i val="0"/>
        <strike val="0"/>
        <condense val="0"/>
        <extend val="0"/>
        <outline val="0"/>
        <shadow val="0"/>
        <u val="none"/>
        <vertAlign val="baseline"/>
        <sz val="11"/>
        <color theme="1"/>
        <name val="Calibri"/>
        <family val="2"/>
        <scheme val="minor"/>
      </font>
      <fill>
        <patternFill patternType="solid">
          <fgColor indexed="64"/>
          <bgColor theme="8" tint="0.79998168889431442"/>
        </patternFill>
      </fill>
      <alignment horizontal="left" vertical="center" textRotation="0" wrapText="0" indent="1" justifyLastLine="0" shrinkToFit="0" readingOrder="0"/>
      <border diagonalUp="0" diagonalDown="0" outline="0">
        <left/>
        <right style="thin">
          <color theme="0"/>
        </right>
        <top/>
        <bottom style="thin">
          <color indexed="64"/>
        </bottom>
      </border>
      <protection locked="1" hidden="0"/>
    </dxf>
    <dxf>
      <numFmt numFmtId="0" formatCode="General"/>
      <fill>
        <patternFill patternType="none">
          <fgColor indexed="64"/>
          <bgColor indexed="65"/>
        </patternFill>
      </fill>
      <protection locked="1" hidden="0"/>
    </dxf>
    <dxf>
      <font>
        <b val="0"/>
        <i val="0"/>
        <strike val="0"/>
        <condense val="0"/>
        <extend val="0"/>
        <outline val="0"/>
        <shadow val="0"/>
        <u val="none"/>
        <vertAlign val="baseline"/>
        <sz val="11"/>
        <color theme="1"/>
        <name val="Calibri"/>
        <family val="2"/>
        <scheme val="minor"/>
      </font>
      <numFmt numFmtId="166" formatCode="0;0;"/>
      <fill>
        <patternFill patternType="solid">
          <fgColor indexed="64"/>
          <bgColor theme="8" tint="0.79998168889431442"/>
        </patternFill>
      </fill>
      <alignment horizontal="center" vertical="center" textRotation="0" wrapText="0" indent="0" justifyLastLine="0" shrinkToFit="0" readingOrder="0"/>
      <protection locked="1" hidden="0"/>
    </dxf>
    <dxf>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4"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numFmt numFmtId="167" formatCode="0.0"/>
      <fill>
        <patternFill patternType="none">
          <fgColor indexed="64"/>
          <bgColor indexed="65"/>
        </patternFill>
      </fill>
      <protection locked="1" hidden="0"/>
    </dxf>
    <dxf>
      <font>
        <b/>
        <i val="0"/>
        <strike val="0"/>
        <condense val="0"/>
        <extend val="0"/>
        <outline val="0"/>
        <shadow val="0"/>
        <u val="none"/>
        <vertAlign val="baseline"/>
        <sz val="11"/>
        <color theme="1"/>
        <name val="Calibri"/>
        <family val="2"/>
        <scheme val="minor"/>
      </font>
      <numFmt numFmtId="166" formatCode="0;0;"/>
      <fill>
        <patternFill patternType="solid">
          <fgColor indexed="64"/>
          <bgColor theme="4" tint="0.79998168889431442"/>
        </patternFill>
      </fill>
      <alignment horizontal="center" vertical="center" textRotation="0" wrapText="0" indent="0" justifyLastLine="0" shrinkToFit="0" readingOrder="0"/>
      <border diagonalUp="0" diagonalDown="0" outline="0">
        <left/>
        <right style="thin">
          <color theme="0"/>
        </right>
        <top/>
        <bottom style="thin">
          <color indexed="64"/>
        </bottom>
      </border>
      <protection locked="1" hidden="0"/>
    </dxf>
    <dxf>
      <numFmt numFmtId="167" formatCode="0.0"/>
      <fill>
        <patternFill patternType="none">
          <fgColor indexed="64"/>
          <bgColor indexed="65"/>
        </patternFill>
      </fill>
      <alignment horizontal="center" vertical="center" textRotation="0" wrapText="0" indent="0" justifyLastLine="0" shrinkToFit="0" readingOrder="0"/>
      <protection locked="1" hidden="0"/>
    </dxf>
    <dxf>
      <font>
        <b/>
        <i val="0"/>
        <strike val="0"/>
        <condense val="0"/>
        <extend val="0"/>
        <outline val="0"/>
        <shadow val="0"/>
        <u val="none"/>
        <vertAlign val="baseline"/>
        <sz val="11"/>
        <color theme="1"/>
        <name val="Calibri"/>
        <family val="2"/>
        <scheme val="minor"/>
      </font>
      <numFmt numFmtId="166" formatCode="0;0;"/>
      <fill>
        <patternFill patternType="solid">
          <fgColor indexed="64"/>
          <bgColor theme="4" tint="0.79998168889431442"/>
        </patternFill>
      </fill>
      <alignment horizontal="center" vertical="center" textRotation="0" wrapText="0" indent="0" justifyLastLine="0" shrinkToFit="0" readingOrder="0"/>
      <border diagonalUp="0" diagonalDown="0" outline="0">
        <left/>
        <right style="thin">
          <color theme="0"/>
        </right>
        <top/>
        <bottom style="thin">
          <color indexed="64"/>
        </bottom>
      </border>
      <protection locked="1" hidden="0"/>
    </dxf>
    <dxf>
      <numFmt numFmtId="167" formatCode="0.0"/>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i val="0"/>
        <strike val="0"/>
        <condense val="0"/>
        <extend val="0"/>
        <outline val="0"/>
        <shadow val="0"/>
        <u val="none"/>
        <vertAlign val="baseline"/>
        <sz val="11"/>
        <color theme="1"/>
        <name val="Calibri"/>
        <family val="2"/>
        <scheme val="minor"/>
      </font>
      <fill>
        <patternFill patternType="solid">
          <fgColor indexed="64"/>
          <bgColor theme="8" tint="0.79998168889431442"/>
        </patternFill>
      </fill>
      <alignment horizontal="left" vertical="center" textRotation="0" wrapText="0" indent="1" justifyLastLine="0" shrinkToFit="0" readingOrder="0"/>
      <border diagonalUp="0" diagonalDown="0" outline="0">
        <left/>
        <right style="thin">
          <color theme="0"/>
        </right>
        <top/>
        <bottom style="thin">
          <color indexed="64"/>
        </bottom>
      </border>
      <protection locked="1" hidden="0"/>
    </dxf>
    <dxf>
      <numFmt numFmtId="0" formatCode="General"/>
      <fill>
        <patternFill patternType="none">
          <fgColor indexed="64"/>
          <bgColor indexed="65"/>
        </patternFill>
      </fill>
      <protection locked="1" hidden="0"/>
    </dxf>
    <dxf>
      <font>
        <b val="0"/>
        <i val="0"/>
        <strike val="0"/>
        <condense val="0"/>
        <extend val="0"/>
        <outline val="0"/>
        <shadow val="0"/>
        <u val="none"/>
        <vertAlign val="baseline"/>
        <sz val="11"/>
        <color theme="1"/>
        <name val="Calibri"/>
        <family val="2"/>
        <scheme val="minor"/>
      </font>
      <numFmt numFmtId="166" formatCode="0;0;"/>
      <fill>
        <patternFill patternType="solid">
          <fgColor indexed="64"/>
          <bgColor theme="8" tint="0.79998168889431442"/>
        </patternFill>
      </fill>
      <alignment horizontal="center" vertical="center" textRotation="0" wrapText="0" indent="0" justifyLastLine="0" shrinkToFit="0" readingOrder="0"/>
      <protection locked="1" hidden="0"/>
    </dxf>
    <dxf>
      <protection locked="1" hidden="0"/>
    </dxf>
    <dxf>
      <font>
        <b val="0"/>
        <i val="0"/>
        <strike val="0"/>
        <condense val="0"/>
        <extend val="0"/>
        <outline val="0"/>
        <shadow val="0"/>
        <u val="none"/>
        <vertAlign val="baseline"/>
        <sz val="11"/>
        <color theme="1"/>
        <name val="Calibri"/>
        <family val="2"/>
        <scheme val="minor"/>
      </font>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i val="0"/>
        <strike val="0"/>
        <condense val="0"/>
        <extend val="0"/>
        <outline val="0"/>
        <shadow val="0"/>
        <u val="none"/>
        <vertAlign val="baseline"/>
        <sz val="11"/>
        <color theme="1"/>
        <name val="Calibri"/>
        <family val="2"/>
        <scheme val="minor"/>
      </font>
      <numFmt numFmtId="166" formatCode="0;0;"/>
      <fill>
        <patternFill patternType="solid">
          <fgColor indexed="64"/>
          <bgColor theme="4" tint="0.79998168889431442"/>
        </patternFill>
      </fill>
      <alignment horizontal="center" vertical="center" textRotation="0" wrapText="0" indent="0" justifyLastLine="0" shrinkToFit="0" readingOrder="0"/>
      <border diagonalUp="0" diagonalDown="0" outline="0">
        <left/>
        <right/>
        <top/>
        <bottom style="thin">
          <color indexed="64"/>
        </bottom>
      </border>
      <protection locked="1" hidden="0"/>
    </dxf>
    <dxf>
      <numFmt numFmtId="167" formatCode="0.0"/>
      <fill>
        <patternFill patternType="none">
          <fgColor indexed="64"/>
          <bgColor indexed="65"/>
        </patternFill>
      </fill>
      <protection locked="1" hidden="0"/>
    </dxf>
    <dxf>
      <font>
        <b/>
        <i val="0"/>
        <strike val="0"/>
        <condense val="0"/>
        <extend val="0"/>
        <outline val="0"/>
        <shadow val="0"/>
        <u val="none"/>
        <vertAlign val="baseline"/>
        <sz val="11"/>
        <color theme="1"/>
        <name val="Calibri"/>
        <family val="2"/>
        <scheme val="minor"/>
      </font>
      <numFmt numFmtId="166" formatCode="0;0;"/>
      <fill>
        <patternFill patternType="solid">
          <fgColor indexed="64"/>
          <bgColor theme="4" tint="0.79998168889431442"/>
        </patternFill>
      </fill>
      <alignment horizontal="center" vertical="center" textRotation="0" wrapText="0" indent="0" justifyLastLine="0" shrinkToFit="0" readingOrder="0"/>
      <border diagonalUp="0" diagonalDown="0" outline="0">
        <left/>
        <right/>
        <top/>
        <bottom style="thin">
          <color indexed="64"/>
        </bottom>
      </border>
      <protection locked="1" hidden="0"/>
    </dxf>
    <dxf>
      <numFmt numFmtId="167" formatCode="0.0"/>
      <fill>
        <patternFill patternType="none">
          <fgColor indexed="64"/>
          <bgColor indexed="65"/>
        </patternFill>
      </fill>
      <alignment horizontal="center" vertical="center" textRotation="0" wrapText="0" indent="0" justifyLastLine="0" shrinkToFit="0" readingOrder="0"/>
      <protection locked="1" hidden="0"/>
    </dxf>
    <dxf>
      <font>
        <b/>
        <i val="0"/>
        <strike val="0"/>
        <condense val="0"/>
        <extend val="0"/>
        <outline val="0"/>
        <shadow val="0"/>
        <u val="none"/>
        <vertAlign val="baseline"/>
        <sz val="11"/>
        <color theme="1"/>
        <name val="Calibri"/>
        <family val="2"/>
        <scheme val="minor"/>
      </font>
      <numFmt numFmtId="166" formatCode="0;0;"/>
      <fill>
        <patternFill patternType="solid">
          <fgColor indexed="64"/>
          <bgColor theme="4" tint="0.79998168889431442"/>
        </patternFill>
      </fill>
      <alignment horizontal="center" vertical="center" textRotation="0" wrapText="0" indent="0" justifyLastLine="0" shrinkToFit="0" readingOrder="0"/>
      <border diagonalUp="0" diagonalDown="0" outline="0">
        <left/>
        <right/>
        <top/>
        <bottom style="thin">
          <color indexed="64"/>
        </bottom>
      </border>
      <protection locked="1" hidden="0"/>
    </dxf>
    <dxf>
      <numFmt numFmtId="167" formatCode="0.0"/>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solid">
          <fgColor indexed="64"/>
          <bgColor theme="4" tint="0.5999938962981048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i val="0"/>
        <strike val="0"/>
        <condense val="0"/>
        <extend val="0"/>
        <outline val="0"/>
        <shadow val="0"/>
        <u val="none"/>
        <vertAlign val="baseline"/>
        <sz val="11"/>
        <color theme="1"/>
        <name val="Calibri"/>
        <family val="2"/>
        <scheme val="minor"/>
      </font>
      <fill>
        <patternFill patternType="solid">
          <fgColor indexed="64"/>
          <bgColor theme="8" tint="0.79998168889431442"/>
        </patternFill>
      </fill>
      <alignment horizontal="left" vertical="center" textRotation="0" wrapText="0" indent="1" justifyLastLine="0" shrinkToFit="0" readingOrder="0"/>
      <border diagonalUp="0" diagonalDown="0" outline="0">
        <left/>
        <right style="thin">
          <color theme="0"/>
        </right>
        <top/>
        <bottom style="thin">
          <color indexed="64"/>
        </bottom>
      </border>
      <protection locked="1" hidden="0"/>
    </dxf>
    <dxf>
      <numFmt numFmtId="0" formatCode="General"/>
      <fill>
        <patternFill patternType="none">
          <fgColor indexed="64"/>
          <bgColor indexed="65"/>
        </patternFill>
      </fill>
      <protection locked="1" hidden="0"/>
    </dxf>
    <dxf>
      <font>
        <b val="0"/>
        <i val="0"/>
        <strike val="0"/>
        <condense val="0"/>
        <extend val="0"/>
        <outline val="0"/>
        <shadow val="0"/>
        <u val="none"/>
        <vertAlign val="baseline"/>
        <sz val="11"/>
        <color theme="1"/>
        <name val="Calibri"/>
        <family val="2"/>
        <scheme val="minor"/>
      </font>
      <numFmt numFmtId="166" formatCode="0;0;"/>
      <fill>
        <patternFill patternType="solid">
          <fgColor indexed="64"/>
          <bgColor theme="8" tint="0.79998168889431442"/>
        </patternFill>
      </fill>
      <alignment horizontal="center" vertical="center" textRotation="0" wrapText="0" indent="0" justifyLastLine="0" shrinkToFit="0" readingOrder="0"/>
      <protection locked="1" hidden="0"/>
    </dxf>
    <dxf>
      <protection locked="1" hidden="0"/>
    </dxf>
    <dxf>
      <font>
        <b val="0"/>
        <i val="0"/>
        <strike val="0"/>
        <condense val="0"/>
        <extend val="0"/>
        <outline val="0"/>
        <shadow val="0"/>
        <u val="none"/>
        <vertAlign val="baseline"/>
        <sz val="11"/>
        <color theme="1"/>
        <name val="Calibri"/>
        <family val="2"/>
        <scheme val="minor"/>
      </font>
      <fill>
        <patternFill patternType="solid">
          <fgColor indexed="64"/>
          <bgColor theme="8" tint="0.79998168889431442"/>
        </patternFill>
      </fill>
      <alignment horizontal="center" vertical="center" textRotation="0" wrapText="0" indent="0" justifyLastLine="0" shrinkToFit="0" readingOrder="0"/>
      <border diagonalUp="0" diagonalDown="0" outlin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i val="0"/>
        <strike val="0"/>
        <condense val="0"/>
        <extend val="0"/>
        <outline val="0"/>
        <shadow val="0"/>
        <u val="none"/>
        <vertAlign val="baseline"/>
        <sz val="11"/>
        <color theme="1"/>
        <name val="Calibri"/>
        <family val="2"/>
        <scheme val="minor"/>
      </font>
      <numFmt numFmtId="166" formatCode="0;0;"/>
      <fill>
        <patternFill patternType="solid">
          <fgColor indexed="64"/>
          <bgColor theme="4" tint="0.79998168889431442"/>
        </patternFill>
      </fill>
      <alignment horizontal="center" vertical="center" textRotation="0" wrapText="0" indent="0" justifyLastLine="0" shrinkToFit="0" readingOrder="0"/>
      <border diagonalUp="0" diagonalDown="0" outline="0">
        <left/>
        <right/>
        <top/>
        <bottom style="thin">
          <color indexed="64"/>
        </bottom>
      </border>
      <protection locked="1" hidden="0"/>
    </dxf>
    <dxf>
      <numFmt numFmtId="167" formatCode="0.0"/>
      <fill>
        <patternFill patternType="none">
          <fgColor indexed="64"/>
          <bgColor indexed="65"/>
        </patternFill>
      </fill>
      <protection locked="1" hidden="0"/>
    </dxf>
    <dxf>
      <font>
        <b/>
        <i val="0"/>
        <strike val="0"/>
        <condense val="0"/>
        <extend val="0"/>
        <outline val="0"/>
        <shadow val="0"/>
        <u val="none"/>
        <vertAlign val="baseline"/>
        <sz val="11"/>
        <color theme="1"/>
        <name val="Calibri"/>
        <family val="2"/>
        <scheme val="minor"/>
      </font>
      <numFmt numFmtId="166" formatCode="0;0;"/>
      <fill>
        <patternFill patternType="solid">
          <fgColor indexed="64"/>
          <bgColor theme="4" tint="0.79998168889431442"/>
        </patternFill>
      </fill>
      <alignment horizontal="center" vertical="center" textRotation="0" wrapText="0" indent="0" justifyLastLine="0" shrinkToFit="0" readingOrder="0"/>
      <border diagonalUp="0" diagonalDown="0" outline="0">
        <left/>
        <right/>
        <top/>
        <bottom style="thin">
          <color indexed="64"/>
        </bottom>
      </border>
      <protection locked="1" hidden="0"/>
    </dxf>
    <dxf>
      <numFmt numFmtId="167" formatCode="0.0"/>
      <fill>
        <patternFill patternType="none">
          <fgColor indexed="64"/>
          <bgColor indexed="65"/>
        </patternFill>
      </fill>
      <alignment horizontal="center" vertical="center" textRotation="0" wrapText="0" indent="0" justifyLastLine="0" shrinkToFit="0" readingOrder="0"/>
      <protection locked="1" hidden="0"/>
    </dxf>
    <dxf>
      <font>
        <b/>
        <i val="0"/>
        <strike val="0"/>
        <condense val="0"/>
        <extend val="0"/>
        <outline val="0"/>
        <shadow val="0"/>
        <u val="none"/>
        <vertAlign val="baseline"/>
        <sz val="11"/>
        <color theme="1"/>
        <name val="Calibri"/>
        <family val="2"/>
        <scheme val="minor"/>
      </font>
      <numFmt numFmtId="166" formatCode="0;0;"/>
      <fill>
        <patternFill patternType="solid">
          <fgColor indexed="64"/>
          <bgColor theme="4" tint="0.79998168889431442"/>
        </patternFill>
      </fill>
      <alignment horizontal="center" vertical="center" textRotation="0" wrapText="0" indent="0" justifyLastLine="0" shrinkToFit="0" readingOrder="0"/>
      <border diagonalUp="0" diagonalDown="0" outline="0">
        <left/>
        <right/>
        <top/>
        <bottom style="thin">
          <color indexed="64"/>
        </bottom>
      </border>
      <protection locked="1" hidden="0"/>
    </dxf>
    <dxf>
      <numFmt numFmtId="167" formatCode="0.0"/>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i val="0"/>
        <strike val="0"/>
        <condense val="0"/>
        <extend val="0"/>
        <outline val="0"/>
        <shadow val="0"/>
        <u val="none"/>
        <vertAlign val="baseline"/>
        <sz val="11"/>
        <color theme="1"/>
        <name val="Calibri"/>
        <family val="2"/>
        <scheme val="minor"/>
      </font>
      <fill>
        <patternFill patternType="solid">
          <fgColor indexed="64"/>
          <bgColor theme="8" tint="0.79998168889431442"/>
        </patternFill>
      </fill>
      <alignment horizontal="left" vertical="center" textRotation="0" wrapText="0" indent="1" justifyLastLine="0" shrinkToFit="0" readingOrder="0"/>
      <border diagonalUp="0" diagonalDown="0" outline="0">
        <left/>
        <right style="thin">
          <color theme="0"/>
        </right>
        <top/>
        <bottom style="thin">
          <color indexed="64"/>
        </bottom>
      </border>
      <protection locked="1" hidden="0"/>
    </dxf>
    <dxf>
      <numFmt numFmtId="0" formatCode="General"/>
      <fill>
        <patternFill patternType="none">
          <fgColor indexed="64"/>
          <bgColor indexed="65"/>
        </patternFill>
      </fill>
      <protection locked="1" hidden="0"/>
    </dxf>
    <dxf>
      <font>
        <b val="0"/>
        <i val="0"/>
        <strike val="0"/>
        <condense val="0"/>
        <extend val="0"/>
        <outline val="0"/>
        <shadow val="0"/>
        <u val="none"/>
        <vertAlign val="baseline"/>
        <sz val="11"/>
        <color theme="1"/>
        <name val="Calibri"/>
        <family val="2"/>
        <scheme val="minor"/>
      </font>
      <numFmt numFmtId="166" formatCode="0;0;"/>
      <fill>
        <patternFill patternType="solid">
          <fgColor indexed="64"/>
          <bgColor theme="8" tint="0.79998168889431442"/>
        </patternFill>
      </fill>
      <alignment horizontal="center" vertical="center" textRotation="0" wrapText="0" indent="0" justifyLastLine="0" shrinkToFit="0" readingOrder="0"/>
      <protection locked="1" hidden="0"/>
    </dxf>
    <dxf>
      <protection locked="1" hidden="0"/>
    </dxf>
    <dxf>
      <font>
        <b val="0"/>
        <i val="0"/>
        <strike val="0"/>
        <condense val="0"/>
        <extend val="0"/>
        <outline val="0"/>
        <shadow val="0"/>
        <u val="none"/>
        <vertAlign val="baseline"/>
        <sz val="11"/>
        <color theme="1"/>
        <name val="Calibri"/>
        <family val="2"/>
        <scheme val="minor"/>
      </font>
      <fill>
        <patternFill patternType="solid">
          <fgColor indexed="64"/>
          <bgColor theme="8" tint="0.79998168889431442"/>
        </patternFill>
      </fill>
      <alignment horizontal="center" vertical="center" textRotation="0" wrapText="0" indent="0" justifyLastLine="0" shrinkToFit="0" readingOrder="0"/>
      <border diagonalUp="0" diagonalDown="0" outlin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i val="0"/>
        <strike val="0"/>
        <condense val="0"/>
        <extend val="0"/>
        <outline val="0"/>
        <shadow val="0"/>
        <u val="none"/>
        <vertAlign val="baseline"/>
        <sz val="11"/>
        <color theme="1"/>
        <name val="Calibri"/>
        <family val="2"/>
        <scheme val="minor"/>
      </font>
      <numFmt numFmtId="166" formatCode="0;0;"/>
      <fill>
        <patternFill patternType="solid">
          <fgColor indexed="64"/>
          <bgColor theme="4" tint="0.79998168889431442"/>
        </patternFill>
      </fill>
      <alignment horizontal="center" vertical="center" textRotation="0" wrapText="0" indent="0" justifyLastLine="0" shrinkToFit="0" readingOrder="0"/>
      <border diagonalUp="0" diagonalDown="0" outline="0">
        <left/>
        <right/>
        <top/>
        <bottom style="thin">
          <color indexed="64"/>
        </bottom>
      </border>
      <protection locked="1" hidden="0"/>
    </dxf>
    <dxf>
      <numFmt numFmtId="167" formatCode="0.0"/>
      <fill>
        <patternFill patternType="none">
          <fgColor indexed="64"/>
          <bgColor indexed="65"/>
        </patternFill>
      </fill>
      <protection locked="1" hidden="0"/>
    </dxf>
    <dxf>
      <font>
        <b/>
        <i val="0"/>
        <strike val="0"/>
        <condense val="0"/>
        <extend val="0"/>
        <outline val="0"/>
        <shadow val="0"/>
        <u val="none"/>
        <vertAlign val="baseline"/>
        <sz val="11"/>
        <color theme="1"/>
        <name val="Calibri"/>
        <family val="2"/>
        <scheme val="minor"/>
      </font>
      <numFmt numFmtId="166" formatCode="0;0;"/>
      <fill>
        <patternFill patternType="solid">
          <fgColor indexed="64"/>
          <bgColor theme="4" tint="0.79998168889431442"/>
        </patternFill>
      </fill>
      <alignment horizontal="center" vertical="center" textRotation="0" wrapText="0" indent="0" justifyLastLine="0" shrinkToFit="0" readingOrder="0"/>
      <border diagonalUp="0" diagonalDown="0" outline="0">
        <left/>
        <right/>
        <top/>
        <bottom style="thin">
          <color indexed="64"/>
        </bottom>
      </border>
      <protection locked="1" hidden="0"/>
    </dxf>
    <dxf>
      <numFmt numFmtId="167" formatCode="0.0"/>
      <fill>
        <patternFill patternType="none">
          <fgColor indexed="64"/>
          <bgColor indexed="65"/>
        </patternFill>
      </fill>
      <alignment horizontal="center" vertical="center" textRotation="0" wrapText="0" indent="0" justifyLastLine="0" shrinkToFit="0" readingOrder="0"/>
      <protection locked="1" hidden="0"/>
    </dxf>
    <dxf>
      <font>
        <b/>
        <i val="0"/>
        <strike val="0"/>
        <condense val="0"/>
        <extend val="0"/>
        <outline val="0"/>
        <shadow val="0"/>
        <u val="none"/>
        <vertAlign val="baseline"/>
        <sz val="11"/>
        <color theme="1"/>
        <name val="Calibri"/>
        <family val="2"/>
        <scheme val="minor"/>
      </font>
      <numFmt numFmtId="166" formatCode="0;0;"/>
      <fill>
        <patternFill patternType="solid">
          <fgColor indexed="64"/>
          <bgColor theme="4" tint="0.79998168889431442"/>
        </patternFill>
      </fill>
      <alignment horizontal="center" vertical="center" textRotation="0" wrapText="0" indent="0" justifyLastLine="0" shrinkToFit="0" readingOrder="0"/>
      <border diagonalUp="0" diagonalDown="0" outline="0">
        <left/>
        <right/>
        <top/>
        <bottom style="thin">
          <color indexed="64"/>
        </bottom>
      </border>
      <protection locked="1" hidden="0"/>
    </dxf>
    <dxf>
      <numFmt numFmtId="167" formatCode="0.0"/>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theme="4" tint="0.79998168889431442"/>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i val="0"/>
        <strike val="0"/>
        <condense val="0"/>
        <extend val="0"/>
        <outline val="0"/>
        <shadow val="0"/>
        <u val="none"/>
        <vertAlign val="baseline"/>
        <sz val="11"/>
        <color theme="1"/>
        <name val="Calibri"/>
        <family val="2"/>
        <scheme val="minor"/>
      </font>
      <fill>
        <patternFill patternType="solid">
          <fgColor indexed="64"/>
          <bgColor theme="8" tint="0.79998168889431442"/>
        </patternFill>
      </fill>
      <alignment horizontal="left" vertical="center" textRotation="0" wrapText="0" indent="1" justifyLastLine="0" shrinkToFit="0" readingOrder="0"/>
      <border diagonalUp="0" diagonalDown="0" outline="0">
        <left/>
        <right style="thin">
          <color theme="0"/>
        </right>
        <top/>
        <bottom style="thin">
          <color indexed="64"/>
        </bottom>
      </border>
      <protection locked="1" hidden="0"/>
    </dxf>
    <dxf>
      <numFmt numFmtId="0" formatCode="General"/>
      <fill>
        <patternFill patternType="none">
          <fgColor indexed="64"/>
          <bgColor indexed="65"/>
        </patternFill>
      </fill>
      <protection locked="1" hidden="0"/>
    </dxf>
    <dxf>
      <font>
        <b val="0"/>
        <i val="0"/>
        <strike val="0"/>
        <condense val="0"/>
        <extend val="0"/>
        <outline val="0"/>
        <shadow val="0"/>
        <u val="none"/>
        <vertAlign val="baseline"/>
        <sz val="11"/>
        <color theme="1"/>
        <name val="Calibri"/>
        <family val="2"/>
        <scheme val="minor"/>
      </font>
      <numFmt numFmtId="166" formatCode="0;0;"/>
      <fill>
        <patternFill patternType="solid">
          <fgColor indexed="64"/>
          <bgColor theme="8" tint="0.79998168889431442"/>
        </patternFill>
      </fill>
      <alignment horizontal="center" vertical="center" textRotation="0" wrapText="0" indent="0" justifyLastLine="0" shrinkToFit="0" readingOrder="0"/>
      <protection locked="1" hidden="0"/>
    </dxf>
    <dxf>
      <protection locked="1" hidden="0"/>
    </dxf>
    <dxf>
      <font>
        <b val="0"/>
        <i val="0"/>
        <strike val="0"/>
        <condense val="0"/>
        <extend val="0"/>
        <outline val="0"/>
        <shadow val="0"/>
        <u val="none"/>
        <vertAlign val="baseline"/>
        <sz val="11"/>
        <color theme="1"/>
        <name val="Calibri"/>
        <family val="2"/>
        <scheme val="minor"/>
      </font>
      <fill>
        <patternFill patternType="solid">
          <fgColor indexed="64"/>
          <bgColor theme="8" tint="0.79998168889431442"/>
        </patternFill>
      </fill>
      <alignment horizontal="center" vertical="center" textRotation="0" wrapText="0" indent="0" justifyLastLine="0" shrinkToFit="0" readingOrder="0"/>
      <border diagonalUp="0" diagonalDown="0" outlin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i val="0"/>
        <strike val="0"/>
        <condense val="0"/>
        <extend val="0"/>
        <outline val="0"/>
        <shadow val="0"/>
        <u val="none"/>
        <vertAlign val="baseline"/>
        <sz val="11"/>
        <color theme="1"/>
        <name val="Calibri"/>
        <family val="2"/>
        <scheme val="minor"/>
      </font>
      <numFmt numFmtId="168" formatCode="0.0;0.0;"/>
      <fill>
        <patternFill patternType="solid">
          <fgColor indexed="64"/>
          <bgColor theme="4" tint="0.79998168889431442"/>
        </patternFill>
      </fill>
      <alignment horizontal="center" vertical="center" textRotation="0" wrapText="0" indent="0" justifyLastLine="0" shrinkToFit="0" readingOrder="0"/>
      <border diagonalUp="0" diagonalDown="0" outline="0">
        <left/>
        <right/>
        <top/>
        <bottom style="thin">
          <color indexed="64"/>
        </bottom>
      </border>
      <protection locked="1" hidden="0"/>
    </dxf>
    <dxf>
      <numFmt numFmtId="167" formatCode="0.0"/>
      <fill>
        <patternFill patternType="none">
          <fgColor indexed="64"/>
          <bgColor indexed="65"/>
        </patternFill>
      </fill>
      <protection locked="1" hidden="0"/>
    </dxf>
    <dxf>
      <font>
        <b/>
        <i val="0"/>
        <strike val="0"/>
        <condense val="0"/>
        <extend val="0"/>
        <outline val="0"/>
        <shadow val="0"/>
        <u val="none"/>
        <vertAlign val="baseline"/>
        <sz val="11"/>
        <color theme="1"/>
        <name val="Calibri"/>
        <family val="2"/>
        <scheme val="minor"/>
      </font>
      <numFmt numFmtId="166" formatCode="0;0;"/>
      <fill>
        <patternFill patternType="solid">
          <fgColor indexed="64"/>
          <bgColor theme="4" tint="0.79998168889431442"/>
        </patternFill>
      </fill>
      <alignment horizontal="center" vertical="center" textRotation="0" wrapText="0" indent="0" justifyLastLine="0" shrinkToFit="0" readingOrder="0"/>
      <border diagonalUp="0" diagonalDown="0" outline="0">
        <left/>
        <right/>
        <top/>
        <bottom style="thin">
          <color indexed="64"/>
        </bottom>
      </border>
      <protection locked="1" hidden="0"/>
    </dxf>
    <dxf>
      <numFmt numFmtId="167" formatCode="0.0"/>
      <fill>
        <patternFill patternType="none">
          <fgColor indexed="64"/>
          <bgColor indexed="65"/>
        </patternFill>
      </fill>
      <alignment horizontal="center" vertical="center" textRotation="0" wrapText="0" indent="0" justifyLastLine="0" shrinkToFit="0" readingOrder="0"/>
      <protection locked="1" hidden="0"/>
    </dxf>
    <dxf>
      <font>
        <b/>
        <i val="0"/>
        <strike val="0"/>
        <condense val="0"/>
        <extend val="0"/>
        <outline val="0"/>
        <shadow val="0"/>
        <u val="none"/>
        <vertAlign val="baseline"/>
        <sz val="11"/>
        <color theme="1"/>
        <name val="Calibri"/>
        <family val="2"/>
        <scheme val="minor"/>
      </font>
      <numFmt numFmtId="166" formatCode="0;0;"/>
      <fill>
        <patternFill patternType="solid">
          <fgColor indexed="64"/>
          <bgColor theme="4" tint="0.79998168889431442"/>
        </patternFill>
      </fill>
      <alignment horizontal="center" vertical="center" textRotation="0" wrapText="0" indent="0" justifyLastLine="0" shrinkToFit="0" readingOrder="0"/>
      <border diagonalUp="0" diagonalDown="0" outline="0">
        <left/>
        <right/>
        <top/>
        <bottom style="thin">
          <color indexed="64"/>
        </bottom>
      </border>
      <protection locked="1" hidden="0"/>
    </dxf>
    <dxf>
      <numFmt numFmtId="167" formatCode="0.0"/>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i val="0"/>
        <strike val="0"/>
        <condense val="0"/>
        <extend val="0"/>
        <outline val="0"/>
        <shadow val="0"/>
        <u val="none"/>
        <vertAlign val="baseline"/>
        <sz val="11"/>
        <color theme="1"/>
        <name val="Calibri"/>
        <family val="2"/>
        <scheme val="minor"/>
      </font>
      <fill>
        <patternFill patternType="solid">
          <fgColor indexed="64"/>
          <bgColor theme="8" tint="0.79998168889431442"/>
        </patternFill>
      </fill>
      <alignment horizontal="left" vertical="center" textRotation="0" wrapText="0" indent="1" justifyLastLine="0" shrinkToFit="0" readingOrder="0"/>
      <border diagonalUp="0" diagonalDown="0" outline="0">
        <left/>
        <right style="thin">
          <color theme="0"/>
        </right>
        <top/>
        <bottom style="thin">
          <color indexed="64"/>
        </bottom>
      </border>
      <protection locked="1" hidden="0"/>
    </dxf>
    <dxf>
      <numFmt numFmtId="0" formatCode="General"/>
      <fill>
        <patternFill patternType="none">
          <fgColor indexed="64"/>
          <bgColor indexed="65"/>
        </patternFill>
      </fill>
      <protection locked="1" hidden="0"/>
    </dxf>
    <dxf>
      <font>
        <b val="0"/>
        <i val="0"/>
        <strike val="0"/>
        <condense val="0"/>
        <extend val="0"/>
        <outline val="0"/>
        <shadow val="0"/>
        <u val="none"/>
        <vertAlign val="baseline"/>
        <sz val="11"/>
        <color theme="1"/>
        <name val="Calibri"/>
        <family val="2"/>
        <scheme val="minor"/>
      </font>
      <numFmt numFmtId="166" formatCode="0;0;"/>
      <fill>
        <patternFill patternType="solid">
          <fgColor indexed="64"/>
          <bgColor theme="8" tint="0.79998168889431442"/>
        </patternFill>
      </fill>
      <alignment horizontal="center" vertical="center" textRotation="0" wrapText="0" indent="0" justifyLastLine="0" shrinkToFit="0" readingOrder="0"/>
      <protection locked="1" hidden="0"/>
    </dxf>
    <dxf>
      <protection locked="1" hidden="0"/>
    </dxf>
    <dxf>
      <font>
        <b val="0"/>
        <i val="0"/>
        <strike val="0"/>
        <condense val="0"/>
        <extend val="0"/>
        <outline val="0"/>
        <shadow val="0"/>
        <u val="none"/>
        <vertAlign val="baseline"/>
        <sz val="11"/>
        <color theme="1"/>
        <name val="Calibri"/>
        <family val="2"/>
        <scheme val="minor"/>
      </font>
      <fill>
        <patternFill patternType="solid">
          <fgColor indexed="64"/>
          <bgColor theme="8" tint="0.79998168889431442"/>
        </patternFill>
      </fill>
      <alignment horizontal="center" vertical="center" textRotation="0" wrapText="0" indent="0" justifyLastLine="0" shrinkToFit="0" readingOrder="0"/>
      <border diagonalUp="0" diagonalDown="0" outline="0">
        <left/>
        <right/>
        <top/>
        <bottom style="thin">
          <color indexed="64"/>
        </bottom>
      </border>
      <protection locked="1" hidden="0"/>
    </dxf>
    <dxf>
      <font>
        <b/>
        <i val="0"/>
        <strike val="0"/>
        <outline val="0"/>
        <shadow val="0"/>
        <u val="none"/>
        <vertAlign val="baseline"/>
        <sz val="11"/>
        <color rgb="FFFF0000"/>
        <name val="Calibri"/>
        <family val="2"/>
        <scheme val="minor"/>
      </font>
      <fill>
        <patternFill patternType="none">
          <fgColor indexed="64"/>
          <bgColor indexed="65"/>
        </patternFill>
      </fill>
      <alignment horizontal="center" vertical="center" textRotation="0" wrapText="0" indent="0" justifyLastLine="0" shrinkToFit="0" readingOrder="0"/>
      <protection locked="1" hidden="0"/>
    </dxf>
    <dxf>
      <font>
        <b/>
        <i val="0"/>
        <strike val="0"/>
        <condense val="0"/>
        <extend val="0"/>
        <outline val="0"/>
        <shadow val="0"/>
        <u val="none"/>
        <vertAlign val="baseline"/>
        <sz val="11"/>
        <color theme="1"/>
        <name val="Calibri"/>
        <family val="2"/>
        <scheme val="minor"/>
      </font>
      <numFmt numFmtId="168" formatCode="0.0;0.0;"/>
      <fill>
        <patternFill patternType="solid">
          <fgColor indexed="64"/>
          <bgColor theme="4" tint="0.79998168889431442"/>
        </patternFill>
      </fill>
      <alignment horizontal="center" vertical="center" textRotation="0" wrapText="0" indent="0" justifyLastLine="0" shrinkToFit="0" readingOrder="0"/>
      <border diagonalUp="0" diagonalDown="0" outline="0">
        <left/>
        <right/>
        <top/>
        <bottom style="thin">
          <color indexed="64"/>
        </bottom>
      </border>
      <protection locked="1" hidden="0"/>
    </dxf>
    <dxf>
      <numFmt numFmtId="167" formatCode="0.0"/>
      <fill>
        <patternFill patternType="none">
          <fgColor indexed="64"/>
          <bgColor indexed="65"/>
        </patternFill>
      </fill>
      <protection locked="1" hidden="0"/>
    </dxf>
    <dxf>
      <font>
        <b/>
        <i val="0"/>
        <strike val="0"/>
        <condense val="0"/>
        <extend val="0"/>
        <outline val="0"/>
        <shadow val="0"/>
        <u val="none"/>
        <vertAlign val="baseline"/>
        <sz val="11"/>
        <color theme="1"/>
        <name val="Calibri"/>
        <family val="2"/>
        <scheme val="minor"/>
      </font>
      <numFmt numFmtId="166" formatCode="0;0;"/>
      <fill>
        <patternFill patternType="solid">
          <fgColor indexed="64"/>
          <bgColor theme="4" tint="0.79998168889431442"/>
        </patternFill>
      </fill>
      <alignment horizontal="center" vertical="center" textRotation="0" wrapText="0" indent="0" justifyLastLine="0" shrinkToFit="0" readingOrder="0"/>
      <border diagonalUp="0" diagonalDown="0" outline="0">
        <left/>
        <right/>
        <top/>
        <bottom style="thin">
          <color indexed="64"/>
        </bottom>
      </border>
      <protection locked="1" hidden="0"/>
    </dxf>
    <dxf>
      <numFmt numFmtId="167" formatCode="0.0"/>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6" formatCode="0;0;"/>
      <fill>
        <patternFill patternType="solid">
          <fgColor indexed="64"/>
          <bgColor theme="4" tint="0.79998168889431442"/>
        </patternFill>
      </fill>
      <alignment horizontal="center" vertical="center" textRotation="0" wrapText="0" indent="0" justifyLastLine="0" shrinkToFit="0" readingOrder="0"/>
      <border diagonalUp="0" diagonalDown="0" outline="0">
        <left/>
        <right/>
        <top/>
        <bottom style="thin">
          <color indexed="64"/>
        </bottom>
      </border>
      <protection locked="1" hidden="0"/>
    </dxf>
    <dxf>
      <numFmt numFmtId="167" formatCode="0.0"/>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i val="0"/>
        <strike val="0"/>
        <condense val="0"/>
        <extend val="0"/>
        <outline val="0"/>
        <shadow val="0"/>
        <u val="none"/>
        <vertAlign val="baseline"/>
        <sz val="11"/>
        <color theme="1"/>
        <name val="Calibri"/>
        <family val="2"/>
        <scheme val="minor"/>
      </font>
      <fill>
        <patternFill patternType="solid">
          <fgColor indexed="64"/>
          <bgColor theme="8" tint="0.79998168889431442"/>
        </patternFill>
      </fill>
      <alignment horizontal="left" vertical="center" textRotation="0" wrapText="0" indent="1" justifyLastLine="0" shrinkToFit="0" readingOrder="0"/>
      <border diagonalUp="0" diagonalDown="0" outline="0">
        <left/>
        <right style="thin">
          <color theme="0"/>
        </right>
        <top/>
        <bottom style="thin">
          <color indexed="64"/>
        </bottom>
      </border>
      <protection locked="1" hidden="0"/>
    </dxf>
    <dxf>
      <numFmt numFmtId="0" formatCode="General"/>
      <fill>
        <patternFill patternType="none">
          <fgColor indexed="64"/>
          <bgColor indexed="65"/>
        </patternFill>
      </fill>
      <protection locked="1" hidden="0"/>
    </dxf>
    <dxf>
      <font>
        <b val="0"/>
        <i val="0"/>
        <strike val="0"/>
        <condense val="0"/>
        <extend val="0"/>
        <outline val="0"/>
        <shadow val="0"/>
        <u val="none"/>
        <vertAlign val="baseline"/>
        <sz val="11"/>
        <color theme="1"/>
        <name val="Calibri"/>
        <family val="2"/>
        <scheme val="minor"/>
      </font>
      <numFmt numFmtId="166" formatCode="0;0;"/>
      <fill>
        <patternFill patternType="solid">
          <fgColor indexed="64"/>
          <bgColor theme="8" tint="0.79998168889431442"/>
        </patternFill>
      </fill>
      <alignment horizontal="center" vertical="center" textRotation="0" wrapText="0" indent="0" justifyLastLine="0" shrinkToFit="0" readingOrder="0"/>
      <protection locked="1" hidden="0"/>
    </dxf>
    <dxf>
      <protection locked="1" hidden="0"/>
    </dxf>
    <dxf>
      <font>
        <b val="0"/>
        <i val="0"/>
        <strike val="0"/>
        <condense val="0"/>
        <extend val="0"/>
        <outline val="0"/>
        <shadow val="0"/>
        <u val="none"/>
        <vertAlign val="baseline"/>
        <sz val="11"/>
        <color theme="1"/>
        <name val="Calibri"/>
        <family val="2"/>
        <scheme val="minor"/>
      </font>
      <fill>
        <patternFill patternType="solid">
          <fgColor indexed="64"/>
          <bgColor theme="8" tint="0.79998168889431442"/>
        </patternFill>
      </fill>
      <alignment horizontal="center" vertical="center" textRotation="0" wrapText="0" indent="0" justifyLastLine="0" shrinkToFit="0" readingOrder="0"/>
      <border diagonalUp="0" diagonalDown="0" outlin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i val="0"/>
        <strike val="0"/>
        <condense val="0"/>
        <extend val="0"/>
        <outline val="0"/>
        <shadow val="0"/>
        <u val="none"/>
        <vertAlign val="baseline"/>
        <sz val="11"/>
        <color theme="1"/>
        <name val="Calibri"/>
        <family val="2"/>
        <scheme val="minor"/>
      </font>
      <numFmt numFmtId="168" formatCode="0.0;0.0;"/>
      <fill>
        <patternFill patternType="solid">
          <fgColor indexed="64"/>
          <bgColor theme="4" tint="0.79998168889431442"/>
        </patternFill>
      </fill>
      <alignment horizontal="center" vertical="center" textRotation="0" wrapText="0" indent="0" justifyLastLine="0" shrinkToFit="0" readingOrder="0"/>
      <border diagonalUp="0" diagonalDown="0" outline="0">
        <left/>
        <right/>
        <top/>
        <bottom style="thin">
          <color indexed="64"/>
        </bottom>
      </border>
      <protection locked="1" hidden="0"/>
    </dxf>
    <dxf>
      <numFmt numFmtId="167" formatCode="0.0"/>
      <fill>
        <patternFill patternType="none">
          <fgColor indexed="64"/>
          <bgColor indexed="65"/>
        </patternFill>
      </fill>
      <protection locked="1" hidden="0"/>
    </dxf>
    <dxf>
      <font>
        <b/>
        <i val="0"/>
        <strike val="0"/>
        <condense val="0"/>
        <extend val="0"/>
        <outline val="0"/>
        <shadow val="0"/>
        <u val="none"/>
        <vertAlign val="baseline"/>
        <sz val="11"/>
        <color theme="1"/>
        <name val="Calibri"/>
        <family val="2"/>
        <scheme val="minor"/>
      </font>
      <numFmt numFmtId="166" formatCode="0;0;"/>
      <fill>
        <patternFill patternType="solid">
          <fgColor indexed="64"/>
          <bgColor theme="4" tint="0.79998168889431442"/>
        </patternFill>
      </fill>
      <alignment horizontal="center" vertical="center" textRotation="0" wrapText="0" indent="0" justifyLastLine="0" shrinkToFit="0" readingOrder="0"/>
      <border diagonalUp="0" diagonalDown="0" outline="0">
        <left/>
        <right/>
        <top/>
        <bottom style="thin">
          <color indexed="64"/>
        </bottom>
      </border>
      <protection locked="1" hidden="0"/>
    </dxf>
    <dxf>
      <font>
        <b/>
      </font>
      <numFmt numFmtId="167" formatCode="0.0"/>
      <fill>
        <patternFill patternType="none">
          <fgColor indexed="64"/>
          <bgColor indexed="65"/>
        </patternFill>
      </fill>
      <alignment horizontal="center" vertical="center" textRotation="0" wrapText="0" indent="0" justifyLastLine="0" shrinkToFit="0" readingOrder="0"/>
      <protection locked="1" hidden="0"/>
    </dxf>
    <dxf>
      <font>
        <b/>
        <i val="0"/>
        <strike val="0"/>
        <condense val="0"/>
        <extend val="0"/>
        <outline val="0"/>
        <shadow val="0"/>
        <u val="none"/>
        <vertAlign val="baseline"/>
        <sz val="11"/>
        <color theme="1"/>
        <name val="Calibri"/>
        <family val="2"/>
        <scheme val="minor"/>
      </font>
      <numFmt numFmtId="166" formatCode="0;0;"/>
      <fill>
        <patternFill patternType="solid">
          <fgColor indexed="64"/>
          <bgColor theme="4" tint="0.79998168889431442"/>
        </patternFill>
      </fill>
      <alignment horizontal="center" vertical="center" textRotation="0" wrapText="0" indent="0" justifyLastLine="0" shrinkToFit="0" readingOrder="0"/>
      <border diagonalUp="0" diagonalDown="0" outline="0">
        <left/>
        <right/>
        <top/>
        <bottom style="thin">
          <color indexed="64"/>
        </bottom>
      </border>
      <protection locked="1" hidden="0"/>
    </dxf>
    <dxf>
      <numFmt numFmtId="167" formatCode="0.0"/>
      <fill>
        <patternFill patternType="none">
          <fgColor indexed="64"/>
          <bgColor indexed="65"/>
        </patternFill>
      </fill>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i val="0"/>
        <strike val="0"/>
        <condense val="0"/>
        <extend val="0"/>
        <outline val="0"/>
        <shadow val="0"/>
        <u val="none"/>
        <vertAlign val="baseline"/>
        <sz val="11"/>
        <color theme="1"/>
        <name val="Calibri"/>
        <family val="2"/>
        <scheme val="minor"/>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i val="0"/>
        <strike val="0"/>
        <condense val="0"/>
        <extend val="0"/>
        <outline val="0"/>
        <shadow val="0"/>
        <u val="none"/>
        <vertAlign val="baseline"/>
        <sz val="11"/>
        <color theme="1"/>
        <name val="Calibri"/>
        <family val="2"/>
        <scheme val="minor"/>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i val="0"/>
        <strike val="0"/>
        <condense val="0"/>
        <extend val="0"/>
        <outline val="0"/>
        <shadow val="0"/>
        <u val="none"/>
        <vertAlign val="baseline"/>
        <sz val="11"/>
        <color theme="1"/>
        <name val="Calibri"/>
        <family val="2"/>
        <scheme val="minor"/>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protection locked="1" hidden="0"/>
    </dxf>
    <dxf>
      <font>
        <b/>
        <i val="0"/>
        <strike val="0"/>
        <condense val="0"/>
        <extend val="0"/>
        <outline val="0"/>
        <shadow val="0"/>
        <u val="none"/>
        <vertAlign val="baseline"/>
        <sz val="11"/>
        <color theme="1"/>
        <name val="Calibri"/>
        <family val="2"/>
        <scheme val="minor"/>
      </font>
      <fill>
        <patternFill patternType="solid">
          <fgColor indexed="64"/>
          <bgColor theme="8" tint="0.79998168889431442"/>
        </patternFill>
      </fill>
      <alignment horizontal="left" vertical="center" textRotation="0" wrapText="0" indent="1" justifyLastLine="0" shrinkToFit="0" readingOrder="0"/>
      <border diagonalUp="0" diagonalDown="0" outline="0">
        <left/>
        <right style="thin">
          <color theme="0"/>
        </right>
        <top/>
        <bottom style="thin">
          <color indexed="64"/>
        </bottom>
      </border>
      <protection locked="1" hidden="0"/>
    </dxf>
    <dxf>
      <fill>
        <patternFill patternType="none">
          <fgColor indexed="64"/>
          <bgColor indexed="65"/>
        </patternFill>
      </fill>
    </dxf>
    <dxf>
      <font>
        <b val="0"/>
        <i val="0"/>
        <strike val="0"/>
        <condense val="0"/>
        <extend val="0"/>
        <outline val="0"/>
        <shadow val="0"/>
        <u val="none"/>
        <vertAlign val="baseline"/>
        <sz val="11"/>
        <color theme="1"/>
        <name val="Calibri"/>
        <family val="2"/>
        <scheme val="minor"/>
      </font>
      <numFmt numFmtId="166" formatCode="0;0;"/>
      <fill>
        <patternFill patternType="solid">
          <fgColor indexed="64"/>
          <bgColor theme="8" tint="0.79998168889431442"/>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fill>
        <patternFill patternType="solid">
          <fgColor indexed="64"/>
          <bgColor theme="8"/>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right/>
        <top/>
        <bottom style="thin">
          <color indexed="64"/>
        </bottom>
      </border>
      <protection locked="1" hidden="0"/>
    </dxf>
    <dxf>
      <font>
        <b/>
      </font>
      <numFmt numFmtId="2" formatCode="0.00"/>
      <alignment horizontal="center" vertical="center" textRotation="0" wrapText="0" indent="0" justifyLastLine="0" shrinkToFit="0" readingOrder="0"/>
      <protection locked="1" hidden="0"/>
    </dxf>
    <dxf>
      <font>
        <b/>
        <i val="0"/>
        <strike val="0"/>
        <condense val="0"/>
        <extend val="0"/>
        <outline val="0"/>
        <shadow val="0"/>
        <u val="none"/>
        <vertAlign val="baseline"/>
        <sz val="11"/>
        <color theme="1"/>
        <name val="Calibri"/>
        <family val="2"/>
        <scheme val="minor"/>
      </font>
      <numFmt numFmtId="168" formatCode="0.0;0.0;"/>
      <fill>
        <patternFill patternType="solid">
          <fgColor indexed="64"/>
          <bgColor theme="4" tint="0.79998168889431442"/>
        </patternFill>
      </fill>
      <alignment horizontal="center" vertical="center" textRotation="0" wrapText="0" indent="0" justifyLastLine="0" shrinkToFit="0" readingOrder="0"/>
      <border diagonalUp="0" diagonalDown="0" outline="0">
        <left/>
        <right/>
        <top/>
        <bottom style="thin">
          <color indexed="64"/>
        </bottom>
      </border>
      <protection locked="1" hidden="0"/>
    </dxf>
    <dxf>
      <numFmt numFmtId="167" formatCode="0.0"/>
      <fill>
        <patternFill patternType="none">
          <fgColor indexed="64"/>
          <bgColor indexed="65"/>
        </patternFill>
      </fill>
      <protection locked="1" hidden="0"/>
    </dxf>
    <dxf>
      <font>
        <b/>
        <i val="0"/>
        <strike val="0"/>
        <condense val="0"/>
        <extend val="0"/>
        <outline val="0"/>
        <shadow val="0"/>
        <u val="none"/>
        <vertAlign val="baseline"/>
        <sz val="11"/>
        <color theme="1"/>
        <name val="Calibri"/>
        <family val="2"/>
        <scheme val="minor"/>
      </font>
      <numFmt numFmtId="168" formatCode="0.0;0.0;"/>
      <fill>
        <patternFill patternType="solid">
          <fgColor indexed="64"/>
          <bgColor theme="4" tint="0.79998168889431442"/>
        </patternFill>
      </fill>
      <alignment horizontal="center" vertical="center" textRotation="0" wrapText="0" indent="0" justifyLastLine="0" shrinkToFit="0" readingOrder="0"/>
      <border diagonalUp="0" diagonalDown="0" outline="0">
        <left/>
        <right/>
        <top/>
        <bottom style="thin">
          <color indexed="64"/>
        </bottom>
      </border>
      <protection locked="1" hidden="0"/>
    </dxf>
    <dxf>
      <numFmt numFmtId="167" formatCode="0.0"/>
      <fill>
        <patternFill patternType="none">
          <fgColor indexed="64"/>
          <bgColor indexed="65"/>
        </patternFill>
      </fill>
      <protection locked="1" hidden="0"/>
    </dxf>
    <dxf>
      <font>
        <b/>
        <i val="0"/>
        <strike val="0"/>
        <condense val="0"/>
        <extend val="0"/>
        <outline val="0"/>
        <shadow val="0"/>
        <u val="none"/>
        <vertAlign val="baseline"/>
        <sz val="11"/>
        <color theme="1"/>
        <name val="Calibri"/>
        <family val="2"/>
        <scheme val="minor"/>
      </font>
      <numFmt numFmtId="168" formatCode="0.0;0.0;"/>
      <fill>
        <patternFill patternType="solid">
          <fgColor indexed="64"/>
          <bgColor theme="4" tint="0.79998168889431442"/>
        </patternFill>
      </fill>
      <alignment horizontal="center" vertical="center" textRotation="0" wrapText="0" indent="0" justifyLastLine="0" shrinkToFit="0" readingOrder="0"/>
      <border diagonalUp="0" diagonalDown="0" outline="0">
        <left/>
        <right/>
        <top/>
        <bottom style="thin">
          <color indexed="64"/>
        </bottom>
      </border>
      <protection locked="1" hidden="0"/>
    </dxf>
    <dxf>
      <numFmt numFmtId="167" formatCode="0.0"/>
      <fill>
        <patternFill patternType="none">
          <fgColor indexed="64"/>
          <bgColor indexed="65"/>
        </patternFill>
      </fill>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protection locked="1" hidden="0"/>
    </dxf>
    <dxf>
      <font>
        <b/>
        <i val="0"/>
        <strike val="0"/>
        <condense val="0"/>
        <extend val="0"/>
        <outline val="0"/>
        <shadow val="0"/>
        <u val="none"/>
        <vertAlign val="baseline"/>
        <sz val="11"/>
        <color theme="1"/>
        <name val="Calibri"/>
        <family val="2"/>
        <scheme val="minor"/>
      </font>
      <fill>
        <patternFill patternType="solid">
          <fgColor indexed="64"/>
          <bgColor theme="8" tint="0.79998168889431442"/>
        </patternFill>
      </fill>
      <alignment horizontal="left" vertical="center" textRotation="0" wrapText="0" indent="1" justifyLastLine="0" shrinkToFit="0" readingOrder="0"/>
      <border diagonalUp="0" diagonalDown="0" outline="0">
        <left/>
        <right style="thin">
          <color theme="0"/>
        </right>
        <top/>
        <bottom style="thin">
          <color indexed="64"/>
        </bottom>
      </border>
      <protection locked="1" hidden="0"/>
    </dxf>
    <dxf>
      <fill>
        <patternFill patternType="none">
          <fgColor indexed="64"/>
          <bgColor indexed="65"/>
        </patternFill>
      </fill>
    </dxf>
    <dxf>
      <fill>
        <patternFill patternType="solid">
          <fgColor indexed="64"/>
          <bgColor theme="8" tint="0.79998168889431442"/>
        </patternFill>
      </fill>
      <protection locked="1" hidden="0"/>
    </dxf>
    <dxf>
      <protection locked="1" hidden="0"/>
    </dxf>
    <dxf>
      <protection locked="1" hidden="0"/>
    </dxf>
    <dxf>
      <fill>
        <patternFill patternType="solid">
          <bgColor theme="6" tint="0.79998168889431442"/>
        </patternFill>
      </fill>
      <border diagonalUp="0" diagonalDown="0">
        <left/>
        <right/>
        <top style="thin">
          <color theme="0" tint="-0.14996795556505021"/>
        </top>
        <bottom style="medium">
          <color theme="2" tint="-0.499984740745262"/>
        </bottom>
        <vertical/>
        <horizontal/>
      </border>
    </dxf>
    <dxf>
      <font>
        <color theme="1"/>
      </font>
      <fill>
        <patternFill patternType="solid">
          <bgColor theme="6" tint="0.79998168889431442"/>
        </patternFill>
      </fill>
      <border diagonalUp="0" diagonalDown="0">
        <left/>
        <right/>
        <top style="thin">
          <color theme="0" tint="-0.14993743705557422"/>
        </top>
        <bottom style="medium">
          <color theme="2" tint="-0.499984740745262"/>
        </bottom>
        <vertical/>
        <horizontal style="thin">
          <color theme="0" tint="-0.14993743705557422"/>
        </horizontal>
      </border>
    </dxf>
    <dxf>
      <font>
        <color theme="1"/>
      </font>
      <fill>
        <patternFill patternType="solid">
          <bgColor theme="2"/>
        </patternFill>
      </fill>
      <border diagonalUp="0" diagonalDown="0">
        <left/>
        <right/>
        <top/>
        <bottom style="thin">
          <color theme="0" tint="-0.14996795556505021"/>
        </bottom>
        <vertical/>
        <horizontal/>
      </border>
    </dxf>
    <dxf>
      <font>
        <color theme="1"/>
      </font>
      <fill>
        <patternFill patternType="none">
          <bgColor auto="1"/>
        </patternFill>
      </fill>
      <border diagonalUp="0" diagonalDown="0">
        <left/>
        <right/>
        <top style="thin">
          <color theme="0" tint="-0.14996795556505021"/>
        </top>
        <bottom style="thin">
          <color theme="0" tint="-0.14993743705557422"/>
        </bottom>
        <vertical/>
        <horizontal/>
      </border>
    </dxf>
    <dxf>
      <fill>
        <patternFill>
          <bgColor theme="0" tint="-0.14996795556505021"/>
        </patternFill>
      </fill>
      <border>
        <left style="thin">
          <color theme="0"/>
        </left>
        <right style="thin">
          <color theme="0"/>
        </right>
        <vertical style="thin">
          <color theme="0"/>
        </vertical>
      </border>
    </dxf>
    <dxf>
      <fill>
        <patternFill>
          <bgColor theme="0" tint="-4.9989318521683403E-2"/>
        </patternFill>
      </fill>
      <border>
        <left style="thin">
          <color theme="0"/>
        </left>
        <right style="thin">
          <color theme="0"/>
        </right>
        <vertical style="thin">
          <color theme="0"/>
        </vertical>
      </border>
    </dxf>
    <dxf>
      <fill>
        <patternFill>
          <bgColor theme="0" tint="-0.14996795556505021"/>
        </patternFill>
      </fill>
    </dxf>
    <dxf>
      <fill>
        <patternFill patternType="solid">
          <fgColor theme="4" tint="0.79992065187536243"/>
          <bgColor theme="0" tint="-4.9989318521683403E-2"/>
        </patternFill>
      </fill>
    </dxf>
    <dxf>
      <font>
        <color theme="1"/>
      </font>
      <fill>
        <patternFill patternType="none">
          <bgColor auto="1"/>
        </patternFill>
      </fill>
      <border diagonalUp="0" diagonalDown="0">
        <left/>
        <right/>
        <top/>
        <bottom style="thin">
          <color theme="0" tint="-0.14996795556505021"/>
        </bottom>
        <vertical/>
        <horizontal style="thin">
          <color theme="0" tint="-0.14996795556505021"/>
        </horizontal>
      </border>
    </dxf>
    <dxf>
      <font>
        <color theme="1"/>
      </font>
      <fill>
        <patternFill patternType="none">
          <bgColor auto="1"/>
        </patternFill>
      </fill>
      <border>
        <left/>
        <right/>
        <top style="thin">
          <color theme="2" tint="-9.9917600024414813E-2"/>
        </top>
        <bottom style="thin">
          <color theme="2" tint="-9.9948118533890809E-2"/>
        </bottom>
        <vertical/>
        <horizontal style="thin">
          <color theme="2" tint="-9.9917600024414813E-2"/>
        </horizontal>
      </border>
    </dxf>
    <dxf>
      <font>
        <color theme="1"/>
      </font>
      <fill>
        <patternFill>
          <bgColor theme="6" tint="0.79998168889431442"/>
        </patternFill>
      </fill>
      <border diagonalUp="0" diagonalDown="0">
        <left style="thin">
          <color theme="0"/>
        </left>
        <right style="thin">
          <color theme="0"/>
        </right>
        <top/>
        <bottom style="medium">
          <color theme="2" tint="-0.499984740745262"/>
        </bottom>
        <vertical style="thin">
          <color theme="0"/>
        </vertical>
        <horizontal/>
      </border>
    </dxf>
    <dxf>
      <font>
        <color theme="0"/>
      </font>
      <fill>
        <patternFill>
          <bgColor theme="3"/>
        </patternFill>
      </fill>
    </dxf>
    <dxf>
      <font>
        <color theme="1"/>
      </font>
      <border diagonalUp="0" diagonalDown="0">
        <left/>
        <right/>
        <top/>
        <bottom/>
        <vertical style="thin">
          <color theme="0"/>
        </vertical>
        <horizontal/>
      </border>
    </dxf>
  </dxfs>
  <tableStyles count="1" defaultPivotStyle="PivotStyleLight16">
    <tableStyle name="Tableau des absences des employés" pivot="0" count="13" xr9:uid="{00000000-0011-0000-FFFF-FFFF00000000}">
      <tableStyleElement type="wholeTable" dxfId="1425"/>
      <tableStyleElement type="headerRow" dxfId="1424"/>
      <tableStyleElement type="totalRow" dxfId="1423"/>
      <tableStyleElement type="firstColumn" dxfId="1422"/>
      <tableStyleElement type="lastColumn" dxfId="1421"/>
      <tableStyleElement type="firstRowStripe" dxfId="1420"/>
      <tableStyleElement type="secondRowStripe" dxfId="1419"/>
      <tableStyleElement type="firstColumnStripe" dxfId="1418"/>
      <tableStyleElement type="secondColumnStripe" dxfId="1417"/>
      <tableStyleElement type="firstHeaderCell" dxfId="1416"/>
      <tableStyleElement type="lastHeaderCell" dxfId="1415"/>
      <tableStyleElement type="firstTotalCell" dxfId="1414"/>
      <tableStyleElement type="lastTotalCell" dxfId="1413"/>
    </tableStyle>
  </tableStyles>
  <colors>
    <mruColors>
      <color rgb="FFFF2F92"/>
      <color rgb="FF92D0BA"/>
      <color rgb="FF941651"/>
      <color rgb="FF8EFA00"/>
      <color rgb="FF5EB0F0"/>
      <color rgb="FFD883FF"/>
      <color rgb="FFFF7E79"/>
      <color rgb="FF76D6FF"/>
      <color rgb="FFFFB8D8"/>
      <color rgb="FF73FDD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tyles" Target="styles.xml"/><Relationship Id="rId3" Type="http://schemas.openxmlformats.org/officeDocument/2006/relationships/worksheet" Target="worksheets/sheet3.xml"/><Relationship Id="rId21" Type="http://schemas.openxmlformats.org/officeDocument/2006/relationships/customXml" Target="../customXml/item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onnections" Target="connections.xml"/><Relationship Id="rId2" Type="http://schemas.openxmlformats.org/officeDocument/2006/relationships/worksheet" Target="worksheets/sheet2.xml"/><Relationship Id="rId16" Type="http://schemas.openxmlformats.org/officeDocument/2006/relationships/theme" Target="theme/theme1.xml"/><Relationship Id="rId20"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microsoft.com/office/2006/relationships/vbaProject" Target="vbaProject.bin"/></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0000000}" name="Janvier" displayName="Janvier" ref="B7:AK19" totalsRowCount="1" headerRowDxfId="1412" dataDxfId="1411" totalsRowDxfId="1410">
  <autoFilter ref="B7:AK18" xr:uid="{00000000-0009-0000-0100-000003000000}">
    <filterColumn colId="0" hiddenButton="1"/>
    <filterColumn colId="1" hiddenButton="1"/>
    <filterColumn colId="2" hiddenButton="1"/>
    <filterColumn colId="3" hiddenButton="1"/>
    <filterColumn colId="4" hiddenButton="1"/>
    <filterColumn colId="5" hiddenButton="1"/>
    <filterColumn colId="6" hiddenButton="1"/>
    <filterColumn colId="7" hiddenButton="1"/>
    <filterColumn colId="8" hiddenButton="1"/>
    <filterColumn colId="9" hiddenButton="1"/>
    <filterColumn colId="10" hiddenButton="1"/>
    <filterColumn colId="11" hiddenButton="1"/>
    <filterColumn colId="12" hiddenButton="1"/>
    <filterColumn colId="13" hiddenButton="1"/>
    <filterColumn colId="14" hiddenButton="1"/>
    <filterColumn colId="15" hiddenButton="1"/>
    <filterColumn colId="16" hiddenButton="1"/>
    <filterColumn colId="17" hiddenButton="1"/>
    <filterColumn colId="18" hiddenButton="1"/>
    <filterColumn colId="19" hiddenButton="1"/>
    <filterColumn colId="20" hiddenButton="1"/>
    <filterColumn colId="21" hiddenButton="1"/>
    <filterColumn colId="22" hiddenButton="1"/>
    <filterColumn colId="23" hiddenButton="1"/>
    <filterColumn colId="24" hiddenButton="1"/>
    <filterColumn colId="25" hiddenButton="1"/>
    <filterColumn colId="26" hiddenButton="1"/>
    <filterColumn colId="27" hiddenButton="1"/>
    <filterColumn colId="28" hiddenButton="1"/>
    <filterColumn colId="29" hiddenButton="1"/>
    <filterColumn colId="30" hiddenButton="1"/>
    <filterColumn colId="31" hiddenButton="1"/>
    <filterColumn colId="32" hiddenButton="1"/>
    <filterColumn colId="33" hiddenButton="1"/>
  </autoFilter>
  <tableColumns count="36">
    <tableColumn id="1" xr3:uid="{00000000-0010-0000-0000-000001000000}" name="Nom de l’employé" totalsRowFunction="custom" dataDxfId="1409" totalsRowDxfId="1408" dataCellStyle="Employé">
      <totalsRowFormula>NomMois&amp;" Total"</totalsRowFormula>
    </tableColumn>
    <tableColumn id="2" xr3:uid="{00000000-0010-0000-0000-000002000000}" name="1" totalsRowFunction="custom" dataDxfId="1407" totalsRowDxfId="1406">
      <totalsRowFormula>COUNTIF(Janvier[1],CléCongé)+(COUNTIF(Janvier[1],CléCongéSpécial)+COUNTIF(Janvier[1],CléRTT)+(COUNTIF(Janvier[1],CléDemiRtt)/2)+COUNTIF(Janvier[1],CléCongéMalade)+COUNTIF(Janvier[1],CléRécupération)+(COUNTIF(Janvier[1],CléDemiRécupération)/2)+COUNTIF(Janvier[1],CléFormation)+(COUNTIF(Janvier[1],CléEnfantMalade)+(COUNTIF(Janvier[1],CléDemiEnfantMalade)/2)))</totalsRowFormula>
    </tableColumn>
    <tableColumn id="3" xr3:uid="{00000000-0010-0000-0000-000003000000}" name="2" totalsRowFunction="custom" dataDxfId="1405" totalsRowDxfId="1404">
      <totalsRowFormula>COUNTIF(Janvier[2],CléCongé)+(COUNTIF(Janvier[2],CléCongéSpécial)+COUNTIF(Janvier[2],CléRTT)+(COUNTIF(Janvier[2],CléDemiRtt)/2)+COUNTIF(Janvier[2],CléCongéMalade)+COUNTIF(Janvier[2],CléRécupération)+(COUNTIF(Janvier[2],CléDemiRécupération)/2)+COUNTIF(Janvier[2],CléFormation)+(COUNTIF(Janvier[2],CléEnfantMalade)+(COUNTIF(Janvier[2],CléDemiEnfantMalade)/2)))</totalsRowFormula>
    </tableColumn>
    <tableColumn id="4" xr3:uid="{00000000-0010-0000-0000-000004000000}" name="3" totalsRowFunction="custom" dataDxfId="1403" totalsRowDxfId="1402">
      <totalsRowFormula>COUNTIF(Janvier[3],CléCongé)+(COUNTIF(Janvier[3],CléCongéSpécial)+COUNTIF(Janvier[3],CléRTT)+(COUNTIF(Janvier[3],CléDemiRtt)/2)+COUNTIF(Janvier[3],CléCongéMalade)+COUNTIF(Janvier[3],CléRécupération)+(COUNTIF(Janvier[3],CléDemiRécupération)/2)+COUNTIF(Janvier[3],CléFormation)+(COUNTIF(Janvier[3],CléEnfantMalade)+(COUNTIF(Janvier[3],CléDemiEnfantMalade)/2)))</totalsRowFormula>
    </tableColumn>
    <tableColumn id="5" xr3:uid="{00000000-0010-0000-0000-000005000000}" name="4" totalsRowFunction="custom" dataDxfId="1401" totalsRowDxfId="1400">
      <totalsRowFormula>COUNTIF(Janvier[4],CléCongé)+(COUNTIF(Janvier[4],CléCongéSpécial)+COUNTIF(Janvier[4],CléRTT)+(COUNTIF(Janvier[4],CléDemiRtt)/2)+COUNTIF(Janvier[4],CléCongéMalade)+COUNTIF(Janvier[4],CléRécupération)+(COUNTIF(Janvier[4],CléDemiRécupération)/2)+COUNTIF(Janvier[4],CléFormation)+(COUNTIF(Janvier[4],CléEnfantMalade)+(COUNTIF(Janvier[4],CléDemiEnfantMalade)/2)))</totalsRowFormula>
    </tableColumn>
    <tableColumn id="6" xr3:uid="{00000000-0010-0000-0000-000006000000}" name="5" totalsRowFunction="custom" dataDxfId="1399" totalsRowDxfId="1398">
      <totalsRowFormula>COUNTIF(Janvier[5],CléCongé)+(COUNTIF(Janvier[5],CléCongéSpécial)+COUNTIF(Janvier[5],CléRTT)+(COUNTIF(Janvier[5],CléDemiRtt)/2)+COUNTIF(Janvier[5],CléCongéMalade)+COUNTIF(Janvier[5],CléRécupération)+(COUNTIF(Janvier[5],CléDemiRécupération)/2)+COUNTIF(Janvier[5],CléFormation)+(COUNTIF(Janvier[5],CléEnfantMalade)+(COUNTIF(Janvier[5],CléDemiEnfantMalade)/2)))</totalsRowFormula>
    </tableColumn>
    <tableColumn id="7" xr3:uid="{00000000-0010-0000-0000-000007000000}" name="6" totalsRowFunction="custom" dataDxfId="1397" totalsRowDxfId="1396">
      <totalsRowFormula>COUNTIF(Janvier[6],CléCongé)+(COUNTIF(Janvier[6],CléCongéSpécial)+COUNTIF(Janvier[6],CléRTT)+(COUNTIF(Janvier[6],CléDemiRtt)/2)+COUNTIF(Janvier[6],CléCongéMalade)+COUNTIF(Janvier[6],CléRécupération)+(COUNTIF(Janvier[6],CléDemiRécupération)/2)+COUNTIF(Janvier[6],CléFormation)+(COUNTIF(Janvier[6],CléEnfantMalade)+(COUNTIF(Janvier[6],CléDemiEnfantMalade)/2)))</totalsRowFormula>
    </tableColumn>
    <tableColumn id="8" xr3:uid="{00000000-0010-0000-0000-000008000000}" name="7" totalsRowFunction="custom" dataDxfId="1395" totalsRowDxfId="1394">
      <totalsRowFormula>COUNTIF(Janvier[7],CléCongé)+(COUNTIF(Janvier[7],CléCongéSpécial)+COUNTIF(Janvier[7],CléRTT)+(COUNTIF(Janvier[7],CléDemiRtt)/2)+COUNTIF(Janvier[7],CléCongéMalade)+COUNTIF(Janvier[7],CléRécupération)+(COUNTIF(Janvier[7],CléDemiRécupération)/2)+COUNTIF(Janvier[7],CléFormation)+(COUNTIF(Janvier[7],CléEnfantMalade)+(COUNTIF(Janvier[7],CléDemiEnfantMalade)/2)))</totalsRowFormula>
    </tableColumn>
    <tableColumn id="9" xr3:uid="{00000000-0010-0000-0000-000009000000}" name="8" totalsRowFunction="custom" dataDxfId="1393" totalsRowDxfId="1392">
      <totalsRowFormula>COUNTIF(Janvier[8],CléCongé)+(COUNTIF(Janvier[8],CléCongéSpécial)+COUNTIF(Janvier[8],CléRTT)+(COUNTIF(Janvier[8],CléDemiRtt)/2)+COUNTIF(Janvier[8],CléCongéMalade)+COUNTIF(Janvier[8],CléRécupération)+(COUNTIF(Janvier[8],CléDemiRécupération)/2)+COUNTIF(Janvier[8],CléFormation)+(COUNTIF(Janvier[8],CléEnfantMalade)+(COUNTIF(Janvier[8],CléDemiEnfantMalade)/2)))</totalsRowFormula>
    </tableColumn>
    <tableColumn id="10" xr3:uid="{00000000-0010-0000-0000-00000A000000}" name="9" totalsRowFunction="custom" dataDxfId="1391" totalsRowDxfId="1390">
      <totalsRowFormula>COUNTIF(Janvier[9],CléCongé)+(COUNTIF(Janvier[9],CléCongéSpécial)+COUNTIF(Janvier[9],CléRTT)+(COUNTIF(Janvier[9],CléDemiRtt)/2)+COUNTIF(Janvier[9],CléCongéMalade)+COUNTIF(Janvier[9],CléRécupération)+(COUNTIF(Janvier[9],CléDemiRécupération)/2)+COUNTIF(Janvier[9],CléFormation)+(COUNTIF(Janvier[9],CléEnfantMalade)+(COUNTIF(Janvier[9],CléDemiEnfantMalade)/2)))</totalsRowFormula>
    </tableColumn>
    <tableColumn id="11" xr3:uid="{00000000-0010-0000-0000-00000B000000}" name="10" totalsRowFunction="custom" dataDxfId="1389" totalsRowDxfId="1388">
      <totalsRowFormula>COUNTIF(Janvier[10],CléCongé)+(COUNTIF(Janvier[10],CléCongéSpécial)+COUNTIF(Janvier[10],CléRTT)+(COUNTIF(Janvier[10],CléDemiRtt)/2)+COUNTIF(Janvier[10],CléCongéMalade)+COUNTIF(Janvier[10],CléRécupération)+(COUNTIF(Janvier[10],CléDemiRécupération)/2)+COUNTIF(Janvier[10],CléFormation)+(COUNTIF(Janvier[10],CléEnfantMalade)+(COUNTIF(Janvier[10],CléDemiEnfantMalade)/2)))</totalsRowFormula>
    </tableColumn>
    <tableColumn id="12" xr3:uid="{00000000-0010-0000-0000-00000C000000}" name="11" totalsRowFunction="custom" dataDxfId="1387" totalsRowDxfId="1386">
      <totalsRowFormula>COUNTIF(Janvier[11],CléCongé)+(COUNTIF(Janvier[11],CléCongéSpécial)+COUNTIF(Janvier[11],CléRTT)+(COUNTIF(Janvier[11],CléDemiRtt)/2)+COUNTIF(Janvier[11],CléCongéMalade)+COUNTIF(Janvier[11],CléRécupération)+(COUNTIF(Janvier[11],CléDemiRécupération)/2)+COUNTIF(Janvier[11],CléFormation)+(COUNTIF(Janvier[11],CléEnfantMalade)+(COUNTIF(Janvier[11],CléDemiEnfantMalade)/2)))</totalsRowFormula>
    </tableColumn>
    <tableColumn id="13" xr3:uid="{00000000-0010-0000-0000-00000D000000}" name="12" totalsRowFunction="custom" dataDxfId="1385" totalsRowDxfId="1384">
      <totalsRowFormula>COUNTIF(Janvier[12],CléCongé)+(COUNTIF(Janvier[12],CléCongéSpécial)+COUNTIF(Janvier[12],CléRTT)+(COUNTIF(Janvier[12],CléDemiRtt)/2)+COUNTIF(Janvier[12],CléCongéMalade)+COUNTIF(Janvier[12],CléRécupération)+(COUNTIF(Janvier[12],CléDemiRécupération)/2)+COUNTIF(Janvier[12],CléFormation)+(COUNTIF(Janvier[12],CléEnfantMalade)+(COUNTIF(Janvier[12],CléDemiEnfantMalade)/2)))</totalsRowFormula>
    </tableColumn>
    <tableColumn id="14" xr3:uid="{00000000-0010-0000-0000-00000E000000}" name="13" totalsRowFunction="custom" dataDxfId="1383" totalsRowDxfId="1382">
      <totalsRowFormula>COUNTIF(Janvier[13],CléCongé)+(COUNTIF(Janvier[13],CléCongéSpécial)+COUNTIF(Janvier[13],CléRTT)+(COUNTIF(Janvier[13],CléDemiRtt)/2)+COUNTIF(Janvier[13],CléCongéMalade)+COUNTIF(Janvier[13],CléRécupération)+(COUNTIF(Janvier[13],CléDemiRécupération)/2)+COUNTIF(Janvier[13],CléFormation)+(COUNTIF(Janvier[13],CléEnfantMalade)+(COUNTIF(Janvier[13],CléDemiEnfantMalade)/2)))</totalsRowFormula>
    </tableColumn>
    <tableColumn id="15" xr3:uid="{00000000-0010-0000-0000-00000F000000}" name="14" totalsRowFunction="custom" dataDxfId="1381" totalsRowDxfId="1380">
      <totalsRowFormula>COUNTIF(Janvier[14],CléCongé)+(COUNTIF(Janvier[14],CléCongéSpécial)+COUNTIF(Janvier[14],CléRTT)+(COUNTIF(Janvier[14],CléDemiRtt)/2)+COUNTIF(Janvier[14],CléCongéMalade)+COUNTIF(Janvier[14],CléRécupération)+(COUNTIF(Janvier[14],CléDemiRécupération)/2)+COUNTIF(Janvier[14],CléFormation)+(COUNTIF(Janvier[14],CléEnfantMalade)+(COUNTIF(Janvier[14],CléDemiEnfantMalade)/2)))</totalsRowFormula>
    </tableColumn>
    <tableColumn id="16" xr3:uid="{00000000-0010-0000-0000-000010000000}" name="15" totalsRowFunction="custom" dataDxfId="1379" totalsRowDxfId="1378">
      <totalsRowFormula>COUNTIF(Janvier[15],CléCongé)+(COUNTIF(Janvier[15],CléCongéSpécial)+COUNTIF(Janvier[15],CléRTT)+(COUNTIF(Janvier[15],CléDemiRtt)/2)+COUNTIF(Janvier[15],CléCongéMalade)+COUNTIF(Janvier[15],CléRécupération)+(COUNTIF(Janvier[15],CléDemiRécupération)/2)+COUNTIF(Janvier[15],CléFormation)+(COUNTIF(Janvier[15],CléEnfantMalade)+(COUNTIF(Janvier[15],CléDemiEnfantMalade)/2)))</totalsRowFormula>
    </tableColumn>
    <tableColumn id="17" xr3:uid="{00000000-0010-0000-0000-000011000000}" name="16" totalsRowFunction="custom" dataDxfId="1377" totalsRowDxfId="1376">
      <totalsRowFormula>COUNTIF(Janvier[16],CléCongé)+(COUNTIF(Janvier[16],CléCongéSpécial)+COUNTIF(Janvier[16],CléRTT)+(COUNTIF(Janvier[16],CléDemiRtt)/2)+COUNTIF(Janvier[16],CléCongéMalade)+COUNTIF(Janvier[16],CléRécupération)+(COUNTIF(Janvier[16],CléDemiRécupération)/2)+COUNTIF(Janvier[16],CléFormation)+(COUNTIF(Janvier[16],CléEnfantMalade)+(COUNTIF(Janvier[16],CléDemiEnfantMalade)/2)))</totalsRowFormula>
    </tableColumn>
    <tableColumn id="18" xr3:uid="{00000000-0010-0000-0000-000012000000}" name="17" totalsRowFunction="custom" dataDxfId="1375" totalsRowDxfId="1374">
      <totalsRowFormula>COUNTIF(Janvier[17],CléCongé)+(COUNTIF(Janvier[17],CléCongéSpécial)+COUNTIF(Janvier[17],CléRTT)+(COUNTIF(Janvier[17],CléDemiRtt)/2)+COUNTIF(Janvier[17],CléCongéMalade)+COUNTIF(Janvier[17],CléRécupération)+(COUNTIF(Janvier[17],CléDemiRécupération)/2)+COUNTIF(Janvier[17],CléFormation)+(COUNTIF(Janvier[17],CléEnfantMalade)+(COUNTIF(Janvier[17],CléDemiEnfantMalade)/2)))</totalsRowFormula>
    </tableColumn>
    <tableColumn id="19" xr3:uid="{00000000-0010-0000-0000-000013000000}" name="18" totalsRowFunction="custom" dataDxfId="1373" totalsRowDxfId="1372">
      <totalsRowFormula>COUNTIF(Janvier[18],CléCongé)+(COUNTIF(Janvier[18],CléCongéSpécial)+COUNTIF(Janvier[18],CléRTT)+(COUNTIF(Janvier[18],CléDemiRtt)/2)+COUNTIF(Janvier[18],CléCongéMalade)+COUNTIF(Janvier[18],CléRécupération)+(COUNTIF(Janvier[18],CléDemiRécupération)/2)+COUNTIF(Janvier[18],CléFormation)+(COUNTIF(Janvier[18],CléEnfantMalade)+(COUNTIF(Janvier[18],CléDemiEnfantMalade)/2)))</totalsRowFormula>
    </tableColumn>
    <tableColumn id="20" xr3:uid="{00000000-0010-0000-0000-000014000000}" name="19" totalsRowFunction="custom" dataDxfId="1371" totalsRowDxfId="1370">
      <totalsRowFormula>COUNTIF(Janvier[19],CléCongé)+(COUNTIF(Janvier[19],CléCongéSpécial)+COUNTIF(Janvier[19],CléRTT)+(COUNTIF(Janvier[19],CléDemiRtt)/2)+COUNTIF(Janvier[19],CléCongéMalade)+COUNTIF(Janvier[19],CléRécupération)+(COUNTIF(Janvier[19],CléDemiRécupération)/2)+COUNTIF(Janvier[19],CléFormation)+(COUNTIF(Janvier[19],CléEnfantMalade)+(COUNTIF(Janvier[19],CléDemiEnfantMalade)/2)))</totalsRowFormula>
    </tableColumn>
    <tableColumn id="21" xr3:uid="{00000000-0010-0000-0000-000015000000}" name="20" totalsRowFunction="custom" dataDxfId="1369" totalsRowDxfId="1368">
      <totalsRowFormula>COUNTIF(Janvier[20],CléCongé)+(COUNTIF(Janvier[20],CléCongéSpécial)+COUNTIF(Janvier[20],CléRTT)+(COUNTIF(Janvier[20],CléDemiRtt)/2)+COUNTIF(Janvier[20],CléCongéMalade)+COUNTIF(Janvier[20],CléRécupération)+(COUNTIF(Janvier[20],CléDemiRécupération)/2)+COUNTIF(Janvier[20],CléFormation)+(COUNTIF(Janvier[20],CléEnfantMalade)+(COUNTIF(Janvier[20],CléDemiEnfantMalade)/2)))</totalsRowFormula>
    </tableColumn>
    <tableColumn id="22" xr3:uid="{00000000-0010-0000-0000-000016000000}" name="21" totalsRowFunction="custom" dataDxfId="1367" totalsRowDxfId="1366">
      <totalsRowFormula>COUNTIF(Janvier[21],CléCongé)+(COUNTIF(Janvier[21],CléCongéSpécial)+COUNTIF(Janvier[21],CléRTT)+(COUNTIF(Janvier[21],CléDemiRtt)/2)+COUNTIF(Janvier[21],CléCongéMalade)+COUNTIF(Janvier[21],CléRécupération)+(COUNTIF(Janvier[21],CléDemiRécupération)/2)+COUNTIF(Janvier[21],CléFormation)+(COUNTIF(Janvier[21],CléEnfantMalade)+(COUNTIF(Janvier[21],CléDemiEnfantMalade)/2)))</totalsRowFormula>
    </tableColumn>
    <tableColumn id="23" xr3:uid="{00000000-0010-0000-0000-000017000000}" name="22" totalsRowFunction="custom" dataDxfId="1365" totalsRowDxfId="1364">
      <totalsRowFormula>COUNTIF(Janvier[22],CléCongé)+(COUNTIF(Janvier[22],CléCongéSpécial)+COUNTIF(Janvier[22],CléRTT)+(COUNTIF(Janvier[22],CléDemiRtt)/2)+COUNTIF(Janvier[22],CléCongéMalade)+COUNTIF(Janvier[22],CléRécupération)+(COUNTIF(Janvier[22],CléDemiRécupération)/2)+COUNTIF(Janvier[22],CléFormation)+(COUNTIF(Janvier[22],CléEnfantMalade)+(COUNTIF(Janvier[22],CléDemiEnfantMalade)/2)))</totalsRowFormula>
    </tableColumn>
    <tableColumn id="24" xr3:uid="{00000000-0010-0000-0000-000018000000}" name="23" totalsRowFunction="custom" dataDxfId="1363" totalsRowDxfId="1362">
      <totalsRowFormula>COUNTIF(Janvier[23],CléCongé)+(COUNTIF(Janvier[23],CléCongéSpécial)+COUNTIF(Janvier[23],CléRTT)+(COUNTIF(Janvier[23],CléDemiRtt)/2)+COUNTIF(Janvier[23],CléCongéMalade)+COUNTIF(Janvier[23],CléRécupération)+(COUNTIF(Janvier[23],CléDemiRécupération)/2)+COUNTIF(Janvier[23],CléFormation)+(COUNTIF(Janvier[23],CléEnfantMalade)+(COUNTIF(Janvier[23],CléDemiEnfantMalade)/2)))</totalsRowFormula>
    </tableColumn>
    <tableColumn id="25" xr3:uid="{00000000-0010-0000-0000-000019000000}" name="24" totalsRowFunction="custom" dataDxfId="1361" totalsRowDxfId="1360">
      <totalsRowFormula>COUNTIF(Janvier[24],CléCongé)+(COUNTIF(Janvier[24],CléCongéSpécial)+COUNTIF(Janvier[24],CléRTT)+(COUNTIF(Janvier[24],CléDemiRtt)/2)+COUNTIF(Janvier[24],CléCongéMalade)+COUNTIF(Janvier[24],CléRécupération)+(COUNTIF(Janvier[24],CléDemiRécupération)/2)+COUNTIF(Janvier[24],CléFormation)+(COUNTIF(Janvier[24],CléEnfantMalade)+(COUNTIF(Janvier[24],CléDemiEnfantMalade)/2)))</totalsRowFormula>
    </tableColumn>
    <tableColumn id="26" xr3:uid="{00000000-0010-0000-0000-00001A000000}" name="25" totalsRowFunction="custom" dataDxfId="1359" totalsRowDxfId="1358">
      <totalsRowFormula>COUNTIF(Janvier[25],CléCongé)+(COUNTIF(Janvier[25],CléCongéSpécial)+COUNTIF(Janvier[25],CléRTT)+(COUNTIF(Janvier[25],CléDemiRtt)/2)+COUNTIF(Janvier[25],CléCongéMalade)+COUNTIF(Janvier[25],CléRécupération)+(COUNTIF(Janvier[25],CléDemiRécupération)/2)+COUNTIF(Janvier[25],CléFormation)+(COUNTIF(Janvier[25],CléEnfantMalade)+(COUNTIF(Janvier[25],CléDemiEnfantMalade)/2)))</totalsRowFormula>
    </tableColumn>
    <tableColumn id="27" xr3:uid="{00000000-0010-0000-0000-00001B000000}" name="26" totalsRowFunction="custom" dataDxfId="1357" totalsRowDxfId="1356">
      <totalsRowFormula>COUNTIF(Janvier[26],CléCongé)+(COUNTIF(Janvier[26],CléCongéSpécial)+COUNTIF(Janvier[26],CléRTT)+(COUNTIF(Janvier[26],CléDemiRtt)/2)+COUNTIF(Janvier[26],CléCongéMalade)+COUNTIF(Janvier[26],CléRécupération)+(COUNTIF(Janvier[26],CléDemiRécupération)/2)+COUNTIF(Janvier[26],CléFormation)+(COUNTIF(Janvier[26],CléEnfantMalade)+(COUNTIF(Janvier[26],CléDemiEnfantMalade)/2)))</totalsRowFormula>
    </tableColumn>
    <tableColumn id="28" xr3:uid="{00000000-0010-0000-0000-00001C000000}" name="27" totalsRowFunction="custom" dataDxfId="1355" totalsRowDxfId="1354">
      <totalsRowFormula>COUNTIF(Janvier[27],CléCongé)+(COUNTIF(Janvier[27],CléCongéSpécial)+COUNTIF(Janvier[27],CléRTT)+(COUNTIF(Janvier[27],CléDemiRtt)/2)+COUNTIF(Janvier[27],CléCongéMalade)+COUNTIF(Janvier[27],CléRécupération)+(COUNTIF(Janvier[27],CléDemiRécupération)/2)+COUNTIF(Janvier[27],CléFormation)+(COUNTIF(Janvier[27],CléEnfantMalade)+(COUNTIF(Janvier[27],CléDemiEnfantMalade)/2)))</totalsRowFormula>
    </tableColumn>
    <tableColumn id="29" xr3:uid="{00000000-0010-0000-0000-00001D000000}" name="28" totalsRowFunction="custom" dataDxfId="1353" totalsRowDxfId="1352">
      <totalsRowFormula>COUNTIF(Janvier[28],CléCongé)+(COUNTIF(Janvier[28],CléCongéSpécial)+COUNTIF(Janvier[28],CléRTT)+(COUNTIF(Janvier[28],CléDemiRtt)/2)+COUNTIF(Janvier[28],CléCongéMalade)+COUNTIF(Janvier[28],CléRécupération)+(COUNTIF(Janvier[28],CléDemiRécupération)/2)+COUNTIF(Janvier[28],CléFormation)+(COUNTIF(Janvier[28],CléEnfantMalade)+(COUNTIF(Janvier[28],CléDemiEnfantMalade)/2)))</totalsRowFormula>
    </tableColumn>
    <tableColumn id="30" xr3:uid="{00000000-0010-0000-0000-00001E000000}" name="29" totalsRowFunction="custom" dataDxfId="1351" totalsRowDxfId="1350">
      <totalsRowFormula>COUNTIF(Janvier[29],CléCongé)+(COUNTIF(Janvier[29],CléCongéSpécial)+COUNTIF(Janvier[29],CléRTT)+(COUNTIF(Janvier[29],CléDemiRtt)/2)+COUNTIF(Janvier[29],CléCongéMalade)+COUNTIF(Janvier[29],CléRécupération)+(COUNTIF(Janvier[29],CléDemiRécupération)/2)+COUNTIF(Janvier[29],CléFormation)+(COUNTIF(Janvier[29],CléEnfantMalade)+(COUNTIF(Janvier[29],CléDemiEnfantMalade)/2)))</totalsRowFormula>
    </tableColumn>
    <tableColumn id="31" xr3:uid="{00000000-0010-0000-0000-00001F000000}" name="30" totalsRowFunction="custom" dataDxfId="1349" totalsRowDxfId="1348">
      <totalsRowFormula>COUNTIF(Janvier[30],CléCongé)+(COUNTIF(Janvier[30],CléCongéSpécial)+COUNTIF(Janvier[30],CléRTT)+(COUNTIF(Janvier[30],CléDemiRtt)/2)+COUNTIF(Janvier[30],CléCongéMalade)+COUNTIF(Janvier[30],CléRécupération)+(COUNTIF(Janvier[30],CléDemiRécupération)/2)+COUNTIF(Janvier[30],CléFormation)+(COUNTIF(Janvier[30],CléEnfantMalade)+(COUNTIF(Janvier[30],CléDemiEnfantMalade)/2)))</totalsRowFormula>
    </tableColumn>
    <tableColumn id="32" xr3:uid="{00000000-0010-0000-0000-000020000000}" name="31" totalsRowFunction="custom" dataDxfId="1347" totalsRowDxfId="1346">
      <totalsRowFormula>COUNTIF(Janvier[31],CléCongé)+(COUNTIF(Janvier[31],CléCongéSpécial)+COUNTIF(Janvier[31],CléRTT)+(COUNTIF(Janvier[31],CléDemiRtt)/2)+COUNTIF(Janvier[31],CléCongéMalade)+COUNTIF(Janvier[31],CléRécupération)+(COUNTIF(Janvier[31],CléDemiRécupération)/2)+COUNTIF(Janvier[31],CléFormation)+(COUNTIF(Janvier[31],CléEnfantMalade)+(COUNTIF(Janvier[31],CléDemiEnfantMalade)/2)))</totalsRowFormula>
    </tableColumn>
    <tableColumn id="33" xr3:uid="{00000000-0010-0000-0000-000021000000}" name="Total absence" totalsRowFunction="sum" dataDxfId="1345" totalsRowDxfId="1344" dataCellStyle="Total">
      <calculatedColumnFormula>(COUNTIF(C8:AG8,CléCongé)+(COUNTIF(C8:AG8,CléEnfantMalade)+COUNTIF(C8:AG8,CléRTT)+COUNTIF(C8:AG8,CléCongéMalade)+COUNTIF(C8:AG8,CléRécupération)+COUNTIF(C8:AG8,CléFormation)+COUNTIF(C8:AG8,CléTélétravail-1)+COUNTIF(C8:AG8,CléCongéSpécial)+COUNTIF(C8:AG8,CléPrésenceExceptionnelle-1)+COUNTIF(C8:AG8,CléDemiRtt)/2)+COUNTIF(C8:AG8,CléDemiRécupération)/2)+COUNTIF(C8:AG8,CléDemiEnfantMalade)/2</calculatedColumnFormula>
    </tableColumn>
    <tableColumn id="35" xr3:uid="{1501D1C5-CF1C-FB4A-AAB7-8ED3609F1E87}" name="Dont RTT" totalsRowFunction="sum" dataDxfId="1343" totalsRowDxfId="1342" dataCellStyle="Total">
      <calculatedColumnFormula>COUNTIF(C8:AG8,CléRTT)+COUNTIF(C8:AG8,CléDemiRtt)/2</calculatedColumnFormula>
    </tableColumn>
    <tableColumn id="36" xr3:uid="{880671E3-A277-B844-82F5-51EBB132B155}" name="Dont MALADIE" totalsRowFunction="sum" dataDxfId="1341" totalsRowDxfId="1340" dataCellStyle="Total">
      <calculatedColumnFormula>COUNTIF(C8:AG8,CléCongéMalade)</calculatedColumnFormula>
    </tableColumn>
    <tableColumn id="34" xr3:uid="{31B1AA76-8025-7A41-A5B7-C57B67FCBD74}" name="Solde RTT disponible au 01/02/2021" dataDxfId="1339" totalsRowDxfId="1338">
      <calculatedColumnFormula>2-Janvier[[#This Row],[Dont RTT]]</calculatedColumnFormula>
    </tableColumn>
  </tableColumns>
  <tableStyleInfo name="Tableau des absences des employés" showFirstColumn="1" showLastColumn="0" showRowStripes="1" showColumnStripes="1"/>
  <extLst>
    <ext xmlns:x14="http://schemas.microsoft.com/office/spreadsheetml/2009/9/main" uri="{504A1905-F514-4f6f-8877-14C23A59335A}">
      <x14:table altTextSummary="Entrez les noms des employés et les dates d’absence. Enregistrez le motif d’absence à l’aide des clés figurant dans la ligne 12 : C=Congé, M=Maladie, P=Personnel, et deux espaces réservés pour des entrées personnalisées"/>
    </ext>
  </extLst>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2EA4EEAD-DADF-3B46-ABE3-BFDA1D52EA63}" name="Fevrier" displayName="Fevrier" ref="B7:AK19" totalsRowCount="1" headerRowDxfId="1337" totalsRowDxfId="1336">
  <tableColumns count="36">
    <tableColumn id="1" xr3:uid="{CFB5A5A9-A7F3-CB42-A954-310B79E54FDF}" name="Nom de l’employé" totalsRowFunction="custom" dataDxfId="1335" totalsRowDxfId="1334" dataCellStyle="Employé">
      <totalsRowFormula>NomMois&amp;" Total"</totalsRowFormula>
    </tableColumn>
    <tableColumn id="2" xr3:uid="{A31BB429-AC95-224A-ACF6-B5B43B4D2112}" name="1" totalsRowFunction="custom" dataDxfId="1333" totalsRowDxfId="1332">
      <totalsRowFormula>COUNTIF(Fevrier[1],CléCongé)+(COUNTIF(Fevrier[1],CléCongéSpécial)+COUNTIF(Fevrier[1],CléRTT)+(COUNTIF(Fevrier[1],CléDemiRtt)/2)+COUNTIF(Fevrier[1],CléCongéMalade)+COUNTIF(Fevrier[1],CléRécupération)+(COUNTIF(Fevrier[1],CléDemiRécupération)/2)+COUNTIF(Fevrier[1],CléFormation)+(COUNTIF(Fevrier[1],CléEnfantMalade)+(COUNTIF(Fevrier[1],CléDemiEnfantMalade)/2)))</totalsRowFormula>
    </tableColumn>
    <tableColumn id="3" xr3:uid="{68866173-CECF-3E46-A567-BCB1D3FBAD37}" name="2" totalsRowFunction="custom" dataDxfId="1331" totalsRowDxfId="1330">
      <totalsRowFormula>COUNTIF(Fevrier[2],CléCongé)+(COUNTIF(Fevrier[2],CléCongéSpécial)+COUNTIF(Fevrier[2],CléRTT)+(COUNTIF(Fevrier[2],CléDemiRtt)/2)+COUNTIF(Fevrier[2],CléCongéMalade)+COUNTIF(Fevrier[2],CléRécupération)+(COUNTIF(Fevrier[2],CléDemiRécupération)/2)+COUNTIF(Fevrier[2],CléFormation)+(COUNTIF(Fevrier[2],CléEnfantMalade)+(COUNTIF(Fevrier[2],CléDemiEnfantMalade)/2)))</totalsRowFormula>
    </tableColumn>
    <tableColumn id="4" xr3:uid="{36C362AF-A9A4-4B41-A287-F5DE8C57553A}" name="3" totalsRowFunction="custom" dataDxfId="1329" totalsRowDxfId="1328">
      <totalsRowFormula>COUNTIF(Fevrier[3],CléCongé)+(COUNTIF(Fevrier[3],CléCongéSpécial)+COUNTIF(Fevrier[3],CléRTT)+(COUNTIF(Fevrier[3],CléDemiRtt)/2)+COUNTIF(Fevrier[3],CléCongéMalade)+COUNTIF(Fevrier[3],CléRécupération)+(COUNTIF(Fevrier[3],CléDemiRécupération)/2)+COUNTIF(Fevrier[3],CléFormation)+(COUNTIF(Fevrier[3],CléEnfantMalade)+(COUNTIF(Fevrier[3],CléDemiEnfantMalade)/2)))</totalsRowFormula>
    </tableColumn>
    <tableColumn id="5" xr3:uid="{757BF8F4-EF68-1240-B3A5-ACC1C4C83D1E}" name="4" totalsRowFunction="custom" dataDxfId="1327" totalsRowDxfId="1326">
      <totalsRowFormula>COUNTIF(Fevrier[4],CléCongé)+(COUNTIF(Fevrier[4],CléCongéSpécial)+COUNTIF(Fevrier[4],CléRTT)+(COUNTIF(Fevrier[4],CléDemiRtt)/2)+COUNTIF(Fevrier[4],CléCongéMalade)+COUNTIF(Fevrier[4],CléRécupération)+(COUNTIF(Fevrier[4],CléDemiRécupération)/2)+COUNTIF(Fevrier[4],CléFormation)+(COUNTIF(Fevrier[4],CléEnfantMalade)+(COUNTIF(Fevrier[4],CléDemiEnfantMalade)/2)))</totalsRowFormula>
    </tableColumn>
    <tableColumn id="6" xr3:uid="{7D1F361D-94D4-8844-875F-31C2C6116182}" name="5" totalsRowFunction="custom" dataDxfId="1325" totalsRowDxfId="1324">
      <totalsRowFormula>COUNTIF(Fevrier[5],CléCongé)+(COUNTIF(Fevrier[5],CléCongéSpécial)+COUNTIF(Fevrier[5],CléRTT)+(COUNTIF(Fevrier[5],CléDemiRtt)/2)+COUNTIF(Fevrier[5],CléCongéMalade)+COUNTIF(Fevrier[5],CléRécupération)+(COUNTIF(Fevrier[5],CléDemiRécupération)/2)+COUNTIF(Fevrier[5],CléFormation)+(COUNTIF(Fevrier[5],CléEnfantMalade)+(COUNTIF(Fevrier[5],CléDemiEnfantMalade)/2)))</totalsRowFormula>
    </tableColumn>
    <tableColumn id="7" xr3:uid="{30189CE6-95EF-924A-A0CB-9EF4138040C5}" name="6" totalsRowFunction="custom" dataDxfId="1323" totalsRowDxfId="1322">
      <totalsRowFormula>COUNTIF(Fevrier[6],CléCongé)+(COUNTIF(Fevrier[6],CléCongéSpécial)+COUNTIF(Fevrier[6],CléRTT)+(COUNTIF(Fevrier[6],CléDemiRtt)/2)+COUNTIF(Fevrier[6],CléCongéMalade)+COUNTIF(Fevrier[6],CléRécupération)+(COUNTIF(Fevrier[6],CléDemiRécupération)/2)+COUNTIF(Fevrier[6],CléFormation)+(COUNTIF(Fevrier[6],CléEnfantMalade)+(COUNTIF(Fevrier[6],CléDemiEnfantMalade)/2)))</totalsRowFormula>
    </tableColumn>
    <tableColumn id="8" xr3:uid="{5A7C92BF-D50B-3C4F-85CD-FD139253FA9C}" name="7" totalsRowFunction="custom" dataDxfId="1321" totalsRowDxfId="1320">
      <totalsRowFormula>COUNTIF(Fevrier[7],CléCongé)+(COUNTIF(Fevrier[7],CléCongéSpécial)+COUNTIF(Fevrier[7],CléRTT)+(COUNTIF(Fevrier[7],CléDemiRtt)/2)+COUNTIF(Fevrier[7],CléCongéMalade)+COUNTIF(Fevrier[7],CléRécupération)+(COUNTIF(Fevrier[7],CléDemiRécupération)/2)+COUNTIF(Fevrier[7],CléFormation)+(COUNTIF(Fevrier[7],CléEnfantMalade)+(COUNTIF(Fevrier[7],CléDemiEnfantMalade)/2)))</totalsRowFormula>
    </tableColumn>
    <tableColumn id="9" xr3:uid="{BA0FBFF2-4A37-C54A-98CE-4869CDCA8DFC}" name="8" totalsRowFunction="custom" dataDxfId="1319" totalsRowDxfId="1318">
      <totalsRowFormula>COUNTIF(Fevrier[8],CléCongé)+(COUNTIF(Fevrier[8],CléCongéSpécial)+COUNTIF(Fevrier[8],CléRTT)+(COUNTIF(Fevrier[8],CléDemiRtt)/2)+COUNTIF(Fevrier[8],CléCongéMalade)+COUNTIF(Fevrier[8],CléRécupération)+(COUNTIF(Fevrier[8],CléDemiRécupération)/2)+COUNTIF(Fevrier[8],CléFormation)+(COUNTIF(Fevrier[8],CléEnfantMalade)+(COUNTIF(Fevrier[8],CléDemiEnfantMalade)/2)))</totalsRowFormula>
    </tableColumn>
    <tableColumn id="10" xr3:uid="{C725040C-A0C3-2142-BFF0-7B4D3432D8B6}" name="9" totalsRowFunction="custom" dataDxfId="1317" totalsRowDxfId="1316">
      <totalsRowFormula>COUNTIF(Fevrier[9],CléCongé)+(COUNTIF(Fevrier[9],CléCongéSpécial)+COUNTIF(Fevrier[9],CléRTT)+(COUNTIF(Fevrier[9],CléDemiRtt)/2)+COUNTIF(Fevrier[9],CléCongéMalade)+COUNTIF(Fevrier[9],CléRécupération)+(COUNTIF(Fevrier[9],CléDemiRécupération)/2)+COUNTIF(Fevrier[9],CléFormation)+(COUNTIF(Fevrier[9],CléEnfantMalade)+(COUNTIF(Fevrier[9],CléDemiEnfantMalade)/2)))</totalsRowFormula>
    </tableColumn>
    <tableColumn id="11" xr3:uid="{F7F0DC8C-7360-014D-AE5D-49A059B40C63}" name="10" totalsRowFunction="custom" dataDxfId="1315" totalsRowDxfId="1314">
      <totalsRowFormula>COUNTIF(Fevrier[10],CléCongé)+(COUNTIF(Fevrier[10],CléCongéSpécial)+COUNTIF(Fevrier[10],CléRTT)+(COUNTIF(Fevrier[10],CléDemiRtt)/2)+COUNTIF(Fevrier[10],CléCongéMalade)+COUNTIF(Fevrier[10],CléRécupération)+(COUNTIF(Fevrier[10],CléDemiRécupération)/2)+COUNTIF(Fevrier[10],CléFormation)+(COUNTIF(Fevrier[10],CléEnfantMalade)+(COUNTIF(Fevrier[10],CléDemiEnfantMalade)/2)))</totalsRowFormula>
    </tableColumn>
    <tableColumn id="12" xr3:uid="{2485F7DB-CA2C-0446-8471-8EA7B7945A99}" name="11" totalsRowFunction="custom" dataDxfId="1313" totalsRowDxfId="1312">
      <totalsRowFormula>COUNTIF(Fevrier[11],CléCongé)+(COUNTIF(Fevrier[11],CléCongéSpécial)+COUNTIF(Fevrier[11],CléRTT)+(COUNTIF(Fevrier[11],CléDemiRtt)/2)+COUNTIF(Fevrier[11],CléCongéMalade)+COUNTIF(Fevrier[11],CléRécupération)+(COUNTIF(Fevrier[11],CléDemiRécupération)/2)+COUNTIF(Fevrier[11],CléFormation)+(COUNTIF(Fevrier[11],CléEnfantMalade)+(COUNTIF(Fevrier[11],CléDemiEnfantMalade)/2)))</totalsRowFormula>
    </tableColumn>
    <tableColumn id="13" xr3:uid="{65074964-D5AD-0445-9F6A-C49DD7375813}" name="12" totalsRowFunction="custom" dataDxfId="1311" totalsRowDxfId="1310">
      <totalsRowFormula>COUNTIF(Fevrier[12],CléCongé)+(COUNTIF(Fevrier[12],CléCongéSpécial)+COUNTIF(Fevrier[12],CléRTT)+(COUNTIF(Fevrier[12],CléDemiRtt)/2)+COUNTIF(Fevrier[12],CléCongéMalade)+COUNTIF(Fevrier[12],CléRécupération)+(COUNTIF(Fevrier[12],CléDemiRécupération)/2)+COUNTIF(Fevrier[12],CléFormation)+(COUNTIF(Fevrier[12],CléEnfantMalade)+(COUNTIF(Fevrier[12],CléDemiEnfantMalade)/2)))</totalsRowFormula>
    </tableColumn>
    <tableColumn id="14" xr3:uid="{EBD50154-E7EB-354E-AD7E-899400007FC7}" name="13" totalsRowFunction="custom" dataDxfId="1309" totalsRowDxfId="1308">
      <totalsRowFormula>COUNTIF(Fevrier[13],CléCongé)+(COUNTIF(Fevrier[13],CléCongéSpécial)+COUNTIF(Fevrier[13],CléRTT)+(COUNTIF(Fevrier[13],CléDemiRtt)/2)+COUNTIF(Fevrier[13],CléCongéMalade)+COUNTIF(Fevrier[13],CléRécupération)+(COUNTIF(Fevrier[13],CléDemiRécupération)/2)+COUNTIF(Fevrier[13],CléFormation)+(COUNTIF(Fevrier[13],CléEnfantMalade)+(COUNTIF(Fevrier[13],CléDemiEnfantMalade)/2)))</totalsRowFormula>
    </tableColumn>
    <tableColumn id="15" xr3:uid="{100F3A07-880C-C34F-A20D-414977CB29D9}" name="14" totalsRowFunction="custom" dataDxfId="1307" totalsRowDxfId="1306">
      <totalsRowFormula>COUNTIF(Fevrier[14],CléCongé)+(COUNTIF(Fevrier[14],CléCongéSpécial)+COUNTIF(Fevrier[14],CléRTT)+(COUNTIF(Fevrier[14],CléDemiRtt)/2)+COUNTIF(Fevrier[14],CléCongéMalade)+COUNTIF(Fevrier[14],CléRécupération)+(COUNTIF(Fevrier[14],CléDemiRécupération)/2)+COUNTIF(Fevrier[14],CléFormation)+(COUNTIF(Fevrier[14],CléEnfantMalade)+(COUNTIF(Fevrier[14],CléDemiEnfantMalade)/2)))</totalsRowFormula>
    </tableColumn>
    <tableColumn id="16" xr3:uid="{ADBA2D14-1C3C-7645-9ADF-872C84CA7EF8}" name="15" totalsRowFunction="custom" dataDxfId="1305" totalsRowDxfId="1304">
      <totalsRowFormula>COUNTIF(Fevrier[15],CléCongé)+(COUNTIF(Fevrier[15],CléCongéSpécial)+COUNTIF(Fevrier[15],CléRTT)+(COUNTIF(Fevrier[15],CléDemiRtt)/2)+COUNTIF(Fevrier[15],CléCongéMalade)+COUNTIF(Fevrier[15],CléRécupération)+(COUNTIF(Fevrier[15],CléDemiRécupération)/2)+COUNTIF(Fevrier[15],CléFormation)+(COUNTIF(Fevrier[15],CléEnfantMalade)+(COUNTIF(Fevrier[15],CléDemiEnfantMalade)/2)))</totalsRowFormula>
    </tableColumn>
    <tableColumn id="17" xr3:uid="{4BFC2E26-E6F2-2D40-A09F-F06CD93FD71E}" name="16" totalsRowFunction="custom" dataDxfId="1303" totalsRowDxfId="1302">
      <totalsRowFormula>COUNTIF(Fevrier[16],CléCongé)+(COUNTIF(Fevrier[16],CléCongéSpécial)+COUNTIF(Fevrier[16],CléRTT)+(COUNTIF(Fevrier[16],CléDemiRtt)/2)+COUNTIF(Fevrier[16],CléCongéMalade)+COUNTIF(Fevrier[16],CléRécupération)+(COUNTIF(Fevrier[16],CléDemiRécupération)/2)+COUNTIF(Fevrier[16],CléFormation)+(COUNTIF(Fevrier[16],CléEnfantMalade)+(COUNTIF(Fevrier[16],CléDemiEnfantMalade)/2)))</totalsRowFormula>
    </tableColumn>
    <tableColumn id="18" xr3:uid="{99DA6BC2-A27D-9A4F-BBAC-CAB7283E9FAC}" name="17" totalsRowFunction="custom" dataDxfId="1301" totalsRowDxfId="1300">
      <totalsRowFormula>COUNTIF(Fevrier[17],CléCongé)+(COUNTIF(Fevrier[17],CléCongéSpécial)+COUNTIF(Fevrier[17],CléRTT)+(COUNTIF(Fevrier[17],CléDemiRtt)/2)+COUNTIF(Fevrier[17],CléCongéMalade)+COUNTIF(Fevrier[17],CléRécupération)+(COUNTIF(Fevrier[17],CléDemiRécupération)/2)+COUNTIF(Fevrier[17],CléFormation)+(COUNTIF(Fevrier[17],CléEnfantMalade)+(COUNTIF(Fevrier[17],CléDemiEnfantMalade)/2)))</totalsRowFormula>
    </tableColumn>
    <tableColumn id="19" xr3:uid="{E14C7C31-2226-C942-9EDA-BA21E60A2937}" name="18" totalsRowFunction="custom" dataDxfId="1299" totalsRowDxfId="1298">
      <totalsRowFormula>COUNTIF(Fevrier[18],CléCongé)+(COUNTIF(Fevrier[18],CléCongéSpécial)+COUNTIF(Fevrier[18],CléRTT)+(COUNTIF(Fevrier[18],CléDemiRtt)/2)+COUNTIF(Fevrier[18],CléCongéMalade)+COUNTIF(Fevrier[18],CléRécupération)+(COUNTIF(Fevrier[18],CléDemiRécupération)/2)+COUNTIF(Fevrier[18],CléFormation)+(COUNTIF(Fevrier[18],CléEnfantMalade)+(COUNTIF(Fevrier[18],CléDemiEnfantMalade)/2)))</totalsRowFormula>
    </tableColumn>
    <tableColumn id="20" xr3:uid="{E5770883-C5AC-6046-A488-985722FD5C5F}" name="19" totalsRowFunction="custom" dataDxfId="1297" totalsRowDxfId="1296">
      <totalsRowFormula>COUNTIF(Fevrier[19],CléCongé)+(COUNTIF(Fevrier[19],CléCongéSpécial)+COUNTIF(Fevrier[19],CléRTT)+(COUNTIF(Fevrier[19],CléDemiRtt)/2)+COUNTIF(Fevrier[19],CléCongéMalade)+COUNTIF(Fevrier[19],CléRécupération)+(COUNTIF(Fevrier[19],CléDemiRécupération)/2)+COUNTIF(Fevrier[19],CléFormation)+(COUNTIF(Fevrier[19],CléEnfantMalade)+(COUNTIF(Fevrier[19],CléDemiEnfantMalade)/2)))</totalsRowFormula>
    </tableColumn>
    <tableColumn id="21" xr3:uid="{D20747AD-87D3-BC43-9498-DDBD80A03149}" name="20" totalsRowFunction="custom" dataDxfId="1295" totalsRowDxfId="1294">
      <totalsRowFormula>COUNTIF(Fevrier[20],CléCongé)+(COUNTIF(Fevrier[20],CléCongéSpécial)+COUNTIF(Fevrier[20],CléRTT)+(COUNTIF(Fevrier[20],CléDemiRtt)/2)+COUNTIF(Fevrier[20],CléCongéMalade)+COUNTIF(Fevrier[20],CléRécupération)+(COUNTIF(Fevrier[20],CléDemiRécupération)/2)+COUNTIF(Fevrier[20],CléFormation)+(COUNTIF(Fevrier[20],CléEnfantMalade)+(COUNTIF(Fevrier[20],CléDemiEnfantMalade)/2)))</totalsRowFormula>
    </tableColumn>
    <tableColumn id="22" xr3:uid="{C1DDBB26-1BA2-3A43-B3B2-CE22C712DB94}" name="21" totalsRowFunction="custom" dataDxfId="1293" totalsRowDxfId="1292">
      <totalsRowFormula>COUNTIF(Fevrier[21],CléCongé)+(COUNTIF(Fevrier[21],CléCongéSpécial)+COUNTIF(Fevrier[21],CléRTT)+(COUNTIF(Fevrier[21],CléDemiRtt)/2)+COUNTIF(Fevrier[21],CléCongéMalade)+COUNTIF(Fevrier[21],CléRécupération)+(COUNTIF(Fevrier[21],CléDemiRécupération)/2)+COUNTIF(Fevrier[21],CléFormation)+(COUNTIF(Fevrier[21],CléEnfantMalade)+(COUNTIF(Fevrier[21],CléDemiEnfantMalade)/2)))</totalsRowFormula>
    </tableColumn>
    <tableColumn id="23" xr3:uid="{D81E68AC-8FEA-924E-B445-62F81BDAE31B}" name="22" totalsRowFunction="custom" dataDxfId="1291" totalsRowDxfId="1290">
      <totalsRowFormula>COUNTIF(Fevrier[22],CléCongé)+(COUNTIF(Fevrier[22],CléCongéSpécial)+COUNTIF(Fevrier[22],CléRTT)+(COUNTIF(Fevrier[22],CléDemiRtt)/2)+COUNTIF(Fevrier[22],CléCongéMalade)+COUNTIF(Fevrier[22],CléRécupération)+(COUNTIF(Fevrier[22],CléDemiRécupération)/2)+COUNTIF(Fevrier[22],CléFormation)+(COUNTIF(Fevrier[22],CléEnfantMalade)+(COUNTIF(Fevrier[22],CléDemiEnfantMalade)/2)))</totalsRowFormula>
    </tableColumn>
    <tableColumn id="24" xr3:uid="{DEF2C5B8-1C82-A94E-BAA2-D79BDD01EA58}" name="23" totalsRowFunction="custom" dataDxfId="1289" totalsRowDxfId="1288">
      <totalsRowFormula>COUNTIF(Fevrier[23],CléCongé)+(COUNTIF(Fevrier[23],CléCongéSpécial)+COUNTIF(Fevrier[23],CléRTT)+(COUNTIF(Fevrier[23],CléDemiRtt)/2)+COUNTIF(Fevrier[23],CléCongéMalade)+COUNTIF(Fevrier[23],CléRécupération)+(COUNTIF(Fevrier[23],CléDemiRécupération)/2)+COUNTIF(Fevrier[23],CléFormation)+(COUNTIF(Fevrier[23],CléEnfantMalade)+(COUNTIF(Fevrier[23],CléDemiEnfantMalade)/2)))</totalsRowFormula>
    </tableColumn>
    <tableColumn id="25" xr3:uid="{AB62CC5B-7B99-8649-8A2D-27BD42F57362}" name="24" totalsRowFunction="custom" dataDxfId="1287" totalsRowDxfId="1286">
      <totalsRowFormula>COUNTIF(Fevrier[24],CléCongé)+(COUNTIF(Fevrier[24],CléCongéSpécial)+COUNTIF(Fevrier[24],CléRTT)+(COUNTIF(Fevrier[24],CléDemiRtt)/2)+COUNTIF(Fevrier[24],CléCongéMalade)+COUNTIF(Fevrier[24],CléRécupération)+(COUNTIF(Fevrier[24],CléDemiRécupération)/2)+COUNTIF(Fevrier[24],CléFormation)+(COUNTIF(Fevrier[24],CléEnfantMalade)+(COUNTIF(Fevrier[24],CléDemiEnfantMalade)/2)))</totalsRowFormula>
    </tableColumn>
    <tableColumn id="26" xr3:uid="{0E0C8B94-8FAB-A94C-9D21-AE65CF468A26}" name="25" totalsRowFunction="custom" dataDxfId="1285" totalsRowDxfId="1284">
      <totalsRowFormula>COUNTIF(Fevrier[25],CléCongé)+(COUNTIF(Fevrier[25],CléCongéSpécial)+COUNTIF(Fevrier[25],CléRTT)+(COUNTIF(Fevrier[25],CléDemiRtt)/2)+COUNTIF(Fevrier[25],CléCongéMalade)+COUNTIF(Fevrier[25],CléRécupération)+(COUNTIF(Fevrier[25],CléDemiRécupération)/2)+COUNTIF(Fevrier[25],CléFormation)+(COUNTIF(Fevrier[25],CléEnfantMalade)+(COUNTIF(Fevrier[25],CléDemiEnfantMalade)/2)))</totalsRowFormula>
    </tableColumn>
    <tableColumn id="27" xr3:uid="{01DA8280-84CE-664B-91C7-291698605C32}" name="26" totalsRowFunction="custom" dataDxfId="1283" totalsRowDxfId="1282">
      <totalsRowFormula>COUNTIF(Fevrier[26],CléCongé)+(COUNTIF(Fevrier[26],CléCongéSpécial)+COUNTIF(Fevrier[26],CléRTT)+(COUNTIF(Fevrier[26],CléDemiRtt)/2)+COUNTIF(Fevrier[26],CléCongéMalade)+COUNTIF(Fevrier[26],CléRécupération)+(COUNTIF(Fevrier[26],CléDemiRécupération)/2)+COUNTIF(Fevrier[26],CléFormation)+(COUNTIF(Fevrier[26],CléEnfantMalade)+(COUNTIF(Fevrier[26],CléDemiEnfantMalade)/2)))</totalsRowFormula>
    </tableColumn>
    <tableColumn id="28" xr3:uid="{B26BD0B2-581A-344E-81CB-1CDEF539E8AE}" name="27" totalsRowFunction="custom" dataDxfId="1281" totalsRowDxfId="1280">
      <totalsRowFormula>COUNTIF(Fevrier[27],CléCongé)+(COUNTIF(Fevrier[27],CléCongéSpécial)+COUNTIF(Fevrier[27],CléRTT)+(COUNTIF(Fevrier[27],CléDemiRtt)/2)+COUNTIF(Fevrier[27],CléCongéMalade)+COUNTIF(Fevrier[27],CléRécupération)+(COUNTIF(Fevrier[27],CléDemiRécupération)/2)+COUNTIF(Fevrier[27],CléFormation)+(COUNTIF(Fevrier[27],CléEnfantMalade)+(COUNTIF(Fevrier[27],CléDemiEnfantMalade)/2)))</totalsRowFormula>
    </tableColumn>
    <tableColumn id="29" xr3:uid="{C63552BC-2E66-5B4F-93A7-51376C48828E}" name="28" totalsRowFunction="custom" dataDxfId="1279" totalsRowDxfId="1278">
      <totalsRowFormula>COUNTIF(Fevrier[28],CléCongé)+(COUNTIF(Fevrier[28],CléCongéSpécial)+COUNTIF(Fevrier[28],CléRTT)+(COUNTIF(Fevrier[28],CléDemiRtt)/2)+COUNTIF(Fevrier[28],CléCongéMalade)+COUNTIF(Fevrier[28],CléRécupération)+(COUNTIF(Fevrier[28],CléDemiRécupération)/2)+COUNTIF(Fevrier[28],CléFormation)+(COUNTIF(Fevrier[28],CléEnfantMalade)+(COUNTIF(Fevrier[28],CléDemiEnfantMalade)/2)))</totalsRowFormula>
    </tableColumn>
    <tableColumn id="30" xr3:uid="{28E20B4B-4204-2E4D-B38F-369329F4542B}" name="29" totalsRowFunction="custom" dataDxfId="1277" totalsRowDxfId="1276">
      <totalsRowFormula>COUNTIF(Fevrier[29],CléCongé)+(COUNTIF(Fevrier[29],CléCongéSpécial)+COUNTIF(Fevrier[29],CléRTT)+(COUNTIF(Fevrier[29],CléDemiRtt)/2)+COUNTIF(Fevrier[29],CléCongéMalade)+COUNTIF(Fevrier[29],CléRécupération)+(COUNTIF(Fevrier[29],CléDemiRécupération)/2)+COUNTIF(Fevrier[29],CléFormation)+(COUNTIF(Fevrier[29],CléEnfantMalade)+(COUNTIF(Fevrier[29],CléDemiEnfantMalade)/2)))</totalsRowFormula>
    </tableColumn>
    <tableColumn id="31" xr3:uid="{9F61DF43-5D91-CE42-B3ED-616F9D9777C1}" name=" " totalsRowFunction="custom" dataDxfId="1275" totalsRowDxfId="1274">
      <totalsRowFormula>COUNTIF(Fevrier[[ ]],CléCongé)+(COUNTIF(Fevrier[[ ]],CléCongéSpécial)+COUNTIF(Fevrier[[ ]],CléRTT)+(COUNTIF(Fevrier[[ ]],CléDemiRtt)/2)+COUNTIF(Fevrier[[ ]],CléCongéMalade)+COUNTIF(Fevrier[[ ]],CléRécupération)+(COUNTIF(Fevrier[[ ]],CléDemiRécupération)/2)+COUNTIF(Fevrier[[ ]],CléFormation)+(COUNTIF(Fevrier[[ ]],CléEnfantMalade)+(COUNTIF(Fevrier[[ ]],CléDemiEnfantMalade)/2)))</totalsRowFormula>
    </tableColumn>
    <tableColumn id="32" xr3:uid="{8CCCDFCE-D257-0F49-82A3-8EEC36A3AB91}" name="  " totalsRowFunction="custom" dataDxfId="1273" totalsRowDxfId="1272">
      <totalsRowFormula>COUNTIF(Fevrier[[  ]],CléCongé)+(COUNTIF(Fevrier[[  ]],CléCongéSpécial)+COUNTIF(Fevrier[[  ]],CléRTT)+(COUNTIF(Fevrier[[  ]],CléDemiRtt)/2)+COUNTIF(Fevrier[[  ]],CléCongéMalade)+COUNTIF(Fevrier[[  ]],CléRécupération)+(COUNTIF(Fevrier[[  ]],CléDemiRécupération)/2)+COUNTIF(Fevrier[[  ]],CléFormation)+(COUNTIF(Fevrier[[  ]],CléEnfantMalade)+(COUNTIF(Fevrier[[  ]],CléDemiEnfantMalade)/2)))</totalsRowFormula>
    </tableColumn>
    <tableColumn id="33" xr3:uid="{0A2561EF-3A5E-2149-A2CE-09CD44FE012F}" name="Total" totalsRowFunction="sum" dataDxfId="1271" totalsRowDxfId="1270" dataCellStyle="Total">
      <calculatedColumnFormula>(COUNTIF(C8:AG8,CléCongé)+(COUNTIF(C8:AG8,CléEnfantMalade)+COUNTIF(C8:AG8,CléRTT)+COUNTIF(C8:AG8,CléCongéMalade)+COUNTIF(C8:AG8,CléRécupération)+COUNTIF(C8:AG8,CléFormation)+COUNTIF(C8:AG8,CléTélétravail-1)+COUNTIF(C8:AG8,CléCongéSpécial)+COUNTIF(C8:AG8,CléPrésenceExceptionnelle-1)+COUNTIF(C8:AG8,CléDemiRtt)/2)+COUNTIF(C8:AG8,CléDemiRécupération)/2)+COUNTIF(C8:AG8,CléDemiEnfantMalade)/2</calculatedColumnFormula>
    </tableColumn>
    <tableColumn id="34" xr3:uid="{A729B12A-A5B0-C749-8971-9FB4D659B71D}" name="Dont RTT" totalsRowFunction="sum" dataDxfId="1269" totalsRowDxfId="1268" dataCellStyle="Total">
      <calculatedColumnFormula>COUNTIF(C8:AG8,CléRTT)+COUNTIF(C8:AG8,CléDemiRtt)/2</calculatedColumnFormula>
    </tableColumn>
    <tableColumn id="36" xr3:uid="{350D18E8-0987-DD4C-AE5A-B5E68007CEEF}" name="Dont MALADIE" totalsRowFunction="sum" dataDxfId="1267" totalsRowDxfId="1266" dataCellStyle="Total">
      <calculatedColumnFormula>COUNTIF(C8:AG8,$S$3)</calculatedColumnFormula>
    </tableColumn>
    <tableColumn id="35" xr3:uid="{D778077B-3BAD-7042-9688-4A7BA9CC87E4}" name="Solde RTT disponible au 01/03/2021" dataDxfId="1265" totalsRowDxfId="1264"/>
  </tableColumns>
  <tableStyleInfo name="Tableau des absences des employés" showFirstColumn="1" showLastColumn="1" showRowStripes="1" showColumnStripes="0"/>
  <extLst>
    <ext xmlns:x14="http://schemas.microsoft.com/office/spreadsheetml/2009/9/main" uri="{504A1905-F514-4f6f-8877-14C23A59335A}">
      <x14:table altTextSummary="Entrez les noms des employés et les dates d’absence. Enregistrez le motif d’absence à l’aide des clés figurant dans la ligne 12 : C=Congé, M=Maladie, P=Personnel, et deux espaces réservés pour des entrées personnalisées"/>
    </ext>
  </extLst>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8F8CA628-1BA2-6C46-BD41-CAAC7FE622D3}" name="Mars" displayName="Mars" ref="B7:AK19" totalsRowCount="1" headerRowDxfId="1263" totalsRowDxfId="1262">
  <tableColumns count="36">
    <tableColumn id="1" xr3:uid="{152738C2-0613-1F42-A616-2A5CE1CFE81F}" name="Nom de l’employé" totalsRowFunction="custom" dataDxfId="1261" totalsRowDxfId="1260" dataCellStyle="Employé">
      <totalsRowFormula>NomMois&amp;" Total"</totalsRowFormula>
    </tableColumn>
    <tableColumn id="2" xr3:uid="{F880DC0A-239D-2B44-A162-B226BEA4765D}" name="1" totalsRowFunction="custom" dataDxfId="1259" totalsRowDxfId="1258">
      <totalsRowFormula>COUNTIF(Mars[1],CléCongé)+(COUNTIF(Mars[1],CléCongéSpécial)+COUNTIF(Mars[1],CléRTT)+(COUNTIF(Mars[1],CléDemiRtt)/2)+COUNTIF(Mars[1],CléCongéMalade)+COUNTIF(Mars[1],CléRécupération)+(COUNTIF(Mars[1],CléDemiRécupération)/2)+COUNTIF(Mars[1],CléFormation)+(COUNTIF(Mars[1],CléEnfantMalade)+(COUNTIF(Mars[1],CléDemiEnfantMalade)/2)))</totalsRowFormula>
    </tableColumn>
    <tableColumn id="3" xr3:uid="{7A8B6238-6C88-A24A-9540-F7948EEEF66F}" name="2" totalsRowFunction="custom" dataDxfId="1257" totalsRowDxfId="1256">
      <totalsRowFormula>COUNTIF(Mars[2],CléCongé)+(COUNTIF(Mars[2],CléCongéSpécial)+COUNTIF(Mars[2],CléRTT)+(COUNTIF(Mars[2],CléDemiRtt)/2)+COUNTIF(Mars[2],CléCongéMalade)+COUNTIF(Mars[2],CléRécupération)+(COUNTIF(Mars[2],CléDemiRécupération)/2)+COUNTIF(Mars[2],CléFormation)+(COUNTIF(Mars[2],CléEnfantMalade)+(COUNTIF(Mars[2],CléDemiEnfantMalade)/2)))</totalsRowFormula>
    </tableColumn>
    <tableColumn id="4" xr3:uid="{F930C49E-FA82-D04D-8C94-9CAC47146F26}" name="3" totalsRowFunction="custom" dataDxfId="1255" totalsRowDxfId="1254">
      <totalsRowFormula>COUNTIF(Mars[3],CléCongé)+(COUNTIF(Mars[3],CléCongéSpécial)+COUNTIF(Mars[3],CléRTT)+(COUNTIF(Mars[3],CléDemiRtt)/2)+COUNTIF(Mars[3],CléCongéMalade)+COUNTIF(Mars[3],CléRécupération)+(COUNTIF(Mars[3],CléDemiRécupération)/2)+COUNTIF(Mars[3],CléFormation)+(COUNTIF(Mars[3],CléEnfantMalade)+(COUNTIF(Mars[3],CléDemiEnfantMalade)/2)))</totalsRowFormula>
    </tableColumn>
    <tableColumn id="5" xr3:uid="{C21BD32D-030C-8D4B-92F3-7293D4D8D872}" name="4" totalsRowFunction="custom" dataDxfId="1253" totalsRowDxfId="1252">
      <totalsRowFormula>COUNTIF(Mars[4],CléCongé)+(COUNTIF(Mars[4],CléCongéSpécial)+COUNTIF(Mars[4],CléRTT)+(COUNTIF(Mars[4],CléDemiRtt)/2)+COUNTIF(Mars[4],CléCongéMalade)+COUNTIF(Mars[4],CléRécupération)+(COUNTIF(Mars[4],CléDemiRécupération)/2)+COUNTIF(Mars[4],CléFormation)+(COUNTIF(Mars[4],CléEnfantMalade)+(COUNTIF(Mars[4],CléDemiEnfantMalade)/2)))</totalsRowFormula>
    </tableColumn>
    <tableColumn id="6" xr3:uid="{64C7AF61-DD7D-2544-959B-5BCCC0AB6695}" name="5" totalsRowFunction="custom" dataDxfId="1251" totalsRowDxfId="1250">
      <totalsRowFormula>COUNTIF(Mars[5],CléCongé)+(COUNTIF(Mars[5],CléCongéSpécial)+COUNTIF(Mars[5],CléRTT)+(COUNTIF(Mars[5],CléDemiRtt)/2)+COUNTIF(Mars[5],CléCongéMalade)+COUNTIF(Mars[5],CléRécupération)+(COUNTIF(Mars[5],CléDemiRécupération)/2)+COUNTIF(Mars[5],CléFormation)+(COUNTIF(Mars[5],CléEnfantMalade)+(COUNTIF(Mars[5],CléDemiEnfantMalade)/2)))</totalsRowFormula>
    </tableColumn>
    <tableColumn id="7" xr3:uid="{74115991-FED9-3640-B435-D23AAD8FBBB2}" name="6" totalsRowFunction="custom" dataDxfId="1249" totalsRowDxfId="1248">
      <totalsRowFormula>COUNTIF(Mars[6],CléCongé)+(COUNTIF(Mars[6],CléCongéSpécial)+COUNTIF(Mars[6],CléRTT)+(COUNTIF(Mars[6],CléDemiRtt)/2)+COUNTIF(Mars[6],CléCongéMalade)+COUNTIF(Mars[6],CléRécupération)+(COUNTIF(Mars[6],CléDemiRécupération)/2)+COUNTIF(Mars[6],CléFormation)+(COUNTIF(Mars[6],CléEnfantMalade)+(COUNTIF(Mars[6],CléDemiEnfantMalade)/2)))</totalsRowFormula>
    </tableColumn>
    <tableColumn id="8" xr3:uid="{306A828D-5B5D-674D-8C5F-A54277FDF231}" name="7" totalsRowFunction="custom" dataDxfId="1247" totalsRowDxfId="1246">
      <totalsRowFormula>COUNTIF(Mars[7],CléCongé)+(COUNTIF(Mars[7],CléCongéSpécial)+COUNTIF(Mars[7],CléRTT)+(COUNTIF(Mars[7],CléDemiRtt)/2)+COUNTIF(Mars[7],CléCongéMalade)+COUNTIF(Mars[7],CléRécupération)+(COUNTIF(Mars[7],CléDemiRécupération)/2)+COUNTIF(Mars[7],CléFormation)+(COUNTIF(Mars[7],CléEnfantMalade)+(COUNTIF(Mars[7],CléDemiEnfantMalade)/2)))</totalsRowFormula>
    </tableColumn>
    <tableColumn id="9" xr3:uid="{8C3470D2-ACC1-084C-ADE4-02E4331090FE}" name="8" totalsRowFunction="custom" dataDxfId="1245" totalsRowDxfId="1244">
      <totalsRowFormula>COUNTIF(Mars[8],CléCongé)+(COUNTIF(Mars[8],CléCongéSpécial)+COUNTIF(Mars[8],CléRTT)+(COUNTIF(Mars[8],CléDemiRtt)/2)+COUNTIF(Mars[8],CléCongéMalade)+COUNTIF(Mars[8],CléRécupération)+(COUNTIF(Mars[8],CléDemiRécupération)/2)+COUNTIF(Mars[8],CléFormation)+(COUNTIF(Mars[8],CléEnfantMalade)+(COUNTIF(Mars[8],CléDemiEnfantMalade)/2)))</totalsRowFormula>
    </tableColumn>
    <tableColumn id="10" xr3:uid="{30848532-7DC0-9341-B433-36282FF68F81}" name="9" totalsRowFunction="custom" dataDxfId="1243" totalsRowDxfId="1242">
      <totalsRowFormula>COUNTIF(Mars[9],CléCongé)+(COUNTIF(Mars[9],CléCongéSpécial)+COUNTIF(Mars[9],CléRTT)+(COUNTIF(Mars[9],CléDemiRtt)/2)+COUNTIF(Mars[9],CléCongéMalade)+COUNTIF(Mars[9],CléRécupération)+(COUNTIF(Mars[9],CléDemiRécupération)/2)+COUNTIF(Mars[9],CléFormation)+(COUNTIF(Mars[9],CléEnfantMalade)+(COUNTIF(Mars[9],CléDemiEnfantMalade)/2)))</totalsRowFormula>
    </tableColumn>
    <tableColumn id="11" xr3:uid="{AC33F068-C677-3641-A266-A4BFD500A0E1}" name="10" totalsRowFunction="custom" dataDxfId="1241" totalsRowDxfId="1240">
      <totalsRowFormula>COUNTIF(Mars[10],CléCongé)+(COUNTIF(Mars[10],CléCongéSpécial)+COUNTIF(Mars[10],CléRTT)+(COUNTIF(Mars[10],CléDemiRtt)/2)+COUNTIF(Mars[10],CléCongéMalade)+COUNTIF(Mars[10],CléRécupération)+(COUNTIF(Mars[10],CléDemiRécupération)/2)+COUNTIF(Mars[10],CléFormation)+(COUNTIF(Mars[10],CléEnfantMalade)+(COUNTIF(Mars[10],CléDemiEnfantMalade)/2)))</totalsRowFormula>
    </tableColumn>
    <tableColumn id="12" xr3:uid="{2AD3400A-4DC0-6644-A533-DA79F29F6975}" name="11" totalsRowFunction="custom" dataDxfId="1239" totalsRowDxfId="1238">
      <totalsRowFormula>COUNTIF(Mars[11],CléCongé)+(COUNTIF(Mars[11],CléCongéSpécial)+COUNTIF(Mars[11],CléRTT)+(COUNTIF(Mars[11],CléDemiRtt)/2)+COUNTIF(Mars[11],CléCongéMalade)+COUNTIF(Mars[11],CléRécupération)+(COUNTIF(Mars[11],CléDemiRécupération)/2)+COUNTIF(Mars[11],CléFormation)+(COUNTIF(Mars[11],CléEnfantMalade)+(COUNTIF(Mars[11],CléDemiEnfantMalade)/2)))</totalsRowFormula>
    </tableColumn>
    <tableColumn id="13" xr3:uid="{81C677E6-C11E-FD44-8347-C941E8F52281}" name="12" totalsRowFunction="custom" dataDxfId="1237" totalsRowDxfId="1236">
      <totalsRowFormula>COUNTIF(Mars[12],CléCongé)+(COUNTIF(Mars[12],CléCongéSpécial)+COUNTIF(Mars[12],CléRTT)+(COUNTIF(Mars[12],CléDemiRtt)/2)+COUNTIF(Mars[12],CléCongéMalade)+COUNTIF(Mars[12],CléRécupération)+(COUNTIF(Mars[12],CléDemiRécupération)/2)+COUNTIF(Mars[12],CléFormation)+(COUNTIF(Mars[12],CléEnfantMalade)+(COUNTIF(Mars[12],CléDemiEnfantMalade)/2)))</totalsRowFormula>
    </tableColumn>
    <tableColumn id="14" xr3:uid="{E0A37303-B211-984E-A545-2109245E415C}" name="13" totalsRowFunction="custom" dataDxfId="1235" totalsRowDxfId="1234">
      <totalsRowFormula>COUNTIF(Mars[13],CléCongé)+(COUNTIF(Mars[13],CléCongéSpécial)+COUNTIF(Mars[13],CléRTT)+(COUNTIF(Mars[13],CléDemiRtt)/2)+COUNTIF(Mars[13],CléCongéMalade)+COUNTIF(Mars[13],CléRécupération)+(COUNTIF(Mars[13],CléDemiRécupération)/2)+COUNTIF(Mars[13],CléFormation)+(COUNTIF(Mars[13],CléEnfantMalade)+(COUNTIF(Mars[13],CléDemiEnfantMalade)/2)))</totalsRowFormula>
    </tableColumn>
    <tableColumn id="15" xr3:uid="{C6560E5C-C565-5848-AD6A-6E21E7D5FFF0}" name="14" totalsRowFunction="custom" dataDxfId="1233" totalsRowDxfId="1232">
      <totalsRowFormula>COUNTIF(Mars[14],CléCongé)+(COUNTIF(Mars[14],CléCongéSpécial)+COUNTIF(Mars[14],CléRTT)+(COUNTIF(Mars[14],CléDemiRtt)/2)+COUNTIF(Mars[14],CléCongéMalade)+COUNTIF(Mars[14],CléRécupération)+(COUNTIF(Mars[14],CléDemiRécupération)/2)+COUNTIF(Mars[14],CléFormation)+(COUNTIF(Mars[14],CléEnfantMalade)+(COUNTIF(Mars[14],CléDemiEnfantMalade)/2)))</totalsRowFormula>
    </tableColumn>
    <tableColumn id="16" xr3:uid="{F7B0B56A-5C6F-EC4D-BBF4-14B2E95B2923}" name="15" totalsRowFunction="custom" dataDxfId="1231" totalsRowDxfId="1230">
      <totalsRowFormula>COUNTIF(Mars[15],CléCongé)+(COUNTIF(Mars[15],CléCongéSpécial)+COUNTIF(Mars[15],CléRTT)+(COUNTIF(Mars[15],CléDemiRtt)/2)+COUNTIF(Mars[15],CléCongéMalade)+COUNTIF(Mars[15],CléRécupération)+(COUNTIF(Mars[15],CléDemiRécupération)/2)+COUNTIF(Mars[15],CléFormation)+(COUNTIF(Mars[15],CléEnfantMalade)+(COUNTIF(Mars[15],CléDemiEnfantMalade)/2)))</totalsRowFormula>
    </tableColumn>
    <tableColumn id="17" xr3:uid="{613EC742-A8F2-7649-AD15-BA1A42159DCF}" name="16" totalsRowFunction="custom" dataDxfId="1229" totalsRowDxfId="1228">
      <totalsRowFormula>COUNTIF(Mars[16],CléCongé)+(COUNTIF(Mars[16],CléCongéSpécial)+COUNTIF(Mars[16],CléRTT)+(COUNTIF(Mars[16],CléDemiRtt)/2)+COUNTIF(Mars[16],CléCongéMalade)+COUNTIF(Mars[16],CléRécupération)+(COUNTIF(Mars[16],CléDemiRécupération)/2)+COUNTIF(Mars[16],CléFormation)+(COUNTIF(Mars[16],CléEnfantMalade)+(COUNTIF(Mars[16],CléDemiEnfantMalade)/2)))</totalsRowFormula>
    </tableColumn>
    <tableColumn id="18" xr3:uid="{F2DC6F13-7712-B243-9545-C0AEF7BFEF1D}" name="17" totalsRowFunction="custom" dataDxfId="1227" totalsRowDxfId="1226">
      <totalsRowFormula>COUNTIF(Mars[17],CléCongé)+(COUNTIF(Mars[17],CléCongéSpécial)+COUNTIF(Mars[17],CléRTT)+(COUNTIF(Mars[17],CléDemiRtt)/2)+COUNTIF(Mars[17],CléCongéMalade)+COUNTIF(Mars[17],CléRécupération)+(COUNTIF(Mars[17],CléDemiRécupération)/2)+COUNTIF(Mars[17],CléFormation)+(COUNTIF(Mars[17],CléEnfantMalade)+(COUNTIF(Mars[17],CléDemiEnfantMalade)/2)))</totalsRowFormula>
    </tableColumn>
    <tableColumn id="19" xr3:uid="{911E6ABB-BE1D-F445-B8E4-BBD2B4687ABF}" name="18" totalsRowFunction="custom" dataDxfId="1225" totalsRowDxfId="1224">
      <totalsRowFormula>COUNTIF(Mars[18],CléCongé)+(COUNTIF(Mars[18],CléCongéSpécial)+COUNTIF(Mars[18],CléRTT)+(COUNTIF(Mars[18],CléDemiRtt)/2)+COUNTIF(Mars[18],CléCongéMalade)+COUNTIF(Mars[18],CléRécupération)+(COUNTIF(Mars[18],CléDemiRécupération)/2)+COUNTIF(Mars[18],CléFormation)+(COUNTIF(Mars[18],CléEnfantMalade)+(COUNTIF(Mars[18],CléDemiEnfantMalade)/2)))</totalsRowFormula>
    </tableColumn>
    <tableColumn id="20" xr3:uid="{D8EA91E9-4331-9D49-9EA1-57DFA941D83C}" name="19" totalsRowFunction="custom" dataDxfId="1223" totalsRowDxfId="1222">
      <totalsRowFormula>COUNTIF(Mars[19],CléCongé)+(COUNTIF(Mars[19],CléCongéSpécial)+COUNTIF(Mars[19],CléRTT)+(COUNTIF(Mars[19],CléDemiRtt)/2)+COUNTIF(Mars[19],CléCongéMalade)+COUNTIF(Mars[19],CléRécupération)+(COUNTIF(Mars[19],CléDemiRécupération)/2)+COUNTIF(Mars[19],CléFormation)+(COUNTIF(Mars[19],CléEnfantMalade)+(COUNTIF(Mars[19],CléDemiEnfantMalade)/2)))</totalsRowFormula>
    </tableColumn>
    <tableColumn id="21" xr3:uid="{C0A35A2F-2079-5141-A45F-984968467D41}" name="20" totalsRowFunction="custom" dataDxfId="1221" totalsRowDxfId="1220">
      <totalsRowFormula>COUNTIF(Mars[20],CléCongé)+(COUNTIF(Mars[20],CléCongéSpécial)+COUNTIF(Mars[20],CléRTT)+(COUNTIF(Mars[20],CléDemiRtt)/2)+COUNTIF(Mars[20],CléCongéMalade)+COUNTIF(Mars[20],CléRécupération)+(COUNTIF(Mars[20],CléDemiRécupération)/2)+COUNTIF(Mars[20],CléFormation)+(COUNTIF(Mars[20],CléEnfantMalade)+(COUNTIF(Mars[20],CléDemiEnfantMalade)/2)))</totalsRowFormula>
    </tableColumn>
    <tableColumn id="22" xr3:uid="{73299A0E-3D14-EE42-95B1-F8B3297B5C8F}" name="21" totalsRowFunction="custom" dataDxfId="1219" totalsRowDxfId="1218">
      <totalsRowFormula>COUNTIF(Mars[21],CléCongé)+(COUNTIF(Mars[21],CléCongéSpécial)+COUNTIF(Mars[21],CléRTT)+(COUNTIF(Mars[21],CléDemiRtt)/2)+COUNTIF(Mars[21],CléCongéMalade)+COUNTIF(Mars[21],CléRécupération)+(COUNTIF(Mars[21],CléDemiRécupération)/2)+COUNTIF(Mars[21],CléFormation)+(COUNTIF(Mars[21],CléEnfantMalade)+(COUNTIF(Mars[21],CléDemiEnfantMalade)/2)))</totalsRowFormula>
    </tableColumn>
    <tableColumn id="23" xr3:uid="{C1710E7F-4353-0845-8712-A23B17DFCD54}" name="22" totalsRowFunction="custom" dataDxfId="1217" totalsRowDxfId="1216">
      <totalsRowFormula>COUNTIF(Mars[22],CléCongé)+(COUNTIF(Mars[22],CléCongéSpécial)+COUNTIF(Mars[22],CléRTT)+(COUNTIF(Mars[22],CléDemiRtt)/2)+COUNTIF(Mars[22],CléCongéMalade)+COUNTIF(Mars[22],CléRécupération)+(COUNTIF(Mars[22],CléDemiRécupération)/2)+COUNTIF(Mars[22],CléFormation)+(COUNTIF(Mars[22],CléEnfantMalade)+(COUNTIF(Mars[22],CléDemiEnfantMalade)/2)))</totalsRowFormula>
    </tableColumn>
    <tableColumn id="24" xr3:uid="{904831CC-2C3E-B54E-991F-CB395B2FBC70}" name="23" totalsRowFunction="custom" dataDxfId="1215" totalsRowDxfId="1214">
      <totalsRowFormula>COUNTIF(Mars[23],CléCongé)+(COUNTIF(Mars[23],CléCongéSpécial)+COUNTIF(Mars[23],CléRTT)+(COUNTIF(Mars[23],CléDemiRtt)/2)+COUNTIF(Mars[23],CléCongéMalade)+COUNTIF(Mars[23],CléRécupération)+(COUNTIF(Mars[23],CléDemiRécupération)/2)+COUNTIF(Mars[23],CléFormation)+(COUNTIF(Mars[23],CléEnfantMalade)+(COUNTIF(Mars[23],CléDemiEnfantMalade)/2)))</totalsRowFormula>
    </tableColumn>
    <tableColumn id="25" xr3:uid="{BD919E81-550C-C24A-81D7-342F078C81ED}" name="24" totalsRowFunction="custom" dataDxfId="1213" totalsRowDxfId="1212">
      <totalsRowFormula>COUNTIF(Mars[24],CléCongé)+(COUNTIF(Mars[24],CléCongéSpécial)+COUNTIF(Mars[24],CléRTT)+(COUNTIF(Mars[24],CléDemiRtt)/2)+COUNTIF(Mars[24],CléCongéMalade)+COUNTIF(Mars[24],CléRécupération)+(COUNTIF(Mars[24],CléDemiRécupération)/2)+COUNTIF(Mars[24],CléFormation)+(COUNTIF(Mars[24],CléEnfantMalade)+(COUNTIF(Mars[24],CléDemiEnfantMalade)/2)))</totalsRowFormula>
    </tableColumn>
    <tableColumn id="26" xr3:uid="{DB7A1B1C-229C-484D-9A59-2E92CC51B8BA}" name="25" totalsRowFunction="custom" dataDxfId="1211" totalsRowDxfId="1210">
      <totalsRowFormula>COUNTIF(Mars[25],CléCongé)+(COUNTIF(Mars[25],CléCongéSpécial)+COUNTIF(Mars[25],CléRTT)+(COUNTIF(Mars[25],CléDemiRtt)/2)+COUNTIF(Mars[25],CléCongéMalade)+COUNTIF(Mars[25],CléRécupération)+(COUNTIF(Mars[25],CléDemiRécupération)/2)+COUNTIF(Mars[25],CléFormation)+(COUNTIF(Mars[25],CléEnfantMalade)+(COUNTIF(Mars[25],CléDemiEnfantMalade)/2)))</totalsRowFormula>
    </tableColumn>
    <tableColumn id="27" xr3:uid="{0743D737-F2B8-4543-BC07-9ADF8E6357B9}" name="26" totalsRowFunction="custom" dataDxfId="1209" totalsRowDxfId="1208">
      <totalsRowFormula>COUNTIF(Mars[26],CléCongé)+(COUNTIF(Mars[26],CléCongéSpécial)+COUNTIF(Mars[26],CléRTT)+(COUNTIF(Mars[26],CléDemiRtt)/2)+COUNTIF(Mars[26],CléCongéMalade)+COUNTIF(Mars[26],CléRécupération)+(COUNTIF(Mars[26],CléDemiRécupération)/2)+COUNTIF(Mars[26],CléFormation)+(COUNTIF(Mars[26],CléEnfantMalade)+(COUNTIF(Mars[26],CléDemiEnfantMalade)/2)))</totalsRowFormula>
    </tableColumn>
    <tableColumn id="28" xr3:uid="{EC541492-B8F2-5D44-ACA2-597A40F4B12F}" name="27" totalsRowFunction="custom" dataDxfId="1207" totalsRowDxfId="1206">
      <totalsRowFormula>COUNTIF(Mars[27],CléCongé)+(COUNTIF(Mars[27],CléCongéSpécial)+COUNTIF(Mars[27],CléRTT)+(COUNTIF(Mars[27],CléDemiRtt)/2)+COUNTIF(Mars[27],CléCongéMalade)+COUNTIF(Mars[27],CléRécupération)+(COUNTIF(Mars[27],CléDemiRécupération)/2)+COUNTIF(Mars[27],CléFormation)+(COUNTIF(Mars[27],CléEnfantMalade)+(COUNTIF(Mars[27],CléDemiEnfantMalade)/2)))</totalsRowFormula>
    </tableColumn>
    <tableColumn id="29" xr3:uid="{0D0034C5-B703-3745-A105-9B84109CAD31}" name="28" totalsRowFunction="custom" dataDxfId="1205" totalsRowDxfId="1204">
      <totalsRowFormula>COUNTIF(Mars[28],CléCongé)+(COUNTIF(Mars[28],CléCongéSpécial)+COUNTIF(Mars[28],CléRTT)+(COUNTIF(Mars[28],CléDemiRtt)/2)+COUNTIF(Mars[28],CléCongéMalade)+COUNTIF(Mars[28],CléRécupération)+(COUNTIF(Mars[28],CléDemiRécupération)/2)+COUNTIF(Mars[28],CléFormation)+(COUNTIF(Mars[28],CléEnfantMalade)+(COUNTIF(Mars[28],CléDemiEnfantMalade)/2)))</totalsRowFormula>
    </tableColumn>
    <tableColumn id="30" xr3:uid="{1371F79D-E8C7-9144-9277-8247163598E1}" name="29" totalsRowFunction="custom" dataDxfId="1203" totalsRowDxfId="1202">
      <totalsRowFormula>COUNTIF(Mars[29],CléCongé)+(COUNTIF(Mars[29],CléCongéSpécial)+COUNTIF(Mars[29],CléRTT)+(COUNTIF(Mars[29],CléDemiRtt)/2)+COUNTIF(Mars[29],CléCongéMalade)+COUNTIF(Mars[29],CléRécupération)+(COUNTIF(Mars[29],CléDemiRécupération)/2)+COUNTIF(Mars[29],CléFormation)+(COUNTIF(Mars[29],CléEnfantMalade)+(COUNTIF(Mars[29],CléDemiEnfantMalade)/2)))</totalsRowFormula>
    </tableColumn>
    <tableColumn id="31" xr3:uid="{62E18731-AA4A-2248-B45A-F8B14BF1813F}" name="30" totalsRowFunction="custom" dataDxfId="1201" totalsRowDxfId="1200">
      <totalsRowFormula>COUNTIF(Mars[30],CléCongé)+(COUNTIF(Mars[30],CléCongéSpécial)+COUNTIF(Mars[30],CléRTT)+(COUNTIF(Mars[30],CléDemiRtt)/2)+COUNTIF(Mars[30],CléCongéMalade)+COUNTIF(Mars[30],CléRécupération)+(COUNTIF(Mars[30],CléDemiRécupération)/2)+COUNTIF(Mars[30],CléFormation)+(COUNTIF(Mars[30],CléEnfantMalade)+(COUNTIF(Mars[30],CléDemiEnfantMalade)/2)))</totalsRowFormula>
    </tableColumn>
    <tableColumn id="32" xr3:uid="{B0502221-B291-9946-950C-BB5683CF3F8C}" name="31" totalsRowFunction="custom" dataDxfId="1199" totalsRowDxfId="1198">
      <totalsRowFormula>COUNTIF(Mars[31],CléCongé)+(COUNTIF(Mars[31],CléCongéSpécial)+COUNTIF(Mars[31],CléRTT)+(COUNTIF(Mars[31],CléDemiRtt)/2)+COUNTIF(Mars[31],CléCongéMalade)+COUNTIF(Mars[31],CléRécupération)+(COUNTIF(Mars[31],CléDemiRécupération)/2)+COUNTIF(Mars[31],CléFormation)+(COUNTIF(Mars[31],CléEnfantMalade)+(COUNTIF(Mars[31],CléDemiEnfantMalade)/2)))</totalsRowFormula>
    </tableColumn>
    <tableColumn id="33" xr3:uid="{F1356D2A-4421-A649-AB5A-AEC5648B4C72}" name="Total absence" totalsRowFunction="sum" dataDxfId="1197" totalsRowDxfId="1196" dataCellStyle="Total">
      <calculatedColumnFormula>(COUNTIF(C8:AG8,CléCongé)+(COUNTIF(C8:AG8,CléEnfantMalade)+COUNTIF(C8:AG8,CléRTT)+COUNTIF(C8:AG8,CléCongéMalade)+COUNTIF(C8:AG8,CléRécupération)+COUNTIF(C8:AG8,CléFormation)+COUNTIF(C8:AG8,CléTélétravail-1)+COUNTIF(C8:AG8,CléCongéSpécial)+COUNTIF(C8:AG8,CléPrésenceExceptionnelle-1)+COUNTIF(C8:AG8,CléDemiRtt)/2)+COUNTIF(C8:AG8,CléDemiRécupération)/2)+COUNTIF(C8:AG8,CléDemiEnfantMalade)/2</calculatedColumnFormula>
    </tableColumn>
    <tableColumn id="34" xr3:uid="{09DB58C6-4A9C-1D47-A960-6774690F9D8C}" name="Dont RTT" totalsRowFunction="sum" dataDxfId="1195" totalsRowDxfId="1194" dataCellStyle="Total">
      <calculatedColumnFormula>COUNTIF(C8:AG8,CléRTT)+COUNTIF(C8:AG8,CléDemiRtt)/2</calculatedColumnFormula>
    </tableColumn>
    <tableColumn id="36" xr3:uid="{C2AB5EC8-7C2C-1544-83BA-75CEF824FB34}" name="Dont MALADIE" totalsRowFunction="sum" dataDxfId="1193" totalsRowDxfId="1192" dataCellStyle="Total">
      <calculatedColumnFormula>COUNTIF(C8:AG8,$S$3)</calculatedColumnFormula>
    </tableColumn>
    <tableColumn id="35" xr3:uid="{7AD89CCB-9B42-444F-A20D-5BCDC6F9B1A6}" name="Solde RTT disponible au 01/04/2021" dataDxfId="1191" totalsRowDxfId="1190"/>
  </tableColumns>
  <tableStyleInfo name="Tableau des absences des employés" showFirstColumn="1" showLastColumn="1" showRowStripes="1" showColumnStripes="0"/>
  <extLst>
    <ext xmlns:x14="http://schemas.microsoft.com/office/spreadsheetml/2009/9/main" uri="{504A1905-F514-4f6f-8877-14C23A59335A}">
      <x14:table altTextSummary="Entrez les noms des employés et les dates d’absence. Enregistrez le motif d’absence à l’aide des clés figurant dans la ligne 12 : C=Congé, M=Maladie, P=Personnel, et deux espaces réservés pour des entrées personnalisées"/>
    </ext>
  </extLst>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891EDC7F-6D47-824D-8AE4-FBEAE1F5AA92}" name="Avril" displayName="Avril" ref="B7:AK19" totalsRowCount="1" headerRowDxfId="1189" totalsRowDxfId="1188">
  <tableColumns count="36">
    <tableColumn id="1" xr3:uid="{9CA65CA1-BECD-5444-8228-E0E01D9777D9}" name="Nom de l’employé" totalsRowFunction="custom" dataDxfId="1187" totalsRowDxfId="1186" dataCellStyle="Employé">
      <totalsRowFormula>NomMois&amp;" Total"</totalsRowFormula>
    </tableColumn>
    <tableColumn id="2" xr3:uid="{45B4EF7A-41AA-6744-A981-2B3534F8792C}" name="1" totalsRowFunction="custom" dataDxfId="1185" totalsRowDxfId="1184">
      <totalsRowFormula>COUNTIF(Avril[1],CléCongé)+(COUNTIF(Avril[1],CléCongéSpécial)+COUNTIF(Avril[1],CléRTT)+(COUNTIF(Avril[1],CléDemiRtt)/2)+COUNTIF(Avril[1],CléCongéMalade)+COUNTIF(Avril[1],CléRécupération)+(COUNTIF(Avril[1],CléDemiRécupération)/2)+COUNTIF(Avril[1],CléFormation)+(COUNTIF(Avril[1],CléEnfantMalade)+(COUNTIF(Avril[1],CléDemiEnfantMalade)/2)))</totalsRowFormula>
    </tableColumn>
    <tableColumn id="3" xr3:uid="{D0435F98-4EFC-EC4B-9716-45DC6233879F}" name="2" totalsRowFunction="custom" dataDxfId="1183" totalsRowDxfId="1182">
      <totalsRowFormula>COUNTIF(Avril[2],CléCongé)+(COUNTIF(Avril[2],CléCongéSpécial)+COUNTIF(Avril[2],CléRTT)+(COUNTIF(Avril[2],CléDemiRtt)/2)+COUNTIF(Avril[2],CléCongéMalade)+COUNTIF(Avril[2],CléRécupération)+(COUNTIF(Avril[2],CléDemiRécupération)/2)+COUNTIF(Avril[2],CléFormation)+(COUNTIF(Avril[2],CléEnfantMalade)+(COUNTIF(Avril[2],CléDemiEnfantMalade)/2)))</totalsRowFormula>
    </tableColumn>
    <tableColumn id="4" xr3:uid="{00A68C54-BFC9-804D-B234-0D5EDC91708B}" name="3" totalsRowFunction="custom" dataDxfId="1181" totalsRowDxfId="1180">
      <totalsRowFormula>COUNTIF(Avril[3],CléCongé)+(COUNTIF(Avril[3],CléCongéSpécial)+COUNTIF(Avril[3],CléRTT)+(COUNTIF(Avril[3],CléDemiRtt)/2)+COUNTIF(Avril[3],CléCongéMalade)+COUNTIF(Avril[3],CléRécupération)+(COUNTIF(Avril[3],CléDemiRécupération)/2)+COUNTIF(Avril[3],CléFormation)+(COUNTIF(Avril[3],CléEnfantMalade)+(COUNTIF(Avril[3],CléDemiEnfantMalade)/2)))</totalsRowFormula>
    </tableColumn>
    <tableColumn id="5" xr3:uid="{61EDFD00-5F02-2248-8E90-5029F5E3B294}" name="4" totalsRowFunction="custom" dataDxfId="1179" totalsRowDxfId="1178">
      <totalsRowFormula>COUNTIF(Avril[4],CléCongé)+(COUNTIF(Avril[4],CléCongéSpécial)+COUNTIF(Avril[4],CléRTT)+(COUNTIF(Avril[4],CléDemiRtt)/2)+COUNTIF(Avril[4],CléCongéMalade)+COUNTIF(Avril[4],CléRécupération)+(COUNTIF(Avril[4],CléDemiRécupération)/2)+COUNTIF(Avril[4],CléFormation)+(COUNTIF(Avril[4],CléEnfantMalade)+(COUNTIF(Avril[4],CléDemiEnfantMalade)/2)))</totalsRowFormula>
    </tableColumn>
    <tableColumn id="6" xr3:uid="{E4EBF784-45C3-464E-9F32-CBD35D392B36}" name="5" totalsRowFunction="custom" dataDxfId="1177" totalsRowDxfId="1176">
      <totalsRowFormula>COUNTIF(Avril[5],CléCongé)+(COUNTIF(Avril[5],CléCongéSpécial)+COUNTIF(Avril[5],CléRTT)+(COUNTIF(Avril[5],CléDemiRtt)/2)+COUNTIF(Avril[5],CléCongéMalade)+COUNTIF(Avril[5],CléRécupération)+(COUNTIF(Avril[5],CléDemiRécupération)/2)+COUNTIF(Avril[5],CléFormation)+(COUNTIF(Avril[5],CléEnfantMalade)+(COUNTIF(Avril[5],CléDemiEnfantMalade)/2)))</totalsRowFormula>
    </tableColumn>
    <tableColumn id="7" xr3:uid="{1E8170AB-5333-544A-86B3-9694D143303E}" name="6" totalsRowFunction="custom" dataDxfId="1175" totalsRowDxfId="1174">
      <totalsRowFormula>COUNTIF(Avril[6],CléCongé)+(COUNTIF(Avril[6],CléCongéSpécial)+COUNTIF(Avril[6],CléRTT)+(COUNTIF(Avril[6],CléDemiRtt)/2)+COUNTIF(Avril[6],CléCongéMalade)+COUNTIF(Avril[6],CléRécupération)+(COUNTIF(Avril[6],CléDemiRécupération)/2)+COUNTIF(Avril[6],CléFormation)+(COUNTIF(Avril[6],CléEnfantMalade)+(COUNTIF(Avril[6],CléDemiEnfantMalade)/2)))</totalsRowFormula>
    </tableColumn>
    <tableColumn id="8" xr3:uid="{B2F3828B-BEFF-3949-8C60-F5AEC718C668}" name="7" totalsRowFunction="custom" dataDxfId="1173" totalsRowDxfId="1172">
      <totalsRowFormula>COUNTIF(Avril[7],CléCongé)+(COUNTIF(Avril[7],CléCongéSpécial)+COUNTIF(Avril[7],CléRTT)+(COUNTIF(Avril[7],CléDemiRtt)/2)+COUNTIF(Avril[7],CléCongéMalade)+COUNTIF(Avril[7],CléRécupération)+(COUNTIF(Avril[7],CléDemiRécupération)/2)+COUNTIF(Avril[7],CléFormation)+(COUNTIF(Avril[7],CléEnfantMalade)+(COUNTIF(Avril[7],CléDemiEnfantMalade)/2)))</totalsRowFormula>
    </tableColumn>
    <tableColumn id="9" xr3:uid="{4CD828FC-1328-FA41-B111-5C9DFE0128D3}" name="8" totalsRowFunction="custom" dataDxfId="1171" totalsRowDxfId="1170">
      <totalsRowFormula>COUNTIF(Avril[8],CléCongé)+(COUNTIF(Avril[8],CléCongéSpécial)+COUNTIF(Avril[8],CléRTT)+(COUNTIF(Avril[8],CléDemiRtt)/2)+COUNTIF(Avril[8],CléCongéMalade)+COUNTIF(Avril[8],CléRécupération)+(COUNTIF(Avril[8],CléDemiRécupération)/2)+COUNTIF(Avril[8],CléFormation)+(COUNTIF(Avril[8],CléEnfantMalade)+(COUNTIF(Avril[8],CléDemiEnfantMalade)/2)))</totalsRowFormula>
    </tableColumn>
    <tableColumn id="10" xr3:uid="{8F64A164-E1E9-4C42-839F-CA4395610AD7}" name="9" totalsRowFunction="custom" dataDxfId="1169" totalsRowDxfId="1168">
      <totalsRowFormula>COUNTIF(Avril[9],CléCongé)+(COUNTIF(Avril[9],CléCongéSpécial)+COUNTIF(Avril[9],CléRTT)+(COUNTIF(Avril[9],CléDemiRtt)/2)+COUNTIF(Avril[9],CléCongéMalade)+COUNTIF(Avril[9],CléRécupération)+(COUNTIF(Avril[9],CléDemiRécupération)/2)+COUNTIF(Avril[9],CléFormation)+(COUNTIF(Avril[9],CléEnfantMalade)+(COUNTIF(Avril[9],CléDemiEnfantMalade)/2)))</totalsRowFormula>
    </tableColumn>
    <tableColumn id="11" xr3:uid="{1C43D3AF-7290-B34B-93D5-BB7BEA995EF7}" name="10" totalsRowFunction="custom" dataDxfId="1167" totalsRowDxfId="1166">
      <totalsRowFormula>COUNTIF(Avril[10],CléCongé)+(COUNTIF(Avril[10],CléCongéSpécial)+COUNTIF(Avril[10],CléRTT)+(COUNTIF(Avril[10],CléDemiRtt)/2)+COUNTIF(Avril[10],CléCongéMalade)+COUNTIF(Avril[10],CléRécupération)+(COUNTIF(Avril[10],CléDemiRécupération)/2)+COUNTIF(Avril[10],CléFormation)+(COUNTIF(Avril[10],CléEnfantMalade)+(COUNTIF(Avril[10],CléDemiEnfantMalade)/2)))</totalsRowFormula>
    </tableColumn>
    <tableColumn id="12" xr3:uid="{7B138B67-DE92-064A-A105-D6B4110BB6C7}" name="11" totalsRowFunction="custom" dataDxfId="1165" totalsRowDxfId="1164">
      <totalsRowFormula>COUNTIF(Avril[11],CléCongé)+(COUNTIF(Avril[11],CléCongéSpécial)+COUNTIF(Avril[11],CléRTT)+(COUNTIF(Avril[11],CléDemiRtt)/2)+COUNTIF(Avril[11],CléCongéMalade)+COUNTIF(Avril[11],CléRécupération)+(COUNTIF(Avril[11],CléDemiRécupération)/2)+COUNTIF(Avril[11],CléFormation)+(COUNTIF(Avril[11],CléEnfantMalade)+(COUNTIF(Avril[11],CléDemiEnfantMalade)/2)))</totalsRowFormula>
    </tableColumn>
    <tableColumn id="13" xr3:uid="{062A2994-87E4-B640-9F90-B165D7E5ED69}" name="12" totalsRowFunction="custom" dataDxfId="1163" totalsRowDxfId="1162">
      <totalsRowFormula>COUNTIF(Avril[12],CléCongé)+(COUNTIF(Avril[12],CléCongéSpécial)+COUNTIF(Avril[12],CléRTT)+(COUNTIF(Avril[12],CléDemiRtt)/2)+COUNTIF(Avril[12],CléCongéMalade)+COUNTIF(Avril[12],CléRécupération)+(COUNTIF(Avril[12],CléDemiRécupération)/2)+COUNTIF(Avril[12],CléFormation)+(COUNTIF(Avril[12],CléEnfantMalade)+(COUNTIF(Avril[12],CléDemiEnfantMalade)/2)))</totalsRowFormula>
    </tableColumn>
    <tableColumn id="14" xr3:uid="{C71ACA55-B20B-DF49-A57F-D8BB73239F6F}" name="13" totalsRowFunction="custom" dataDxfId="1161" totalsRowDxfId="1160">
      <totalsRowFormula>COUNTIF(Avril[13],CléCongé)+(COUNTIF(Avril[13],CléCongéSpécial)+COUNTIF(Avril[13],CléRTT)+(COUNTIF(Avril[13],CléDemiRtt)/2)+COUNTIF(Avril[13],CléCongéMalade)+COUNTIF(Avril[13],CléRécupération)+(COUNTIF(Avril[13],CléDemiRécupération)/2)+COUNTIF(Avril[13],CléFormation)+(COUNTIF(Avril[13],CléEnfantMalade)+(COUNTIF(Avril[13],CléDemiEnfantMalade)/2)))</totalsRowFormula>
    </tableColumn>
    <tableColumn id="15" xr3:uid="{A10371EC-CAC8-B34A-B382-CDCD9FC4FE13}" name="14" totalsRowFunction="custom" dataDxfId="1159" totalsRowDxfId="1158">
      <totalsRowFormula>COUNTIF(Avril[14],CléCongé)+(COUNTIF(Avril[14],CléCongéSpécial)+COUNTIF(Avril[14],CléRTT)+(COUNTIF(Avril[14],CléDemiRtt)/2)+COUNTIF(Avril[14],CléCongéMalade)+COUNTIF(Avril[14],CléRécupération)+(COUNTIF(Avril[14],CléDemiRécupération)/2)+COUNTIF(Avril[14],CléFormation)+(COUNTIF(Avril[14],CléEnfantMalade)+(COUNTIF(Avril[14],CléDemiEnfantMalade)/2)))</totalsRowFormula>
    </tableColumn>
    <tableColumn id="16" xr3:uid="{A0ABF739-0A2C-684D-8695-B63CD14B0F07}" name="15" totalsRowFunction="custom" dataDxfId="1157" totalsRowDxfId="1156">
      <totalsRowFormula>COUNTIF(Avril[15],CléCongé)+(COUNTIF(Avril[15],CléCongéSpécial)+COUNTIF(Avril[15],CléRTT)+(COUNTIF(Avril[15],CléDemiRtt)/2)+COUNTIF(Avril[15],CléCongéMalade)+COUNTIF(Avril[15],CléRécupération)+(COUNTIF(Avril[15],CléDemiRécupération)/2)+COUNTIF(Avril[15],CléFormation)+(COUNTIF(Avril[15],CléEnfantMalade)+(COUNTIF(Avril[15],CléDemiEnfantMalade)/2)))</totalsRowFormula>
    </tableColumn>
    <tableColumn id="17" xr3:uid="{A1384DF6-0FF8-3648-B143-A2C65B333630}" name="16" totalsRowFunction="custom" dataDxfId="1155" totalsRowDxfId="1154">
      <totalsRowFormula>COUNTIF(Avril[16],CléCongé)+(COUNTIF(Avril[16],CléCongéSpécial)+COUNTIF(Avril[16],CléRTT)+(COUNTIF(Avril[16],CléDemiRtt)/2)+COUNTIF(Avril[16],CléCongéMalade)+COUNTIF(Avril[16],CléRécupération)+(COUNTIF(Avril[16],CléDemiRécupération)/2)+COUNTIF(Avril[16],CléFormation)+(COUNTIF(Avril[16],CléEnfantMalade)+(COUNTIF(Avril[16],CléDemiEnfantMalade)/2)))</totalsRowFormula>
    </tableColumn>
    <tableColumn id="18" xr3:uid="{A47C6C61-E74F-EE44-BA89-254F42E9D634}" name="17" totalsRowFunction="custom" dataDxfId="1153" totalsRowDxfId="1152">
      <totalsRowFormula>COUNTIF(Avril[17],CléCongé)+(COUNTIF(Avril[17],CléCongéSpécial)+COUNTIF(Avril[17],CléRTT)+(COUNTIF(Avril[17],CléDemiRtt)/2)+COUNTIF(Avril[17],CléCongéMalade)+COUNTIF(Avril[17],CléRécupération)+(COUNTIF(Avril[17],CléDemiRécupération)/2)+COUNTIF(Avril[17],CléFormation)+(COUNTIF(Avril[17],CléEnfantMalade)+(COUNTIF(Avril[17],CléDemiEnfantMalade)/2)))</totalsRowFormula>
    </tableColumn>
    <tableColumn id="19" xr3:uid="{8F21111F-59DE-E140-8CED-D0036C69FCE5}" name="18" totalsRowFunction="custom" dataDxfId="1151" totalsRowDxfId="1150">
      <totalsRowFormula>COUNTIF(Avril[18],CléCongé)+(COUNTIF(Avril[18],CléCongéSpécial)+COUNTIF(Avril[18],CléRTT)+(COUNTIF(Avril[18],CléDemiRtt)/2)+COUNTIF(Avril[18],CléCongéMalade)+COUNTIF(Avril[18],CléRécupération)+(COUNTIF(Avril[18],CléDemiRécupération)/2)+COUNTIF(Avril[18],CléFormation)+(COUNTIF(Avril[18],CléEnfantMalade)+(COUNTIF(Avril[18],CléDemiEnfantMalade)/2)))</totalsRowFormula>
    </tableColumn>
    <tableColumn id="20" xr3:uid="{4DBF88FC-E75F-5C4B-9692-E1D9BA5E8D99}" name="19" totalsRowFunction="custom" dataDxfId="1149" totalsRowDxfId="1148">
      <totalsRowFormula>COUNTIF(Avril[19],CléCongé)+(COUNTIF(Avril[19],CléCongéSpécial)+COUNTIF(Avril[19],CléRTT)+(COUNTIF(Avril[19],CléDemiRtt)/2)+COUNTIF(Avril[19],CléCongéMalade)+COUNTIF(Avril[19],CléRécupération)+(COUNTIF(Avril[19],CléDemiRécupération)/2)+COUNTIF(Avril[19],CléFormation)+(COUNTIF(Avril[19],CléEnfantMalade)+(COUNTIF(Avril[19],CléDemiEnfantMalade)/2)))</totalsRowFormula>
    </tableColumn>
    <tableColumn id="21" xr3:uid="{C2DE251A-4A56-6244-8E9B-ACFF06895D03}" name="20" totalsRowFunction="custom" dataDxfId="1147" totalsRowDxfId="1146">
      <totalsRowFormula>COUNTIF(Avril[20],CléCongé)+(COUNTIF(Avril[20],CléCongéSpécial)+COUNTIF(Avril[20],CléRTT)+(COUNTIF(Avril[20],CléDemiRtt)/2)+COUNTIF(Avril[20],CléCongéMalade)+COUNTIF(Avril[20],CléRécupération)+(COUNTIF(Avril[20],CléDemiRécupération)/2)+COUNTIF(Avril[20],CléFormation)+(COUNTIF(Avril[20],CléEnfantMalade)+(COUNTIF(Avril[20],CléDemiEnfantMalade)/2)))</totalsRowFormula>
    </tableColumn>
    <tableColumn id="22" xr3:uid="{5B95F092-DDEF-6748-AB12-A4EADDCBC7A0}" name="21" totalsRowFunction="custom" dataDxfId="1145" totalsRowDxfId="1144">
      <totalsRowFormula>COUNTIF(Avril[21],CléCongé)+(COUNTIF(Avril[21],CléCongéSpécial)+COUNTIF(Avril[21],CléRTT)+(COUNTIF(Avril[21],CléDemiRtt)/2)+COUNTIF(Avril[21],CléCongéMalade)+COUNTIF(Avril[21],CléRécupération)+(COUNTIF(Avril[21],CléDemiRécupération)/2)+COUNTIF(Avril[21],CléFormation)+(COUNTIF(Avril[21],CléEnfantMalade)+(COUNTIF(Avril[21],CléDemiEnfantMalade)/2)))</totalsRowFormula>
    </tableColumn>
    <tableColumn id="23" xr3:uid="{B781CF50-B69D-1542-8FAF-187B840D9A7A}" name="22" totalsRowFunction="custom" dataDxfId="1143" totalsRowDxfId="1142">
      <totalsRowFormula>COUNTIF(Avril[22],CléCongé)+(COUNTIF(Avril[22],CléCongéSpécial)+COUNTIF(Avril[22],CléRTT)+(COUNTIF(Avril[22],CléDemiRtt)/2)+COUNTIF(Avril[22],CléCongéMalade)+COUNTIF(Avril[22],CléRécupération)+(COUNTIF(Avril[22],CléDemiRécupération)/2)+COUNTIF(Avril[22],CléFormation)+(COUNTIF(Avril[22],CléEnfantMalade)+(COUNTIF(Avril[22],CléDemiEnfantMalade)/2)))</totalsRowFormula>
    </tableColumn>
    <tableColumn id="24" xr3:uid="{51CCF0E7-5573-3A46-98C7-5F5B542D05C5}" name="23" totalsRowFunction="custom" dataDxfId="1141" totalsRowDxfId="1140">
      <totalsRowFormula>COUNTIF(Avril[23],CléCongé)+(COUNTIF(Avril[23],CléCongéSpécial)+COUNTIF(Avril[23],CléRTT)+(COUNTIF(Avril[23],CléDemiRtt)/2)+COUNTIF(Avril[23],CléCongéMalade)+COUNTIF(Avril[23],CléRécupération)+(COUNTIF(Avril[23],CléDemiRécupération)/2)+COUNTIF(Avril[23],CléFormation)+(COUNTIF(Avril[23],CléEnfantMalade)+(COUNTIF(Avril[23],CléDemiEnfantMalade)/2)))</totalsRowFormula>
    </tableColumn>
    <tableColumn id="25" xr3:uid="{5D850AC2-FCE5-CB4D-873E-E3ED130F5D97}" name="24" totalsRowFunction="custom" dataDxfId="1139" totalsRowDxfId="1138">
      <totalsRowFormula>COUNTIF(Avril[24],CléCongé)+(COUNTIF(Avril[24],CléCongéSpécial)+COUNTIF(Avril[24],CléRTT)+(COUNTIF(Avril[24],CléDemiRtt)/2)+COUNTIF(Avril[24],CléCongéMalade)+COUNTIF(Avril[24],CléRécupération)+(COUNTIF(Avril[24],CléDemiRécupération)/2)+COUNTIF(Avril[24],CléFormation)+(COUNTIF(Avril[24],CléEnfantMalade)+(COUNTIF(Avril[24],CléDemiEnfantMalade)/2)))</totalsRowFormula>
    </tableColumn>
    <tableColumn id="26" xr3:uid="{9DAC898E-4971-454A-975A-38A8F354B6FE}" name="25" totalsRowFunction="custom" dataDxfId="1137" totalsRowDxfId="1136">
      <totalsRowFormula>COUNTIF(Avril[25],CléCongé)+(COUNTIF(Avril[25],CléCongéSpécial)+COUNTIF(Avril[25],CléRTT)+(COUNTIF(Avril[25],CléDemiRtt)/2)+COUNTIF(Avril[25],CléCongéMalade)+COUNTIF(Avril[25],CléRécupération)+(COUNTIF(Avril[25],CléDemiRécupération)/2)+COUNTIF(Avril[25],CléFormation)+(COUNTIF(Avril[25],CléEnfantMalade)+(COUNTIF(Avril[25],CléDemiEnfantMalade)/2)))</totalsRowFormula>
    </tableColumn>
    <tableColumn id="27" xr3:uid="{467C37D0-2B24-4648-BC1C-C126A5FB0C5F}" name="26" totalsRowFunction="custom" dataDxfId="1135" totalsRowDxfId="1134">
      <totalsRowFormula>COUNTIF(Avril[26],CléCongé)+(COUNTIF(Avril[26],CléCongéSpécial)+COUNTIF(Avril[26],CléRTT)+(COUNTIF(Avril[26],CléDemiRtt)/2)+COUNTIF(Avril[26],CléCongéMalade)+COUNTIF(Avril[26],CléRécupération)+(COUNTIF(Avril[26],CléDemiRécupération)/2)+COUNTIF(Avril[26],CléFormation)+(COUNTIF(Avril[26],CléEnfantMalade)+(COUNTIF(Avril[26],CléDemiEnfantMalade)/2)))</totalsRowFormula>
    </tableColumn>
    <tableColumn id="28" xr3:uid="{8B6D06CB-EA41-1A41-825C-2219DBDC3726}" name="27" totalsRowFunction="custom" dataDxfId="1133" totalsRowDxfId="1132">
      <totalsRowFormula>COUNTIF(Avril[27],CléCongé)+(COUNTIF(Avril[27],CléCongéSpécial)+COUNTIF(Avril[27],CléRTT)+(COUNTIF(Avril[27],CléDemiRtt)/2)+COUNTIF(Avril[27],CléCongéMalade)+COUNTIF(Avril[27],CléRécupération)+(COUNTIF(Avril[27],CléDemiRécupération)/2)+COUNTIF(Avril[27],CléFormation)+(COUNTIF(Avril[27],CléEnfantMalade)+(COUNTIF(Avril[27],CléDemiEnfantMalade)/2)))</totalsRowFormula>
    </tableColumn>
    <tableColumn id="29" xr3:uid="{C64CE4BC-77EA-DC4F-AD2A-AC6102E5B036}" name="28" totalsRowFunction="custom" dataDxfId="1131" totalsRowDxfId="1130">
      <totalsRowFormula>COUNTIF(Avril[28],CléCongé)+(COUNTIF(Avril[28],CléCongéSpécial)+COUNTIF(Avril[28],CléRTT)+(COUNTIF(Avril[28],CléDemiRtt)/2)+COUNTIF(Avril[28],CléCongéMalade)+COUNTIF(Avril[28],CléRécupération)+(COUNTIF(Avril[28],CléDemiRécupération)/2)+COUNTIF(Avril[28],CléFormation)+(COUNTIF(Avril[28],CléEnfantMalade)+(COUNTIF(Avril[28],CléDemiEnfantMalade)/2)))</totalsRowFormula>
    </tableColumn>
    <tableColumn id="30" xr3:uid="{0630DB41-1ABF-0848-807C-4B56F3E10783}" name="29" totalsRowFunction="custom" dataDxfId="1129" totalsRowDxfId="1128">
      <totalsRowFormula>COUNTIF(Avril[29],CléCongé)+(COUNTIF(Avril[29],CléCongéSpécial)+COUNTIF(Avril[29],CléRTT)+(COUNTIF(Avril[29],CléDemiRtt)/2)+COUNTIF(Avril[29],CléCongéMalade)+COUNTIF(Avril[29],CléRécupération)+(COUNTIF(Avril[29],CléDemiRécupération)/2)+COUNTIF(Avril[29],CléFormation)+(COUNTIF(Avril[29],CléEnfantMalade)+(COUNTIF(Avril[29],CléDemiEnfantMalade)/2)))</totalsRowFormula>
    </tableColumn>
    <tableColumn id="31" xr3:uid="{C60BB255-641D-E547-900C-B98B4ABC9A06}" name="30" totalsRowFunction="custom" dataDxfId="1127" totalsRowDxfId="1126">
      <totalsRowFormula>COUNTIF(Avril[30],CléCongé)+(COUNTIF(Avril[30],CléCongéSpécial)+COUNTIF(Avril[30],CléRTT)+(COUNTIF(Avril[30],CléDemiRtt)/2)+COUNTIF(Avril[30],CléCongéMalade)+COUNTIF(Avril[30],CléRécupération)+(COUNTIF(Avril[30],CléDemiRécupération)/2)+COUNTIF(Avril[30],CléFormation)+(COUNTIF(Avril[30],CléEnfantMalade)+(COUNTIF(Avril[30],CléDemiEnfantMalade)/2)))</totalsRowFormula>
    </tableColumn>
    <tableColumn id="32" xr3:uid="{238CF7AA-387C-8C46-AFB0-BB0CB7BDCF2C}" name=" " totalsRowFunction="custom" dataDxfId="1125" totalsRowDxfId="1124">
      <totalsRowFormula>COUNTIF(Avril[[ ]],CléCongé)+(COUNTIF(Avril[[ ]],CléCongéSpécial)+COUNTIF(Avril[[ ]],CléRTT)+(COUNTIF(Avril[[ ]],CléDemiRtt)/2)+COUNTIF(Avril[[ ]],CléCongéMalade)+COUNTIF(Avril[[ ]],CléRécupération)+(COUNTIF(Avril[[ ]],CléDemiRécupération)/2)+COUNTIF(Avril[[ ]],CléFormation)+(COUNTIF(Avril[[ ]],CléEnfantMalade)+(COUNTIF(Avril[[ ]],CléDemiEnfantMalade)/2)))</totalsRowFormula>
    </tableColumn>
    <tableColumn id="33" xr3:uid="{E58BA157-E637-E14F-8A96-31B248DE3B49}" name="Total absence" totalsRowFunction="sum" dataDxfId="1123" totalsRowDxfId="1122" dataCellStyle="Total">
      <calculatedColumnFormula>(COUNTIF(C8:AG8,CléCongé)+(COUNTIF(C8:AG8,CléEnfantMalade)+COUNTIF(C8:AG8,CléRTT)+COUNTIF(C8:AG8,CléCongéMalade)+COUNTIF(C8:AG8,CléRécupération)+COUNTIF(C8:AG8,CléFormation)+COUNTIF(C8:AG8,CléTélétravail-1)+COUNTIF(C8:AG8,CléCongéSpécial)+COUNTIF(C8:AG8,CléPrésenceExceptionnelle-1)+COUNTIF(C8:AG8,CléDemiRtt)/2)+COUNTIF(C8:AG8,CléDemiRécupération)/2)+COUNTIF(C8:AG8,CléDemiEnfantMalade)/2</calculatedColumnFormula>
    </tableColumn>
    <tableColumn id="34" xr3:uid="{2B60855F-8D20-4140-889B-3C10C29F4571}" name="Dont RTT" totalsRowFunction="sum" dataDxfId="1121" totalsRowDxfId="1120" dataCellStyle="Total">
      <calculatedColumnFormula>COUNTIF(C8:AG8,CléRTT)+COUNTIF(C8:AG8,CléDemiRtt)/2</calculatedColumnFormula>
    </tableColumn>
    <tableColumn id="36" xr3:uid="{D0B81199-B486-0A45-9E65-C110A05DA69E}" name="Dont MALADIE" totalsRowFunction="sum" dataDxfId="1119" totalsRowDxfId="1118" dataCellStyle="Total">
      <calculatedColumnFormula>COUNTIF(C8:AG8,$S$3)</calculatedColumnFormula>
    </tableColumn>
    <tableColumn id="35" xr3:uid="{CC72EE0F-3B4D-D947-BCD7-36D0EF43EBE8}" name="Solde RTT disponible au 01/05/2021" dataDxfId="1117" totalsRowDxfId="1116">
      <calculatedColumnFormula>Fevrier!AK8-Mars[[#This Row],[Dont RTT]]+2</calculatedColumnFormula>
    </tableColumn>
  </tableColumns>
  <tableStyleInfo name="Tableau des absences des employés" showFirstColumn="1" showLastColumn="1" showRowStripes="1" showColumnStripes="0"/>
  <extLst>
    <ext xmlns:x14="http://schemas.microsoft.com/office/spreadsheetml/2009/9/main" uri="{504A1905-F514-4f6f-8877-14C23A59335A}">
      <x14:table altTextSummary="Entrez les noms des employés et les dates d’absence. Enregistrez le motif d’absence à l’aide des clés figurant dans la ligne 12 : C=Congé, M=Maladie, P=Personnel, et deux espaces réservés pour des entrées personnalisées"/>
    </ext>
  </extLst>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D501CCB3-9FBA-9046-AD29-A9D5CF20D6D0}" name="Mai" displayName="Mai" ref="B7:AK19" totalsRowCount="1" headerRowDxfId="1115" totalsRowDxfId="1114">
  <tableColumns count="36">
    <tableColumn id="1" xr3:uid="{A487B09C-1203-7242-85FD-7D5F1D19EB7A}" name="Nom de l’employé" totalsRowFunction="custom" dataDxfId="1113" totalsRowDxfId="1112" dataCellStyle="Employé">
      <totalsRowFormula>NomMois&amp;" Total"</totalsRowFormula>
    </tableColumn>
    <tableColumn id="2" xr3:uid="{BDFAA776-6AF9-0E4E-AA3B-2894D425BFBA}" name="1" totalsRowFunction="custom" dataDxfId="1111" totalsRowDxfId="1110">
      <totalsRowFormula>COUNTIF(Mai[1],CléCongé)+(COUNTIF(Mai[1],CléCongéSpécial)+COUNTIF(Mai[1],CléRTT)+(COUNTIF(Mai[1],CléDemiRtt)/2)+COUNTIF(Mai[1],CléCongéMalade)+COUNTIF(Mai[1],CléRécupération)+(COUNTIF(Mai[1],CléDemiRécupération)/2)+COUNTIF(Mai[1],CléFormation)+(COUNTIF(Mai[1],CléEnfantMalade)+(COUNTIF(Mai[1],CléDemiEnfantMalade)/2)))</totalsRowFormula>
    </tableColumn>
    <tableColumn id="3" xr3:uid="{B3EA5EFD-A7BE-BB4B-9538-AB7F2F59CCB9}" name="2" totalsRowFunction="custom" dataDxfId="1109" totalsRowDxfId="1108">
      <totalsRowFormula>COUNTIF(Mai[2],CléCongé)+(COUNTIF(Mai[2],CléCongéSpécial)+COUNTIF(Mai[2],CléRTT)+(COUNTIF(Mai[2],CléDemiRtt)/2)+COUNTIF(Mai[2],CléCongéMalade)+COUNTIF(Mai[2],CléRécupération)+(COUNTIF(Mai[2],CléDemiRécupération)/2)+COUNTIF(Mai[2],CléFormation)+(COUNTIF(Mai[2],CléEnfantMalade)+(COUNTIF(Mai[2],CléDemiEnfantMalade)/2)))</totalsRowFormula>
    </tableColumn>
    <tableColumn id="4" xr3:uid="{746017AA-418A-2647-A9CA-8AC8272791B0}" name="3" totalsRowFunction="custom" dataDxfId="1107" totalsRowDxfId="1106">
      <totalsRowFormula>COUNTIF(Mai[3],CléCongé)+(COUNTIF(Mai[3],CléCongéSpécial)+COUNTIF(Mai[3],CléRTT)+(COUNTIF(Mai[3],CléDemiRtt)/2)+COUNTIF(Mai[3],CléCongéMalade)+COUNTIF(Mai[3],CléRécupération)+(COUNTIF(Mai[3],CléDemiRécupération)/2)+COUNTIF(Mai[3],CléFormation)+(COUNTIF(Mai[3],CléEnfantMalade)+(COUNTIF(Mai[3],CléDemiEnfantMalade)/2)))</totalsRowFormula>
    </tableColumn>
    <tableColumn id="5" xr3:uid="{3738A34A-F40F-FA46-93F2-A8E13304B84E}" name="4" totalsRowFunction="custom" dataDxfId="1105" totalsRowDxfId="1104">
      <totalsRowFormula>COUNTIF(Mai[4],CléCongé)+(COUNTIF(Mai[4],CléCongéSpécial)+COUNTIF(Mai[4],CléRTT)+(COUNTIF(Mai[4],CléDemiRtt)/2)+COUNTIF(Mai[4],CléCongéMalade)+COUNTIF(Mai[4],CléRécupération)+(COUNTIF(Mai[4],CléDemiRécupération)/2)+COUNTIF(Mai[4],CléFormation)+(COUNTIF(Mai[4],CléEnfantMalade)+(COUNTIF(Mai[4],CléDemiEnfantMalade)/2)))</totalsRowFormula>
    </tableColumn>
    <tableColumn id="6" xr3:uid="{1C9245C3-FBC7-6344-8F34-E608A7E0AC48}" name="5" totalsRowFunction="custom" dataDxfId="1103" totalsRowDxfId="1102">
      <totalsRowFormula>COUNTIF(Mai[5],CléCongé)+(COUNTIF(Mai[5],CléCongéSpécial)+COUNTIF(Mai[5],CléRTT)+(COUNTIF(Mai[5],CléDemiRtt)/2)+COUNTIF(Mai[5],CléCongéMalade)+COUNTIF(Mai[5],CléRécupération)+(COUNTIF(Mai[5],CléDemiRécupération)/2)+COUNTIF(Mai[5],CléFormation)+(COUNTIF(Mai[5],CléEnfantMalade)+(COUNTIF(Mai[5],CléDemiEnfantMalade)/2)))</totalsRowFormula>
    </tableColumn>
    <tableColumn id="7" xr3:uid="{6D4B2E9E-64C4-0942-B7DA-2DFCEF050944}" name="6" totalsRowFunction="custom" dataDxfId="1101" totalsRowDxfId="1100">
      <totalsRowFormula>COUNTIF(Mai[6],CléCongé)+(COUNTIF(Mai[6],CléCongéSpécial)+COUNTIF(Mai[6],CléRTT)+(COUNTIF(Mai[6],CléDemiRtt)/2)+COUNTIF(Mai[6],CléCongéMalade)+COUNTIF(Mai[6],CléRécupération)+(COUNTIF(Mai[6],CléDemiRécupération)/2)+COUNTIF(Mai[6],CléFormation)+(COUNTIF(Mai[6],CléEnfantMalade)+(COUNTIF(Mai[6],CléDemiEnfantMalade)/2)))</totalsRowFormula>
    </tableColumn>
    <tableColumn id="8" xr3:uid="{6ABBDFBA-DBC8-2D41-B0F4-A52D76B4643E}" name="7" totalsRowFunction="custom" dataDxfId="1099" totalsRowDxfId="1098">
      <totalsRowFormula>COUNTIF(Mai[7],CléCongé)+(COUNTIF(Mai[7],CléCongéSpécial)+COUNTIF(Mai[7],CléRTT)+(COUNTIF(Mai[7],CléDemiRtt)/2)+COUNTIF(Mai[7],CléCongéMalade)+COUNTIF(Mai[7],CléRécupération)+(COUNTIF(Mai[7],CléDemiRécupération)/2)+COUNTIF(Mai[7],CléFormation)+(COUNTIF(Mai[7],CléEnfantMalade)+(COUNTIF(Mai[7],CléDemiEnfantMalade)/2)))</totalsRowFormula>
    </tableColumn>
    <tableColumn id="9" xr3:uid="{45CFC1ED-5D6C-C048-B5D3-6F234C016FA6}" name="8" totalsRowFunction="custom" dataDxfId="1097" totalsRowDxfId="1096">
      <totalsRowFormula>COUNTIF(Mai[8],CléCongé)+(COUNTIF(Mai[8],CléCongéSpécial)+COUNTIF(Mai[8],CléRTT)+(COUNTIF(Mai[8],CléDemiRtt)/2)+COUNTIF(Mai[8],CléCongéMalade)+COUNTIF(Mai[8],CléRécupération)+(COUNTIF(Mai[8],CléDemiRécupération)/2)+COUNTIF(Mai[8],CléFormation)+(COUNTIF(Mai[8],CléEnfantMalade)+(COUNTIF(Mai[8],CléDemiEnfantMalade)/2)))</totalsRowFormula>
    </tableColumn>
    <tableColumn id="10" xr3:uid="{7219529E-EA76-F043-A920-9881BFB3D365}" name="9" totalsRowFunction="custom" dataDxfId="1095" totalsRowDxfId="1094">
      <totalsRowFormula>COUNTIF(Mai[9],CléCongé)+(COUNTIF(Mai[9],CléCongéSpécial)+COUNTIF(Mai[9],CléRTT)+(COUNTIF(Mai[9],CléDemiRtt)/2)+COUNTIF(Mai[9],CléCongéMalade)+COUNTIF(Mai[9],CléRécupération)+(COUNTIF(Mai[9],CléDemiRécupération)/2)+COUNTIF(Mai[9],CléFormation)+(COUNTIF(Mai[9],CléEnfantMalade)+(COUNTIF(Mai[9],CléDemiEnfantMalade)/2)))</totalsRowFormula>
    </tableColumn>
    <tableColumn id="11" xr3:uid="{C5BB23E7-1DF6-CB4F-87A1-40616FDB2BE6}" name="10" totalsRowFunction="custom" dataDxfId="1093" totalsRowDxfId="1092">
      <totalsRowFormula>COUNTIF(Mai[10],CléCongé)+(COUNTIF(Mai[10],CléCongéSpécial)+COUNTIF(Mai[10],CléRTT)+(COUNTIF(Mai[10],CléDemiRtt)/2)+COUNTIF(Mai[10],CléCongéMalade)+COUNTIF(Mai[10],CléRécupération)+(COUNTIF(Mai[10],CléDemiRécupération)/2)+COUNTIF(Mai[10],CléFormation)+(COUNTIF(Mai[10],CléEnfantMalade)+(COUNTIF(Mai[10],CléDemiEnfantMalade)/2)))</totalsRowFormula>
    </tableColumn>
    <tableColumn id="12" xr3:uid="{8AD664E6-1A00-844A-B05D-3DD8AB509CF5}" name="11" totalsRowFunction="custom" dataDxfId="1091" totalsRowDxfId="1090">
      <totalsRowFormula>COUNTIF(Mai[11],CléCongé)+(COUNTIF(Mai[11],CléCongéSpécial)+COUNTIF(Mai[11],CléRTT)+(COUNTIF(Mai[11],CléDemiRtt)/2)+COUNTIF(Mai[11],CléCongéMalade)+COUNTIF(Mai[11],CléRécupération)+(COUNTIF(Mai[11],CléDemiRécupération)/2)+COUNTIF(Mai[11],CléFormation)+(COUNTIF(Mai[11],CléEnfantMalade)+(COUNTIF(Mai[11],CléDemiEnfantMalade)/2)))</totalsRowFormula>
    </tableColumn>
    <tableColumn id="13" xr3:uid="{A023D3D9-5743-A44F-9BE8-FED8654462F2}" name="12" totalsRowFunction="custom" dataDxfId="1089" totalsRowDxfId="1088">
      <totalsRowFormula>COUNTIF(Mai[12],CléCongé)+(COUNTIF(Mai[12],CléCongéSpécial)+COUNTIF(Mai[12],CléRTT)+(COUNTIF(Mai[12],CléDemiRtt)/2)+COUNTIF(Mai[12],CléCongéMalade)+COUNTIF(Mai[12],CléRécupération)+(COUNTIF(Mai[12],CléDemiRécupération)/2)+COUNTIF(Mai[12],CléFormation)+(COUNTIF(Mai[12],CléEnfantMalade)+(COUNTIF(Mai[12],CléDemiEnfantMalade)/2)))</totalsRowFormula>
    </tableColumn>
    <tableColumn id="14" xr3:uid="{F95752B8-9696-074B-90E1-6AB7BE30B961}" name="13" totalsRowFunction="custom" dataDxfId="1087" totalsRowDxfId="1086">
      <totalsRowFormula>COUNTIF(Mai[13],CléCongé)+(COUNTIF(Mai[13],CléCongéSpécial)+COUNTIF(Mai[13],CléRTT)+(COUNTIF(Mai[13],CléDemiRtt)/2)+COUNTIF(Mai[13],CléCongéMalade)+COUNTIF(Mai[13],CléRécupération)+(COUNTIF(Mai[13],CléDemiRécupération)/2)+COUNTIF(Mai[13],CléFormation)+(COUNTIF(Mai[13],CléEnfantMalade)+(COUNTIF(Mai[13],CléDemiEnfantMalade)/2)))</totalsRowFormula>
    </tableColumn>
    <tableColumn id="15" xr3:uid="{B955CE80-8072-7149-BDF3-E67C3EDBCD4E}" name="14" totalsRowFunction="custom" dataDxfId="1085" totalsRowDxfId="1084">
      <totalsRowFormula>COUNTIF(Mai[14],CléCongé)+(COUNTIF(Mai[14],CléCongéSpécial)+COUNTIF(Mai[14],CléRTT)+(COUNTIF(Mai[14],CléDemiRtt)/2)+COUNTIF(Mai[14],CléCongéMalade)+COUNTIF(Mai[14],CléRécupération)+(COUNTIF(Mai[14],CléDemiRécupération)/2)+COUNTIF(Mai[14],CléFormation)+(COUNTIF(Mai[14],CléEnfantMalade)+(COUNTIF(Mai[14],CléDemiEnfantMalade)/2)))</totalsRowFormula>
    </tableColumn>
    <tableColumn id="16" xr3:uid="{900FAE64-04E7-D946-9C6F-51A525B18143}" name="15" totalsRowFunction="custom" dataDxfId="1083" totalsRowDxfId="1082">
      <totalsRowFormula>COUNTIF(Mai[15],CléCongé)+(COUNTIF(Mai[15],CléCongéSpécial)+COUNTIF(Mai[15],CléRTT)+(COUNTIF(Mai[15],CléDemiRtt)/2)+COUNTIF(Mai[15],CléCongéMalade)+COUNTIF(Mai[15],CléRécupération)+(COUNTIF(Mai[15],CléDemiRécupération)/2)+COUNTIF(Mai[15],CléFormation)+(COUNTIF(Mai[15],CléEnfantMalade)+(COUNTIF(Mai[15],CléDemiEnfantMalade)/2)))</totalsRowFormula>
    </tableColumn>
    <tableColumn id="17" xr3:uid="{AFE1B3DE-9EE3-194C-83CF-059F51A17559}" name="16" totalsRowFunction="custom" dataDxfId="1081" totalsRowDxfId="1080">
      <totalsRowFormula>COUNTIF(Mai[16],CléCongé)+(COUNTIF(Mai[16],CléCongéSpécial)+COUNTIF(Mai[16],CléRTT)+(COUNTIF(Mai[16],CléDemiRtt)/2)+COUNTIF(Mai[16],CléCongéMalade)+COUNTIF(Mai[16],CléRécupération)+(COUNTIF(Mai[16],CléDemiRécupération)/2)+COUNTIF(Mai[16],CléFormation)+(COUNTIF(Mai[16],CléEnfantMalade)+(COUNTIF(Mai[16],CléDemiEnfantMalade)/2)))</totalsRowFormula>
    </tableColumn>
    <tableColumn id="18" xr3:uid="{BEDB06EB-0F53-C84A-95D1-4EAA23A4B2A9}" name="17" totalsRowFunction="custom" dataDxfId="1079" totalsRowDxfId="1078">
      <totalsRowFormula>COUNTIF(Mai[17],CléCongé)+(COUNTIF(Mai[17],CléCongéSpécial)+COUNTIF(Mai[17],CléRTT)+(COUNTIF(Mai[17],CléDemiRtt)/2)+COUNTIF(Mai[17],CléCongéMalade)+COUNTIF(Mai[17],CléRécupération)+(COUNTIF(Mai[17],CléDemiRécupération)/2)+COUNTIF(Mai[17],CléFormation)+(COUNTIF(Mai[17],CléEnfantMalade)+(COUNTIF(Mai[17],CléDemiEnfantMalade)/2)))</totalsRowFormula>
    </tableColumn>
    <tableColumn id="19" xr3:uid="{F770A182-72F1-D043-A3BD-9DF445C04318}" name="18" totalsRowFunction="custom" dataDxfId="1077" totalsRowDxfId="1076">
      <totalsRowFormula>COUNTIF(Mai[18],CléCongé)+(COUNTIF(Mai[18],CléCongéSpécial)+COUNTIF(Mai[18],CléRTT)+(COUNTIF(Mai[18],CléDemiRtt)/2)+COUNTIF(Mai[18],CléCongéMalade)+COUNTIF(Mai[18],CléRécupération)+(COUNTIF(Mai[18],CléDemiRécupération)/2)+COUNTIF(Mai[18],CléFormation)+(COUNTIF(Mai[18],CléEnfantMalade)+(COUNTIF(Mai[18],CléDemiEnfantMalade)/2)))</totalsRowFormula>
    </tableColumn>
    <tableColumn id="20" xr3:uid="{6B8F1CCC-BAB1-9041-AF46-742F96A29E60}" name="19" totalsRowFunction="custom" dataDxfId="1075" totalsRowDxfId="1074">
      <totalsRowFormula>COUNTIF(Mai[19],CléCongé)+(COUNTIF(Mai[19],CléCongéSpécial)+COUNTIF(Mai[19],CléRTT)+(COUNTIF(Mai[19],CléDemiRtt)/2)+COUNTIF(Mai[19],CléCongéMalade)+COUNTIF(Mai[19],CléRécupération)+(COUNTIF(Mai[19],CléDemiRécupération)/2)+COUNTIF(Mai[19],CléFormation)+(COUNTIF(Mai[19],CléEnfantMalade)+(COUNTIF(Mai[19],CléDemiEnfantMalade)/2)))</totalsRowFormula>
    </tableColumn>
    <tableColumn id="21" xr3:uid="{86791F1B-82AA-BF46-B500-83B6FB1058FA}" name="20" totalsRowFunction="custom" dataDxfId="1073" totalsRowDxfId="1072">
      <totalsRowFormula>COUNTIF(Mai[20],CléCongé)+(COUNTIF(Mai[20],CléCongéSpécial)+COUNTIF(Mai[20],CléRTT)+(COUNTIF(Mai[20],CléDemiRtt)/2)+COUNTIF(Mai[20],CléCongéMalade)+COUNTIF(Mai[20],CléRécupération)+(COUNTIF(Mai[20],CléDemiRécupération)/2)+COUNTIF(Mai[20],CléFormation)+(COUNTIF(Mai[20],CléEnfantMalade)+(COUNTIF(Mai[20],CléDemiEnfantMalade)/2)))</totalsRowFormula>
    </tableColumn>
    <tableColumn id="22" xr3:uid="{4CA2FFE3-B164-474E-A9D9-072F4DD269E4}" name="21" totalsRowFunction="custom" dataDxfId="1071" totalsRowDxfId="1070">
      <totalsRowFormula>COUNTIF(Mai[21],CléCongé)+(COUNTIF(Mai[21],CléCongéSpécial)+COUNTIF(Mai[21],CléRTT)+(COUNTIF(Mai[21],CléDemiRtt)/2)+COUNTIF(Mai[21],CléCongéMalade)+COUNTIF(Mai[21],CléRécupération)+(COUNTIF(Mai[21],CléDemiRécupération)/2)+COUNTIF(Mai[21],CléFormation)+(COUNTIF(Mai[21],CléEnfantMalade)+(COUNTIF(Mai[21],CléDemiEnfantMalade)/2)))</totalsRowFormula>
    </tableColumn>
    <tableColumn id="23" xr3:uid="{0AC8C250-B63F-BE4A-A15E-3217E6B76580}" name="22" totalsRowFunction="custom" dataDxfId="1069" totalsRowDxfId="1068">
      <totalsRowFormula>COUNTIF(Mai[22],CléCongé)+(COUNTIF(Mai[22],CléCongéSpécial)+COUNTIF(Mai[22],CléRTT)+(COUNTIF(Mai[22],CléDemiRtt)/2)+COUNTIF(Mai[22],CléCongéMalade)+COUNTIF(Mai[22],CléRécupération)+(COUNTIF(Mai[22],CléDemiRécupération)/2)+COUNTIF(Mai[22],CléFormation)+(COUNTIF(Mai[22],CléEnfantMalade)+(COUNTIF(Mai[22],CléDemiEnfantMalade)/2)))</totalsRowFormula>
    </tableColumn>
    <tableColumn id="24" xr3:uid="{1D0C59A6-1FC2-9741-B3CA-B28C7B130C59}" name="23" totalsRowFunction="custom" dataDxfId="1067" totalsRowDxfId="1066">
      <totalsRowFormula>COUNTIF(Mai[23],CléCongé)+(COUNTIF(Mai[23],CléCongéSpécial)+COUNTIF(Mai[23],CléRTT)+(COUNTIF(Mai[23],CléDemiRtt)/2)+COUNTIF(Mai[23],CléCongéMalade)+COUNTIF(Mai[23],CléRécupération)+(COUNTIF(Mai[23],CléDemiRécupération)/2)+COUNTIF(Mai[23],CléFormation)+(COUNTIF(Mai[23],CléEnfantMalade)+(COUNTIF(Mai[23],CléDemiEnfantMalade)/2)))</totalsRowFormula>
    </tableColumn>
    <tableColumn id="25" xr3:uid="{09399692-8EB1-E448-8E19-471DA2633D2D}" name="24" totalsRowFunction="custom" dataDxfId="1065" totalsRowDxfId="1064">
      <totalsRowFormula>COUNTIF(Mai[24],CléCongé)+(COUNTIF(Mai[24],CléCongéSpécial)+COUNTIF(Mai[24],CléRTT)+(COUNTIF(Mai[24],CléDemiRtt)/2)+COUNTIF(Mai[24],CléCongéMalade)+COUNTIF(Mai[24],CléRécupération)+(COUNTIF(Mai[24],CléDemiRécupération)/2)+COUNTIF(Mai[24],CléFormation)+(COUNTIF(Mai[24],CléEnfantMalade)+(COUNTIF(Mai[24],CléDemiEnfantMalade)/2)))</totalsRowFormula>
    </tableColumn>
    <tableColumn id="26" xr3:uid="{89C2AA7A-D694-B34C-9419-F3D8CAA7F107}" name="25" totalsRowFunction="custom" dataDxfId="1063" totalsRowDxfId="1062">
      <totalsRowFormula>COUNTIF(Mai[25],CléCongé)+(COUNTIF(Mai[25],CléCongéSpécial)+COUNTIF(Mai[25],CléRTT)+(COUNTIF(Mai[25],CléDemiRtt)/2)+COUNTIF(Mai[25],CléCongéMalade)+COUNTIF(Mai[25],CléRécupération)+(COUNTIF(Mai[25],CléDemiRécupération)/2)+COUNTIF(Mai[25],CléFormation)+(COUNTIF(Mai[25],CléEnfantMalade)+(COUNTIF(Mai[25],CléDemiEnfantMalade)/2)))</totalsRowFormula>
    </tableColumn>
    <tableColumn id="27" xr3:uid="{94D8CA31-E8CA-8A44-A6E7-0BF6DA99F370}" name="26" totalsRowFunction="custom" dataDxfId="1061" totalsRowDxfId="1060">
      <totalsRowFormula>COUNTIF(Mai[26],CléCongé)+(COUNTIF(Mai[26],CléCongéSpécial)+COUNTIF(Mai[26],CléRTT)+(COUNTIF(Mai[26],CléDemiRtt)/2)+COUNTIF(Mai[26],CléCongéMalade)+COUNTIF(Mai[26],CléRécupération)+(COUNTIF(Mai[26],CléDemiRécupération)/2)+COUNTIF(Mai[26],CléFormation)+(COUNTIF(Mai[26],CléEnfantMalade)+(COUNTIF(Mai[26],CléDemiEnfantMalade)/2)))</totalsRowFormula>
    </tableColumn>
    <tableColumn id="28" xr3:uid="{AF81227E-151B-5C4B-98E3-BE9836F801AF}" name="27" totalsRowFunction="custom" dataDxfId="1059" totalsRowDxfId="1058">
      <totalsRowFormula>COUNTIF(Mai[27],CléCongé)+(COUNTIF(Mai[27],CléCongéSpécial)+COUNTIF(Mai[27],CléRTT)+(COUNTIF(Mai[27],CléDemiRtt)/2)+COUNTIF(Mai[27],CléCongéMalade)+COUNTIF(Mai[27],CléRécupération)+(COUNTIF(Mai[27],CléDemiRécupération)/2)+COUNTIF(Mai[27],CléFormation)+(COUNTIF(Mai[27],CléEnfantMalade)+(COUNTIF(Mai[27],CléDemiEnfantMalade)/2)))</totalsRowFormula>
    </tableColumn>
    <tableColumn id="29" xr3:uid="{776D0630-3718-8645-AA48-F3FBB3ABABF2}" name="28" totalsRowFunction="custom" dataDxfId="1057" totalsRowDxfId="1056">
      <totalsRowFormula>COUNTIF(Mai[28],CléCongé)+(COUNTIF(Mai[28],CléCongéSpécial)+COUNTIF(Mai[28],CléRTT)+(COUNTIF(Mai[28],CléDemiRtt)/2)+COUNTIF(Mai[28],CléCongéMalade)+COUNTIF(Mai[28],CléRécupération)+(COUNTIF(Mai[28],CléDemiRécupération)/2)+COUNTIF(Mai[28],CléFormation)+(COUNTIF(Mai[28],CléEnfantMalade)+(COUNTIF(Mai[28],CléDemiEnfantMalade)/2)))</totalsRowFormula>
    </tableColumn>
    <tableColumn id="30" xr3:uid="{5E85958A-4214-DE49-8F73-1B66B00AD72B}" name="29" totalsRowFunction="custom" dataDxfId="1055" totalsRowDxfId="1054">
      <totalsRowFormula>COUNTIF(Mai[29],CléCongé)+(COUNTIF(Mai[29],CléCongéSpécial)+COUNTIF(Mai[29],CléRTT)+(COUNTIF(Mai[29],CléDemiRtt)/2)+COUNTIF(Mai[29],CléCongéMalade)+COUNTIF(Mai[29],CléRécupération)+(COUNTIF(Mai[29],CléDemiRécupération)/2)+COUNTIF(Mai[29],CléFormation)+(COUNTIF(Mai[29],CléEnfantMalade)+(COUNTIF(Mai[29],CléDemiEnfantMalade)/2)))</totalsRowFormula>
    </tableColumn>
    <tableColumn id="31" xr3:uid="{CFF4172B-CC9B-B24F-9B40-E24DACBFDF28}" name="30" totalsRowFunction="custom" dataDxfId="1053" totalsRowDxfId="1052">
      <totalsRowFormula>COUNTIF(Mai[30],CléCongé)+(COUNTIF(Mai[30],CléCongéSpécial)+COUNTIF(Mai[30],CléRTT)+(COUNTIF(Mai[30],CléDemiRtt)/2)+COUNTIF(Mai[30],CléCongéMalade)+COUNTIF(Mai[30],CléRécupération)+(COUNTIF(Mai[30],CléDemiRécupération)/2)+COUNTIF(Mai[30],CléFormation)+(COUNTIF(Mai[30],CléEnfantMalade)+(COUNTIF(Mai[30],CléDemiEnfantMalade)/2)))</totalsRowFormula>
    </tableColumn>
    <tableColumn id="32" xr3:uid="{BF7D3C48-C3A0-CE4B-8F3F-174D113528B1}" name="31" totalsRowFunction="custom" dataDxfId="1051" totalsRowDxfId="1050">
      <totalsRowFormula>COUNTIF(Mai[31],CléCongé)+(COUNTIF(Mai[31],CléCongéSpécial)+COUNTIF(Mai[31],CléRTT)+(COUNTIF(Mai[31],CléDemiRtt)/2)+COUNTIF(Mai[31],CléCongéMalade)+COUNTIF(Mai[31],CléRécupération)+(COUNTIF(Mai[31],CléDemiRécupération)/2)+COUNTIF(Mai[31],CléFormation)+(COUNTIF(Mai[31],CléEnfantMalade)+(COUNTIF(Mai[31],CléDemiEnfantMalade)/2)))</totalsRowFormula>
    </tableColumn>
    <tableColumn id="33" xr3:uid="{065B31B4-0E12-F04F-8FD3-192CC575535B}" name="Total absence" totalsRowFunction="sum" dataDxfId="1049" totalsRowDxfId="1048" dataCellStyle="Total">
      <calculatedColumnFormula>(COUNTIF(C8:AG8,CléCongé)+(COUNTIF(C8:AG8,CléEnfantMalade)+COUNTIF(C8:AG8,CléRTT)+COUNTIF(C8:AG8,CléCongéMalade)+COUNTIF(C8:AG8,CléRécupération)+COUNTIF(C8:AG8,CléFormation)+COUNTIF(C8:AG8,CléTélétravail-1)+COUNTIF(C8:AG8,CléCongéSpécial)+COUNTIF(C8:AG8,CléPrésenceExceptionnelle-1)+COUNTIF(C8:AG8,CléDemiRtt)/2)+COUNTIF(C8:AG8,CléDemiRécupération)/2)+COUNTIF(C8:AG8,CléDemiEnfantMalade)/2</calculatedColumnFormula>
    </tableColumn>
    <tableColumn id="34" xr3:uid="{51AA5CBA-36BB-C94F-B469-D74A6BE0D334}" name="Dont RTT" totalsRowFunction="sum" dataDxfId="1047" totalsRowDxfId="1046" dataCellStyle="Total">
      <calculatedColumnFormula>COUNTIF(C8:AG8,"RTT")+COUNTIF(C8:AG8,"DRTT")/2</calculatedColumnFormula>
    </tableColumn>
    <tableColumn id="36" xr3:uid="{75558809-1126-3140-A9D4-7D2C56F650E4}" name="Dont MALADIE" totalsRowFunction="sum" dataDxfId="1045" totalsRowDxfId="1044" dataCellStyle="Total">
      <calculatedColumnFormula>COUNTIF(C8:AG8,$S$3)</calculatedColumnFormula>
    </tableColumn>
    <tableColumn id="35" xr3:uid="{6352C8C6-B4CA-1746-8524-0D306825629A}" name="Solde RTT disponible au 01/06/2021" dataDxfId="1043" totalsRowDxfId="1042">
      <calculatedColumnFormula>Mars!AK8-Mars[[#This Row],[Dont RTT]]+2</calculatedColumnFormula>
    </tableColumn>
  </tableColumns>
  <tableStyleInfo name="Tableau des absences des employés" showFirstColumn="1" showLastColumn="1" showRowStripes="1" showColumnStripes="0"/>
  <extLst>
    <ext xmlns:x14="http://schemas.microsoft.com/office/spreadsheetml/2009/9/main" uri="{504A1905-F514-4f6f-8877-14C23A59335A}">
      <x14:table altTextSummary="Entrez les noms des employés et les dates d’absence. Enregistrez le motif d’absence à l’aide des clés figurant dans la ligne 12 : C=Congé, M=Maladie, P=Personnel, et deux espaces réservés pour des entrées personnalisées"/>
    </ext>
  </extLst>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97E7F423-26CE-364E-937D-BB6A7B76F269}" name="Juin" displayName="Juin" ref="B7:AK19" totalsRowCount="1" headerRowDxfId="1041" totalsRowDxfId="1040">
  <tableColumns count="36">
    <tableColumn id="1" xr3:uid="{BBE1B690-2F32-9142-9CF5-992A824D6D4D}" name="Nom de l’employé" totalsRowFunction="custom" dataDxfId="1039" totalsRowDxfId="1038" dataCellStyle="Employé">
      <totalsRowFormula>NomMois&amp;" Total"</totalsRowFormula>
    </tableColumn>
    <tableColumn id="2" xr3:uid="{414109F0-E0A9-E84A-BC48-0B86230F6F91}" name="1" totalsRowFunction="custom" dataDxfId="1037" totalsRowDxfId="1036">
      <totalsRowFormula>(COUNTIF(C8:C18,"C")+(COUNTIF(C8:C18,"CS")+COUNTIF(C8:C18,"RTT")+(COUNTIF(C8:C18,"DRTT")/2)+COUNTIF(C8:C18,"M")+COUNTIF(C8:C18,"Rec")+(COUNTIF(C8:C18,"Drec")/2)+COUNTIF(C8:C18,"F")+(COUNTIF(C8:C18,"EM")+(COUNTIF(C8:C18,"DEM")/2))))</totalsRowFormula>
    </tableColumn>
    <tableColumn id="3" xr3:uid="{0EBD3E6F-0B8A-A64A-B3B6-16691675766E}" name="2" totalsRowFunction="custom" dataDxfId="1035" totalsRowDxfId="1034">
      <totalsRowFormula>(COUNTIF(D8:D18,"C")+(COUNTIF(D8:D18,"CS")+COUNTIF(D8:D18,"RTT")+(COUNTIF(D8:D18,"DRTT")/2)+COUNTIF(D8:D18,"M")+COUNTIF(D8:D18,"Rec")+(COUNTIF(D8:D18,"Drec")/2)+COUNTIF(D8:D18,"F")+(COUNTIF(D8:D18,"EM")+(COUNTIF(D8:D18,"DEM")/2))))</totalsRowFormula>
    </tableColumn>
    <tableColumn id="4" xr3:uid="{D798D532-8D54-8C43-B71C-1F1E80F517FE}" name="3" totalsRowFunction="custom" dataDxfId="1033" totalsRowDxfId="1032">
      <totalsRowFormula>(COUNTIF(E8:E18,"C")+(COUNTIF(E8:E18,"CS")+COUNTIF(E8:E18,"RTT")+(COUNTIF(E8:E18,"DRTT")/2)+COUNTIF(E8:E18,"M")+COUNTIF(E8:E18,"Rec")+(COUNTIF(E8:E18,"Drec")/2)+COUNTIF(E8:E18,"F")+(COUNTIF(E8:E18,"EM")+(COUNTIF(E8:E18,"DEM")/2))))</totalsRowFormula>
    </tableColumn>
    <tableColumn id="5" xr3:uid="{3F0AA438-DF6E-7340-BEFA-CE4A05127ABE}" name="4" totalsRowFunction="custom" dataDxfId="1031" totalsRowDxfId="1030">
      <totalsRowFormula>(COUNTIF(F8:F18,"C")+(COUNTIF(F8:F18,"CS")+COUNTIF(F8:F18,"RTT")+(COUNTIF(F8:F18,"DRTT")/2)+COUNTIF(F8:F18,"M")+COUNTIF(F8:F18,"Rec")+(COUNTIF(F8:F18,"Drec")/2)+COUNTIF(F8:F18,"F")+(COUNTIF(F8:F18,"EM")+(COUNTIF(F8:F18,"DEM")/2))))</totalsRowFormula>
    </tableColumn>
    <tableColumn id="6" xr3:uid="{162B6CE1-94F2-6D43-B633-2D8021BED9B3}" name="5" totalsRowFunction="custom" dataDxfId="1029" totalsRowDxfId="1028">
      <totalsRowFormula>(COUNTIF(G8:G18,"C")+(COUNTIF(G8:G18,"CS")+COUNTIF(G8:G18,"RTT")+(COUNTIF(G8:G18,"DRTT")/2)+COUNTIF(G8:G18,"M")+COUNTIF(G8:G18,"Rec")+(COUNTIF(G8:G18,"Drec")/2)+COUNTIF(G8:G18,"F")+(COUNTIF(G8:G18,"EM")+(COUNTIF(G8:G18,"DEM")/2))))</totalsRowFormula>
    </tableColumn>
    <tableColumn id="7" xr3:uid="{81757E57-653B-DD4B-BE16-94EC69B5B8A3}" name="6" totalsRowFunction="custom" dataDxfId="1027" totalsRowDxfId="1026">
      <totalsRowFormula>(COUNTIF(H8:H18,"C")+(COUNTIF(H8:H18,"CS")+COUNTIF(H8:H18,"RTT")+(COUNTIF(H8:H18,"DRTT")/2)+COUNTIF(H8:H18,"M")+COUNTIF(H8:H18,"Rec")+(COUNTIF(H8:H18,"Drec")/2)+COUNTIF(H8:H18,"F")+(COUNTIF(H8:H18,"EM")+(COUNTIF(H8:H18,"DEM")/2))))</totalsRowFormula>
    </tableColumn>
    <tableColumn id="8" xr3:uid="{557BE4AC-8552-F141-AA35-5239C06C962F}" name="7" totalsRowFunction="custom" dataDxfId="1025" totalsRowDxfId="1024">
      <totalsRowFormula>(COUNTIF(I8:I18,"C")+(COUNTIF(I8:I18,"CS")+COUNTIF(I8:I18,"RTT")+(COUNTIF(I8:I18,"DRTT")/2)+COUNTIF(I8:I18,"M")+COUNTIF(I8:I18,"Rec")+(COUNTIF(I8:I18,"Drec")/2)+COUNTIF(I8:I18,"F")+(COUNTIF(I8:I18,"EM")+(COUNTIF(I8:I18,"DEM")/2))))</totalsRowFormula>
    </tableColumn>
    <tableColumn id="9" xr3:uid="{FDDB64D8-6BC5-BC47-A811-3D55EE78DF41}" name="8" totalsRowFunction="custom" dataDxfId="1023" totalsRowDxfId="1022">
      <totalsRowFormula>(COUNTIF(J8:J18,"C")+(COUNTIF(J8:J18,"CS")+COUNTIF(J8:J18,"RTT")+(COUNTIF(J8:J18,"DRTT")/2)+COUNTIF(J8:J18,"M")+COUNTIF(J8:J18,"Rec")+(COUNTIF(J8:J18,"Drec")/2)+COUNTIF(J8:J18,"F")+(COUNTIF(J8:J18,"EM")+(COUNTIF(J8:J18,"DEM")/2))))</totalsRowFormula>
    </tableColumn>
    <tableColumn id="10" xr3:uid="{FBE78315-2BB0-B54E-81FA-7370CF9F8C08}" name="9" totalsRowFunction="custom" dataDxfId="1021" totalsRowDxfId="1020">
      <totalsRowFormula>(COUNTIF(K8:K18,"C")+(COUNTIF(K8:K18,"CS")+COUNTIF(K8:K18,"RTT")+(COUNTIF(K8:K18,"DRTT")/2)+COUNTIF(K8:K18,"M")+COUNTIF(K8:K18,"Rec")+(COUNTIF(K8:K18,"Drec")/2)+COUNTIF(K8:K18,"F")+(COUNTIF(K8:K18,"EM")+(COUNTIF(K8:K18,"DEM")/2))))</totalsRowFormula>
    </tableColumn>
    <tableColumn id="11" xr3:uid="{B1B0E122-58E0-6547-AC57-CDEABBE85135}" name="10" totalsRowFunction="custom" dataDxfId="1019" totalsRowDxfId="1018">
      <totalsRowFormula>(COUNTIF(L8:L18,"C")+(COUNTIF(L8:L18,"CS")+COUNTIF(L8:L18,"RTT")+(COUNTIF(L8:L18,"DRTT")/2)+COUNTIF(L8:L18,"M")+COUNTIF(L8:L18,"Rec")+(COUNTIF(L8:L18,"Drec")/2)+COUNTIF(L8:L18,"F")+(COUNTIF(L8:L18,"EM")+(COUNTIF(L8:L18,"DEM")/2))))</totalsRowFormula>
    </tableColumn>
    <tableColumn id="12" xr3:uid="{0165C23A-E1C9-EA43-B96C-C313D099B9D1}" name="11" totalsRowFunction="custom" dataDxfId="1017" totalsRowDxfId="1016">
      <totalsRowFormula>(COUNTIF(M8:M18,"C")+(COUNTIF(M8:M18,"CS")+COUNTIF(M8:M18,"RTT")+(COUNTIF(M8:M18,"DRTT")/2)+COUNTIF(M8:M18,"M")+COUNTIF(M8:M18,"Rec")+(COUNTIF(M8:M18,"Drec")/2)+COUNTIF(M8:M18,"F")+(COUNTIF(M8:M18,"EM")+(COUNTIF(M8:M18,"DEM")/2))))</totalsRowFormula>
    </tableColumn>
    <tableColumn id="13" xr3:uid="{7D301F2F-B1A5-4949-8303-5B7372637AAB}" name="12" totalsRowFunction="custom" dataDxfId="1015" totalsRowDxfId="1014">
      <totalsRowFormula>(COUNTIF(N8:N18,"C")+(COUNTIF(N8:N18,"CS")+COUNTIF(N8:N18,"RTT")+(COUNTIF(N8:N18,"DRTT")/2)+COUNTIF(N8:N18,"M")+COUNTIF(N8:N18,"Rec")+(COUNTIF(N8:N18,"Drec")/2)+COUNTIF(N8:N18,"F")+(COUNTIF(N8:N18,"EM")+(COUNTIF(N8:N18,"DEM")/2))))</totalsRowFormula>
    </tableColumn>
    <tableColumn id="14" xr3:uid="{0AE47255-DFFE-784A-B309-9ABF09D05810}" name="13" totalsRowFunction="custom" dataDxfId="1013" totalsRowDxfId="1012">
      <totalsRowFormula>(COUNTIF(O8:O18,"C")+(COUNTIF(O8:O18,"CS")+COUNTIF(O8:O18,"RTT")+(COUNTIF(O8:O18,"DRTT")/2)+COUNTIF(O8:O18,"M")+COUNTIF(O8:O18,"Rec")+(COUNTIF(O8:O18,"Drec")/2)+COUNTIF(O8:O18,"F")+(COUNTIF(O8:O18,"EM")+(COUNTIF(O8:O18,"DEM")/2))))</totalsRowFormula>
    </tableColumn>
    <tableColumn id="15" xr3:uid="{94100DEF-F3AC-CB4F-A102-9CF434979205}" name="14" totalsRowFunction="custom" dataDxfId="1011" totalsRowDxfId="1010">
      <totalsRowFormula>(COUNTIF(P8:P18,"C")+(COUNTIF(P8:P18,"CS")+COUNTIF(P8:P18,"RTT")+(COUNTIF(P8:P18,"DRTT")/2)+COUNTIF(P8:P18,"M")+COUNTIF(P8:P18,"Rec")+(COUNTIF(P8:P18,"Drec")/2)+COUNTIF(P8:P18,"F")+(COUNTIF(P8:P18,"EM")+(COUNTIF(P8:P18,"DEM")/2))))</totalsRowFormula>
    </tableColumn>
    <tableColumn id="16" xr3:uid="{3C303AFF-A8C7-FB42-BEA3-0F9D01F38977}" name="15" totalsRowFunction="custom" dataDxfId="1009" totalsRowDxfId="1008">
      <totalsRowFormula>(COUNTIF(Q8:Q18,"C")+(COUNTIF(Q8:Q18,"CS")+COUNTIF(Q8:Q18,"RTT")+(COUNTIF(Q8:Q18,"DRTT")/2)+COUNTIF(Q8:Q18,"M")+COUNTIF(Q8:Q18,"Rec")+(COUNTIF(Q8:Q18,"Drec")/2)+COUNTIF(Q8:Q18,"F")+(COUNTIF(Q8:Q18,"EM")+(COUNTIF(Q8:Q18,"DEM")/2))))</totalsRowFormula>
    </tableColumn>
    <tableColumn id="17" xr3:uid="{1126E297-4358-BC49-A193-803EAABA8EBB}" name="16" totalsRowFunction="custom" dataDxfId="1007" totalsRowDxfId="1006">
      <totalsRowFormula>(COUNTIF(R8:R18,"C")+(COUNTIF(R8:R18,"CS")+COUNTIF(R8:R18,"RTT")+(COUNTIF(R8:R18,"DRTT")/2)+COUNTIF(R8:R18,"M")+COUNTIF(R8:R18,"Rec")+(COUNTIF(R8:R18,"Drec")/2)+COUNTIF(R8:R18,"F")+(COUNTIF(R8:R18,"EM")+(COUNTIF(R8:R18,"DEM")/2))))</totalsRowFormula>
    </tableColumn>
    <tableColumn id="18" xr3:uid="{80134871-3B7C-2D4F-A5A2-2D222D1814FB}" name="17" totalsRowFunction="custom" dataDxfId="1005" totalsRowDxfId="1004">
      <totalsRowFormula>(COUNTIF(S8:S18,"C")+(COUNTIF(S8:S18,"CS")+COUNTIF(S8:S18,"RTT")+(COUNTIF(S8:S18,"DRTT")/2)+COUNTIF(S8:S18,"M")+COUNTIF(S8:S18,"Rec")+(COUNTIF(S8:S18,"Drec")/2)+COUNTIF(S8:S18,"F")+(COUNTIF(S8:S18,"EM")+(COUNTIF(S8:S18,"DEM")/2))))</totalsRowFormula>
    </tableColumn>
    <tableColumn id="19" xr3:uid="{F1E27FE2-F52F-E141-859B-961E7AE0E388}" name="18" totalsRowFunction="custom" dataDxfId="1003" totalsRowDxfId="1002">
      <totalsRowFormula>(COUNTIF(T8:T18,"C")+(COUNTIF(T8:T18,"CS")+COUNTIF(T8:T18,"RTT")+(COUNTIF(T8:T18,"DRTT")/2)+COUNTIF(T8:T18,"M")+COUNTIF(T8:T18,"Rec")+(COUNTIF(T8:T18,"Drec")/2)+COUNTIF(T8:T18,"F")+(COUNTIF(T8:T18,"EM")+(COUNTIF(T8:T18,"DEM")/2))))</totalsRowFormula>
    </tableColumn>
    <tableColumn id="20" xr3:uid="{6CFAD673-5522-2549-878F-14353B3DFF0F}" name="19" totalsRowFunction="custom" dataDxfId="1001" totalsRowDxfId="1000">
      <totalsRowFormula>(COUNTIF(U8:U18,"C")+(COUNTIF(U8:U18,"CS")+COUNTIF(U8:U18,"RTT")+(COUNTIF(U8:U18,"DRTT")/2)+COUNTIF(U8:U18,"M")+COUNTIF(U8:U18,"Rec")+(COUNTIF(U8:U18,"Drec")/2)+COUNTIF(U8:U18,"F")+(COUNTIF(U8:U18,"EM")+(COUNTIF(U8:U18,"DEM")/2))))</totalsRowFormula>
    </tableColumn>
    <tableColumn id="21" xr3:uid="{DD9CD347-1500-CF45-8A3A-E7E18F036750}" name="20" totalsRowFunction="custom" dataDxfId="999" totalsRowDxfId="998">
      <totalsRowFormula>(COUNTIF(V8:V18,"C")+(COUNTIF(V8:V18,"CS")+COUNTIF(V8:V18,"RTT")+(COUNTIF(V8:V18,"DRTT")/2)+COUNTIF(V8:V18,"M")+COUNTIF(V8:V18,"Rec")+(COUNTIF(V8:V18,"Drec")/2)+COUNTIF(V8:V18,"F")+(COUNTIF(V8:V18,"EM")+(COUNTIF(V8:V18,"DEM")/2))))</totalsRowFormula>
    </tableColumn>
    <tableColumn id="22" xr3:uid="{780CCB78-2CB2-464D-86B7-65957E8C1092}" name="21" totalsRowFunction="custom" dataDxfId="997" totalsRowDxfId="996">
      <totalsRowFormula>(COUNTIF(W8:W18,"C")+(COUNTIF(W8:W18,"CS")+COUNTIF(W8:W18,"RTT")+(COUNTIF(W8:W18,"DRTT")/2)+COUNTIF(W8:W18,"M")+COUNTIF(W8:W18,"Rec")+(COUNTIF(W8:W18,"Drec")/2)+COUNTIF(W8:W18,"F")+(COUNTIF(W8:W18,"EM")+(COUNTIF(W8:W18,"DEM")/2))))</totalsRowFormula>
    </tableColumn>
    <tableColumn id="23" xr3:uid="{89FFD094-885E-DD40-8BA6-8AEB298B9490}" name="22" totalsRowFunction="custom" dataDxfId="995" totalsRowDxfId="994">
      <totalsRowFormula>(COUNTIF(X8:X18,"C")+(COUNTIF(X8:X18,"CS")+COUNTIF(X8:X18,"RTT")+(COUNTIF(X8:X18,"DRTT")/2)+COUNTIF(X8:X18,"M")+COUNTIF(X8:X18,"Rec")+(COUNTIF(X8:X18,"Drec")/2)+COUNTIF(X8:X18,"F")+(COUNTIF(X8:X18,"EM")+(COUNTIF(X8:X18,"DEM")/2))))</totalsRowFormula>
    </tableColumn>
    <tableColumn id="24" xr3:uid="{1D873E68-DE4F-BF45-BAE1-B2C81A51C721}" name="23" totalsRowFunction="custom" dataDxfId="993" totalsRowDxfId="992">
      <totalsRowFormula>(COUNTIF(Y8:Y18,"C")+(COUNTIF(Y8:Y18,"CS")+COUNTIF(Y8:Y18,"RTT")+(COUNTIF(Y8:Y18,"DRTT")/2)+COUNTIF(Y8:Y18,"M")+COUNTIF(Y8:Y18,"Rec")+(COUNTIF(Y8:Y18,"Drec")/2)+COUNTIF(Y8:Y18,"F")+(COUNTIF(Y8:Y18,"EM")+(COUNTIF(Y8:Y18,"DEM")/2))))</totalsRowFormula>
    </tableColumn>
    <tableColumn id="25" xr3:uid="{82ADA974-B713-5A4D-9778-4C19B5D24A22}" name="24" totalsRowFunction="custom" dataDxfId="991" totalsRowDxfId="990">
      <totalsRowFormula>(COUNTIF(Z8:Z18,"C")+(COUNTIF(Z8:Z18,"CS")+COUNTIF(Z8:Z18,"RTT")+(COUNTIF(Z8:Z18,"DRTT")/2)+COUNTIF(Z8:Z18,"M")+COUNTIF(Z8:Z18,"Rec")+(COUNTIF(Z8:Z18,"Drec")/2)+COUNTIF(Z8:Z18,"F")+(COUNTIF(Z8:Z18,"EM")+(COUNTIF(Z8:Z18,"DEM")/2))))</totalsRowFormula>
    </tableColumn>
    <tableColumn id="26" xr3:uid="{7DB125C3-D664-EA47-AD6E-FFDC7A4F51C5}" name="25" totalsRowFunction="custom" dataDxfId="989" totalsRowDxfId="988">
      <totalsRowFormula>(COUNTIF(AA8:AA18,"C")+(COUNTIF(AA8:AA18,"CS")+COUNTIF(AA8:AA18,"RTT")+(COUNTIF(AA8:AA18,"DRTT")/2)+COUNTIF(AA8:AA18,"M")+COUNTIF(AA8:AA18,"Rec")+(COUNTIF(AA8:AA18,"Drec")/2)+COUNTIF(AA8:AA18,"F")+(COUNTIF(AA8:AA18,"EM")+(COUNTIF(AA8:AA18,"DEM")/2))))</totalsRowFormula>
    </tableColumn>
    <tableColumn id="27" xr3:uid="{10AF2B54-21C5-CE4D-B7DD-7BD9E48E08A6}" name="26" totalsRowFunction="custom" dataDxfId="987" totalsRowDxfId="986">
      <totalsRowFormula>(COUNTIF(AB8:AB18,"C")+(COUNTIF(AB8:AB18,"CS")+COUNTIF(AB8:AB18,"RTT")+(COUNTIF(AB8:AB18,"DRTT")/2)+COUNTIF(AB8:AB18,"M")+COUNTIF(AB8:AB18,"Rec")+(COUNTIF(AB8:AB18,"Drec")/2)+COUNTIF(AB8:AB18,"F")+(COUNTIF(AB8:AB18,"EM")+(COUNTIF(AB8:AB18,"DEM")/2))))</totalsRowFormula>
    </tableColumn>
    <tableColumn id="28" xr3:uid="{4E22D9BB-0E5A-7045-AC5D-327DE1FA1B97}" name="27" totalsRowFunction="custom" dataDxfId="985" totalsRowDxfId="984">
      <totalsRowFormula>(COUNTIF(AC8:AC18,"C")+(COUNTIF(AC8:AC18,"CS")+COUNTIF(AC8:AC18,"RTT")+(COUNTIF(AC8:AC18,"DRTT")/2)+COUNTIF(AC8:AC18,"M")+COUNTIF(AC8:AC18,"Rec")+(COUNTIF(AC8:AC18,"Drec")/2)+COUNTIF(AC8:AC18,"F")+(COUNTIF(AC8:AC18,"EM")+(COUNTIF(AC8:AC18,"DEM")/2))))</totalsRowFormula>
    </tableColumn>
    <tableColumn id="29" xr3:uid="{F89645D3-214F-AF41-8B9D-A1A7D81720D2}" name="28" totalsRowFunction="custom" dataDxfId="983" totalsRowDxfId="982">
      <totalsRowFormula>(COUNTIF(AD8:AD18,"C")+(COUNTIF(AD8:AD18,"CS")+COUNTIF(AD8:AD18,"RTT")+(COUNTIF(AD8:AD18,"DRTT")/2)+COUNTIF(AD8:AD18,"M")+COUNTIF(AD8:AD18,"Rec")+(COUNTIF(AD8:AD18,"Drec")/2)+COUNTIF(AD8:AD18,"F")+(COUNTIF(AD8:AD18,"EM")+(COUNTIF(AD8:AD18,"DEM")/2))))</totalsRowFormula>
    </tableColumn>
    <tableColumn id="30" xr3:uid="{EB8E00CC-F321-CA44-94FB-5469D8A897E4}" name="29" totalsRowFunction="custom" dataDxfId="981" totalsRowDxfId="980">
      <totalsRowFormula>(COUNTIF(AE8:AE18,"C")+(COUNTIF(AE8:AE18,"CS")+COUNTIF(AE8:AE18,"RTT")+(COUNTIF(AE8:AE18,"DRTT")/2)+COUNTIF(AE8:AE18,"M")+COUNTIF(AE8:AE18,"Rec")+(COUNTIF(AE8:AE18,"Drec")/2)+COUNTIF(AE8:AE18,"F")+(COUNTIF(AE8:AE18,"EM")+(COUNTIF(AE8:AE18,"DEM")/2))))</totalsRowFormula>
    </tableColumn>
    <tableColumn id="31" xr3:uid="{CCA8757F-A1D3-9841-9C4D-9282042D6C32}" name="30" totalsRowFunction="custom" dataDxfId="979" totalsRowDxfId="978">
      <totalsRowFormula>(COUNTIF(AF8:AF18,"C")+(COUNTIF(AF8:AF18,"CS")+COUNTIF(AF8:AF18,"RTT")+(COUNTIF(AF8:AF18,"DRTT")/2)+COUNTIF(AF8:AF18,"M")+COUNTIF(AF8:AF18,"Rec")+(COUNTIF(AF8:AF18,"Drec")/2)+COUNTIF(AF8:AF18,"F")+(COUNTIF(AF8:AF18,"EM")+(COUNTIF(AF8:AF18,"DEM")/2))))</totalsRowFormula>
    </tableColumn>
    <tableColumn id="32" xr3:uid="{434280A0-1E91-FD40-9437-ABB70B5D9925}" name=" " totalsRowFunction="custom" dataDxfId="977" totalsRowDxfId="976">
      <totalsRowFormula>(COUNTIF(AG8:AG18,"C")+(COUNTIF(AG8:AG18,"CS")+COUNTIF(AG8:AG18,"RTT")+(COUNTIF(AG8:AG18,"DRTT")/2)+COUNTIF(AG8:AG18,"M")+COUNTIF(AG8:AG18,"Rec")+(COUNTIF(AG8:AG18,"Drec")/2)+COUNTIF(AG8:AG18,"F")+(COUNTIF(AG8:AG18,"EM")+(COUNTIF(AG8:AG18,"DEM")/2))))</totalsRowFormula>
    </tableColumn>
    <tableColumn id="33" xr3:uid="{0285AA83-3103-5643-AFC9-ACBC20804575}" name="Total absence" totalsRowFunction="sum" dataDxfId="975" totalsRowDxfId="974" dataCellStyle="Total">
      <calculatedColumnFormula>(COUNTIF(C8:AG8,CléCongé)+(COUNTIF(C8:AG8,CléEnfantMalade)+COUNTIF(C8:AG8,CléRTT)+COUNTIF(C8:AG8,CléCongéMalade)+COUNTIF(C8:AG8,CléRécupération)+COUNTIF(C8:AG8,CléFormation)+COUNTIF(C8:AG8,CléTélétravail-1)+COUNTIF(C8:AG8,CléCongéSpécial)+COUNTIF(C8:AG8,CléPrésenceExceptionnelle-1)+COUNTIF(C8:AG8,CléDemiRtt)/2)+COUNTIF(C8:AG8,CléDemiRécupération)/2)+COUNTIF(C8:AG8,CléDemiEnfantMalade)/2</calculatedColumnFormula>
    </tableColumn>
    <tableColumn id="34" xr3:uid="{655CB3F2-0102-B648-A1C0-FF41D04DD3C7}" name="Dont RTT" totalsRowFunction="sum" dataDxfId="973" totalsRowDxfId="972" dataCellStyle="Total">
      <calculatedColumnFormula>COUNTIF(C8:AG8,CléRTT)+COUNTIF(C8:AG8,CléDemiRtt)/2</calculatedColumnFormula>
    </tableColumn>
    <tableColumn id="36" xr3:uid="{FDBF039B-457B-2047-A272-8A3AAD603983}" name="Dont MALADIE" totalsRowFunction="sum" dataDxfId="971" totalsRowDxfId="970" dataCellStyle="Total">
      <calculatedColumnFormula>COUNTIF(C8:AG8,$S$3)</calculatedColumnFormula>
    </tableColumn>
    <tableColumn id="35" xr3:uid="{66BD0BB5-F47B-8F4B-A5F5-86B37E082B9F}" name="Solde RTT disponible au 01/07/2021" dataDxfId="969" totalsRowDxfId="968"/>
  </tableColumns>
  <tableStyleInfo name="Tableau des absences des employés" showFirstColumn="1" showLastColumn="1" showRowStripes="1" showColumnStripes="0"/>
  <extLst>
    <ext xmlns:x14="http://schemas.microsoft.com/office/spreadsheetml/2009/9/main" uri="{504A1905-F514-4f6f-8877-14C23A59335A}">
      <x14:table altTextSummary="Entrez les noms des employés et les dates d’absence. Enregistrez le motif d’absence à l’aide des clés figurant dans la ligne 12 : C=Congé, M=Maladie, P=Personnel, et deux espaces réservés pour des entrées personnalisées"/>
    </ext>
  </extLst>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3CD86791-45B2-C340-8B0A-40B1A423C979}" name="Juillet" displayName="Juillet" ref="B7:AK19" totalsRowCount="1" headerRowDxfId="967" totalsRowDxfId="966">
  <tableColumns count="36">
    <tableColumn id="1" xr3:uid="{99E487D3-76D9-6F43-8E9D-BBAF2A48B3AF}" name="Nom de l’employé" totalsRowFunction="custom" dataDxfId="965" totalsRowDxfId="964" dataCellStyle="Employé">
      <totalsRowFormula>NomMois&amp;" Total"</totalsRowFormula>
    </tableColumn>
    <tableColumn id="2" xr3:uid="{ABC0623B-97F5-7144-B18E-69EA2258EA91}" name="1" totalsRowFunction="custom" dataDxfId="963" totalsRowDxfId="962">
      <totalsRowFormula>COUNTIF(Juillet[1],CléCongé)+(COUNTIF(Juillet[1],CléCongéSpécial)+COUNTIF(Juillet[1],CléRTT)+(COUNTIF(Juillet[1],CléDemiRtt)/2)+COUNTIF(Juillet[1],CléCongéMalade)+COUNTIF(Juillet[1],CléRécupération)+(COUNTIF(Juillet[1],CléDemiRécupération)/2)+COUNTIF(Juillet[1],CléFormation)+(COUNTIF(Juillet[1],CléEnfantMalade)+(COUNTIF(Juillet[1],CléDemiEnfantMalade)/2)))</totalsRowFormula>
    </tableColumn>
    <tableColumn id="3" xr3:uid="{3A43B68B-1522-7240-88B3-F05922C932E2}" name="2" totalsRowFunction="custom" dataDxfId="961" totalsRowDxfId="960">
      <totalsRowFormula>COUNTIF(Juillet[2],CléCongé)+(COUNTIF(Juillet[2],CléCongéSpécial)+COUNTIF(Juillet[2],CléRTT)+(COUNTIF(Juillet[2],CléDemiRtt)/2)+COUNTIF(Juillet[2],CléCongéMalade)+COUNTIF(Juillet[2],CléRécupération)+(COUNTIF(Juillet[2],CléDemiRécupération)/2)+COUNTIF(Juillet[2],CléFormation)+(COUNTIF(Juillet[2],CléEnfantMalade)+(COUNTIF(Juillet[2],CléDemiEnfantMalade)/2)))</totalsRowFormula>
    </tableColumn>
    <tableColumn id="4" xr3:uid="{44B723B4-42CC-C24B-8D06-346227F27CA1}" name="3" totalsRowFunction="custom" dataDxfId="959" totalsRowDxfId="958">
      <totalsRowFormula>COUNTIF(Juillet[3],CléCongé)+(COUNTIF(Juillet[3],CléCongéSpécial)+COUNTIF(Juillet[3],CléRTT)+(COUNTIF(Juillet[3],CléDemiRtt)/2)+COUNTIF(Juillet[3],CléCongéMalade)+COUNTIF(Juillet[3],CléRécupération)+(COUNTIF(Juillet[3],CléDemiRécupération)/2)+COUNTIF(Juillet[3],CléFormation)+(COUNTIF(Juillet[3],CléEnfantMalade)+(COUNTIF(Juillet[3],CléDemiEnfantMalade)/2)))</totalsRowFormula>
    </tableColumn>
    <tableColumn id="5" xr3:uid="{7179ED0E-4DFD-0B47-8DAB-B5B0C0F4B1D2}" name="4" totalsRowFunction="custom" dataDxfId="957" totalsRowDxfId="956">
      <totalsRowFormula>COUNTIF(Juillet[4],CléCongé)+(COUNTIF(Juillet[4],CléCongéSpécial)+COUNTIF(Juillet[4],CléRTT)+(COUNTIF(Juillet[4],CléDemiRtt)/2)+COUNTIF(Juillet[4],CléCongéMalade)+COUNTIF(Juillet[4],CléRécupération)+(COUNTIF(Juillet[4],CléDemiRécupération)/2)+COUNTIF(Juillet[4],CléFormation)+(COUNTIF(Juillet[4],CléEnfantMalade)+(COUNTIF(Juillet[4],CléDemiEnfantMalade)/2)))</totalsRowFormula>
    </tableColumn>
    <tableColumn id="6" xr3:uid="{75464038-29B1-0F4D-8583-C44DF2028F6A}" name="5" totalsRowFunction="custom" dataDxfId="955" totalsRowDxfId="954">
      <totalsRowFormula>COUNTIF(Juillet[5],CléCongé)+(COUNTIF(Juillet[5],CléCongéSpécial)+COUNTIF(Juillet[5],CléRTT)+(COUNTIF(Juillet[5],CléDemiRtt)/2)+COUNTIF(Juillet[5],CléCongéMalade)+COUNTIF(Juillet[5],CléRécupération)+(COUNTIF(Juillet[5],CléDemiRécupération)/2)+COUNTIF(Juillet[5],CléFormation)+(COUNTIF(Juillet[5],CléEnfantMalade)+(COUNTIF(Juillet[5],CléDemiEnfantMalade)/2)))</totalsRowFormula>
    </tableColumn>
    <tableColumn id="7" xr3:uid="{816FAEA7-AC01-4E4B-97FD-5BE50D147701}" name="6" totalsRowFunction="custom" dataDxfId="953" totalsRowDxfId="952">
      <totalsRowFormula>COUNTIF(Juillet[6],CléCongé)+(COUNTIF(Juillet[6],CléCongéSpécial)+COUNTIF(Juillet[6],CléRTT)+(COUNTIF(Juillet[6],CléDemiRtt)/2)+COUNTIF(Juillet[6],CléCongéMalade)+COUNTIF(Juillet[6],CléRécupération)+(COUNTIF(Juillet[6],CléDemiRécupération)/2)+COUNTIF(Juillet[6],CléFormation)+(COUNTIF(Juillet[6],CléEnfantMalade)+(COUNTIF(Juillet[6],CléDemiEnfantMalade)/2)))</totalsRowFormula>
    </tableColumn>
    <tableColumn id="8" xr3:uid="{96749761-FC94-8E4E-ABBC-93620975F4FB}" name="7" totalsRowFunction="custom" dataDxfId="951" totalsRowDxfId="950">
      <totalsRowFormula>COUNTIF(Juillet[7],CléCongé)+(COUNTIF(Juillet[7],CléCongéSpécial)+COUNTIF(Juillet[7],CléRTT)+(COUNTIF(Juillet[7],CléDemiRtt)/2)+COUNTIF(Juillet[7],CléCongéMalade)+COUNTIF(Juillet[7],CléRécupération)+(COUNTIF(Juillet[7],CléDemiRécupération)/2)+COUNTIF(Juillet[7],CléFormation)+(COUNTIF(Juillet[7],CléEnfantMalade)+(COUNTIF(Juillet[7],CléDemiEnfantMalade)/2)))</totalsRowFormula>
    </tableColumn>
    <tableColumn id="9" xr3:uid="{9A1316D5-FA3E-5D42-8555-53BD2AE1BD9A}" name="8" totalsRowFunction="custom" dataDxfId="949" totalsRowDxfId="948">
      <totalsRowFormula>COUNTIF(Juillet[8],CléCongé)+(COUNTIF(Juillet[8],CléCongéSpécial)+COUNTIF(Juillet[8],CléRTT)+(COUNTIF(Juillet[8],CléDemiRtt)/2)+COUNTIF(Juillet[8],CléCongéMalade)+COUNTIF(Juillet[8],CléRécupération)+(COUNTIF(Juillet[8],CléDemiRécupération)/2)+COUNTIF(Juillet[8],CléFormation)+(COUNTIF(Juillet[8],CléEnfantMalade)+(COUNTIF(Juillet[8],CléDemiEnfantMalade)/2)))</totalsRowFormula>
    </tableColumn>
    <tableColumn id="10" xr3:uid="{7FBBE8B5-F866-4F46-A842-D05D00B080BB}" name="9" totalsRowFunction="custom" dataDxfId="947" totalsRowDxfId="946">
      <totalsRowFormula>COUNTIF(Juillet[9],CléCongé)+(COUNTIF(Juillet[9],CléCongéSpécial)+COUNTIF(Juillet[9],CléRTT)+(COUNTIF(Juillet[9],CléDemiRtt)/2)+COUNTIF(Juillet[9],CléCongéMalade)+COUNTIF(Juillet[9],CléRécupération)+(COUNTIF(Juillet[9],CléDemiRécupération)/2)+COUNTIF(Juillet[9],CléFormation)+(COUNTIF(Juillet[9],CléEnfantMalade)+(COUNTIF(Juillet[9],CléDemiEnfantMalade)/2)))</totalsRowFormula>
    </tableColumn>
    <tableColumn id="11" xr3:uid="{C1714D56-12B4-8A46-B19F-156EAACA2886}" name="10" totalsRowFunction="custom" dataDxfId="945" totalsRowDxfId="944">
      <totalsRowFormula>COUNTIF(Juillet[10],CléCongé)+(COUNTIF(Juillet[10],CléCongéSpécial)+COUNTIF(Juillet[10],CléRTT)+(COUNTIF(Juillet[10],CléDemiRtt)/2)+COUNTIF(Juillet[10],CléCongéMalade)+COUNTIF(Juillet[10],CléRécupération)+(COUNTIF(Juillet[10],CléDemiRécupération)/2)+COUNTIF(Juillet[10],CléFormation)+(COUNTIF(Juillet[10],CléEnfantMalade)+(COUNTIF(Juillet[10],CléDemiEnfantMalade)/2)))</totalsRowFormula>
    </tableColumn>
    <tableColumn id="12" xr3:uid="{AC1E1FD1-6E8E-4149-A68D-5A8E4DA6245F}" name="11" totalsRowFunction="custom" dataDxfId="943" totalsRowDxfId="942">
      <totalsRowFormula>COUNTIF(Juillet[11],CléCongé)+(COUNTIF(Juillet[11],CléCongéSpécial)+COUNTIF(Juillet[11],CléRTT)+(COUNTIF(Juillet[11],CléDemiRtt)/2)+COUNTIF(Juillet[11],CléCongéMalade)+COUNTIF(Juillet[11],CléRécupération)+(COUNTIF(Juillet[11],CléDemiRécupération)/2)+COUNTIF(Juillet[11],CléFormation)+(COUNTIF(Juillet[11],CléEnfantMalade)+(COUNTIF(Juillet[11],CléDemiEnfantMalade)/2)))</totalsRowFormula>
    </tableColumn>
    <tableColumn id="13" xr3:uid="{A31B320B-1BD0-7642-A778-95EB148B9EE8}" name="12" totalsRowFunction="custom" dataDxfId="941" totalsRowDxfId="940">
      <totalsRowFormula>COUNTIF(Juillet[12],CléCongé)+(COUNTIF(Juillet[12],CléCongéSpécial)+COUNTIF(Juillet[12],CléRTT)+(COUNTIF(Juillet[12],CléDemiRtt)/2)+COUNTIF(Juillet[12],CléCongéMalade)+COUNTIF(Juillet[12],CléRécupération)+(COUNTIF(Juillet[12],CléDemiRécupération)/2)+COUNTIF(Juillet[12],CléFormation)+(COUNTIF(Juillet[12],CléEnfantMalade)+(COUNTIF(Juillet[12],CléDemiEnfantMalade)/2)))</totalsRowFormula>
    </tableColumn>
    <tableColumn id="14" xr3:uid="{FD959D4D-1043-D644-B0CF-E6006D54676D}" name="13" totalsRowFunction="custom" dataDxfId="939" totalsRowDxfId="938">
      <totalsRowFormula>COUNTIF(Juillet[13],CléCongé)+(COUNTIF(Juillet[13],CléCongéSpécial)+COUNTIF(Juillet[13],CléRTT)+(COUNTIF(Juillet[13],CléDemiRtt)/2)+COUNTIF(Juillet[13],CléCongéMalade)+COUNTIF(Juillet[13],CléRécupération)+(COUNTIF(Juillet[13],CléDemiRécupération)/2)+COUNTIF(Juillet[13],CléFormation)+(COUNTIF(Juillet[13],CléEnfantMalade)+(COUNTIF(Juillet[13],CléDemiEnfantMalade)/2)))</totalsRowFormula>
    </tableColumn>
    <tableColumn id="15" xr3:uid="{21F53E45-7961-354A-8B01-3223F1AFC9C5}" name="14" totalsRowFunction="custom" dataDxfId="937" totalsRowDxfId="936">
      <totalsRowFormula>COUNTIF(Juillet[14],CléCongé)+(COUNTIF(Juillet[14],CléCongéSpécial)+COUNTIF(Juillet[14],CléRTT)+(COUNTIF(Juillet[14],CléDemiRtt)/2)+COUNTIF(Juillet[14],CléCongéMalade)+COUNTIF(Juillet[14],CléRécupération)+(COUNTIF(Juillet[14],CléDemiRécupération)/2)+COUNTIF(Juillet[14],CléFormation)+(COUNTIF(Juillet[14],CléEnfantMalade)+(COUNTIF(Juillet[14],CléDemiEnfantMalade)/2)))</totalsRowFormula>
    </tableColumn>
    <tableColumn id="16" xr3:uid="{DC85D97E-9CBE-6D48-8FA4-E9F4058E06CA}" name="15" totalsRowFunction="custom" dataDxfId="935" totalsRowDxfId="934">
      <totalsRowFormula>COUNTIF(Juillet[15],CléCongé)+(COUNTIF(Juillet[15],CléCongéSpécial)+COUNTIF(Juillet[15],CléRTT)+(COUNTIF(Juillet[15],CléDemiRtt)/2)+COUNTIF(Juillet[15],CléCongéMalade)+COUNTIF(Juillet[15],CléRécupération)+(COUNTIF(Juillet[15],CléDemiRécupération)/2)+COUNTIF(Juillet[15],CléFormation)+(COUNTIF(Juillet[15],CléEnfantMalade)+(COUNTIF(Juillet[15],CléDemiEnfantMalade)/2)))</totalsRowFormula>
    </tableColumn>
    <tableColumn id="17" xr3:uid="{C5195567-D349-7B4E-A734-924B3D576119}" name="16" totalsRowFunction="custom" dataDxfId="933" totalsRowDxfId="932">
      <totalsRowFormula>COUNTIF(Juillet[16],CléCongé)+(COUNTIF(Juillet[16],CléCongéSpécial)+COUNTIF(Juillet[16],CléRTT)+(COUNTIF(Juillet[16],CléDemiRtt)/2)+COUNTIF(Juillet[16],CléCongéMalade)+COUNTIF(Juillet[16],CléRécupération)+(COUNTIF(Juillet[16],CléDemiRécupération)/2)+COUNTIF(Juillet[16],CléFormation)+(COUNTIF(Juillet[16],CléEnfantMalade)+(COUNTIF(Juillet[16],CléDemiEnfantMalade)/2)))</totalsRowFormula>
    </tableColumn>
    <tableColumn id="18" xr3:uid="{59E210ED-A76E-FB4E-9D66-C549BC1610DC}" name="17" totalsRowFunction="custom" dataDxfId="931" totalsRowDxfId="930">
      <totalsRowFormula>COUNTIF(Juillet[17],CléCongé)+(COUNTIF(Juillet[17],CléCongéSpécial)+COUNTIF(Juillet[17],CléRTT)+(COUNTIF(Juillet[17],CléDemiRtt)/2)+COUNTIF(Juillet[17],CléCongéMalade)+COUNTIF(Juillet[17],CléRécupération)+(COUNTIF(Juillet[17],CléDemiRécupération)/2)+COUNTIF(Juillet[17],CléFormation)+(COUNTIF(Juillet[17],CléEnfantMalade)+(COUNTIF(Juillet[17],CléDemiEnfantMalade)/2)))</totalsRowFormula>
    </tableColumn>
    <tableColumn id="19" xr3:uid="{F65F9CE0-0AAC-4446-A87D-5C5D4116AB4C}" name="18" totalsRowFunction="custom" dataDxfId="929" totalsRowDxfId="928">
      <totalsRowFormula>COUNTIF(Juillet[18],CléCongé)+(COUNTIF(Juillet[18],CléCongéSpécial)+COUNTIF(Juillet[18],CléRTT)+(COUNTIF(Juillet[18],CléDemiRtt)/2)+COUNTIF(Juillet[18],CléCongéMalade)+COUNTIF(Juillet[18],CléRécupération)+(COUNTIF(Juillet[18],CléDemiRécupération)/2)+COUNTIF(Juillet[18],CléFormation)+(COUNTIF(Juillet[18],CléEnfantMalade)+(COUNTIF(Juillet[18],CléDemiEnfantMalade)/2)))</totalsRowFormula>
    </tableColumn>
    <tableColumn id="20" xr3:uid="{6F78AEAE-8997-7E49-807B-561422B9D64E}" name="19" totalsRowFunction="custom" dataDxfId="927" totalsRowDxfId="926">
      <totalsRowFormula>COUNTIF(Juillet[19],CléCongé)+(COUNTIF(Juillet[19],CléCongéSpécial)+COUNTIF(Juillet[19],CléRTT)+(COUNTIF(Juillet[19],CléDemiRtt)/2)+COUNTIF(Juillet[19],CléCongéMalade)+COUNTIF(Juillet[19],CléRécupération)+(COUNTIF(Juillet[19],CléDemiRécupération)/2)+COUNTIF(Juillet[19],CléFormation)+(COUNTIF(Juillet[19],CléEnfantMalade)+(COUNTIF(Juillet[19],CléDemiEnfantMalade)/2)))</totalsRowFormula>
    </tableColumn>
    <tableColumn id="21" xr3:uid="{BB0BFA1E-FEF5-394E-B402-1BD5683F4766}" name="20" totalsRowFunction="custom" dataDxfId="925" totalsRowDxfId="924">
      <totalsRowFormula>COUNTIF(Juillet[20],CléCongé)+(COUNTIF(Juillet[20],CléCongéSpécial)+COUNTIF(Juillet[20],CléRTT)+(COUNTIF(Juillet[20],CléDemiRtt)/2)+COUNTIF(Juillet[20],CléCongéMalade)+COUNTIF(Juillet[20],CléRécupération)+(COUNTIF(Juillet[20],CléDemiRécupération)/2)+COUNTIF(Juillet[20],CléFormation)+(COUNTIF(Juillet[20],CléEnfantMalade)+(COUNTIF(Juillet[20],CléDemiEnfantMalade)/2)))</totalsRowFormula>
    </tableColumn>
    <tableColumn id="22" xr3:uid="{8B359BDA-2D06-1448-87BB-930CA5A22614}" name="21" totalsRowFunction="custom" dataDxfId="923" totalsRowDxfId="922">
      <totalsRowFormula>COUNTIF(Juillet[21],CléCongé)+(COUNTIF(Juillet[21],CléCongéSpécial)+COUNTIF(Juillet[21],CléRTT)+(COUNTIF(Juillet[21],CléDemiRtt)/2)+COUNTIF(Juillet[21],CléCongéMalade)+COUNTIF(Juillet[21],CléRécupération)+(COUNTIF(Juillet[21],CléDemiRécupération)/2)+COUNTIF(Juillet[21],CléFormation)+(COUNTIF(Juillet[21],CléEnfantMalade)+(COUNTIF(Juillet[21],CléDemiEnfantMalade)/2)))</totalsRowFormula>
    </tableColumn>
    <tableColumn id="23" xr3:uid="{C0C68C8E-EE1A-974D-9A71-6621F950A8B3}" name="22" totalsRowFunction="custom" dataDxfId="921" totalsRowDxfId="920">
      <totalsRowFormula>COUNTIF(Juillet[22],CléCongé)+(COUNTIF(Juillet[22],CléCongéSpécial)+COUNTIF(Juillet[22],CléRTT)+(COUNTIF(Juillet[22],CléDemiRtt)/2)+COUNTIF(Juillet[22],CléCongéMalade)+COUNTIF(Juillet[22],CléRécupération)+(COUNTIF(Juillet[22],CléDemiRécupération)/2)+COUNTIF(Juillet[22],CléFormation)+(COUNTIF(Juillet[22],CléEnfantMalade)+(COUNTIF(Juillet[22],CléDemiEnfantMalade)/2)))</totalsRowFormula>
    </tableColumn>
    <tableColumn id="24" xr3:uid="{433D5AD2-BE40-374A-83E2-4987C85C39A4}" name="23" totalsRowFunction="custom" dataDxfId="919" totalsRowDxfId="918">
      <totalsRowFormula>COUNTIF(Juillet[23],CléCongé)+(COUNTIF(Juillet[23],CléCongéSpécial)+COUNTIF(Juillet[23],CléRTT)+(COUNTIF(Juillet[23],CléDemiRtt)/2)+COUNTIF(Juillet[23],CléCongéMalade)+COUNTIF(Juillet[23],CléRécupération)+(COUNTIF(Juillet[23],CléDemiRécupération)/2)+COUNTIF(Juillet[23],CléFormation)+(COUNTIF(Juillet[23],CléEnfantMalade)+(COUNTIF(Juillet[23],CléDemiEnfantMalade)/2)))</totalsRowFormula>
    </tableColumn>
    <tableColumn id="25" xr3:uid="{037C9488-982F-4C4A-9093-963AC8654089}" name="24" totalsRowFunction="custom" dataDxfId="917" totalsRowDxfId="916">
      <totalsRowFormula>COUNTIF(Juillet[24],CléCongé)+(COUNTIF(Juillet[24],CléCongéSpécial)+COUNTIF(Juillet[24],CléRTT)+(COUNTIF(Juillet[24],CléDemiRtt)/2)+COUNTIF(Juillet[24],CléCongéMalade)+COUNTIF(Juillet[24],CléRécupération)+(COUNTIF(Juillet[24],CléDemiRécupération)/2)+COUNTIF(Juillet[24],CléFormation)+(COUNTIF(Juillet[24],CléEnfantMalade)+(COUNTIF(Juillet[24],CléDemiEnfantMalade)/2)))</totalsRowFormula>
    </tableColumn>
    <tableColumn id="26" xr3:uid="{93CE990F-E2AA-DC47-A97A-06F53450E1F8}" name="25" totalsRowFunction="custom" dataDxfId="915" totalsRowDxfId="914">
      <totalsRowFormula>COUNTIF(Juillet[25],CléCongé)+(COUNTIF(Juillet[25],CléCongéSpécial)+COUNTIF(Juillet[25],CléRTT)+(COUNTIF(Juillet[25],CléDemiRtt)/2)+COUNTIF(Juillet[25],CléCongéMalade)+COUNTIF(Juillet[25],CléRécupération)+(COUNTIF(Juillet[25],CléDemiRécupération)/2)+COUNTIF(Juillet[25],CléFormation)+(COUNTIF(Juillet[25],CléEnfantMalade)+(COUNTIF(Juillet[25],CléDemiEnfantMalade)/2)))</totalsRowFormula>
    </tableColumn>
    <tableColumn id="27" xr3:uid="{5EBAFA2F-96F0-9543-904F-55B93A252A78}" name="26" totalsRowFunction="custom" dataDxfId="913" totalsRowDxfId="912">
      <totalsRowFormula>COUNTIF(Juillet[26],CléCongé)+(COUNTIF(Juillet[26],CléCongéSpécial)+COUNTIF(Juillet[26],CléRTT)+(COUNTIF(Juillet[26],CléDemiRtt)/2)+COUNTIF(Juillet[26],CléCongéMalade)+COUNTIF(Juillet[26],CléRécupération)+(COUNTIF(Juillet[26],CléDemiRécupération)/2)+COUNTIF(Juillet[26],CléFormation)+(COUNTIF(Juillet[26],CléEnfantMalade)+(COUNTIF(Juillet[26],CléDemiEnfantMalade)/2)))</totalsRowFormula>
    </tableColumn>
    <tableColumn id="28" xr3:uid="{C1C646B6-35BC-D44E-B5A6-CAD61E0F794D}" name="27" totalsRowFunction="custom" dataDxfId="911" totalsRowDxfId="910">
      <totalsRowFormula>COUNTIF(Juillet[27],CléCongé)+(COUNTIF(Juillet[27],CléCongéSpécial)+COUNTIF(Juillet[27],CléRTT)+(COUNTIF(Juillet[27],CléDemiRtt)/2)+COUNTIF(Juillet[27],CléCongéMalade)+COUNTIF(Juillet[27],CléRécupération)+(COUNTIF(Juillet[27],CléDemiRécupération)/2)+COUNTIF(Juillet[27],CléFormation)+(COUNTIF(Juillet[27],CléEnfantMalade)+(COUNTIF(Juillet[27],CléDemiEnfantMalade)/2)))</totalsRowFormula>
    </tableColumn>
    <tableColumn id="29" xr3:uid="{8A60CC26-ABDA-0741-8319-1AAE6FAD19A6}" name="28" totalsRowFunction="custom" dataDxfId="909" totalsRowDxfId="908">
      <totalsRowFormula>COUNTIF(Juillet[28],CléCongé)+(COUNTIF(Juillet[28],CléCongéSpécial)+COUNTIF(Juillet[28],CléRTT)+(COUNTIF(Juillet[28],CléDemiRtt)/2)+COUNTIF(Juillet[28],CléCongéMalade)+COUNTIF(Juillet[28],CléRécupération)+(COUNTIF(Juillet[28],CléDemiRécupération)/2)+COUNTIF(Juillet[28],CléFormation)+(COUNTIF(Juillet[28],CléEnfantMalade)+(COUNTIF(Juillet[28],CléDemiEnfantMalade)/2)))</totalsRowFormula>
    </tableColumn>
    <tableColumn id="30" xr3:uid="{62B7F060-18C6-FD4B-BB38-7AA4B47103A3}" name="29" totalsRowFunction="custom" dataDxfId="907" totalsRowDxfId="906">
      <totalsRowFormula>COUNTIF(Juillet[29],CléCongé)+(COUNTIF(Juillet[29],CléCongéSpécial)+COUNTIF(Juillet[29],CléRTT)+(COUNTIF(Juillet[29],CléDemiRtt)/2)+COUNTIF(Juillet[29],CléCongéMalade)+COUNTIF(Juillet[29],CléRécupération)+(COUNTIF(Juillet[29],CléDemiRécupération)/2)+COUNTIF(Juillet[29],CléFormation)+(COUNTIF(Juillet[29],CléEnfantMalade)+(COUNTIF(Juillet[29],CléDemiEnfantMalade)/2)))</totalsRowFormula>
    </tableColumn>
    <tableColumn id="31" xr3:uid="{C69A5674-745B-DC4D-82F5-0314C9ADEB6C}" name="30" totalsRowFunction="custom" dataDxfId="905" totalsRowDxfId="904">
      <totalsRowFormula>COUNTIF(Juillet[30],CléCongé)+(COUNTIF(Juillet[30],CléCongéSpécial)+COUNTIF(Juillet[30],CléRTT)+(COUNTIF(Juillet[30],CléDemiRtt)/2)+COUNTIF(Juillet[30],CléCongéMalade)+COUNTIF(Juillet[30],CléRécupération)+(COUNTIF(Juillet[30],CléDemiRécupération)/2)+COUNTIF(Juillet[30],CléFormation)+(COUNTIF(Juillet[30],CléEnfantMalade)+(COUNTIF(Juillet[30],CléDemiEnfantMalade)/2)))</totalsRowFormula>
    </tableColumn>
    <tableColumn id="32" xr3:uid="{F0C101E5-AC98-7D4C-AD5C-B00E679CB14A}" name="31" totalsRowFunction="custom" dataDxfId="903" totalsRowDxfId="902">
      <totalsRowFormula>COUNTIF(Juillet[31],CléCongé)+(COUNTIF(Juillet[31],CléCongéSpécial)+COUNTIF(Juillet[31],CléRTT)+(COUNTIF(Juillet[31],CléDemiRtt)/2)+COUNTIF(Juillet[31],CléCongéMalade)+COUNTIF(Juillet[31],CléRécupération)+(COUNTIF(Juillet[31],CléDemiRécupération)/2)+COUNTIF(Juillet[31],CléFormation)+(COUNTIF(Juillet[31],CléEnfantMalade)+(COUNTIF(Juillet[31],CléDemiEnfantMalade)/2)))</totalsRowFormula>
    </tableColumn>
    <tableColumn id="33" xr3:uid="{907E066C-2C1A-2C41-A4E3-B0F0B0EFA38A}" name="Total absence" totalsRowFunction="sum" dataDxfId="901" totalsRowDxfId="900" dataCellStyle="Total">
      <calculatedColumnFormula>(COUNTIF(C8:AG8,CléCongé)+(COUNTIF(C8:AG8,CléEnfantMalade)+COUNTIF(C8:AG8,CléRTT)+COUNTIF(C8:AG8,CléCongéMalade)+COUNTIF(C8:AG8,CléRécupération)+COUNTIF(C8:AG8,CléFormation)+COUNTIF(C8:AG8,CléTélétravail-1)+COUNTIF(C8:AG8,CléCongéSpécial)+COUNTIF(C8:AG8,CléPrésenceExceptionnelle-1)+COUNTIF(C8:AG8,CléDemiRtt)/2)+COUNTIF(C8:AG8,CléDemiRécupération)/2)+COUNTIF(C8:AG8,CléDemiEnfantMalade)/2</calculatedColumnFormula>
    </tableColumn>
    <tableColumn id="34" xr3:uid="{EC350DA7-ECF0-2746-95E5-5A862A0F0BC1}" name="Dont RTT" totalsRowFunction="sum" dataDxfId="899" totalsRowDxfId="898" dataCellStyle="Total">
      <calculatedColumnFormula>COUNTIF(C8:AG8,CléRTT)+COUNTIF(C8:AG8,CléDemiRtt)/2</calculatedColumnFormula>
    </tableColumn>
    <tableColumn id="36" xr3:uid="{06DA45EC-9356-1F45-B959-C77D7217B85E}" name="Dont MALADIE" totalsRowFunction="sum" dataDxfId="897" totalsRowDxfId="896" dataCellStyle="Total">
      <calculatedColumnFormula>COUNTIF(C8:AG8,$S$3)</calculatedColumnFormula>
    </tableColumn>
    <tableColumn id="35" xr3:uid="{9583C070-246A-C244-9977-BDA2451B179A}" name="Solde RTT disponible au 01/08/2021" dataDxfId="895" totalsRowDxfId="894">
      <calculatedColumnFormula>Mars!AK8-Mai[[#This Row],[Dont RTT]]+2</calculatedColumnFormula>
    </tableColumn>
  </tableColumns>
  <tableStyleInfo name="Tableau des absences des employés" showFirstColumn="1" showLastColumn="1" showRowStripes="1" showColumnStripes="0"/>
  <extLst>
    <ext xmlns:x14="http://schemas.microsoft.com/office/spreadsheetml/2009/9/main" uri="{504A1905-F514-4f6f-8877-14C23A59335A}">
      <x14:table altTextSummary="Entrez les noms des employés et les dates d’absence. Enregistrez le motif d’absence à l’aide des clés figurant dans la ligne 12 : C=Congé, M=Maladie, P=Personnel, et deux espaces réservés pour des entrées personnalisées"/>
    </ext>
  </extLst>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5F9683A5-D878-8E47-A7AF-B85155773763}" name="Août" displayName="Août" ref="B7:AK19" totalsRowCount="1" headerRowDxfId="893" totalsRowDxfId="892">
  <tableColumns count="36">
    <tableColumn id="1" xr3:uid="{94173B31-3C6A-1F48-9FF3-90A0B378BD7A}" name="Nom de l’employé" totalsRowFunction="custom" dataDxfId="891" totalsRowDxfId="890" dataCellStyle="Employé">
      <totalsRowFormula>NomMois&amp;" Total"</totalsRowFormula>
    </tableColumn>
    <tableColumn id="2" xr3:uid="{B46EEB0B-D880-924D-97E0-79AD0AB6BF37}" name="1" totalsRowFunction="custom" dataDxfId="889" totalsRowDxfId="888">
      <totalsRowFormula>COUNTIF(Août[1],CléCongé)+(COUNTIF(Août[1],CléCongéSpécial)+COUNTIF(Août[1],CléRTT)+(COUNTIF(Août[1],CléDemiRtt)/2)+COUNTIF(Août[1],CléCongéMalade)+COUNTIF(Août[1],CléRécupération)+(COUNTIF(Août[1],CléDemiRécupération)/2)+COUNTIF(Août[1],CléFormation)+(COUNTIF(Août[1],CléEnfantMalade)+(COUNTIF(Août[1],CléDemiEnfantMalade)/2)))</totalsRowFormula>
    </tableColumn>
    <tableColumn id="3" xr3:uid="{72AFEFF5-4751-7343-8E25-FA10DE33F59F}" name="2" totalsRowFunction="custom" dataDxfId="887" totalsRowDxfId="886">
      <totalsRowFormula>COUNTIF(Août[2],CléCongé)+(COUNTIF(Août[2],CléCongéSpécial)+COUNTIF(Août[2],CléRTT)+(COUNTIF(Août[2],CléDemiRtt)/2)+COUNTIF(Août[2],CléCongéMalade)+COUNTIF(Août[2],CléRécupération)+(COUNTIF(Août[2],CléDemiRécupération)/2)+COUNTIF(Août[2],CléFormation)+(COUNTIF(Août[2],CléEnfantMalade)+(COUNTIF(Août[2],CléDemiEnfantMalade)/2)))</totalsRowFormula>
    </tableColumn>
    <tableColumn id="4" xr3:uid="{0C1447F5-7033-E04C-A884-E46BF67B8971}" name="3" totalsRowFunction="custom" dataDxfId="885" totalsRowDxfId="884">
      <totalsRowFormula>COUNTIF(Août[3],CléCongé)+(COUNTIF(Août[3],CléCongéSpécial)+COUNTIF(Août[3],CléRTT)+(COUNTIF(Août[3],CléDemiRtt)/2)+COUNTIF(Août[3],CléCongéMalade)+COUNTIF(Août[3],CléRécupération)+(COUNTIF(Août[3],CléDemiRécupération)/2)+COUNTIF(Août[3],CléFormation)+(COUNTIF(Août[3],CléEnfantMalade)+(COUNTIF(Août[3],CléDemiEnfantMalade)/2)))</totalsRowFormula>
    </tableColumn>
    <tableColumn id="5" xr3:uid="{B61905F8-8BCE-7B47-88CD-703D9316115C}" name="4" totalsRowFunction="custom" dataDxfId="883" totalsRowDxfId="882">
      <totalsRowFormula>COUNTIF(Août[4],CléCongé)+(COUNTIF(Août[4],CléCongéSpécial)+COUNTIF(Août[4],CléRTT)+(COUNTIF(Août[4],CléDemiRtt)/2)+COUNTIF(Août[4],CléCongéMalade)+COUNTIF(Août[4],CléRécupération)+(COUNTIF(Août[4],CléDemiRécupération)/2)+COUNTIF(Août[4],CléFormation)+(COUNTIF(Août[4],CléEnfantMalade)+(COUNTIF(Août[4],CléDemiEnfantMalade)/2)))</totalsRowFormula>
    </tableColumn>
    <tableColumn id="6" xr3:uid="{AB1CBD73-2E6B-114D-A93C-BEC1F8B56E8B}" name="5" totalsRowFunction="custom" dataDxfId="881" totalsRowDxfId="880">
      <totalsRowFormula>COUNTIF(Août[5],CléCongé)+(COUNTIF(Août[5],CléCongéSpécial)+COUNTIF(Août[5],CléRTT)+(COUNTIF(Août[5],CléDemiRtt)/2)+COUNTIF(Août[5],CléCongéMalade)+COUNTIF(Août[5],CléRécupération)+(COUNTIF(Août[5],CléDemiRécupération)/2)+COUNTIF(Août[5],CléFormation)+(COUNTIF(Août[5],CléEnfantMalade)+(COUNTIF(Août[5],CléDemiEnfantMalade)/2)))</totalsRowFormula>
    </tableColumn>
    <tableColumn id="7" xr3:uid="{B37E50AC-2B43-1940-BC31-47F10D6CB490}" name="6" totalsRowFunction="custom" dataDxfId="879" totalsRowDxfId="878">
      <totalsRowFormula>COUNTIF(Août[6],CléCongé)+(COUNTIF(Août[6],CléCongéSpécial)+COUNTIF(Août[6],CléRTT)+(COUNTIF(Août[6],CléDemiRtt)/2)+COUNTIF(Août[6],CléCongéMalade)+COUNTIF(Août[6],CléRécupération)+(COUNTIF(Août[6],CléDemiRécupération)/2)+COUNTIF(Août[6],CléFormation)+(COUNTIF(Août[6],CléEnfantMalade)+(COUNTIF(Août[6],CléDemiEnfantMalade)/2)))</totalsRowFormula>
    </tableColumn>
    <tableColumn id="8" xr3:uid="{54A73956-0365-F44B-8751-84A5F7665D03}" name="7" totalsRowFunction="custom" dataDxfId="877" totalsRowDxfId="876">
      <totalsRowFormula>COUNTIF(Août[7],CléCongé)+(COUNTIF(Août[7],CléCongéSpécial)+COUNTIF(Août[7],CléRTT)+(COUNTIF(Août[7],CléDemiRtt)/2)+COUNTIF(Août[7],CléCongéMalade)+COUNTIF(Août[7],CléRécupération)+(COUNTIF(Août[7],CléDemiRécupération)/2)+COUNTIF(Août[7],CléFormation)+(COUNTIF(Août[7],CléEnfantMalade)+(COUNTIF(Août[7],CléDemiEnfantMalade)/2)))</totalsRowFormula>
    </tableColumn>
    <tableColumn id="9" xr3:uid="{AE50FC7A-A89D-C747-BCD2-DE9A879FDCBC}" name="8" totalsRowFunction="custom" dataDxfId="875" totalsRowDxfId="874">
      <totalsRowFormula>COUNTIF(Août[8],CléCongé)+(COUNTIF(Août[8],CléCongéSpécial)+COUNTIF(Août[8],CléRTT)+(COUNTIF(Août[8],CléDemiRtt)/2)+COUNTIF(Août[8],CléCongéMalade)+COUNTIF(Août[8],CléRécupération)+(COUNTIF(Août[8],CléDemiRécupération)/2)+COUNTIF(Août[8],CléFormation)+(COUNTIF(Août[8],CléEnfantMalade)+(COUNTIF(Août[8],CléDemiEnfantMalade)/2)))</totalsRowFormula>
    </tableColumn>
    <tableColumn id="10" xr3:uid="{BF548718-74F0-C341-8C67-38B090F1E314}" name="9" totalsRowFunction="custom" dataDxfId="873" totalsRowDxfId="872">
      <totalsRowFormula>COUNTIF(Août[9],CléCongé)+(COUNTIF(Août[9],CléCongéSpécial)+COUNTIF(Août[9],CléRTT)+(COUNTIF(Août[9],CléDemiRtt)/2)+COUNTIF(Août[9],CléCongéMalade)+COUNTIF(Août[9],CléRécupération)+(COUNTIF(Août[9],CléDemiRécupération)/2)+COUNTIF(Août[9],CléFormation)+(COUNTIF(Août[9],CléEnfantMalade)+(COUNTIF(Août[9],CléDemiEnfantMalade)/2)))</totalsRowFormula>
    </tableColumn>
    <tableColumn id="11" xr3:uid="{28588C17-15E8-1443-81FC-5960A97A752A}" name="10" totalsRowFunction="custom" dataDxfId="871" totalsRowDxfId="870">
      <totalsRowFormula>COUNTIF(Août[10],CléCongé)+(COUNTIF(Août[10],CléCongéSpécial)+COUNTIF(Août[10],CléRTT)+(COUNTIF(Août[10],CléDemiRtt)/2)+COUNTIF(Août[10],CléCongéMalade)+COUNTIF(Août[10],CléRécupération)+(COUNTIF(Août[10],CléDemiRécupération)/2)+COUNTIF(Août[10],CléFormation)+(COUNTIF(Août[10],CléEnfantMalade)+(COUNTIF(Août[10],CléDemiEnfantMalade)/2)))</totalsRowFormula>
    </tableColumn>
    <tableColumn id="12" xr3:uid="{2CFF160B-A614-D349-83ED-19C80967F061}" name="11" totalsRowFunction="custom" dataDxfId="869" totalsRowDxfId="868">
      <totalsRowFormula>COUNTIF(Août[11],CléCongé)+(COUNTIF(Août[11],CléCongéSpécial)+COUNTIF(Août[11],CléRTT)+(COUNTIF(Août[11],CléDemiRtt)/2)+COUNTIF(Août[11],CléCongéMalade)+COUNTIF(Août[11],CléRécupération)+(COUNTIF(Août[11],CléDemiRécupération)/2)+COUNTIF(Août[11],CléFormation)+(COUNTIF(Août[11],CléEnfantMalade)+(COUNTIF(Août[11],CléDemiEnfantMalade)/2)))</totalsRowFormula>
    </tableColumn>
    <tableColumn id="13" xr3:uid="{B43A039A-9DA8-C542-A242-BFFE5CB45EAB}" name="12" totalsRowFunction="custom" dataDxfId="867" totalsRowDxfId="866">
      <totalsRowFormula>COUNTIF(Août[12],CléCongé)+(COUNTIF(Août[12],CléCongéSpécial)+COUNTIF(Août[12],CléRTT)+(COUNTIF(Août[12],CléDemiRtt)/2)+COUNTIF(Août[12],CléCongéMalade)+COUNTIF(Août[12],CléRécupération)+(COUNTIF(Août[12],CléDemiRécupération)/2)+COUNTIF(Août[12],CléFormation)+(COUNTIF(Août[12],CléEnfantMalade)+(COUNTIF(Août[12],CléDemiEnfantMalade)/2)))</totalsRowFormula>
    </tableColumn>
    <tableColumn id="14" xr3:uid="{5D7E0C25-6691-9A4E-99C2-A056F1DF21E0}" name="13" totalsRowFunction="custom" dataDxfId="865" totalsRowDxfId="864">
      <totalsRowFormula>COUNTIF(Août[13],CléCongé)+(COUNTIF(Août[13],CléCongéSpécial)+COUNTIF(Août[13],CléRTT)+(COUNTIF(Août[13],CléDemiRtt)/2)+COUNTIF(Août[13],CléCongéMalade)+COUNTIF(Août[13],CléRécupération)+(COUNTIF(Août[13],CléDemiRécupération)/2)+COUNTIF(Août[13],CléFormation)+(COUNTIF(Août[13],CléEnfantMalade)+(COUNTIF(Août[13],CléDemiEnfantMalade)/2)))</totalsRowFormula>
    </tableColumn>
    <tableColumn id="15" xr3:uid="{5A9B19C7-BB09-1049-AACC-C7856BDE6B8B}" name="14" totalsRowFunction="custom" dataDxfId="863" totalsRowDxfId="862">
      <totalsRowFormula>COUNTIF(Août[14],CléCongé)+(COUNTIF(Août[14],CléCongéSpécial)+COUNTIF(Août[14],CléRTT)+(COUNTIF(Août[14],CléDemiRtt)/2)+COUNTIF(Août[14],CléCongéMalade)+COUNTIF(Août[14],CléRécupération)+(COUNTIF(Août[14],CléDemiRécupération)/2)+COUNTIF(Août[14],CléFormation)+(COUNTIF(Août[14],CléEnfantMalade)+(COUNTIF(Août[14],CléDemiEnfantMalade)/2)))</totalsRowFormula>
    </tableColumn>
    <tableColumn id="16" xr3:uid="{690A3254-62AB-6F49-9F50-C101D7CE988D}" name="15" totalsRowFunction="custom" dataDxfId="861" totalsRowDxfId="860">
      <totalsRowFormula>COUNTIF(Août[15],CléCongé)+(COUNTIF(Août[15],CléCongéSpécial)+COUNTIF(Août[15],CléRTT)+(COUNTIF(Août[15],CléDemiRtt)/2)+COUNTIF(Août[15],CléCongéMalade)+COUNTIF(Août[15],CléRécupération)+(COUNTIF(Août[15],CléDemiRécupération)/2)+COUNTIF(Août[15],CléFormation)+(COUNTIF(Août[15],CléEnfantMalade)+(COUNTIF(Août[15],CléDemiEnfantMalade)/2)))</totalsRowFormula>
    </tableColumn>
    <tableColumn id="17" xr3:uid="{343178AD-C113-6243-A711-E3A0CD7A64A4}" name="16" totalsRowFunction="custom" dataDxfId="859" totalsRowDxfId="858">
      <totalsRowFormula>COUNTIF(Août[16],CléCongé)+(COUNTIF(Août[16],CléCongéSpécial)+COUNTIF(Août[16],CléRTT)+(COUNTIF(Août[16],CléDemiRtt)/2)+COUNTIF(Août[16],CléCongéMalade)+COUNTIF(Août[16],CléRécupération)+(COUNTIF(Août[16],CléDemiRécupération)/2)+COUNTIF(Août[16],CléFormation)+(COUNTIF(Août[16],CléEnfantMalade)+(COUNTIF(Août[16],CléDemiEnfantMalade)/2)))</totalsRowFormula>
    </tableColumn>
    <tableColumn id="18" xr3:uid="{EB4D17D9-0B23-4A41-87A7-568EA0FBF566}" name="17" totalsRowFunction="custom" dataDxfId="857" totalsRowDxfId="856">
      <totalsRowFormula>COUNTIF(Août[17],CléCongé)+(COUNTIF(Août[17],CléCongéSpécial)+COUNTIF(Août[17],CléRTT)+(COUNTIF(Août[17],CléDemiRtt)/2)+COUNTIF(Août[17],CléCongéMalade)+COUNTIF(Août[17],CléRécupération)+(COUNTIF(Août[17],CléDemiRécupération)/2)+COUNTIF(Août[17],CléFormation)+(COUNTIF(Août[17],CléEnfantMalade)+(COUNTIF(Août[17],CléDemiEnfantMalade)/2)))</totalsRowFormula>
    </tableColumn>
    <tableColumn id="19" xr3:uid="{EB7A37CB-7CD0-1241-B354-7E73A43908BD}" name="18" totalsRowFunction="custom" dataDxfId="855" totalsRowDxfId="854">
      <totalsRowFormula>COUNTIF(Août[18],CléCongé)+(COUNTIF(Août[18],CléCongéSpécial)+COUNTIF(Août[18],CléRTT)+(COUNTIF(Août[18],CléDemiRtt)/2)+COUNTIF(Août[18],CléCongéMalade)+COUNTIF(Août[18],CléRécupération)+(COUNTIF(Août[18],CléDemiRécupération)/2)+COUNTIF(Août[18],CléFormation)+(COUNTIF(Août[18],CléEnfantMalade)+(COUNTIF(Août[18],CléDemiEnfantMalade)/2)))</totalsRowFormula>
    </tableColumn>
    <tableColumn id="20" xr3:uid="{331109F3-4379-E141-9FE0-8727CCA2052F}" name="19" totalsRowFunction="custom" dataDxfId="853" totalsRowDxfId="852">
      <totalsRowFormula>COUNTIF(Août[19],CléCongé)+(COUNTIF(Août[19],CléCongéSpécial)+COUNTIF(Août[19],CléRTT)+(COUNTIF(Août[19],CléDemiRtt)/2)+COUNTIF(Août[19],CléCongéMalade)+COUNTIF(Août[19],CléRécupération)+(COUNTIF(Août[19],CléDemiRécupération)/2)+COUNTIF(Août[19],CléFormation)+(COUNTIF(Août[19],CléEnfantMalade)+(COUNTIF(Août[19],CléDemiEnfantMalade)/2)))</totalsRowFormula>
    </tableColumn>
    <tableColumn id="21" xr3:uid="{1CD6BE75-122D-DD4C-B5A3-05EE4ED77230}" name="20" totalsRowFunction="custom" dataDxfId="851" totalsRowDxfId="850">
      <totalsRowFormula>COUNTIF(Août[20],CléCongé)+(COUNTIF(Août[20],CléCongéSpécial)+COUNTIF(Août[20],CléRTT)+(COUNTIF(Août[20],CléDemiRtt)/2)+COUNTIF(Août[20],CléCongéMalade)+COUNTIF(Août[20],CléRécupération)+(COUNTIF(Août[20],CléDemiRécupération)/2)+COUNTIF(Août[20],CléFormation)+(COUNTIF(Août[20],CléEnfantMalade)+(COUNTIF(Août[20],CléDemiEnfantMalade)/2)))</totalsRowFormula>
    </tableColumn>
    <tableColumn id="22" xr3:uid="{36116F5E-066F-F344-9EA7-93E1B170B94E}" name="21" totalsRowFunction="custom" dataDxfId="849" totalsRowDxfId="848">
      <totalsRowFormula>COUNTIF(Août[21],CléCongé)+(COUNTIF(Août[21],CléCongéSpécial)+COUNTIF(Août[21],CléRTT)+(COUNTIF(Août[21],CléDemiRtt)/2)+COUNTIF(Août[21],CléCongéMalade)+COUNTIF(Août[21],CléRécupération)+(COUNTIF(Août[21],CléDemiRécupération)/2)+COUNTIF(Août[21],CléFormation)+(COUNTIF(Août[21],CléEnfantMalade)+(COUNTIF(Août[21],CléDemiEnfantMalade)/2)))</totalsRowFormula>
    </tableColumn>
    <tableColumn id="23" xr3:uid="{437FD133-1507-CA44-B379-55ACBA950A6F}" name="22" totalsRowFunction="custom" dataDxfId="847" totalsRowDxfId="846">
      <totalsRowFormula>COUNTIF(Août[22],CléCongé)+(COUNTIF(Août[22],CléCongéSpécial)+COUNTIF(Août[22],CléRTT)+(COUNTIF(Août[22],CléDemiRtt)/2)+COUNTIF(Août[22],CléCongéMalade)+COUNTIF(Août[22],CléRécupération)+(COUNTIF(Août[22],CléDemiRécupération)/2)+COUNTIF(Août[22],CléFormation)+(COUNTIF(Août[22],CléEnfantMalade)+(COUNTIF(Août[22],CléDemiEnfantMalade)/2)))</totalsRowFormula>
    </tableColumn>
    <tableColumn id="24" xr3:uid="{18BBD64C-0459-1E4C-A211-916159DFBB93}" name="23" totalsRowFunction="custom" dataDxfId="845" totalsRowDxfId="844">
      <totalsRowFormula>COUNTIF(Août[23],CléCongé)+(COUNTIF(Août[23],CléCongéSpécial)+COUNTIF(Août[23],CléRTT)+(COUNTIF(Août[23],CléDemiRtt)/2)+COUNTIF(Août[23],CléCongéMalade)+COUNTIF(Août[23],CléRécupération)+(COUNTIF(Août[23],CléDemiRécupération)/2)+COUNTIF(Août[23],CléFormation)+(COUNTIF(Août[23],CléEnfantMalade)+(COUNTIF(Août[23],CléDemiEnfantMalade)/2)))</totalsRowFormula>
    </tableColumn>
    <tableColumn id="25" xr3:uid="{A0B7866F-67F0-734C-B540-B5B770A71093}" name="24" totalsRowFunction="custom" dataDxfId="843" totalsRowDxfId="842">
      <totalsRowFormula>COUNTIF(Août[24],CléCongé)+(COUNTIF(Août[24],CléCongéSpécial)+COUNTIF(Août[24],CléRTT)+(COUNTIF(Août[24],CléDemiRtt)/2)+COUNTIF(Août[24],CléCongéMalade)+COUNTIF(Août[24],CléRécupération)+(COUNTIF(Août[24],CléDemiRécupération)/2)+COUNTIF(Août[24],CléFormation)+(COUNTIF(Août[24],CléEnfantMalade)+(COUNTIF(Août[24],CléDemiEnfantMalade)/2)))</totalsRowFormula>
    </tableColumn>
    <tableColumn id="26" xr3:uid="{68B61B62-F42E-7D44-ADA9-6D89F0BD3939}" name="25" totalsRowFunction="custom" dataDxfId="841" totalsRowDxfId="840">
      <totalsRowFormula>COUNTIF(Août[25],CléCongé)+(COUNTIF(Août[25],CléCongéSpécial)+COUNTIF(Août[25],CléRTT)+(COUNTIF(Août[25],CléDemiRtt)/2)+COUNTIF(Août[25],CléCongéMalade)+COUNTIF(Août[25],CléRécupération)+(COUNTIF(Août[25],CléDemiRécupération)/2)+COUNTIF(Août[25],CléFormation)+(COUNTIF(Août[25],CléEnfantMalade)+(COUNTIF(Août[25],CléDemiEnfantMalade)/2)))</totalsRowFormula>
    </tableColumn>
    <tableColumn id="27" xr3:uid="{683D023E-5F17-794D-BA6E-C63AA06291AB}" name="26" totalsRowFunction="custom" dataDxfId="839" totalsRowDxfId="838">
      <totalsRowFormula>COUNTIF(Août[26],CléCongé)+(COUNTIF(Août[26],CléCongéSpécial)+COUNTIF(Août[26],CléRTT)+(COUNTIF(Août[26],CléDemiRtt)/2)+COUNTIF(Août[26],CléCongéMalade)+COUNTIF(Août[26],CléRécupération)+(COUNTIF(Août[26],CléDemiRécupération)/2)+COUNTIF(Août[26],CléFormation)+(COUNTIF(Août[26],CléEnfantMalade)+(COUNTIF(Août[26],CléDemiEnfantMalade)/2)))</totalsRowFormula>
    </tableColumn>
    <tableColumn id="28" xr3:uid="{04DCE457-B3EC-394B-B4B3-B8279CCBDED9}" name="27" totalsRowFunction="custom" dataDxfId="837" totalsRowDxfId="836">
      <totalsRowFormula>COUNTIF(Août[27],CléCongé)+(COUNTIF(Août[27],CléCongéSpécial)+COUNTIF(Août[27],CléRTT)+(COUNTIF(Août[27],CléDemiRtt)/2)+COUNTIF(Août[27],CléCongéMalade)+COUNTIF(Août[27],CléRécupération)+(COUNTIF(Août[27],CléDemiRécupération)/2)+COUNTIF(Août[27],CléFormation)+(COUNTIF(Août[27],CléEnfantMalade)+(COUNTIF(Août[27],CléDemiEnfantMalade)/2)))</totalsRowFormula>
    </tableColumn>
    <tableColumn id="29" xr3:uid="{13609B8F-9488-5C40-86EF-D27064536C33}" name="28" totalsRowFunction="custom" dataDxfId="835" totalsRowDxfId="834">
      <totalsRowFormula>COUNTIF(Août[28],CléCongé)+(COUNTIF(Août[28],CléCongéSpécial)+COUNTIF(Août[28],CléRTT)+(COUNTIF(Août[28],CléDemiRtt)/2)+COUNTIF(Août[28],CléCongéMalade)+COUNTIF(Août[28],CléRécupération)+(COUNTIF(Août[28],CléDemiRécupération)/2)+COUNTIF(Août[28],CléFormation)+(COUNTIF(Août[28],CléEnfantMalade)+(COUNTIF(Août[28],CléDemiEnfantMalade)/2)))</totalsRowFormula>
    </tableColumn>
    <tableColumn id="30" xr3:uid="{24F6A684-E383-0C47-A905-EB73BD9AF2F3}" name="29" totalsRowFunction="custom" dataDxfId="833" totalsRowDxfId="832">
      <totalsRowFormula>COUNTIF(Août[29],CléCongé)+(COUNTIF(Août[29],CléCongéSpécial)+COUNTIF(Août[29],CléRTT)+(COUNTIF(Août[29],CléDemiRtt)/2)+COUNTIF(Août[29],CléCongéMalade)+COUNTIF(Août[29],CléRécupération)+(COUNTIF(Août[29],CléDemiRécupération)/2)+COUNTIF(Août[29],CléFormation)+(COUNTIF(Août[29],CléEnfantMalade)+(COUNTIF(Août[29],CléDemiEnfantMalade)/2)))</totalsRowFormula>
    </tableColumn>
    <tableColumn id="31" xr3:uid="{B251F29E-0378-8140-ACC2-34B546674498}" name="30" totalsRowFunction="custom" dataDxfId="831" totalsRowDxfId="830">
      <totalsRowFormula>COUNTIF(Août[30],CléCongé)+(COUNTIF(Août[30],CléCongéSpécial)+COUNTIF(Août[30],CléRTT)+(COUNTIF(Août[30],CléDemiRtt)/2)+COUNTIF(Août[30],CléCongéMalade)+COUNTIF(Août[30],CléRécupération)+(COUNTIF(Août[30],CléDemiRécupération)/2)+COUNTIF(Août[30],CléFormation)+(COUNTIF(Août[30],CléEnfantMalade)+(COUNTIF(Août[30],CléDemiEnfantMalade)/2)))</totalsRowFormula>
    </tableColumn>
    <tableColumn id="32" xr3:uid="{DADB19A4-B151-B34D-9090-9EFAF7C04512}" name="31" totalsRowFunction="custom" dataDxfId="829" totalsRowDxfId="828">
      <totalsRowFormula>COUNTIF(Août[31],CléCongé)+(COUNTIF(Août[31],CléCongéSpécial)+COUNTIF(Août[31],CléRTT)+(COUNTIF(Août[31],CléDemiRtt)/2)+COUNTIF(Août[31],CléCongéMalade)+COUNTIF(Août[31],CléRécupération)+(COUNTIF(Août[31],CléDemiRécupération)/2)+COUNTIF(Août[31],CléFormation)+(COUNTIF(Août[31],CléEnfantMalade)+(COUNTIF(Août[31],CléDemiEnfantMalade)/2)))</totalsRowFormula>
    </tableColumn>
    <tableColumn id="33" xr3:uid="{2493AEC6-AB58-944E-9D71-87018D7009F7}" name="Total absence" totalsRowFunction="sum" dataDxfId="827" totalsRowDxfId="826" dataCellStyle="Total">
      <calculatedColumnFormula>(COUNTIF(C8:AG8,CléCongé)+(COUNTIF(C8:AG8,CléEnfantMalade)+COUNTIF(C8:AG8,CléRTT)+COUNTIF(C8:AG8,CléCongéMalade)+COUNTIF(C8:AG8,CléRécupération)+COUNTIF(C8:AG8,CléFormation)+COUNTIF(C8:AG8,CléTélétravail-1)+COUNTIF(C8:AG8,CléCongéSpécial)+COUNTIF(C8:AG8,CléPrésenceExceptionnelle-1)+COUNTIF(C8:AG8,CléDemiRtt)/2)+COUNTIF(C8:AG8,CléDemiRécupération)/2)+COUNTIF(C8:AG8,CléDemiEnfantMalade)/2</calculatedColumnFormula>
    </tableColumn>
    <tableColumn id="34" xr3:uid="{D0A1FDED-A88F-5B49-8C32-B3DF320BCB43}" name="Dont RTT" totalsRowFunction="sum" dataDxfId="825" totalsRowDxfId="824" dataCellStyle="Total">
      <calculatedColumnFormula>COUNTIF(C8:AG8,CléRTT)+COUNTIF(C8:AG8,CléDemiRtt)/2</calculatedColumnFormula>
    </tableColumn>
    <tableColumn id="36" xr3:uid="{3AAB17DB-F1A6-4E41-A078-FFB175BBF6F1}" name="Dont MALADIE" totalsRowFunction="sum" dataDxfId="823" totalsRowDxfId="822" dataCellStyle="Total">
      <calculatedColumnFormula>COUNTIF(C8:AG8,$S$3)</calculatedColumnFormula>
    </tableColumn>
    <tableColumn id="35" xr3:uid="{A33E08EC-9168-E843-9737-65B495D64CAA}" name="Solde RTT disponible au 01/09/2021" dataDxfId="821" totalsRowDxfId="820">
      <calculatedColumnFormula>Mars!AK8-Mai[[#This Row],[Dont RTT]]+2</calculatedColumnFormula>
    </tableColumn>
  </tableColumns>
  <tableStyleInfo name="Tableau des absences des employés" showFirstColumn="1" showLastColumn="1" showRowStripes="1" showColumnStripes="0"/>
  <extLst>
    <ext xmlns:x14="http://schemas.microsoft.com/office/spreadsheetml/2009/9/main" uri="{504A1905-F514-4f6f-8877-14C23A59335A}">
      <x14:table altTextSummary="Entrez les noms des employés et les dates d’absence. Enregistrez le motif d’absence à l’aide des clés figurant dans la ligne 12 : C=Congé, M=Maladie, P=Personnel, et deux espaces réservés pour des entrées personnalisées"/>
    </ext>
  </extLst>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E64B92B8-0B33-1B49-89B6-94DE339AF266}" name="Septembre" displayName="Septembre" ref="B7:AK19" totalsRowCount="1" headerRowDxfId="819" totalsRowDxfId="818">
  <tableColumns count="36">
    <tableColumn id="1" xr3:uid="{22B2D8F5-2DF9-DA44-9679-9EEC0DEF55A8}" name="Nom de l’employé" totalsRowFunction="custom" dataDxfId="817" totalsRowDxfId="816" dataCellStyle="Employé">
      <totalsRowFormula>NomMois&amp;" Total"</totalsRowFormula>
    </tableColumn>
    <tableColumn id="2" xr3:uid="{EE4FB978-D594-3346-97A3-B8EC0247FD4A}" name="1" totalsRowFunction="custom" dataDxfId="815" totalsRowDxfId="814">
      <totalsRowFormula>COUNTIF(Septembre[1],CléCongé)+(COUNTIF(Septembre[1],CléCongéSpécial)+COUNTIF(Septembre[1],CléRTT)+(COUNTIF(Septembre[1],CléDemiRtt)/2)+COUNTIF(Septembre[1],CléCongéMalade)+COUNTIF(Septembre[1],CléRécupération)+(COUNTIF(Septembre[1],CléDemiRécupération)/2)+COUNTIF(Septembre[1],CléFormation)+(COUNTIF(Septembre[1],CléEnfantMalade)+(COUNTIF(Septembre[1],CléDemiEnfantMalade)/2)))</totalsRowFormula>
    </tableColumn>
    <tableColumn id="3" xr3:uid="{79CEE088-99E1-184D-A716-FC2F1C29868F}" name="2" totalsRowFunction="custom" dataDxfId="813" totalsRowDxfId="812">
      <totalsRowFormula>COUNTIF(Septembre[2],CléCongé)+(COUNTIF(Septembre[2],CléCongéSpécial)+COUNTIF(Septembre[2],CléRTT)+(COUNTIF(Septembre[2],CléDemiRtt)/2)+COUNTIF(Septembre[2],CléCongéMalade)+COUNTIF(Septembre[2],CléRécupération)+(COUNTIF(Septembre[2],CléDemiRécupération)/2)+COUNTIF(Septembre[2],CléFormation)+(COUNTIF(Septembre[2],CléEnfantMalade)+(COUNTIF(Septembre[2],CléDemiEnfantMalade)/2)))</totalsRowFormula>
    </tableColumn>
    <tableColumn id="4" xr3:uid="{17CC8A9E-F241-4846-BE83-567EDDC4C77C}" name="3" totalsRowFunction="custom" dataDxfId="811" totalsRowDxfId="810">
      <totalsRowFormula>COUNTIF(Septembre[3],CléCongé)+(COUNTIF(Septembre[3],CléCongéSpécial)+COUNTIF(Septembre[3],CléRTT)+(COUNTIF(Septembre[3],CléDemiRtt)/2)+COUNTIF(Septembre[3],CléCongéMalade)+COUNTIF(Septembre[3],CléRécupération)+(COUNTIF(Septembre[3],CléDemiRécupération)/2)+COUNTIF(Septembre[3],CléFormation)+(COUNTIF(Septembre[3],CléEnfantMalade)+(COUNTIF(Septembre[3],CléDemiEnfantMalade)/2)))</totalsRowFormula>
    </tableColumn>
    <tableColumn id="5" xr3:uid="{574BB39D-787B-1448-96EC-68A78CD59B23}" name="4" totalsRowFunction="custom" dataDxfId="809" totalsRowDxfId="808">
      <totalsRowFormula>COUNTIF(Septembre[4],CléCongé)+(COUNTIF(Septembre[4],CléCongéSpécial)+COUNTIF(Septembre[4],CléRTT)+(COUNTIF(Septembre[4],CléDemiRtt)/2)+COUNTIF(Septembre[4],CléCongéMalade)+COUNTIF(Septembre[4],CléRécupération)+(COUNTIF(Septembre[4],CléDemiRécupération)/2)+COUNTIF(Septembre[4],CléFormation)+(COUNTIF(Septembre[4],CléEnfantMalade)+(COUNTIF(Septembre[4],CléDemiEnfantMalade)/2)))</totalsRowFormula>
    </tableColumn>
    <tableColumn id="6" xr3:uid="{F0BB0FA7-E5E7-7245-BFAC-B78E3B5A65A8}" name="5" totalsRowFunction="custom" dataDxfId="807" totalsRowDxfId="806">
      <totalsRowFormula>COUNTIF(Septembre[5],CléCongé)+(COUNTIF(Septembre[5],CléCongéSpécial)+COUNTIF(Septembre[5],CléRTT)+(COUNTIF(Septembre[5],CléDemiRtt)/2)+COUNTIF(Septembre[5],CléCongéMalade)+COUNTIF(Septembre[5],CléRécupération)+(COUNTIF(Septembre[5],CléDemiRécupération)/2)+COUNTIF(Septembre[5],CléFormation)+(COUNTIF(Septembre[5],CléEnfantMalade)+(COUNTIF(Septembre[5],CléDemiEnfantMalade)/2)))</totalsRowFormula>
    </tableColumn>
    <tableColumn id="7" xr3:uid="{C88D11D7-3E6A-1B43-B447-C4633D6F5260}" name="6" totalsRowFunction="custom" dataDxfId="805" totalsRowDxfId="804">
      <totalsRowFormula>COUNTIF(Septembre[6],CléCongé)+(COUNTIF(Septembre[6],CléCongéSpécial)+COUNTIF(Septembre[6],CléRTT)+(COUNTIF(Septembre[6],CléDemiRtt)/2)+COUNTIF(Septembre[6],CléCongéMalade)+COUNTIF(Septembre[6],CléRécupération)+(COUNTIF(Septembre[6],CléDemiRécupération)/2)+COUNTIF(Septembre[6],CléFormation)+(COUNTIF(Septembre[6],CléEnfantMalade)+(COUNTIF(Septembre[6],CléDemiEnfantMalade)/2)))</totalsRowFormula>
    </tableColumn>
    <tableColumn id="8" xr3:uid="{48B3BFF8-1FB1-644D-A3D3-1CA627FEAFB8}" name="7" totalsRowFunction="custom" dataDxfId="803" totalsRowDxfId="802">
      <totalsRowFormula>COUNTIF(Septembre[7],CléCongé)+(COUNTIF(Septembre[7],CléCongéSpécial)+COUNTIF(Septembre[7],CléRTT)+(COUNTIF(Septembre[7],CléDemiRtt)/2)+COUNTIF(Septembre[7],CléCongéMalade)+COUNTIF(Septembre[7],CléRécupération)+(COUNTIF(Septembre[7],CléDemiRécupération)/2)+COUNTIF(Septembre[7],CléFormation)+(COUNTIF(Septembre[7],CléEnfantMalade)+(COUNTIF(Septembre[7],CléDemiEnfantMalade)/2)))</totalsRowFormula>
    </tableColumn>
    <tableColumn id="9" xr3:uid="{32D00876-731A-164F-B8E1-B464184FF060}" name="8" totalsRowFunction="custom" dataDxfId="801" totalsRowDxfId="800">
      <totalsRowFormula>COUNTIF(Septembre[8],CléCongé)+(COUNTIF(Septembre[8],CléCongéSpécial)+COUNTIF(Septembre[8],CléRTT)+(COUNTIF(Septembre[8],CléDemiRtt)/2)+COUNTIF(Septembre[8],CléCongéMalade)+COUNTIF(Septembre[8],CléRécupération)+(COUNTIF(Septembre[8],CléDemiRécupération)/2)+COUNTIF(Septembre[8],CléFormation)+(COUNTIF(Septembre[8],CléEnfantMalade)+(COUNTIF(Septembre[8],CléDemiEnfantMalade)/2)))</totalsRowFormula>
    </tableColumn>
    <tableColumn id="10" xr3:uid="{745EE7FA-5C57-584D-9562-F40AF7A0354B}" name="9" totalsRowFunction="custom" dataDxfId="799" totalsRowDxfId="798">
      <totalsRowFormula>COUNTIF(Septembre[9],CléCongé)+(COUNTIF(Septembre[9],CléCongéSpécial)+COUNTIF(Septembre[9],CléRTT)+(COUNTIF(Septembre[9],CléDemiRtt)/2)+COUNTIF(Septembre[9],CléCongéMalade)+COUNTIF(Septembre[9],CléRécupération)+(COUNTIF(Septembre[9],CléDemiRécupération)/2)+COUNTIF(Septembre[9],CléFormation)+(COUNTIF(Septembre[9],CléEnfantMalade)+(COUNTIF(Septembre[9],CléDemiEnfantMalade)/2)))</totalsRowFormula>
    </tableColumn>
    <tableColumn id="11" xr3:uid="{4C1E1A85-75E0-3141-A893-65E57F496D42}" name="10" totalsRowFunction="custom" dataDxfId="797" totalsRowDxfId="796">
      <totalsRowFormula>COUNTIF(Septembre[10],CléCongé)+(COUNTIF(Septembre[10],CléCongéSpécial)+COUNTIF(Septembre[10],CléRTT)+(COUNTIF(Septembre[10],CléDemiRtt)/2)+COUNTIF(Septembre[10],CléCongéMalade)+COUNTIF(Septembre[10],CléRécupération)+(COUNTIF(Septembre[10],CléDemiRécupération)/2)+COUNTIF(Septembre[10],CléFormation)+(COUNTIF(Septembre[10],CléEnfantMalade)+(COUNTIF(Septembre[10],CléDemiEnfantMalade)/2)))</totalsRowFormula>
    </tableColumn>
    <tableColumn id="12" xr3:uid="{C1A1B2FC-59C7-7C47-95DB-0B409BAB77F1}" name="11" totalsRowFunction="custom" dataDxfId="795" totalsRowDxfId="794">
      <totalsRowFormula>COUNTIF(Septembre[11],CléCongé)+(COUNTIF(Septembre[11],CléCongéSpécial)+COUNTIF(Septembre[11],CléRTT)+(COUNTIF(Septembre[11],CléDemiRtt)/2)+COUNTIF(Septembre[11],CléCongéMalade)+COUNTIF(Septembre[11],CléRécupération)+(COUNTIF(Septembre[11],CléDemiRécupération)/2)+COUNTIF(Septembre[11],CléFormation)+(COUNTIF(Septembre[11],CléEnfantMalade)+(COUNTIF(Septembre[11],CléDemiEnfantMalade)/2)))</totalsRowFormula>
    </tableColumn>
    <tableColumn id="13" xr3:uid="{01FFEBE7-FE90-4A42-A1C4-0C76EADD35BD}" name="12" totalsRowFunction="custom" dataDxfId="793" totalsRowDxfId="792">
      <totalsRowFormula>COUNTIF(Septembre[12],CléCongé)+(COUNTIF(Septembre[12],CléCongéSpécial)+COUNTIF(Septembre[12],CléRTT)+(COUNTIF(Septembre[12],CléDemiRtt)/2)+COUNTIF(Septembre[12],CléCongéMalade)+COUNTIF(Septembre[12],CléRécupération)+(COUNTIF(Septembre[12],CléDemiRécupération)/2)+COUNTIF(Septembre[12],CléFormation)+(COUNTIF(Septembre[12],CléEnfantMalade)+(COUNTIF(Septembre[12],CléDemiEnfantMalade)/2)))</totalsRowFormula>
    </tableColumn>
    <tableColumn id="14" xr3:uid="{E30671FC-8EAB-584F-94E4-AA49A884B7D4}" name="13" totalsRowFunction="custom" dataDxfId="791" totalsRowDxfId="790">
      <totalsRowFormula>COUNTIF(Septembre[13],CléCongé)+(COUNTIF(Septembre[13],CléCongéSpécial)+COUNTIF(Septembre[13],CléRTT)+(COUNTIF(Septembre[13],CléDemiRtt)/2)+COUNTIF(Septembre[13],CléCongéMalade)+COUNTIF(Septembre[13],CléRécupération)+(COUNTIF(Septembre[13],CléDemiRécupération)/2)+COUNTIF(Septembre[13],CléFormation)+(COUNTIF(Septembre[13],CléEnfantMalade)+(COUNTIF(Septembre[13],CléDemiEnfantMalade)/2)))</totalsRowFormula>
    </tableColumn>
    <tableColumn id="15" xr3:uid="{B943AEF9-1D14-2443-A8BF-43BC86D3CDF8}" name="14" totalsRowFunction="custom" dataDxfId="789" totalsRowDxfId="788">
      <totalsRowFormula>COUNTIF(Septembre[14],CléCongé)+(COUNTIF(Septembre[14],CléCongéSpécial)+COUNTIF(Septembre[14],CléRTT)+(COUNTIF(Septembre[14],CléDemiRtt)/2)+COUNTIF(Septembre[14],CléCongéMalade)+COUNTIF(Septembre[14],CléRécupération)+(COUNTIF(Septembre[14],CléDemiRécupération)/2)+COUNTIF(Septembre[14],CléFormation)+(COUNTIF(Septembre[14],CléEnfantMalade)+(COUNTIF(Septembre[14],CléDemiEnfantMalade)/2)))</totalsRowFormula>
    </tableColumn>
    <tableColumn id="16" xr3:uid="{E45A60C8-23BF-7D47-AF71-CB6F75A96EF7}" name="15" totalsRowFunction="custom" dataDxfId="787" totalsRowDxfId="786">
      <totalsRowFormula>COUNTIF(Septembre[15],CléCongé)+(COUNTIF(Septembre[15],CléCongéSpécial)+COUNTIF(Septembre[15],CléRTT)+(COUNTIF(Septembre[15],CléDemiRtt)/2)+COUNTIF(Septembre[15],CléCongéMalade)+COUNTIF(Septembre[15],CléRécupération)+(COUNTIF(Septembre[15],CléDemiRécupération)/2)+COUNTIF(Septembre[15],CléFormation)+(COUNTIF(Septembre[15],CléEnfantMalade)+(COUNTIF(Septembre[15],CléDemiEnfantMalade)/2)))</totalsRowFormula>
    </tableColumn>
    <tableColumn id="17" xr3:uid="{02594F17-F87B-6149-A3D7-F7E13971F07A}" name="16" totalsRowFunction="custom" dataDxfId="785" totalsRowDxfId="784">
      <totalsRowFormula>COUNTIF(Septembre[16],CléCongé)+(COUNTIF(Septembre[16],CléCongéSpécial)+COUNTIF(Septembre[16],CléRTT)+(COUNTIF(Septembre[16],CléDemiRtt)/2)+COUNTIF(Septembre[16],CléCongéMalade)+COUNTIF(Septembre[16],CléRécupération)+(COUNTIF(Septembre[16],CléDemiRécupération)/2)+COUNTIF(Septembre[16],CléFormation)+(COUNTIF(Septembre[16],CléEnfantMalade)+(COUNTIF(Septembre[16],CléDemiEnfantMalade)/2)))</totalsRowFormula>
    </tableColumn>
    <tableColumn id="18" xr3:uid="{DC0DCD7D-7040-5A4D-B68A-DDC368355B0D}" name="17" totalsRowFunction="custom" dataDxfId="783" totalsRowDxfId="782">
      <totalsRowFormula>COUNTIF(Septembre[17],CléCongé)+(COUNTIF(Septembre[17],CléCongéSpécial)+COUNTIF(Septembre[17],CléRTT)+(COUNTIF(Septembre[17],CléDemiRtt)/2)+COUNTIF(Septembre[17],CléCongéMalade)+COUNTIF(Septembre[17],CléRécupération)+(COUNTIF(Septembre[17],CléDemiRécupération)/2)+COUNTIF(Septembre[17],CléFormation)+(COUNTIF(Septembre[17],CléEnfantMalade)+(COUNTIF(Septembre[17],CléDemiEnfantMalade)/2)))</totalsRowFormula>
    </tableColumn>
    <tableColumn id="19" xr3:uid="{0CD67F39-9E66-CE4B-8FE7-C982D898D7DC}" name="18" totalsRowFunction="custom" dataDxfId="781" totalsRowDxfId="780">
      <totalsRowFormula>COUNTIF(Septembre[18],CléCongé)+(COUNTIF(Septembre[18],CléCongéSpécial)+COUNTIF(Septembre[18],CléRTT)+(COUNTIF(Septembre[18],CléDemiRtt)/2)+COUNTIF(Septembre[18],CléCongéMalade)+COUNTIF(Septembre[18],CléRécupération)+(COUNTIF(Septembre[18],CléDemiRécupération)/2)+COUNTIF(Septembre[18],CléFormation)+(COUNTIF(Septembre[18],CléEnfantMalade)+(COUNTIF(Septembre[18],CléDemiEnfantMalade)/2)))</totalsRowFormula>
    </tableColumn>
    <tableColumn id="20" xr3:uid="{E3F83270-A60E-8C4A-838E-27B6A76B3B0D}" name="19" totalsRowFunction="custom" dataDxfId="779" totalsRowDxfId="778">
      <totalsRowFormula>COUNTIF(Septembre[19],CléCongé)+(COUNTIF(Septembre[19],CléCongéSpécial)+COUNTIF(Septembre[19],CléRTT)+(COUNTIF(Septembre[19],CléDemiRtt)/2)+COUNTIF(Septembre[19],CléCongéMalade)+COUNTIF(Septembre[19],CléRécupération)+(COUNTIF(Septembre[19],CléDemiRécupération)/2)+COUNTIF(Septembre[19],CléFormation)+(COUNTIF(Septembre[19],CléEnfantMalade)+(COUNTIF(Septembre[19],CléDemiEnfantMalade)/2)))</totalsRowFormula>
    </tableColumn>
    <tableColumn id="21" xr3:uid="{F05757B9-55AA-6E4B-90E5-41E82E8BD8DF}" name="20" totalsRowFunction="custom" dataDxfId="777" totalsRowDxfId="776">
      <totalsRowFormula>COUNTIF(Septembre[20],CléCongé)+(COUNTIF(Septembre[20],CléCongéSpécial)+COUNTIF(Septembre[20],CléRTT)+(COUNTIF(Septembre[20],CléDemiRtt)/2)+COUNTIF(Septembre[20],CléCongéMalade)+COUNTIF(Septembre[20],CléRécupération)+(COUNTIF(Septembre[20],CléDemiRécupération)/2)+COUNTIF(Septembre[20],CléFormation)+(COUNTIF(Septembre[20],CléEnfantMalade)+(COUNTIF(Septembre[20],CléDemiEnfantMalade)/2)))</totalsRowFormula>
    </tableColumn>
    <tableColumn id="22" xr3:uid="{7AC199F2-AB29-124B-9176-55361C879512}" name="21" totalsRowFunction="custom" dataDxfId="775" totalsRowDxfId="774">
      <totalsRowFormula>COUNTIF(Septembre[21],CléCongé)+(COUNTIF(Septembre[21],CléCongéSpécial)+COUNTIF(Septembre[21],CléRTT)+(COUNTIF(Septembre[21],CléDemiRtt)/2)+COUNTIF(Septembre[21],CléCongéMalade)+COUNTIF(Septembre[21],CléRécupération)+(COUNTIF(Septembre[21],CléDemiRécupération)/2)+COUNTIF(Septembre[21],CléFormation)+(COUNTIF(Septembre[21],CléEnfantMalade)+(COUNTIF(Septembre[21],CléDemiEnfantMalade)/2)))</totalsRowFormula>
    </tableColumn>
    <tableColumn id="23" xr3:uid="{70050C7F-FA3B-3941-9057-6599F30CF7C6}" name="22" totalsRowFunction="custom" dataDxfId="773" totalsRowDxfId="772">
      <totalsRowFormula>COUNTIF(Septembre[22],CléCongé)+(COUNTIF(Septembre[22],CléCongéSpécial)+COUNTIF(Septembre[22],CléRTT)+(COUNTIF(Septembre[22],CléDemiRtt)/2)+COUNTIF(Septembre[22],CléCongéMalade)+COUNTIF(Septembre[22],CléRécupération)+(COUNTIF(Septembre[22],CléDemiRécupération)/2)+COUNTIF(Septembre[22],CléFormation)+(COUNTIF(Septembre[22],CléEnfantMalade)+(COUNTIF(Septembre[22],CléDemiEnfantMalade)/2)))</totalsRowFormula>
    </tableColumn>
    <tableColumn id="24" xr3:uid="{6C0D69E7-B748-3940-AC26-2262B49CB53F}" name="23" totalsRowFunction="custom" dataDxfId="771" totalsRowDxfId="770">
      <totalsRowFormula>COUNTIF(Septembre[23],CléCongé)+(COUNTIF(Septembre[23],CléCongéSpécial)+COUNTIF(Septembre[23],CléRTT)+(COUNTIF(Septembre[23],CléDemiRtt)/2)+COUNTIF(Septembre[23],CléCongéMalade)+COUNTIF(Septembre[23],CléRécupération)+(COUNTIF(Septembre[23],CléDemiRécupération)/2)+COUNTIF(Septembre[23],CléFormation)+(COUNTIF(Septembre[23],CléEnfantMalade)+(COUNTIF(Septembre[23],CléDemiEnfantMalade)/2)))</totalsRowFormula>
    </tableColumn>
    <tableColumn id="25" xr3:uid="{47178DE4-205E-6848-99DC-D8D6D260063B}" name="24" totalsRowFunction="custom" dataDxfId="769" totalsRowDxfId="768">
      <totalsRowFormula>COUNTIF(Septembre[24],CléCongé)+(COUNTIF(Septembre[24],CléCongéSpécial)+COUNTIF(Septembre[24],CléRTT)+(COUNTIF(Septembre[24],CléDemiRtt)/2)+COUNTIF(Septembre[24],CléCongéMalade)+COUNTIF(Septembre[24],CléRécupération)+(COUNTIF(Septembre[24],CléDemiRécupération)/2)+COUNTIF(Septembre[24],CléFormation)+(COUNTIF(Septembre[24],CléEnfantMalade)+(COUNTIF(Septembre[24],CléDemiEnfantMalade)/2)))</totalsRowFormula>
    </tableColumn>
    <tableColumn id="26" xr3:uid="{ABEE3A51-55B6-ED4D-A580-42970E3BAF73}" name="25" totalsRowFunction="custom" dataDxfId="767" totalsRowDxfId="766">
      <totalsRowFormula>COUNTIF(Septembre[25],CléCongé)+(COUNTIF(Septembre[25],CléCongéSpécial)+COUNTIF(Septembre[25],CléRTT)+(COUNTIF(Septembre[25],CléDemiRtt)/2)+COUNTIF(Septembre[25],CléCongéMalade)+COUNTIF(Septembre[25],CléRécupération)+(COUNTIF(Septembre[25],CléDemiRécupération)/2)+COUNTIF(Septembre[25],CléFormation)+(COUNTIF(Septembre[25],CléEnfantMalade)+(COUNTIF(Septembre[25],CléDemiEnfantMalade)/2)))</totalsRowFormula>
    </tableColumn>
    <tableColumn id="27" xr3:uid="{0E9B59C0-7C1A-B644-A617-6F1C6927D40D}" name="26" totalsRowFunction="custom" dataDxfId="765" totalsRowDxfId="764">
      <totalsRowFormula>COUNTIF(Septembre[26],CléCongé)+(COUNTIF(Septembre[26],CléCongéSpécial)+COUNTIF(Septembre[26],CléRTT)+(COUNTIF(Septembre[26],CléDemiRtt)/2)+COUNTIF(Septembre[26],CléCongéMalade)+COUNTIF(Septembre[26],CléRécupération)+(COUNTIF(Septembre[26],CléDemiRécupération)/2)+COUNTIF(Septembre[26],CléFormation)+(COUNTIF(Septembre[26],CléEnfantMalade)+(COUNTIF(Septembre[26],CléDemiEnfantMalade)/2)))</totalsRowFormula>
    </tableColumn>
    <tableColumn id="28" xr3:uid="{C1F34544-9FA8-A548-8D70-37C068A7727D}" name="27" totalsRowFunction="custom" dataDxfId="763" totalsRowDxfId="762">
      <totalsRowFormula>COUNTIF(Septembre[27],CléCongé)+(COUNTIF(Septembre[27],CléCongéSpécial)+COUNTIF(Septembre[27],CléRTT)+(COUNTIF(Septembre[27],CléDemiRtt)/2)+COUNTIF(Septembre[27],CléCongéMalade)+COUNTIF(Septembre[27],CléRécupération)+(COUNTIF(Septembre[27],CléDemiRécupération)/2)+COUNTIF(Septembre[27],CléFormation)+(COUNTIF(Septembre[27],CléEnfantMalade)+(COUNTIF(Septembre[27],CléDemiEnfantMalade)/2)))</totalsRowFormula>
    </tableColumn>
    <tableColumn id="29" xr3:uid="{C503D5AB-7BD2-7C4F-9F5A-A7EC0FFF5F33}" name="28" totalsRowFunction="custom" dataDxfId="761" totalsRowDxfId="760">
      <totalsRowFormula>COUNTIF(Septembre[28],CléCongé)+(COUNTIF(Septembre[28],CléCongéSpécial)+COUNTIF(Septembre[28],CléRTT)+(COUNTIF(Septembre[28],CléDemiRtt)/2)+COUNTIF(Septembre[28],CléCongéMalade)+COUNTIF(Septembre[28],CléRécupération)+(COUNTIF(Septembre[28],CléDemiRécupération)/2)+COUNTIF(Septembre[28],CléFormation)+(COUNTIF(Septembre[28],CléEnfantMalade)+(COUNTIF(Septembre[28],CléDemiEnfantMalade)/2)))</totalsRowFormula>
    </tableColumn>
    <tableColumn id="30" xr3:uid="{2344583A-6508-B34A-93EA-D8297DBAC2CF}" name="29" totalsRowFunction="custom" dataDxfId="759" totalsRowDxfId="758">
      <totalsRowFormula>COUNTIF(Septembre[29],CléCongé)+(COUNTIF(Septembre[29],CléCongéSpécial)+COUNTIF(Septembre[29],CléRTT)+(COUNTIF(Septembre[29],CléDemiRtt)/2)+COUNTIF(Septembre[29],CléCongéMalade)+COUNTIF(Septembre[29],CléRécupération)+(COUNTIF(Septembre[29],CléDemiRécupération)/2)+COUNTIF(Septembre[29],CléFormation)+(COUNTIF(Septembre[29],CléEnfantMalade)+(COUNTIF(Septembre[29],CléDemiEnfantMalade)/2)))</totalsRowFormula>
    </tableColumn>
    <tableColumn id="31" xr3:uid="{117AABA8-B2F3-8944-B14F-90BDDFCBDAAB}" name="30" totalsRowFunction="custom" dataDxfId="757" totalsRowDxfId="756">
      <totalsRowFormula>COUNTIF(Septembre[30],CléCongé)+(COUNTIF(Septembre[30],CléCongéSpécial)+COUNTIF(Septembre[30],CléRTT)+(COUNTIF(Septembre[30],CléDemiRtt)/2)+COUNTIF(Septembre[30],CléCongéMalade)+COUNTIF(Septembre[30],CléRécupération)+(COUNTIF(Septembre[30],CléDemiRécupération)/2)+COUNTIF(Septembre[30],CléFormation)+(COUNTIF(Septembre[30],CléEnfantMalade)+(COUNTIF(Septembre[30],CléDemiEnfantMalade)/2)))</totalsRowFormula>
    </tableColumn>
    <tableColumn id="32" xr3:uid="{08945F42-1D9D-C04A-B173-E2CE3AEA076A}" name=" " totalsRowFunction="custom" dataDxfId="755" totalsRowDxfId="754">
      <totalsRowFormula>COUNTIF(Septembre[[ ]],CléCongé)+(COUNTIF(Septembre[[ ]],CléCongéSpécial)+COUNTIF(Septembre[[ ]],CléRTT)+(COUNTIF(Septembre[[ ]],CléDemiRtt)/2)+COUNTIF(Septembre[[ ]],CléCongéMalade)+COUNTIF(Septembre[[ ]],CléRécupération)+(COUNTIF(Septembre[[ ]],CléDemiRécupération)/2)+COUNTIF(Septembre[[ ]],CléFormation)+(COUNTIF(Septembre[[ ]],CléEnfantMalade)+(COUNTIF(Septembre[[ ]],CléDemiEnfantMalade)/2)))</totalsRowFormula>
    </tableColumn>
    <tableColumn id="33" xr3:uid="{FE04F8E9-173D-5648-85A5-08693049DF01}" name="Total absence" totalsRowFunction="sum" dataDxfId="753" totalsRowDxfId="752" dataCellStyle="Total">
      <calculatedColumnFormula>(COUNTIF(C8:AG8,CléCongé)+(COUNTIF(C8:AG8,CléEnfantMalade)+COUNTIF(C8:AG8,CléRTT)+COUNTIF(C8:AG8,CléCongéMalade)+COUNTIF(C8:AG8,CléRécupération)+COUNTIF(C8:AG8,CléFormation)+COUNTIF(C8:AG8,CléTélétravail-1)+COUNTIF(C8:AG8,CléCongéSpécial)+COUNTIF(C8:AG8,CléPrésenceExceptionnelle-1)+COUNTIF(C8:AG8,CléDemiRtt)/2)+COUNTIF(C8:AG8,CléDemiRécupération)/2)+COUNTIF(C8:AG8,CléDemiEnfantMalade)/2</calculatedColumnFormula>
    </tableColumn>
    <tableColumn id="34" xr3:uid="{B9F531FB-6FE8-6646-9F1B-B02696110A7A}" name="Dont RTT" totalsRowFunction="sum" dataDxfId="751" totalsRowDxfId="750" dataCellStyle="Total">
      <calculatedColumnFormula>COUNTIF(C8:AG8,CléRTT)+COUNTIF(C8:AG8,CléDemiRtt)/2</calculatedColumnFormula>
    </tableColumn>
    <tableColumn id="36" xr3:uid="{0D861406-9109-1849-A021-6EF68ABA6224}" name="Dont MALADIE" totalsRowFunction="sum" dataDxfId="749" totalsRowDxfId="748" dataCellStyle="Total">
      <calculatedColumnFormula>COUNTIF(C8:AG8,$S$3)</calculatedColumnFormula>
    </tableColumn>
    <tableColumn id="35" xr3:uid="{A5B17A38-0BBA-CD4F-94BB-FD946E6459B3}" name="Solde RTT disponible au 01/10/2021" dataDxfId="747" totalsRowDxfId="746">
      <calculatedColumnFormula>Mars!AK8-Mai[[#This Row],[Dont RTT]]+2</calculatedColumnFormula>
    </tableColumn>
  </tableColumns>
  <tableStyleInfo name="Tableau des absences des employés" showFirstColumn="1" showLastColumn="1" showRowStripes="1" showColumnStripes="0"/>
  <extLst>
    <ext xmlns:x14="http://schemas.microsoft.com/office/spreadsheetml/2009/9/main" uri="{504A1905-F514-4f6f-8877-14C23A59335A}">
      <x14:table altTextSummary="Entrez les noms des employés et les dates d’absence. Enregistrez le motif d’absence à l’aide des clés figurant dans la ligne 12 : C=Congé, M=Maladie, P=Personnel, et deux espaces réservés pour des entrées personnalisées"/>
    </ext>
  </extLst>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908E6C99-FF2D-AF46-AE2A-ACE21EEAAD8F}" name="Octobre" displayName="Octobre" ref="B7:AL22" totalsRowCount="1" headerRowDxfId="745" dataDxfId="744" totalsRowDxfId="743" dataCellStyle="Total">
  <tableColumns count="37">
    <tableColumn id="1" xr3:uid="{5E9E2766-68E1-9F49-A242-EE61B97953EA}" name="Nom de l’employé" totalsRowFunction="custom" dataDxfId="742" totalsRowDxfId="741" dataCellStyle="Employé">
      <totalsRowFormula>NomMois&amp;" Total"</totalsRowFormula>
    </tableColumn>
    <tableColumn id="2" xr3:uid="{B903B4F2-7F26-614B-BDF3-7988963BB623}" name="1" totalsRowFunction="custom" dataDxfId="740" totalsRowDxfId="739">
      <totalsRowFormula>COUNTIF(Octobre[1],CléCongé)+(COUNTIF(Octobre[1],CléCongéSpécial)+COUNTIF(Octobre[1],CléRTT)+(COUNTIF(Octobre[1],CléDemiRtt)/2)+COUNTIF(Octobre[1],CléCongéMalade)+COUNTIF(Octobre[1],CléRécupération)+(COUNTIF(Octobre[1],CléDemiRécupération)/2)+COUNTIF(Octobre[1],CléFormation)+(COUNTIF(Octobre[1],CléEnfantMalade)+(COUNTIF(Octobre[1],CléDemiEnfantMalade)/2)))</totalsRowFormula>
    </tableColumn>
    <tableColumn id="3" xr3:uid="{B0BD2EF0-B284-FB41-A56D-B5228C0979C2}" name="2" totalsRowFunction="custom" dataDxfId="738" totalsRowDxfId="737">
      <totalsRowFormula>COUNTIF(Octobre[2],CléCongé)+(COUNTIF(Octobre[2],CléCongéSpécial)+COUNTIF(Octobre[2],CléRTT)+(COUNTIF(Octobre[2],CléDemiRtt)/2)+COUNTIF(Octobre[2],CléCongéMalade)+COUNTIF(Octobre[2],CléRécupération)+(COUNTIF(Octobre[2],CléDemiRécupération)/2)+COUNTIF(Octobre[2],CléFormation)+(COUNTIF(Octobre[2],CléEnfantMalade)+(COUNTIF(Octobre[2],CléDemiEnfantMalade)/2)))</totalsRowFormula>
    </tableColumn>
    <tableColumn id="4" xr3:uid="{458D3B4B-8295-A04A-8269-5CCB5BD6F850}" name="3" totalsRowFunction="custom" dataDxfId="736" totalsRowDxfId="735">
      <totalsRowFormula>COUNTIF(Octobre[3],CléCongé)+(COUNTIF(Octobre[3],CléCongéSpécial)+COUNTIF(Octobre[3],CléRTT)+(COUNTIF(Octobre[3],CléDemiRtt)/2)+COUNTIF(Octobre[3],CléCongéMalade)+COUNTIF(Octobre[3],CléRécupération)+(COUNTIF(Octobre[3],CléDemiRécupération)/2)+COUNTIF(Octobre[3],CléFormation)+(COUNTIF(Octobre[3],CléEnfantMalade)+(COUNTIF(Octobre[3],CléDemiEnfantMalade)/2)))</totalsRowFormula>
    </tableColumn>
    <tableColumn id="5" xr3:uid="{75EFCC2A-A240-FE43-AAA8-46D93A840740}" name="4" totalsRowFunction="custom" dataDxfId="734" totalsRowDxfId="733">
      <totalsRowFormula>COUNTIF(Octobre[4],CléCongé)+(COUNTIF(Octobre[4],CléCongéSpécial)+COUNTIF(Octobre[4],CléRTT)+(COUNTIF(Octobre[4],CléDemiRtt)/2)+COUNTIF(Octobre[4],CléCongéMalade)+COUNTIF(Octobre[4],CléRécupération)+(COUNTIF(Octobre[4],CléDemiRécupération)/2)+COUNTIF(Octobre[4],CléFormation)+(COUNTIF(Octobre[4],CléEnfantMalade)+(COUNTIF(Octobre[4],CléDemiEnfantMalade)/2)))</totalsRowFormula>
    </tableColumn>
    <tableColumn id="6" xr3:uid="{55721E4D-8D68-5D45-B2A5-FB9DB342F9B1}" name="5" totalsRowFunction="custom" dataDxfId="732" totalsRowDxfId="731">
      <totalsRowFormula>COUNTIF(Octobre[5],CléCongé)+(COUNTIF(Octobre[5],CléCongéSpécial)+COUNTIF(Octobre[5],CléRTT)+(COUNTIF(Octobre[5],CléDemiRtt)/2)+COUNTIF(Octobre[5],CléCongéMalade)+COUNTIF(Octobre[5],CléRécupération)+(COUNTIF(Octobre[5],CléDemiRécupération)/2)+COUNTIF(Octobre[5],CléFormation)+(COUNTIF(Octobre[5],CléEnfantMalade)+(COUNTIF(Octobre[5],CléDemiEnfantMalade)/2)))</totalsRowFormula>
    </tableColumn>
    <tableColumn id="7" xr3:uid="{B77B5437-C116-D245-854D-8C0600F332EF}" name="6" totalsRowFunction="custom" dataDxfId="730" totalsRowDxfId="729">
      <totalsRowFormula>COUNTIF(Octobre[6],CléCongé)+(COUNTIF(Octobre[6],CléCongéSpécial)+COUNTIF(Octobre[6],CléRTT)+(COUNTIF(Octobre[6],CléDemiRtt)/2)+COUNTIF(Octobre[6],CléCongéMalade)+COUNTIF(Octobre[6],CléRécupération)+(COUNTIF(Octobre[6],CléDemiRécupération)/2)+COUNTIF(Octobre[6],CléFormation)+(COUNTIF(Octobre[6],CléEnfantMalade)+(COUNTIF(Octobre[6],CléDemiEnfantMalade)/2)))</totalsRowFormula>
    </tableColumn>
    <tableColumn id="8" xr3:uid="{468D1049-156B-C341-90D8-5768AB016798}" name="7" totalsRowFunction="custom" dataDxfId="728" totalsRowDxfId="727">
      <totalsRowFormula>COUNTIF(Octobre[7],CléCongé)+(COUNTIF(Octobre[7],CléCongéSpécial)+COUNTIF(Octobre[7],CléRTT)+(COUNTIF(Octobre[7],CléDemiRtt)/2)+COUNTIF(Octobre[7],CléCongéMalade)+COUNTIF(Octobre[7],CléRécupération)+(COUNTIF(Octobre[7],CléDemiRécupération)/2)+COUNTIF(Octobre[7],CléFormation)+(COUNTIF(Octobre[7],CléEnfantMalade)+(COUNTIF(Octobre[7],CléDemiEnfantMalade)/2)))</totalsRowFormula>
    </tableColumn>
    <tableColumn id="9" xr3:uid="{F423DCA3-59F1-0945-9EC9-40E72B1A919D}" name="8" totalsRowFunction="custom" dataDxfId="726" totalsRowDxfId="725">
      <totalsRowFormula>COUNTIF(Octobre[8],CléCongé)+(COUNTIF(Octobre[8],CléCongéSpécial)+COUNTIF(Octobre[8],CléRTT)+(COUNTIF(Octobre[8],CléDemiRtt)/2)+COUNTIF(Octobre[8],CléCongéMalade)+COUNTIF(Octobre[8],CléRécupération)+(COUNTIF(Octobre[8],CléDemiRécupération)/2)+COUNTIF(Octobre[8],CléFormation)+(COUNTIF(Octobre[8],CléEnfantMalade)+(COUNTIF(Octobre[8],CléDemiEnfantMalade)/2)))</totalsRowFormula>
    </tableColumn>
    <tableColumn id="10" xr3:uid="{0AF5A35B-5E2C-8949-A869-76FEAB045897}" name="9" totalsRowFunction="custom" dataDxfId="724" totalsRowDxfId="723">
      <totalsRowFormula>COUNTIF(Octobre[9],CléCongé)+(COUNTIF(Octobre[9],CléCongéSpécial)+COUNTIF(Octobre[9],CléRTT)+(COUNTIF(Octobre[9],CléDemiRtt)/2)+COUNTIF(Octobre[9],CléCongéMalade)+COUNTIF(Octobre[9],CléRécupération)+(COUNTIF(Octobre[9],CléDemiRécupération)/2)+COUNTIF(Octobre[9],CléFormation)+(COUNTIF(Octobre[9],CléEnfantMalade)+(COUNTIF(Octobre[9],CléDemiEnfantMalade)/2)))</totalsRowFormula>
    </tableColumn>
    <tableColumn id="11" xr3:uid="{79150F77-02AC-B644-9895-06DF3AE0393B}" name="10" totalsRowFunction="custom" dataDxfId="722" totalsRowDxfId="721">
      <totalsRowFormula>COUNTIF(Octobre[10],CléCongé)+(COUNTIF(Octobre[10],CléCongéSpécial)+COUNTIF(Octobre[10],CléRTT)+(COUNTIF(Octobre[10],CléDemiRtt)/2)+COUNTIF(Octobre[10],CléCongéMalade)+COUNTIF(Octobre[10],CléRécupération)+(COUNTIF(Octobre[10],CléDemiRécupération)/2)+COUNTIF(Octobre[10],CléFormation)+(COUNTIF(Octobre[10],CléEnfantMalade)+(COUNTIF(Octobre[10],CléDemiEnfantMalade)/2)))</totalsRowFormula>
    </tableColumn>
    <tableColumn id="12" xr3:uid="{5AF31E44-6EB7-6B4A-91CE-37020EA2ECD4}" name="11" totalsRowFunction="custom" dataDxfId="720" totalsRowDxfId="719">
      <totalsRowFormula>COUNTIF(Octobre[11],CléCongé)+(COUNTIF(Octobre[11],CléCongéSpécial)+COUNTIF(Octobre[11],CléRTT)+(COUNTIF(Octobre[11],CléDemiRtt)/2)+COUNTIF(Octobre[11],CléCongéMalade)+COUNTIF(Octobre[11],CléRécupération)+(COUNTIF(Octobre[11],CléDemiRécupération)/2)+COUNTIF(Octobre[11],CléFormation)+(COUNTIF(Octobre[11],CléEnfantMalade)+(COUNTIF(Octobre[11],CléDemiEnfantMalade)/2)))</totalsRowFormula>
    </tableColumn>
    <tableColumn id="13" xr3:uid="{713EC086-7F31-6F4A-8152-CA6E566E6899}" name="12" totalsRowFunction="custom" dataDxfId="718" totalsRowDxfId="717">
      <totalsRowFormula>COUNTIF(Octobre[12],CléCongé)+(COUNTIF(Octobre[12],CléCongéSpécial)+COUNTIF(Octobre[12],CléRTT)+(COUNTIF(Octobre[12],CléDemiRtt)/2)+COUNTIF(Octobre[12],CléCongéMalade)+COUNTIF(Octobre[12],CléRécupération)+(COUNTIF(Octobre[12],CléDemiRécupération)/2)+COUNTIF(Octobre[12],CléFormation)+(COUNTIF(Octobre[12],CléEnfantMalade)+(COUNTIF(Octobre[12],CléDemiEnfantMalade)/2)))</totalsRowFormula>
    </tableColumn>
    <tableColumn id="14" xr3:uid="{0F061BA7-78C1-BB41-8F1F-794CF92C61D0}" name="13" totalsRowFunction="custom" dataDxfId="716" totalsRowDxfId="715">
      <totalsRowFormula>COUNTIF(Octobre[13],CléCongé)+(COUNTIF(Octobre[13],CléCongéSpécial)+COUNTIF(Octobre[13],CléRTT)+(COUNTIF(Octobre[13],CléDemiRtt)/2)+COUNTIF(Octobre[13],CléCongéMalade)+COUNTIF(Octobre[13],CléRécupération)+(COUNTIF(Octobre[13],CléDemiRécupération)/2)+COUNTIF(Octobre[13],CléFormation)+(COUNTIF(Octobre[13],CléEnfantMalade)+(COUNTIF(Octobre[13],CléDemiEnfantMalade)/2)))</totalsRowFormula>
    </tableColumn>
    <tableColumn id="15" xr3:uid="{01B0419B-690E-5C4F-9B9B-F763703F6CF3}" name="14" totalsRowFunction="custom" dataDxfId="714" totalsRowDxfId="713">
      <totalsRowFormula>COUNTIF(Octobre[14],CléCongé)+(COUNTIF(Octobre[14],CléCongéSpécial)+COUNTIF(Octobre[14],CléRTT)+(COUNTIF(Octobre[14],CléDemiRtt)/2)+COUNTIF(Octobre[14],CléCongéMalade)+COUNTIF(Octobre[14],CléRécupération)+(COUNTIF(Octobre[14],CléDemiRécupération)/2)+COUNTIF(Octobre[14],CléFormation)+(COUNTIF(Octobre[14],CléEnfantMalade)+(COUNTIF(Octobre[14],CléDemiEnfantMalade)/2)))</totalsRowFormula>
    </tableColumn>
    <tableColumn id="16" xr3:uid="{7FAFBDE6-1311-A543-959D-8ED6B0BEDFBF}" name="15" totalsRowFunction="custom" dataDxfId="712" totalsRowDxfId="711">
      <totalsRowFormula>COUNTIF(Octobre[15],CléCongé)+(COUNTIF(Octobre[15],CléCongéSpécial)+COUNTIF(Octobre[15],CléRTT)+(COUNTIF(Octobre[15],CléDemiRtt)/2)+COUNTIF(Octobre[15],CléCongéMalade)+COUNTIF(Octobre[15],CléRécupération)+(COUNTIF(Octobre[15],CléDemiRécupération)/2)+COUNTIF(Octobre[15],CléFormation)+(COUNTIF(Octobre[15],CléEnfantMalade)+(COUNTIF(Octobre[15],CléDemiEnfantMalade)/2)))</totalsRowFormula>
    </tableColumn>
    <tableColumn id="17" xr3:uid="{B23E18A9-6979-1941-924A-0BB911A8FEE2}" name="16" totalsRowFunction="custom" dataDxfId="710" totalsRowDxfId="709">
      <totalsRowFormula>COUNTIF(Octobre[16],CléCongé)+(COUNTIF(Octobre[16],CléCongéSpécial)+COUNTIF(Octobre[16],CléRTT)+(COUNTIF(Octobre[16],CléDemiRtt)/2)+COUNTIF(Octobre[16],CléCongéMalade)+COUNTIF(Octobre[16],CléRécupération)+(COUNTIF(Octobre[16],CléDemiRécupération)/2)+COUNTIF(Octobre[16],CléFormation)+(COUNTIF(Octobre[16],CléEnfantMalade)+(COUNTIF(Octobre[16],CléDemiEnfantMalade)/2)))</totalsRowFormula>
    </tableColumn>
    <tableColumn id="18" xr3:uid="{E2857EF3-F764-4A4F-BFCC-A91E2E673CC8}" name="17" totalsRowFunction="custom" dataDxfId="708" totalsRowDxfId="707">
      <totalsRowFormula>COUNTIF(Octobre[17],CléCongé)+(COUNTIF(Octobre[17],CléCongéSpécial)+COUNTIF(Octobre[17],CléRTT)+(COUNTIF(Octobre[17],CléDemiRtt)/2)+COUNTIF(Octobre[17],CléCongéMalade)+COUNTIF(Octobre[17],CléRécupération)+(COUNTIF(Octobre[17],CléDemiRécupération)/2)+COUNTIF(Octobre[17],CléFormation)+(COUNTIF(Octobre[17],CléEnfantMalade)+(COUNTIF(Octobre[17],CléDemiEnfantMalade)/2)))</totalsRowFormula>
    </tableColumn>
    <tableColumn id="19" xr3:uid="{A18D6C71-2EF4-8742-9F38-B65FF91E0240}" name="18" totalsRowFunction="custom" dataDxfId="706" totalsRowDxfId="705">
      <totalsRowFormula>COUNTIF(Octobre[18],CléCongé)+(COUNTIF(Octobre[18],CléCongéSpécial)+COUNTIF(Octobre[18],CléRTT)+(COUNTIF(Octobre[18],CléDemiRtt)/2)+COUNTIF(Octobre[18],CléCongéMalade)+COUNTIF(Octobre[18],CléRécupération)+(COUNTIF(Octobre[18],CléDemiRécupération)/2)+COUNTIF(Octobre[18],CléFormation)+(COUNTIF(Octobre[18],CléEnfantMalade)+(COUNTIF(Octobre[18],CléDemiEnfantMalade)/2)))</totalsRowFormula>
    </tableColumn>
    <tableColumn id="20" xr3:uid="{2D547765-69B2-B546-99FE-0A47ABB306D9}" name="19" totalsRowFunction="custom" dataDxfId="704" totalsRowDxfId="703">
      <totalsRowFormula>COUNTIF(Octobre[19],CléCongé)+(COUNTIF(Octobre[19],CléCongéSpécial)+COUNTIF(Octobre[19],CléRTT)+(COUNTIF(Octobre[19],CléDemiRtt)/2)+COUNTIF(Octobre[19],CléCongéMalade)+COUNTIF(Octobre[19],CléRécupération)+(COUNTIF(Octobre[19],CléDemiRécupération)/2)+COUNTIF(Octobre[19],CléFormation)+(COUNTIF(Octobre[19],CléEnfantMalade)+(COUNTIF(Octobre[19],CléDemiEnfantMalade)/2)))</totalsRowFormula>
    </tableColumn>
    <tableColumn id="21" xr3:uid="{9C332ECD-094E-6142-85BB-DFC4C7BED71A}" name="20" totalsRowFunction="custom" dataDxfId="702" totalsRowDxfId="701">
      <totalsRowFormula>COUNTIF(Octobre[20],CléCongé)+(COUNTIF(Octobre[20],CléCongéSpécial)+COUNTIF(Octobre[20],CléRTT)+(COUNTIF(Octobre[20],CléDemiRtt)/2)+COUNTIF(Octobre[20],CléCongéMalade)+COUNTIF(Octobre[20],CléRécupération)+(COUNTIF(Octobre[20],CléDemiRécupération)/2)+COUNTIF(Octobre[20],CléFormation)+(COUNTIF(Octobre[20],CléEnfantMalade)+(COUNTIF(Octobre[20],CléDemiEnfantMalade)/2)))</totalsRowFormula>
    </tableColumn>
    <tableColumn id="22" xr3:uid="{D51A1738-1748-F245-A686-2A5B9C8AD798}" name="21" totalsRowFunction="custom" dataDxfId="700" totalsRowDxfId="699">
      <totalsRowFormula>COUNTIF(Octobre[21],CléCongé)+(COUNTIF(Octobre[21],CléCongéSpécial)+COUNTIF(Octobre[21],CléRTT)+(COUNTIF(Octobre[21],CléDemiRtt)/2)+COUNTIF(Octobre[21],CléCongéMalade)+COUNTIF(Octobre[21],CléRécupération)+(COUNTIF(Octobre[21],CléDemiRécupération)/2)+COUNTIF(Octobre[21],CléFormation)+(COUNTIF(Octobre[21],CléEnfantMalade)+(COUNTIF(Octobre[21],CléDemiEnfantMalade)/2)))</totalsRowFormula>
    </tableColumn>
    <tableColumn id="23" xr3:uid="{85850D77-6B6B-E24F-B248-17BDD9FC01E0}" name="22" totalsRowFunction="custom" dataDxfId="698" totalsRowDxfId="697">
      <totalsRowFormula>COUNTIF(Octobre[22],CléCongé)+(COUNTIF(Octobre[22],CléCongéSpécial)+COUNTIF(Octobre[22],CléRTT)+(COUNTIF(Octobre[22],CléDemiRtt)/2)+COUNTIF(Octobre[22],CléCongéMalade)+COUNTIF(Octobre[22],CléRécupération)+(COUNTIF(Octobre[22],CléDemiRécupération)/2)+COUNTIF(Octobre[22],CléFormation)+(COUNTIF(Octobre[22],CléEnfantMalade)+(COUNTIF(Octobre[22],CléDemiEnfantMalade)/2)))</totalsRowFormula>
    </tableColumn>
    <tableColumn id="24" xr3:uid="{253969AE-2A5C-7642-959B-64B1878D30EE}" name="23" totalsRowFunction="custom" dataDxfId="696" totalsRowDxfId="695">
      <totalsRowFormula>COUNTIF(Octobre[23],CléCongé)+(COUNTIF(Octobre[23],CléCongéSpécial)+COUNTIF(Octobre[23],CléRTT)+(COUNTIF(Octobre[23],CléDemiRtt)/2)+COUNTIF(Octobre[23],CléCongéMalade)+COUNTIF(Octobre[23],CléRécupération)+(COUNTIF(Octobre[23],CléDemiRécupération)/2)+COUNTIF(Octobre[23],CléFormation)+(COUNTIF(Octobre[23],CléEnfantMalade)+(COUNTIF(Octobre[23],CléDemiEnfantMalade)/2)))</totalsRowFormula>
    </tableColumn>
    <tableColumn id="25" xr3:uid="{9035E3A0-67E3-7745-BA31-89837246E589}" name="24" totalsRowFunction="custom" dataDxfId="694" totalsRowDxfId="693">
      <totalsRowFormula>COUNTIF(Octobre[24],CléCongé)+(COUNTIF(Octobre[24],CléCongéSpécial)+COUNTIF(Octobre[24],CléRTT)+(COUNTIF(Octobre[24],CléDemiRtt)/2)+COUNTIF(Octobre[24],CléCongéMalade)+COUNTIF(Octobre[24],CléRécupération)+(COUNTIF(Octobre[24],CléDemiRécupération)/2)+COUNTIF(Octobre[24],CléFormation)+(COUNTIF(Octobre[24],CléEnfantMalade)+(COUNTIF(Octobre[24],CléDemiEnfantMalade)/2)))</totalsRowFormula>
    </tableColumn>
    <tableColumn id="26" xr3:uid="{86C57BA3-1467-5647-9006-F48A9B60F5DA}" name="25" totalsRowFunction="custom" dataDxfId="692" totalsRowDxfId="691">
      <totalsRowFormula>COUNTIF(Octobre[25],CléCongé)+(COUNTIF(Octobre[25],CléCongéSpécial)+COUNTIF(Octobre[25],CléRTT)+(COUNTIF(Octobre[25],CléDemiRtt)/2)+COUNTIF(Octobre[25],CléCongéMalade)+COUNTIF(Octobre[25],CléRécupération)+(COUNTIF(Octobre[25],CléDemiRécupération)/2)+COUNTIF(Octobre[25],CléFormation)+(COUNTIF(Octobre[25],CléEnfantMalade)+(COUNTIF(Octobre[25],CléDemiEnfantMalade)/2)))</totalsRowFormula>
    </tableColumn>
    <tableColumn id="27" xr3:uid="{5ED74122-915E-B14E-8851-20997BF19E3F}" name="26" totalsRowFunction="custom" dataDxfId="690" totalsRowDxfId="689">
      <totalsRowFormula>COUNTIF(Octobre[26],CléCongé)+(COUNTIF(Octobre[26],CléCongéSpécial)+COUNTIF(Octobre[26],CléRTT)+(COUNTIF(Octobre[26],CléDemiRtt)/2)+COUNTIF(Octobre[26],CléCongéMalade)+COUNTIF(Octobre[26],CléRécupération)+(COUNTIF(Octobre[26],CléDemiRécupération)/2)+COUNTIF(Octobre[26],CléFormation)+(COUNTIF(Octobre[26],CléEnfantMalade)+(COUNTIF(Octobre[26],CléDemiEnfantMalade)/2)))</totalsRowFormula>
    </tableColumn>
    <tableColumn id="28" xr3:uid="{C96FF169-EB3D-334E-8E50-A3A207183E77}" name="27" totalsRowFunction="custom" dataDxfId="688" totalsRowDxfId="687">
      <totalsRowFormula>COUNTIF(Octobre[27],CléCongé)+(COUNTIF(Octobre[27],CléCongéSpécial)+COUNTIF(Octobre[27],CléRTT)+(COUNTIF(Octobre[27],CléDemiRtt)/2)+COUNTIF(Octobre[27],CléCongéMalade)+COUNTIF(Octobre[27],CléRécupération)+(COUNTIF(Octobre[27],CléDemiRécupération)/2)+COUNTIF(Octobre[27],CléFormation)+(COUNTIF(Octobre[27],CléEnfantMalade)+(COUNTIF(Octobre[27],CléDemiEnfantMalade)/2)))</totalsRowFormula>
    </tableColumn>
    <tableColumn id="29" xr3:uid="{DF27EE4C-04BE-4548-B871-12F441B706B7}" name="28" totalsRowFunction="custom" dataDxfId="686" totalsRowDxfId="685">
      <totalsRowFormula>COUNTIF(Octobre[28],CléCongé)+(COUNTIF(Octobre[28],CléCongéSpécial)+COUNTIF(Octobre[28],CléRTT)+(COUNTIF(Octobre[28],CléDemiRtt)/2)+COUNTIF(Octobre[28],CléCongéMalade)+COUNTIF(Octobre[28],CléRécupération)+(COUNTIF(Octobre[28],CléDemiRécupération)/2)+COUNTIF(Octobre[28],CléFormation)+(COUNTIF(Octobre[28],CléEnfantMalade)+(COUNTIF(Octobre[28],CléDemiEnfantMalade)/2)))</totalsRowFormula>
    </tableColumn>
    <tableColumn id="30" xr3:uid="{419421EA-4206-F446-AFA7-3E3831AAD962}" name="29" totalsRowFunction="custom" dataDxfId="684" totalsRowDxfId="683">
      <totalsRowFormula>COUNTIF(Octobre[29],CléCongé)+(COUNTIF(Octobre[29],CléCongéSpécial)+COUNTIF(Octobre[29],CléRTT)+(COUNTIF(Octobre[29],CléDemiRtt)/2)+COUNTIF(Octobre[29],CléCongéMalade)+COUNTIF(Octobre[29],CléRécupération)+(COUNTIF(Octobre[29],CléDemiRécupération)/2)+COUNTIF(Octobre[29],CléFormation)+(COUNTIF(Octobre[29],CléEnfantMalade)+(COUNTIF(Octobre[29],CléDemiEnfantMalade)/2)))</totalsRowFormula>
    </tableColumn>
    <tableColumn id="31" xr3:uid="{BC68C66D-CC14-E741-AA68-1084E12A1572}" name="30" totalsRowFunction="custom" dataDxfId="682" totalsRowDxfId="681">
      <totalsRowFormula>COUNTIF(Octobre[30],CléCongé)+(COUNTIF(Octobre[30],CléCongéSpécial)+COUNTIF(Octobre[30],CléRTT)+(COUNTIF(Octobre[30],CléDemiRtt)/2)+COUNTIF(Octobre[30],CléCongéMalade)+COUNTIF(Octobre[30],CléRécupération)+(COUNTIF(Octobre[30],CléDemiRécupération)/2)+COUNTIF(Octobre[30],CléFormation)+(COUNTIF(Octobre[30],CléEnfantMalade)+(COUNTIF(Octobre[30],CléDemiEnfantMalade)/2)))</totalsRowFormula>
    </tableColumn>
    <tableColumn id="32" xr3:uid="{FA6EA7DF-2522-D042-8FA1-E14926ADC358}" name="31" totalsRowFunction="custom" dataDxfId="680" totalsRowDxfId="679">
      <totalsRowFormula>COUNTIF(Octobre[31],CléCongé)+(COUNTIF(Octobre[31],CléCongéSpécial)+COUNTIF(Octobre[31],CléRTT)+(COUNTIF(Octobre[31],CléDemiRtt)/2)+COUNTIF(Octobre[31],CléCongéMalade)+COUNTIF(Octobre[31],CléRécupération)+(COUNTIF(Octobre[31],CléDemiRécupération)/2)+COUNTIF(Octobre[31],CléFormation)+(COUNTIF(Octobre[31],CléEnfantMalade)+(COUNTIF(Octobre[31],CléDemiEnfantMalade)/2)))</totalsRowFormula>
    </tableColumn>
    <tableColumn id="33" xr3:uid="{4DC122E4-5CF9-F846-B26B-880D0A3CE6A5}" name="Total absence" totalsRowFunction="sum" dataDxfId="678" totalsRowDxfId="677" dataCellStyle="Total">
      <calculatedColumnFormula>(COUNTIF(C8:AG8,CléCongé)+(COUNTIF(C8:AG8,CléEnfantMalade)+COUNTIF(C8:AG8,CléRTT)+COUNTIF(C8:AG8,CléCongéMalade)+COUNTIF(C8:AG8,CléRécupération)+COUNTIF(C8:AG8,CléFormation)+COUNTIF(C8:AG8,CléTélétravail-1)+COUNTIF(C8:AG8,CléCongéSpécial)+COUNTIF(C8:AG8,CléPrésenceExceptionnelle-1)+COUNTIF(C8:AG8,CléDemiRtt)/2)+COUNTIF(C8:AG8,CléDemiRécupération)/2)+COUNTIF(C8:AG8,CléDemiEnfantMalade)/2</calculatedColumnFormula>
    </tableColumn>
    <tableColumn id="34" xr3:uid="{283E8AE8-4A34-E742-AD40-E33370680750}" name="Dont RTT" totalsRowFunction="sum" dataDxfId="676" totalsRowDxfId="675" dataCellStyle="Total">
      <calculatedColumnFormula>COUNTIF(C8:AG8,CléRTT)+COUNTIF(C8:AG8,CléDemiRtt)/2</calculatedColumnFormula>
    </tableColumn>
    <tableColumn id="36" xr3:uid="{7124FA95-F5D9-DE4A-AFCC-FF68B22650BF}" name="Dont MALADIE" totalsRowFunction="sum" dataDxfId="674" totalsRowDxfId="673" dataCellStyle="Total"/>
    <tableColumn id="35" xr3:uid="{F9DA2C02-EF91-414D-9FDD-64982F1DBB5A}" name="Solde RTT disponible au 01/11/2021" totalsRowDxfId="672">
      <calculatedColumnFormula>Mars!AK8-Mai[[#This Row],[Dont RTT]]+2</calculatedColumnFormula>
    </tableColumn>
    <tableColumn id="37" xr3:uid="{9A53B619-1D3D-0945-AFC7-52D0C25D7B14}" name="Commentaires" totalsRowDxfId="671" dataCellStyle="Total"/>
  </tableColumns>
  <tableStyleInfo name="Tableau des absences des employés" showFirstColumn="1" showLastColumn="1" showRowStripes="1" showColumnStripes="0"/>
  <extLst>
    <ext xmlns:x14="http://schemas.microsoft.com/office/spreadsheetml/2009/9/main" uri="{504A1905-F514-4f6f-8877-14C23A59335A}">
      <x14:table altTextSummary="Entrez les noms des employés et les dates d’absence. Enregistrez le motif d’absence à l’aide des clés figurant dans la ligne 12 : C=Congé, M=Maladie, P=Personnel, et deux espaces réservés pour des entrées personnalisées"/>
    </ext>
  </extLst>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4" xr:uid="{0535FEEC-350F-E448-910B-ED2859B14273}" name="Novembre" displayName="Novembre" ref="B7:AL22" totalsRowCount="1" headerRowDxfId="670" totalsRowDxfId="669">
  <tableColumns count="37">
    <tableColumn id="1" xr3:uid="{47AE9E53-8A5C-FC49-9C2D-F6A48E665610}" name="Nom de l’employé" totalsRowFunction="custom" dataDxfId="668" totalsRowDxfId="667" dataCellStyle="Employé">
      <totalsRowFormula>NomMois&amp;" Total"</totalsRowFormula>
    </tableColumn>
    <tableColumn id="2" xr3:uid="{BC4818C5-9E0B-9041-90F1-A79BBC54701C}" name="1" totalsRowFunction="custom" dataDxfId="666" totalsRowDxfId="665">
      <totalsRowFormula>COUNTIF(Novembre[1],CléCongé)+(COUNTIF(Novembre[1],CléCongéSpécial)+COUNTIF(Novembre[1],CléRTT)+(COUNTIF(Novembre[1],CléDemiRtt)/2)+COUNTIF(Novembre[1],CléCongéMalade)+COUNTIF(Novembre[1],CléRécupération)+(COUNTIF(Novembre[1],CléDemiRécupération)/2)+COUNTIF(Novembre[1],CléFormation)+(COUNTIF(Novembre[1],CléEnfantMalade)+(COUNTIF(Novembre[1],CléDemiEnfantMalade)/2)))</totalsRowFormula>
    </tableColumn>
    <tableColumn id="3" xr3:uid="{196B6891-A74C-B748-AC2F-5665914717F0}" name="2" totalsRowFunction="custom" dataDxfId="664" totalsRowDxfId="663">
      <totalsRowFormula>COUNTIF(Novembre[2],CléCongé)+(COUNTIF(Novembre[2],CléCongéSpécial)+COUNTIF(Novembre[2],CléRTT)+(COUNTIF(Novembre[2],CléDemiRtt)/2)+COUNTIF(Novembre[2],CléCongéMalade)+COUNTIF(Novembre[2],CléRécupération)+(COUNTIF(Novembre[2],CléDemiRécupération)/2)+COUNTIF(Novembre[2],CléFormation)+(COUNTIF(Novembre[2],CléEnfantMalade)+(COUNTIF(Novembre[2],CléDemiEnfantMalade)/2)))</totalsRowFormula>
    </tableColumn>
    <tableColumn id="4" xr3:uid="{30986085-4A0F-ED47-A9E8-5DBC18D13D17}" name="3" totalsRowFunction="custom" dataDxfId="662" totalsRowDxfId="661">
      <totalsRowFormula>COUNTIF(Novembre[3],CléCongé)+(COUNTIF(Novembre[3],CléCongéSpécial)+COUNTIF(Novembre[3],CléRTT)+(COUNTIF(Novembre[3],CléDemiRtt)/2)+COUNTIF(Novembre[3],CléCongéMalade)+COUNTIF(Novembre[3],CléRécupération)+(COUNTIF(Novembre[3],CléDemiRécupération)/2)+COUNTIF(Novembre[3],CléFormation)+(COUNTIF(Novembre[3],CléEnfantMalade)+(COUNTIF(Novembre[3],CléDemiEnfantMalade)/2)))</totalsRowFormula>
    </tableColumn>
    <tableColumn id="5" xr3:uid="{DDCCD7DC-6FBF-FE4D-9924-D699B8867F34}" name="4" totalsRowFunction="custom" dataDxfId="660" totalsRowDxfId="659">
      <totalsRowFormula>COUNTIF(Novembre[4],CléCongé)+(COUNTIF(Novembre[4],CléCongéSpécial)+COUNTIF(Novembre[4],CléRTT)+(COUNTIF(Novembre[4],CléDemiRtt)/2)+COUNTIF(Novembre[4],CléCongéMalade)+COUNTIF(Novembre[4],CléRécupération)+(COUNTIF(Novembre[4],CléDemiRécupération)/2)+COUNTIF(Novembre[4],CléFormation)+(COUNTIF(Novembre[4],CléEnfantMalade)+(COUNTIF(Novembre[4],CléDemiEnfantMalade)/2)))</totalsRowFormula>
    </tableColumn>
    <tableColumn id="6" xr3:uid="{B749F70D-DF46-A746-9D76-453F1DFAE559}" name="5" totalsRowFunction="custom" dataDxfId="658" totalsRowDxfId="657">
      <totalsRowFormula>COUNTIF(Novembre[5],CléCongé)+(COUNTIF(Novembre[5],CléCongéSpécial)+COUNTIF(Novembre[5],CléRTT)+(COUNTIF(Novembre[5],CléDemiRtt)/2)+COUNTIF(Novembre[5],CléCongéMalade)+COUNTIF(Novembre[5],CléRécupération)+(COUNTIF(Novembre[5],CléDemiRécupération)/2)+COUNTIF(Novembre[5],CléFormation)+(COUNTIF(Novembre[5],CléEnfantMalade)+(COUNTIF(Novembre[5],CléDemiEnfantMalade)/2)))</totalsRowFormula>
    </tableColumn>
    <tableColumn id="7" xr3:uid="{58EAD834-831A-7148-BFD3-2343544116E0}" name="6" totalsRowFunction="custom" dataDxfId="656" totalsRowDxfId="655">
      <totalsRowFormula>COUNTIF(Novembre[6],CléCongé)+(COUNTIF(Novembre[6],CléCongéSpécial)+COUNTIF(Novembre[6],CléRTT)+(COUNTIF(Novembre[6],CléDemiRtt)/2)+COUNTIF(Novembre[6],CléCongéMalade)+COUNTIF(Novembre[6],CléRécupération)+(COUNTIF(Novembre[6],CléDemiRécupération)/2)+COUNTIF(Novembre[6],CléFormation)+(COUNTIF(Novembre[6],CléEnfantMalade)+(COUNTIF(Novembre[6],CléDemiEnfantMalade)/2)))</totalsRowFormula>
    </tableColumn>
    <tableColumn id="8" xr3:uid="{FE4626BA-515D-2747-A601-FD4E54776A48}" name="7" totalsRowFunction="custom" dataDxfId="654" totalsRowDxfId="653">
      <totalsRowFormula>COUNTIF(Novembre[7],CléCongé)+(COUNTIF(Novembre[7],CléCongéSpécial)+COUNTIF(Novembre[7],CléRTT)+(COUNTIF(Novembre[7],CléDemiRtt)/2)+COUNTIF(Novembre[7],CléCongéMalade)+COUNTIF(Novembre[7],CléRécupération)+(COUNTIF(Novembre[7],CléDemiRécupération)/2)+COUNTIF(Novembre[7],CléFormation)+(COUNTIF(Novembre[7],CléEnfantMalade)+(COUNTIF(Novembre[7],CléDemiEnfantMalade)/2)))</totalsRowFormula>
    </tableColumn>
    <tableColumn id="9" xr3:uid="{81973152-BF09-B44A-BD8A-A9BF0DB32EFF}" name="8" totalsRowFunction="custom" dataDxfId="652" totalsRowDxfId="651">
      <totalsRowFormula>COUNTIF(Novembre[8],CléCongé)+(COUNTIF(Novembre[8],CléCongéSpécial)+COUNTIF(Novembre[8],CléRTT)+(COUNTIF(Novembre[8],CléDemiRtt)/2)+COUNTIF(Novembre[8],CléCongéMalade)+COUNTIF(Novembre[8],CléRécupération)+(COUNTIF(Novembre[8],CléDemiRécupération)/2)+COUNTIF(Novembre[8],CléFormation)+(COUNTIF(Novembre[8],CléEnfantMalade)+(COUNTIF(Novembre[8],CléDemiEnfantMalade)/2)))</totalsRowFormula>
    </tableColumn>
    <tableColumn id="10" xr3:uid="{C2574D8D-67A9-EB4E-8387-21387E45F2AB}" name="9" totalsRowFunction="custom" dataDxfId="650" totalsRowDxfId="649">
      <totalsRowFormula>COUNTIF(Novembre[9],CléCongé)+(COUNTIF(Novembre[9],CléCongéSpécial)+COUNTIF(Novembre[9],CléRTT)+(COUNTIF(Novembre[9],CléDemiRtt)/2)+COUNTIF(Novembre[9],CléCongéMalade)+COUNTIF(Novembre[9],CléRécupération)+(COUNTIF(Novembre[9],CléDemiRécupération)/2)+COUNTIF(Novembre[9],CléFormation)+(COUNTIF(Novembre[9],CléEnfantMalade)+(COUNTIF(Novembre[9],CléDemiEnfantMalade)/2)))</totalsRowFormula>
    </tableColumn>
    <tableColumn id="11" xr3:uid="{55D76CCF-5075-4D48-A9C7-19C1C9F9BF0B}" name="10" totalsRowFunction="custom" dataDxfId="648" totalsRowDxfId="647">
      <totalsRowFormula>COUNTIF(Novembre[10],CléCongé)+(COUNTIF(Novembre[10],CléCongéSpécial)+COUNTIF(Novembre[10],CléRTT)+(COUNTIF(Novembre[10],CléDemiRtt)/2)+COUNTIF(Novembre[10],CléCongéMalade)+COUNTIF(Novembre[10],CléRécupération)+(COUNTIF(Novembre[10],CléDemiRécupération)/2)+COUNTIF(Novembre[10],CléFormation)+(COUNTIF(Novembre[10],CléEnfantMalade)+(COUNTIF(Novembre[10],CléDemiEnfantMalade)/2)))</totalsRowFormula>
    </tableColumn>
    <tableColumn id="12" xr3:uid="{ECFBB34D-0E3F-B646-A55B-2529A5C291DD}" name="11" totalsRowFunction="custom" dataDxfId="646" totalsRowDxfId="645">
      <totalsRowFormula>COUNTIF(Novembre[11],CléCongé)+(COUNTIF(Novembre[11],CléCongéSpécial)+COUNTIF(Novembre[11],CléRTT)+(COUNTIF(Novembre[11],CléDemiRtt)/2)+COUNTIF(Novembre[11],CléCongéMalade)+COUNTIF(Novembre[11],CléRécupération)+(COUNTIF(Novembre[11],CléDemiRécupération)/2)+COUNTIF(Novembre[11],CléFormation)+(COUNTIF(Novembre[11],CléEnfantMalade)+(COUNTIF(Novembre[11],CléDemiEnfantMalade)/2)))</totalsRowFormula>
    </tableColumn>
    <tableColumn id="13" xr3:uid="{616DF16E-9A0F-DF41-B8CB-2874EB39F220}" name="12" totalsRowFunction="custom" dataDxfId="644" totalsRowDxfId="643">
      <totalsRowFormula>COUNTIF(Novembre[12],CléCongé)+(COUNTIF(Novembre[12],CléCongéSpécial)+COUNTIF(Novembre[12],CléRTT)+(COUNTIF(Novembre[12],CléDemiRtt)/2)+COUNTIF(Novembre[12],CléCongéMalade)+COUNTIF(Novembre[12],CléRécupération)+(COUNTIF(Novembre[12],CléDemiRécupération)/2)+COUNTIF(Novembre[12],CléFormation)+(COUNTIF(Novembre[12],CléEnfantMalade)+(COUNTIF(Novembre[12],CléDemiEnfantMalade)/2)))</totalsRowFormula>
    </tableColumn>
    <tableColumn id="14" xr3:uid="{961ACE5F-28F1-2F4F-BF04-9E8EAAA0E876}" name="13" totalsRowFunction="custom" dataDxfId="642" totalsRowDxfId="641">
      <totalsRowFormula>COUNTIF(Novembre[13],CléCongé)+(COUNTIF(Novembre[13],CléCongéSpécial)+COUNTIF(Novembre[13],CléRTT)+(COUNTIF(Novembre[13],CléDemiRtt)/2)+COUNTIF(Novembre[13],CléCongéMalade)+COUNTIF(Novembre[13],CléRécupération)+(COUNTIF(Novembre[13],CléDemiRécupération)/2)+COUNTIF(Novembre[13],CléFormation)+(COUNTIF(Novembre[13],CléEnfantMalade)+(COUNTIF(Novembre[13],CléDemiEnfantMalade)/2)))</totalsRowFormula>
    </tableColumn>
    <tableColumn id="15" xr3:uid="{41C4349A-1959-604A-A7C4-9F6CBEDBF293}" name="14" totalsRowFunction="custom" dataDxfId="640" totalsRowDxfId="639">
      <totalsRowFormula>COUNTIF(Novembre[14],CléCongé)+(COUNTIF(Novembre[14],CléCongéSpécial)+COUNTIF(Novembre[14],CléRTT)+(COUNTIF(Novembre[14],CléDemiRtt)/2)+COUNTIF(Novembre[14],CléCongéMalade)+COUNTIF(Novembre[14],CléRécupération)+(COUNTIF(Novembre[14],CléDemiRécupération)/2)+COUNTIF(Novembre[14],CléFormation)+(COUNTIF(Novembre[14],CléEnfantMalade)+(COUNTIF(Novembre[14],CléDemiEnfantMalade)/2)))</totalsRowFormula>
    </tableColumn>
    <tableColumn id="16" xr3:uid="{9BBEC06D-5D97-D24E-B3F3-29FCEDC118E9}" name="15" totalsRowFunction="custom" dataDxfId="638" totalsRowDxfId="637">
      <totalsRowFormula>COUNTIF(Novembre[15],CléCongé)+(COUNTIF(Novembre[15],CléCongéSpécial)+COUNTIF(Novembre[15],CléRTT)+(COUNTIF(Novembre[15],CléDemiRtt)/2)+COUNTIF(Novembre[15],CléCongéMalade)+COUNTIF(Novembre[15],CléRécupération)+(COUNTIF(Novembre[15],CléDemiRécupération)/2)+COUNTIF(Novembre[15],CléFormation)+(COUNTIF(Novembre[15],CléEnfantMalade)+(COUNTIF(Novembre[15],CléDemiEnfantMalade)/2)))</totalsRowFormula>
    </tableColumn>
    <tableColumn id="17" xr3:uid="{B2472A9D-3067-AF49-B3F8-3371871D9158}" name="16" totalsRowFunction="custom" dataDxfId="636" totalsRowDxfId="635">
      <totalsRowFormula>COUNTIF(Novembre[16],CléCongé)+(COUNTIF(Novembre[16],CléCongéSpécial)+COUNTIF(Novembre[16],CléRTT)+(COUNTIF(Novembre[16],CléDemiRtt)/2)+COUNTIF(Novembre[16],CléCongéMalade)+COUNTIF(Novembre[16],CléRécupération)+(COUNTIF(Novembre[16],CléDemiRécupération)/2)+COUNTIF(Novembre[16],CléFormation)+(COUNTIF(Novembre[16],CléEnfantMalade)+(COUNTIF(Novembre[16],CléDemiEnfantMalade)/2)))</totalsRowFormula>
    </tableColumn>
    <tableColumn id="18" xr3:uid="{4F4AA044-2B79-984C-8B82-34B44C9740FB}" name="17" totalsRowFunction="custom" dataDxfId="634" totalsRowDxfId="633">
      <totalsRowFormula>COUNTIF(Novembre[17],CléCongé)+(COUNTIF(Novembre[17],CléCongéSpécial)+COUNTIF(Novembre[17],CléRTT)+(COUNTIF(Novembre[17],CléDemiRtt)/2)+COUNTIF(Novembre[17],CléCongéMalade)+COUNTIF(Novembre[17],CléRécupération)+(COUNTIF(Novembre[17],CléDemiRécupération)/2)+COUNTIF(Novembre[17],CléFormation)+(COUNTIF(Novembre[17],CléEnfantMalade)+(COUNTIF(Novembre[17],CléDemiEnfantMalade)/2)))</totalsRowFormula>
    </tableColumn>
    <tableColumn id="19" xr3:uid="{531A2C31-5B11-D242-B28D-5FE900276CC4}" name="18" totalsRowFunction="custom" dataDxfId="632" totalsRowDxfId="631">
      <totalsRowFormula>COUNTIF(Novembre[18],CléCongé)+(COUNTIF(Novembre[18],CléCongéSpécial)+COUNTIF(Novembre[18],CléRTT)+(COUNTIF(Novembre[18],CléDemiRtt)/2)+COUNTIF(Novembre[18],CléCongéMalade)+COUNTIF(Novembre[18],CléRécupération)+(COUNTIF(Novembre[18],CléDemiRécupération)/2)+COUNTIF(Novembre[18],CléFormation)+(COUNTIF(Novembre[18],CléEnfantMalade)+(COUNTIF(Novembre[18],CléDemiEnfantMalade)/2)))</totalsRowFormula>
    </tableColumn>
    <tableColumn id="20" xr3:uid="{5D6EE488-2C02-8B44-BF33-2B62EE0F7800}" name="19" totalsRowFunction="custom" dataDxfId="630" totalsRowDxfId="629">
      <totalsRowFormula>COUNTIF(Novembre[19],CléCongé)+(COUNTIF(Novembre[19],CléCongéSpécial)+COUNTIF(Novembre[19],CléRTT)+(COUNTIF(Novembre[19],CléDemiRtt)/2)+COUNTIF(Novembre[19],CléCongéMalade)+COUNTIF(Novembre[19],CléRécupération)+(COUNTIF(Novembre[19],CléDemiRécupération)/2)+COUNTIF(Novembre[19],CléFormation)+(COUNTIF(Novembre[19],CléEnfantMalade)+(COUNTIF(Novembre[19],CléDemiEnfantMalade)/2)))</totalsRowFormula>
    </tableColumn>
    <tableColumn id="21" xr3:uid="{69FA8B3B-0D71-9B41-87BA-5C714B7EBF7B}" name="20" totalsRowFunction="custom" dataDxfId="628" totalsRowDxfId="627">
      <totalsRowFormula>COUNTIF(Novembre[20],CléCongé)+(COUNTIF(Novembre[20],CléCongéSpécial)+COUNTIF(Novembre[20],CléRTT)+(COUNTIF(Novembre[20],CléDemiRtt)/2)+COUNTIF(Novembre[20],CléCongéMalade)+COUNTIF(Novembre[20],CléRécupération)+(COUNTIF(Novembre[20],CléDemiRécupération)/2)+COUNTIF(Novembre[20],CléFormation)+(COUNTIF(Novembre[20],CléEnfantMalade)+(COUNTIF(Novembre[20],CléDemiEnfantMalade)/2)))</totalsRowFormula>
    </tableColumn>
    <tableColumn id="22" xr3:uid="{83F1AE5E-92D1-D941-AAF7-8B4252D38AE6}" name="21" totalsRowFunction="custom" dataDxfId="626" totalsRowDxfId="625">
      <totalsRowFormula>COUNTIF(Novembre[21],CléCongé)+(COUNTIF(Novembre[21],CléCongéSpécial)+COUNTIF(Novembre[21],CléRTT)+(COUNTIF(Novembre[21],CléDemiRtt)/2)+COUNTIF(Novembre[21],CléCongéMalade)+COUNTIF(Novembre[21],CléRécupération)+(COUNTIF(Novembre[21],CléDemiRécupération)/2)+COUNTIF(Novembre[21],CléFormation)+(COUNTIF(Novembre[21],CléEnfantMalade)+(COUNTIF(Novembre[21],CléDemiEnfantMalade)/2)))</totalsRowFormula>
    </tableColumn>
    <tableColumn id="23" xr3:uid="{D053C945-6B92-9645-90DE-4BBC75C95EA9}" name="22" totalsRowFunction="custom" dataDxfId="624" totalsRowDxfId="623">
      <totalsRowFormula>COUNTIF(Novembre[22],CléCongé)+(COUNTIF(Novembre[22],CléCongéSpécial)+COUNTIF(Novembre[22],CléRTT)+(COUNTIF(Novembre[22],CléDemiRtt)/2)+COUNTIF(Novembre[22],CléCongéMalade)+COUNTIF(Novembre[22],CléRécupération)+(COUNTIF(Novembre[22],CléDemiRécupération)/2)+COUNTIF(Novembre[22],CléFormation)+(COUNTIF(Novembre[22],CléEnfantMalade)+(COUNTIF(Novembre[22],CléDemiEnfantMalade)/2)))</totalsRowFormula>
    </tableColumn>
    <tableColumn id="24" xr3:uid="{F32FBD8D-07B7-E944-BCF7-52AE4CBAD3A7}" name="23" totalsRowFunction="custom" dataDxfId="622" totalsRowDxfId="621">
      <totalsRowFormula>COUNTIF(Novembre[23],CléCongé)+(COUNTIF(Novembre[23],CléCongéSpécial)+COUNTIF(Novembre[23],CléRTT)+(COUNTIF(Novembre[23],CléDemiRtt)/2)+COUNTIF(Novembre[23],CléCongéMalade)+COUNTIF(Novembre[23],CléRécupération)+(COUNTIF(Novembre[23],CléDemiRécupération)/2)+COUNTIF(Novembre[23],CléFormation)+(COUNTIF(Novembre[23],CléEnfantMalade)+(COUNTIF(Novembre[23],CléDemiEnfantMalade)/2)))</totalsRowFormula>
    </tableColumn>
    <tableColumn id="25" xr3:uid="{E2DE7ADB-57F2-354B-979E-BDFFEA11DAC4}" name="24" totalsRowFunction="custom" dataDxfId="620" totalsRowDxfId="619">
      <totalsRowFormula>COUNTIF(Novembre[24],CléCongé)+(COUNTIF(Novembre[24],CléCongéSpécial)+COUNTIF(Novembre[24],CléRTT)+(COUNTIF(Novembre[24],CléDemiRtt)/2)+COUNTIF(Novembre[24],CléCongéMalade)+COUNTIF(Novembre[24],CléRécupération)+(COUNTIF(Novembre[24],CléDemiRécupération)/2)+COUNTIF(Novembre[24],CléFormation)+(COUNTIF(Novembre[24],CléEnfantMalade)+(COUNTIF(Novembre[24],CléDemiEnfantMalade)/2)))</totalsRowFormula>
    </tableColumn>
    <tableColumn id="26" xr3:uid="{AB494624-99DC-8840-9C80-3564E8DCC1EF}" name="25" totalsRowFunction="custom" dataDxfId="618" totalsRowDxfId="617">
      <totalsRowFormula>COUNTIF(Novembre[25],CléCongé)+(COUNTIF(Novembre[25],CléCongéSpécial)+COUNTIF(Novembre[25],CléRTT)+(COUNTIF(Novembre[25],CléDemiRtt)/2)+COUNTIF(Novembre[25],CléCongéMalade)+COUNTIF(Novembre[25],CléRécupération)+(COUNTIF(Novembre[25],CléDemiRécupération)/2)+COUNTIF(Novembre[25],CléFormation)+(COUNTIF(Novembre[25],CléEnfantMalade)+(COUNTIF(Novembre[25],CléDemiEnfantMalade)/2)))</totalsRowFormula>
    </tableColumn>
    <tableColumn id="27" xr3:uid="{06598672-F09E-8B4B-91E8-1B16F9071D3D}" name="26" totalsRowFunction="custom" dataDxfId="616" totalsRowDxfId="615">
      <totalsRowFormula>COUNTIF(Novembre[26],CléCongé)+(COUNTIF(Novembre[26],CléCongéSpécial)+COUNTIF(Novembre[26],CléRTT)+(COUNTIF(Novembre[26],CléDemiRtt)/2)+COUNTIF(Novembre[26],CléCongéMalade)+COUNTIF(Novembre[26],CléRécupération)+(COUNTIF(Novembre[26],CléDemiRécupération)/2)+COUNTIF(Novembre[26],CléFormation)+(COUNTIF(Novembre[26],CléEnfantMalade)+(COUNTIF(Novembre[26],CléDemiEnfantMalade)/2)))</totalsRowFormula>
    </tableColumn>
    <tableColumn id="28" xr3:uid="{1CFE22C2-DC84-1B4C-AD41-8F32785D412E}" name="27" totalsRowFunction="custom" dataDxfId="614" totalsRowDxfId="613">
      <totalsRowFormula>COUNTIF(Novembre[27],CléCongé)+(COUNTIF(Novembre[27],CléCongéSpécial)+COUNTIF(Novembre[27],CléRTT)+(COUNTIF(Novembre[27],CléDemiRtt)/2)+COUNTIF(Novembre[27],CléCongéMalade)+COUNTIF(Novembre[27],CléRécupération)+(COUNTIF(Novembre[27],CléDemiRécupération)/2)+COUNTIF(Novembre[27],CléFormation)+(COUNTIF(Novembre[27],CléEnfantMalade)+(COUNTIF(Novembre[27],CléDemiEnfantMalade)/2)))</totalsRowFormula>
    </tableColumn>
    <tableColumn id="29" xr3:uid="{0045D311-3EA1-F149-9FF4-93879A92A8BC}" name="28" totalsRowFunction="custom" dataDxfId="612" totalsRowDxfId="611">
      <totalsRowFormula>COUNTIF(Novembre[28],CléCongé)+(COUNTIF(Novembre[28],CléCongéSpécial)+COUNTIF(Novembre[28],CléRTT)+(COUNTIF(Novembre[28],CléDemiRtt)/2)+COUNTIF(Novembre[28],CléCongéMalade)+COUNTIF(Novembre[28],CléRécupération)+(COUNTIF(Novembre[28],CléDemiRécupération)/2)+COUNTIF(Novembre[28],CléFormation)+(COUNTIF(Novembre[28],CléEnfantMalade)+(COUNTIF(Novembre[28],CléDemiEnfantMalade)/2)))</totalsRowFormula>
    </tableColumn>
    <tableColumn id="30" xr3:uid="{5E7664A3-2777-D74D-BFC3-FB2A3C0EC9C1}" name="29" totalsRowFunction="custom" dataDxfId="610" totalsRowDxfId="609">
      <totalsRowFormula>COUNTIF(Novembre[29],CléCongé)+(COUNTIF(Novembre[29],CléCongéSpécial)+COUNTIF(Novembre[29],CléRTT)+(COUNTIF(Novembre[29],CléDemiRtt)/2)+COUNTIF(Novembre[29],CléCongéMalade)+COUNTIF(Novembre[29],CléRécupération)+(COUNTIF(Novembre[29],CléDemiRécupération)/2)+COUNTIF(Novembre[29],CléFormation)+(COUNTIF(Novembre[29],CléEnfantMalade)+(COUNTIF(Novembre[29],CléDemiEnfantMalade)/2)))</totalsRowFormula>
    </tableColumn>
    <tableColumn id="31" xr3:uid="{661665A7-BE02-504E-8F59-058029B3DDBC}" name="30" totalsRowFunction="custom" dataDxfId="608" totalsRowDxfId="607">
      <totalsRowFormula>COUNTIF(Novembre[30],CléCongé)+(COUNTIF(Novembre[30],CléCongéSpécial)+COUNTIF(Novembre[30],CléRTT)+(COUNTIF(Novembre[30],CléDemiRtt)/2)+COUNTIF(Novembre[30],CléCongéMalade)+COUNTIF(Novembre[30],CléRécupération)+(COUNTIF(Novembre[30],CléDemiRécupération)/2)+COUNTIF(Novembre[30],CléFormation)+(COUNTIF(Novembre[30],CléEnfantMalade)+(COUNTIF(Novembre[30],CléDemiEnfantMalade)/2)))</totalsRowFormula>
    </tableColumn>
    <tableColumn id="32" xr3:uid="{4F5BE129-811B-5D4E-8439-C12A724CD71E}" name=" " totalsRowFunction="custom" dataDxfId="606" totalsRowDxfId="605">
      <totalsRowFormula>COUNTIF(Novembre[[ ]],CléCongé)+(COUNTIF(Novembre[[ ]],CléCongéSpécial)+COUNTIF(Novembre[[ ]],CléRTT)+(COUNTIF(Novembre[[ ]],CléDemiRtt)/2)+COUNTIF(Novembre[[ ]],CléCongéMalade)+COUNTIF(Novembre[[ ]],CléRécupération)+(COUNTIF(Novembre[[ ]],CléDemiRécupération)/2)+COUNTIF(Novembre[[ ]],CléFormation)+(COUNTIF(Novembre[[ ]],CléEnfantMalade)+(COUNTIF(Novembre[[ ]],CléDemiEnfantMalade)/2)))</totalsRowFormula>
    </tableColumn>
    <tableColumn id="33" xr3:uid="{27F51899-2998-144A-979E-BBE0699BC0DC}" name="Total absence" totalsRowFunction="sum" dataDxfId="604" totalsRowDxfId="603" dataCellStyle="Total">
      <calculatedColumnFormula>(COUNTIF(C8:AG8,CléCongé)+(COUNTIF(C8:AG8,CléEnfantMalade)+COUNTIF(C8:AG8,CléRTT)+COUNTIF(C8:AG8,CléCongéMalade)+COUNTIF(C8:AG8,CléRécupération)+COUNTIF(C8:AG8,CléFormation)+COUNTIF(C8:AG8,CléTélétravail-1)+COUNTIF(C8:AG8,CléCongéSpécial)+COUNTIF(C8:AG8,CléPrésenceExceptionnelle-1)+COUNTIF(C8:AG8,CléDemiRtt)/2)+COUNTIF(C8:AG8,CléDemiRécupération)/2)+COUNTIF(C8:AG8,CléDemiEnfantMalade)/2</calculatedColumnFormula>
    </tableColumn>
    <tableColumn id="34" xr3:uid="{5DBB9C7C-2DD9-CC45-A039-2B299FDBFB5C}" name="Dont RTT" totalsRowFunction="sum" dataDxfId="602" totalsRowDxfId="601" dataCellStyle="Total">
      <calculatedColumnFormula>COUNTIF(C8:AG8,CléRTT)+COUNTIF(C8:AG8,CléDemiRtt)/2</calculatedColumnFormula>
    </tableColumn>
    <tableColumn id="36" xr3:uid="{028B61D9-7236-AC45-AA78-CC5260EE9AB4}" name="Dont MALADIE" totalsRowFunction="sum" dataDxfId="600" totalsRowDxfId="599" dataCellStyle="Total"/>
    <tableColumn id="35" xr3:uid="{559D8BAD-3D58-7C4A-94C0-E348A75B9110}" name="Solde RTT disponible au 01/12/2021" dataDxfId="598" totalsRowDxfId="597">
      <calculatedColumnFormula>Mars!AK8-Mai[[#This Row],[Dont RTT]]+2</calculatedColumnFormula>
    </tableColumn>
    <tableColumn id="37" xr3:uid="{AD2321E8-EAAB-DD48-966D-66B7D1EE01E2}" name="Commentaires" totalsRowDxfId="596"/>
  </tableColumns>
  <tableStyleInfo name="Tableau des absences des employés" showFirstColumn="1" showLastColumn="1" showRowStripes="1" showColumnStripes="0"/>
  <extLst>
    <ext xmlns:x14="http://schemas.microsoft.com/office/spreadsheetml/2009/9/main" uri="{504A1905-F514-4f6f-8877-14C23A59335A}">
      <x14:table altTextSummary="Entrez les noms des employés et les dates d’absence. Enregistrez le motif d’absence à l’aide des clés figurant dans la ligne 12 : C=Congé, M=Maladie, P=Personnel, et deux espaces réservés pour des entrées personnalisées"/>
    </ext>
  </extLst>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5" xr:uid="{D67DC8AC-EE4B-F247-9458-E54D9FC35DA8}" name="Décembre" displayName="Décembre" ref="B7:AL22" totalsRowCount="1" headerRowDxfId="595" dataDxfId="594" totalsRowDxfId="593" dataCellStyle="Total">
  <tableColumns count="37">
    <tableColumn id="1" xr3:uid="{4600A43C-3BC7-804C-8032-48BDD1A7E121}" name="Nom de l’employé" totalsRowFunction="custom" dataDxfId="592" totalsRowDxfId="591" dataCellStyle="Employé">
      <totalsRowFormula>NomMois&amp;" Total"</totalsRowFormula>
    </tableColumn>
    <tableColumn id="2" xr3:uid="{38FA8196-CB01-5E48-B58D-2B9F4004A044}" name="1" totalsRowFunction="custom" dataDxfId="590" totalsRowDxfId="589">
      <totalsRowFormula>COUNTIF(Décembre[1],CléCongé)+(COUNTIF(Décembre[1],CléCongéSpécial)+COUNTIF(Décembre[1],CléRTT)+(COUNTIF(Décembre[1],CléDemiRtt)/2)+COUNTIF(Décembre[1],CléCongéMalade)+COUNTIF(Décembre[1],CléRécupération)+(COUNTIF(Décembre[1],CléDemiRécupération)/2)+COUNTIF(Décembre[1],CléFormation)+(COUNTIF(Décembre[1],CléEnfantMalade)+(COUNTIF(Décembre[1],CléDemiEnfantMalade)/2)))</totalsRowFormula>
    </tableColumn>
    <tableColumn id="3" xr3:uid="{C7EEA301-5275-134E-AFC1-1FFACBCD05C1}" name="2" totalsRowFunction="custom" dataDxfId="588" totalsRowDxfId="587">
      <totalsRowFormula>COUNTIF(Décembre[2],CléCongé)+(COUNTIF(Décembre[2],CléCongéSpécial)+COUNTIF(Décembre[2],CléRTT)+(COUNTIF(Décembre[2],CléDemiRtt)/2)+COUNTIF(Décembre[2],CléCongéMalade)+COUNTIF(Décembre[2],CléRécupération)+(COUNTIF(Décembre[2],CléDemiRécupération)/2)+COUNTIF(Décembre[2],CléFormation)+(COUNTIF(Décembre[2],CléEnfantMalade)+(COUNTIF(Décembre[2],CléDemiEnfantMalade)/2)))</totalsRowFormula>
    </tableColumn>
    <tableColumn id="4" xr3:uid="{B976883C-612F-A543-9A0E-D4ABE11DDDC1}" name="3" totalsRowFunction="custom" dataDxfId="586" totalsRowDxfId="585">
      <totalsRowFormula>COUNTIF(Décembre[3],CléCongé)+(COUNTIF(Décembre[3],CléCongéSpécial)+COUNTIF(Décembre[3],CléRTT)+(COUNTIF(Décembre[3],CléDemiRtt)/2)+COUNTIF(Décembre[3],CléCongéMalade)+COUNTIF(Décembre[3],CléRécupération)+(COUNTIF(Décembre[3],CléDemiRécupération)/2)+COUNTIF(Décembre[3],CléFormation)+(COUNTIF(Décembre[3],CléEnfantMalade)+(COUNTIF(Décembre[3],CléDemiEnfantMalade)/2)))</totalsRowFormula>
    </tableColumn>
    <tableColumn id="5" xr3:uid="{55C7AAD5-DAA5-6D44-90F0-BBC9DBC4BC87}" name="4" totalsRowFunction="custom" dataDxfId="584" totalsRowDxfId="583">
      <totalsRowFormula>COUNTIF(Décembre[4],CléCongé)+(COUNTIF(Décembre[4],CléCongéSpécial)+COUNTIF(Décembre[4],CléRTT)+(COUNTIF(Décembre[4],CléDemiRtt)/2)+COUNTIF(Décembre[4],CléCongéMalade)+COUNTIF(Décembre[4],CléRécupération)+(COUNTIF(Décembre[4],CléDemiRécupération)/2)+COUNTIF(Décembre[4],CléFormation)+(COUNTIF(Décembre[4],CléEnfantMalade)+(COUNTIF(Décembre[4],CléDemiEnfantMalade)/2)))</totalsRowFormula>
    </tableColumn>
    <tableColumn id="6" xr3:uid="{C029D226-E8D8-7F43-9051-0BF76A847BC5}" name="5" totalsRowFunction="custom" dataDxfId="582" totalsRowDxfId="581">
      <totalsRowFormula>COUNTIF(Décembre[5],CléCongé)+(COUNTIF(Décembre[5],CléCongéSpécial)+COUNTIF(Décembre[5],CléRTT)+(COUNTIF(Décembre[5],CléDemiRtt)/2)+COUNTIF(Décembre[5],CléCongéMalade)+COUNTIF(Décembre[5],CléRécupération)+(COUNTIF(Décembre[5],CléDemiRécupération)/2)+COUNTIF(Décembre[5],CléFormation)+(COUNTIF(Décembre[5],CléEnfantMalade)+(COUNTIF(Décembre[5],CléDemiEnfantMalade)/2)))</totalsRowFormula>
    </tableColumn>
    <tableColumn id="7" xr3:uid="{CEC5CA6D-54B0-944E-92B2-22EF03CFA049}" name="6" totalsRowFunction="custom" dataDxfId="580" totalsRowDxfId="579">
      <totalsRowFormula>COUNTIF(Décembre[6],CléCongé)+(COUNTIF(Décembre[6],CléCongéSpécial)+COUNTIF(Décembre[6],CléRTT)+(COUNTIF(Décembre[6],CléDemiRtt)/2)+COUNTIF(Décembre[6],CléCongéMalade)+COUNTIF(Décembre[6],CléRécupération)+(COUNTIF(Décembre[6],CléDemiRécupération)/2)+COUNTIF(Décembre[6],CléFormation)+(COUNTIF(Décembre[6],CléEnfantMalade)+(COUNTIF(Décembre[6],CléDemiEnfantMalade)/2)))</totalsRowFormula>
    </tableColumn>
    <tableColumn id="8" xr3:uid="{36D9ACB1-E3FD-D442-AC51-146D6A09B5AE}" name="7" totalsRowFunction="custom" dataDxfId="578" totalsRowDxfId="577">
      <totalsRowFormula>COUNTIF(Décembre[7],CléCongé)+(COUNTIF(Décembre[7],CléCongéSpécial)+COUNTIF(Décembre[7],CléRTT)+(COUNTIF(Décembre[7],CléDemiRtt)/2)+COUNTIF(Décembre[7],CléCongéMalade)+COUNTIF(Décembre[7],CléRécupération)+(COUNTIF(Décembre[7],CléDemiRécupération)/2)+COUNTIF(Décembre[7],CléFormation)+(COUNTIF(Décembre[7],CléEnfantMalade)+(COUNTIF(Décembre[7],CléDemiEnfantMalade)/2)))</totalsRowFormula>
    </tableColumn>
    <tableColumn id="9" xr3:uid="{F14CD676-A70C-5F41-8725-38B94E269764}" name="8" totalsRowFunction="custom" dataDxfId="576" totalsRowDxfId="575">
      <totalsRowFormula>COUNTIF(Décembre[8],CléCongé)+(COUNTIF(Décembre[8],CléCongéSpécial)+COUNTIF(Décembre[8],CléRTT)+(COUNTIF(Décembre[8],CléDemiRtt)/2)+COUNTIF(Décembre[8],CléCongéMalade)+COUNTIF(Décembre[8],CléRécupération)+(COUNTIF(Décembre[8],CléDemiRécupération)/2)+COUNTIF(Décembre[8],CléFormation)+(COUNTIF(Décembre[8],CléEnfantMalade)+(COUNTIF(Décembre[8],CléDemiEnfantMalade)/2)))</totalsRowFormula>
    </tableColumn>
    <tableColumn id="10" xr3:uid="{61DDB561-505A-9546-83D4-B17F8B358AF0}" name="9" totalsRowFunction="custom" dataDxfId="574" totalsRowDxfId="573">
      <totalsRowFormula>COUNTIF(Décembre[9],CléCongé)+(COUNTIF(Décembre[9],CléCongéSpécial)+COUNTIF(Décembre[9],CléRTT)+(COUNTIF(Décembre[9],CléDemiRtt)/2)+COUNTIF(Décembre[9],CléCongéMalade)+COUNTIF(Décembre[9],CléRécupération)+(COUNTIF(Décembre[9],CléDemiRécupération)/2)+COUNTIF(Décembre[9],CléFormation)+(COUNTIF(Décembre[9],CléEnfantMalade)+(COUNTIF(Décembre[9],CléDemiEnfantMalade)/2)))</totalsRowFormula>
    </tableColumn>
    <tableColumn id="11" xr3:uid="{57120CBC-EA3F-F64B-93E4-4E1DED70C331}" name="10" totalsRowFunction="custom" dataDxfId="572" totalsRowDxfId="571">
      <totalsRowFormula>COUNTIF(Décembre[10],CléCongé)+(COUNTIF(Décembre[10],CléCongéSpécial)+COUNTIF(Décembre[10],CléRTT)+(COUNTIF(Décembre[10],CléDemiRtt)/2)+COUNTIF(Décembre[10],CléCongéMalade)+COUNTIF(Décembre[10],CléRécupération)+(COUNTIF(Décembre[10],CléDemiRécupération)/2)+COUNTIF(Décembre[10],CléFormation)+(COUNTIF(Décembre[10],CléEnfantMalade)+(COUNTIF(Décembre[10],CléDemiEnfantMalade)/2)))</totalsRowFormula>
    </tableColumn>
    <tableColumn id="12" xr3:uid="{A509FA6B-675A-A843-BCE8-A123694078FD}" name="11" totalsRowFunction="custom" dataDxfId="570" totalsRowDxfId="569">
      <totalsRowFormula>COUNTIF(Décembre[11],CléCongé)+(COUNTIF(Décembre[11],CléCongéSpécial)+COUNTIF(Décembre[11],CléRTT)+(COUNTIF(Décembre[11],CléDemiRtt)/2)+COUNTIF(Décembre[11],CléCongéMalade)+COUNTIF(Décembre[11],CléRécupération)+(COUNTIF(Décembre[11],CléDemiRécupération)/2)+COUNTIF(Décembre[11],CléFormation)+(COUNTIF(Décembre[11],CléEnfantMalade)+(COUNTIF(Décembre[11],CléDemiEnfantMalade)/2)))</totalsRowFormula>
    </tableColumn>
    <tableColumn id="13" xr3:uid="{ACA09D42-B26B-A248-89B5-74B25AC0A8B0}" name="12" totalsRowFunction="custom" dataDxfId="568" totalsRowDxfId="567">
      <totalsRowFormula>COUNTIF(Décembre[12],CléCongé)+(COUNTIF(Décembre[12],CléCongéSpécial)+COUNTIF(Décembre[12],CléRTT)+(COUNTIF(Décembre[12],CléDemiRtt)/2)+COUNTIF(Décembre[12],CléCongéMalade)+COUNTIF(Décembre[12],CléRécupération)+(COUNTIF(Décembre[12],CléDemiRécupération)/2)+COUNTIF(Décembre[12],CléFormation)+(COUNTIF(Décembre[12],CléEnfantMalade)+(COUNTIF(Décembre[12],CléDemiEnfantMalade)/2)))</totalsRowFormula>
    </tableColumn>
    <tableColumn id="14" xr3:uid="{250087D8-8FD1-9D4A-89C4-9450B4D058D3}" name="13" totalsRowFunction="custom" dataDxfId="566" totalsRowDxfId="565">
      <totalsRowFormula>COUNTIF(Décembre[13],CléCongé)+(COUNTIF(Décembre[13],CléCongéSpécial)+COUNTIF(Décembre[13],CléRTT)+(COUNTIF(Décembre[13],CléDemiRtt)/2)+COUNTIF(Décembre[13],CléCongéMalade)+COUNTIF(Décembre[13],CléRécupération)+(COUNTIF(Décembre[13],CléDemiRécupération)/2)+COUNTIF(Décembre[13],CléFormation)+(COUNTIF(Décembre[13],CléEnfantMalade)+(COUNTIF(Décembre[13],CléDemiEnfantMalade)/2)))</totalsRowFormula>
    </tableColumn>
    <tableColumn id="15" xr3:uid="{F8F2F2E0-2DBB-C143-95B3-EF3AA27D39C1}" name="14" totalsRowFunction="custom" dataDxfId="564" totalsRowDxfId="563">
      <totalsRowFormula>COUNTIF(Décembre[14],CléCongé)+(COUNTIF(Décembre[14],CléCongéSpécial)+COUNTIF(Décembre[14],CléRTT)+(COUNTIF(Décembre[14],CléDemiRtt)/2)+COUNTIF(Décembre[14],CléCongéMalade)+COUNTIF(Décembre[14],CléRécupération)+(COUNTIF(Décembre[14],CléDemiRécupération)/2)+COUNTIF(Décembre[14],CléFormation)+(COUNTIF(Décembre[14],CléEnfantMalade)+(COUNTIF(Décembre[14],CléDemiEnfantMalade)/2)))</totalsRowFormula>
    </tableColumn>
    <tableColumn id="16" xr3:uid="{CB20F08E-9208-A34C-9792-8716C949E124}" name="15" totalsRowFunction="custom" dataDxfId="562" totalsRowDxfId="561">
      <totalsRowFormula>COUNTIF(Décembre[15],CléCongé)+(COUNTIF(Décembre[15],CléCongéSpécial)+COUNTIF(Décembre[15],CléRTT)+(COUNTIF(Décembre[15],CléDemiRtt)/2)+COUNTIF(Décembre[15],CléCongéMalade)+COUNTIF(Décembre[15],CléRécupération)+(COUNTIF(Décembre[15],CléDemiRécupération)/2)+COUNTIF(Décembre[15],CléFormation)+(COUNTIF(Décembre[15],CléEnfantMalade)+(COUNTIF(Décembre[15],CléDemiEnfantMalade)/2)))</totalsRowFormula>
    </tableColumn>
    <tableColumn id="17" xr3:uid="{B9F1459A-A249-9349-93CB-2BB33F0ACB65}" name="16" totalsRowFunction="custom" dataDxfId="560" totalsRowDxfId="559">
      <totalsRowFormula>COUNTIF(Décembre[16],CléCongé)+(COUNTIF(Décembre[16],CléCongéSpécial)+COUNTIF(Décembre[16],CléRTT)+(COUNTIF(Décembre[16],CléDemiRtt)/2)+COUNTIF(Décembre[16],CléCongéMalade)+COUNTIF(Décembre[16],CléRécupération)+(COUNTIF(Décembre[16],CléDemiRécupération)/2)+COUNTIF(Décembre[16],CléFormation)+(COUNTIF(Décembre[16],CléEnfantMalade)+(COUNTIF(Décembre[16],CléDemiEnfantMalade)/2)))</totalsRowFormula>
    </tableColumn>
    <tableColumn id="18" xr3:uid="{F2EDA756-4433-844B-B82B-45B959CAC1A5}" name="17" totalsRowFunction="custom" dataDxfId="558" totalsRowDxfId="557">
      <totalsRowFormula>COUNTIF(Décembre[17],CléCongé)+(COUNTIF(Décembre[17],CléCongéSpécial)+COUNTIF(Décembre[17],CléRTT)+(COUNTIF(Décembre[17],CléDemiRtt)/2)+COUNTIF(Décembre[17],CléCongéMalade)+COUNTIF(Décembre[17],CléRécupération)+(COUNTIF(Décembre[17],CléDemiRécupération)/2)+COUNTIF(Décembre[17],CléFormation)+(COUNTIF(Décembre[17],CléEnfantMalade)+(COUNTIF(Décembre[17],CléDemiEnfantMalade)/2)))</totalsRowFormula>
    </tableColumn>
    <tableColumn id="19" xr3:uid="{6982FA9C-70C4-5541-955C-5FCC9165A7A0}" name="18" totalsRowFunction="custom" dataDxfId="556" totalsRowDxfId="555">
      <totalsRowFormula>COUNTIF(Décembre[18],CléCongé)+(COUNTIF(Décembre[18],CléCongéSpécial)+COUNTIF(Décembre[18],CléRTT)+(COUNTIF(Décembre[18],CléDemiRtt)/2)+COUNTIF(Décembre[18],CléCongéMalade)+COUNTIF(Décembre[18],CléRécupération)+(COUNTIF(Décembre[18],CléDemiRécupération)/2)+COUNTIF(Décembre[18],CléFormation)+(COUNTIF(Décembre[18],CléEnfantMalade)+(COUNTIF(Décembre[18],CléDemiEnfantMalade)/2)))</totalsRowFormula>
    </tableColumn>
    <tableColumn id="20" xr3:uid="{0A63E19D-CCE5-194E-B2A1-D17D871E0DCE}" name="19" totalsRowFunction="custom" dataDxfId="554" totalsRowDxfId="553">
      <totalsRowFormula>COUNTIF(Décembre[19],CléCongé)+(COUNTIF(Décembre[19],CléCongéSpécial)+COUNTIF(Décembre[19],CléRTT)+(COUNTIF(Décembre[19],CléDemiRtt)/2)+COUNTIF(Décembre[19],CléCongéMalade)+COUNTIF(Décembre[19],CléRécupération)+(COUNTIF(Décembre[19],CléDemiRécupération)/2)+COUNTIF(Décembre[19],CléFormation)+(COUNTIF(Décembre[19],CléEnfantMalade)+(COUNTIF(Décembre[19],CléDemiEnfantMalade)/2)))</totalsRowFormula>
    </tableColumn>
    <tableColumn id="21" xr3:uid="{0D7C3840-2590-5C40-8516-09C7853E5C54}" name="20" totalsRowFunction="custom" dataDxfId="552" totalsRowDxfId="551">
      <totalsRowFormula>COUNTIF(Décembre[20],CléCongé)+(COUNTIF(Décembre[20],CléCongéSpécial)+COUNTIF(Décembre[20],CléRTT)+(COUNTIF(Décembre[20],CléDemiRtt)/2)+COUNTIF(Décembre[20],CléCongéMalade)+COUNTIF(Décembre[20],CléRécupération)+(COUNTIF(Décembre[20],CléDemiRécupération)/2)+COUNTIF(Décembre[20],CléFormation)+(COUNTIF(Décembre[20],CléEnfantMalade)+(COUNTIF(Décembre[20],CléDemiEnfantMalade)/2)))</totalsRowFormula>
    </tableColumn>
    <tableColumn id="22" xr3:uid="{A1C959B5-E2E5-6845-9192-CE3BD7147CC7}" name="21" totalsRowFunction="custom" dataDxfId="550" totalsRowDxfId="549">
      <totalsRowFormula>COUNTIF(Décembre[21],CléCongé)+(COUNTIF(Décembre[21],CléCongéSpécial)+COUNTIF(Décembre[21],CléRTT)+(COUNTIF(Décembre[21],CléDemiRtt)/2)+COUNTIF(Décembre[21],CléCongéMalade)+COUNTIF(Décembre[21],CléRécupération)+(COUNTIF(Décembre[21],CléDemiRécupération)/2)+COUNTIF(Décembre[21],CléFormation)+(COUNTIF(Décembre[21],CléEnfantMalade)+(COUNTIF(Décembre[21],CléDemiEnfantMalade)/2)))</totalsRowFormula>
    </tableColumn>
    <tableColumn id="23" xr3:uid="{EAE34074-E4F4-1B49-808A-CA7607B908F5}" name="22" totalsRowFunction="custom" dataDxfId="548" totalsRowDxfId="547">
      <totalsRowFormula>COUNTIF(Décembre[22],CléCongé)+(COUNTIF(Décembre[22],CléCongéSpécial)+COUNTIF(Décembre[22],CléRTT)+(COUNTIF(Décembre[22],CléDemiRtt)/2)+COUNTIF(Décembre[22],CléCongéMalade)+COUNTIF(Décembre[22],CléRécupération)+(COUNTIF(Décembre[22],CléDemiRécupération)/2)+COUNTIF(Décembre[22],CléFormation)+(COUNTIF(Décembre[22],CléEnfantMalade)+(COUNTIF(Décembre[22],CléDemiEnfantMalade)/2)))</totalsRowFormula>
    </tableColumn>
    <tableColumn id="24" xr3:uid="{80AC6DDA-7986-904B-BF33-B5AF9612A445}" name="23" totalsRowFunction="custom" dataDxfId="546" totalsRowDxfId="545">
      <totalsRowFormula>COUNTIF(Décembre[23],CléCongé)+(COUNTIF(Décembre[23],CléCongéSpécial)+COUNTIF(Décembre[23],CléRTT)+(COUNTIF(Décembre[23],CléDemiRtt)/2)+COUNTIF(Décembre[23],CléCongéMalade)+COUNTIF(Décembre[23],CléRécupération)+(COUNTIF(Décembre[23],CléDemiRécupération)/2)+COUNTIF(Décembre[23],CléFormation)+(COUNTIF(Décembre[23],CléEnfantMalade)+(COUNTIF(Décembre[23],CléDemiEnfantMalade)/2)))</totalsRowFormula>
    </tableColumn>
    <tableColumn id="25" xr3:uid="{0ED7B2FB-1005-C64D-AA33-442CB4DF6618}" name="24" totalsRowFunction="custom" dataDxfId="544" totalsRowDxfId="543">
      <totalsRowFormula>COUNTIF(Décembre[24],CléCongé)+(COUNTIF(Décembre[24],CléCongéSpécial)+COUNTIF(Décembre[24],CléRTT)+(COUNTIF(Décembre[24],CléDemiRtt)/2)+COUNTIF(Décembre[24],CléCongéMalade)+COUNTIF(Décembre[24],CléRécupération)+(COUNTIF(Décembre[24],CléDemiRécupération)/2)+COUNTIF(Décembre[24],CléFormation)+(COUNTIF(Décembre[24],CléEnfantMalade)+(COUNTIF(Décembre[24],CléDemiEnfantMalade)/2)))</totalsRowFormula>
    </tableColumn>
    <tableColumn id="26" xr3:uid="{7E61EEE4-26EB-DE4F-A0DC-B4A47A638287}" name="25" totalsRowFunction="custom" dataDxfId="542" totalsRowDxfId="541">
      <totalsRowFormula>COUNTIF(Décembre[25],CléCongé)+(COUNTIF(Décembre[25],CléCongéSpécial)+COUNTIF(Décembre[25],CléRTT)+(COUNTIF(Décembre[25],CléDemiRtt)/2)+COUNTIF(Décembre[25],CléCongéMalade)+COUNTIF(Décembre[25],CléRécupération)+(COUNTIF(Décembre[25],CléDemiRécupération)/2)+COUNTIF(Décembre[25],CléFormation)+(COUNTIF(Décembre[25],CléEnfantMalade)+(COUNTIF(Décembre[25],CléDemiEnfantMalade)/2)))</totalsRowFormula>
    </tableColumn>
    <tableColumn id="27" xr3:uid="{217996A5-1568-3543-8552-F1D66B780DA1}" name="26" totalsRowFunction="custom" dataDxfId="540" totalsRowDxfId="539">
      <totalsRowFormula>COUNTIF(Décembre[26],CléCongé)+(COUNTIF(Décembre[26],CléCongéSpécial)+COUNTIF(Décembre[26],CléRTT)+(COUNTIF(Décembre[26],CléDemiRtt)/2)+COUNTIF(Décembre[26],CléCongéMalade)+COUNTIF(Décembre[26],CléRécupération)+(COUNTIF(Décembre[26],CléDemiRécupération)/2)+COUNTIF(Décembre[26],CléFormation)+(COUNTIF(Décembre[26],CléEnfantMalade)+(COUNTIF(Décembre[26],CléDemiEnfantMalade)/2)))</totalsRowFormula>
    </tableColumn>
    <tableColumn id="28" xr3:uid="{6881A46E-3F16-604E-8AB0-22E3EBDED15D}" name="27" totalsRowFunction="custom" dataDxfId="538" totalsRowDxfId="537">
      <totalsRowFormula>COUNTIF(Décembre[27],CléCongé)+(COUNTIF(Décembre[27],CléCongéSpécial)+COUNTIF(Décembre[27],CléRTT)+(COUNTIF(Décembre[27],CléDemiRtt)/2)+COUNTIF(Décembre[27],CléCongéMalade)+COUNTIF(Décembre[27],CléRécupération)+(COUNTIF(Décembre[27],CléDemiRécupération)/2)+COUNTIF(Décembre[27],CléFormation)+(COUNTIF(Décembre[27],CléEnfantMalade)+(COUNTIF(Décembre[27],CléDemiEnfantMalade)/2)))</totalsRowFormula>
    </tableColumn>
    <tableColumn id="29" xr3:uid="{26DB4E93-6BFB-EA49-AB25-ABBBA397E385}" name="28" totalsRowFunction="custom" dataDxfId="536" totalsRowDxfId="535">
      <totalsRowFormula>COUNTIF(Décembre[28],CléCongé)+(COUNTIF(Décembre[28],CléCongéSpécial)+COUNTIF(Décembre[28],CléRTT)+(COUNTIF(Décembre[28],CléDemiRtt)/2)+COUNTIF(Décembre[28],CléCongéMalade)+COUNTIF(Décembre[28],CléRécupération)+(COUNTIF(Décembre[28],CléDemiRécupération)/2)+COUNTIF(Décembre[28],CléFormation)+(COUNTIF(Décembre[28],CléEnfantMalade)+(COUNTIF(Décembre[28],CléDemiEnfantMalade)/2)))</totalsRowFormula>
    </tableColumn>
    <tableColumn id="30" xr3:uid="{1BA7B91D-D8CF-AE43-8ADF-210657478EF2}" name="29" totalsRowFunction="custom" dataDxfId="534" totalsRowDxfId="533">
      <totalsRowFormula>COUNTIF(Décembre[29],CléCongé)+(COUNTIF(Décembre[29],CléCongéSpécial)+COUNTIF(Décembre[29],CléRTT)+(COUNTIF(Décembre[29],CléDemiRtt)/2)+COUNTIF(Décembre[29],CléCongéMalade)+COUNTIF(Décembre[29],CléRécupération)+(COUNTIF(Décembre[29],CléDemiRécupération)/2)+COUNTIF(Décembre[29],CléFormation)+(COUNTIF(Décembre[29],CléEnfantMalade)+(COUNTIF(Décembre[29],CléDemiEnfantMalade)/2)))</totalsRowFormula>
    </tableColumn>
    <tableColumn id="31" xr3:uid="{CDFAD7D2-72BF-7341-9655-F807A7082165}" name="30" totalsRowFunction="custom" dataDxfId="532" totalsRowDxfId="531">
      <totalsRowFormula>COUNTIF(Décembre[30],CléCongé)+(COUNTIF(Décembre[30],CléCongéSpécial)+COUNTIF(Décembre[30],CléRTT)+(COUNTIF(Décembre[30],CléDemiRtt)/2)+COUNTIF(Décembre[30],CléCongéMalade)+COUNTIF(Décembre[30],CléRécupération)+(COUNTIF(Décembre[30],CléDemiRécupération)/2)+COUNTIF(Décembre[30],CléFormation)+(COUNTIF(Décembre[30],CléEnfantMalade)+(COUNTIF(Décembre[30],CléDemiEnfantMalade)/2)))</totalsRowFormula>
    </tableColumn>
    <tableColumn id="32" xr3:uid="{8D899F68-E1B3-7245-9035-1C51F47E1E66}" name="31" totalsRowFunction="custom" dataDxfId="530" totalsRowDxfId="529">
      <totalsRowFormula>COUNTIF(Décembre[31],CléCongé)+(COUNTIF(Décembre[31],CléCongéSpécial)+COUNTIF(Décembre[31],CléRTT)+(COUNTIF(Décembre[31],CléDemiRtt)/2)+COUNTIF(Décembre[31],CléCongéMalade)+COUNTIF(Décembre[31],CléRécupération)+(COUNTIF(Décembre[31],CléDemiRécupération)/2)+COUNTIF(Décembre[31],CléFormation)+(COUNTIF(Décembre[31],CléEnfantMalade)+(COUNTIF(Décembre[31],CléDemiEnfantMalade)/2)))</totalsRowFormula>
    </tableColumn>
    <tableColumn id="33" xr3:uid="{8A67251B-9C3C-084D-A72C-511D80EBC705}" name="Total absence" totalsRowFunction="sum" dataDxfId="528" totalsRowDxfId="527" dataCellStyle="Total">
      <calculatedColumnFormula>(COUNTIF(C8:AG8,CléCongé)+(COUNTIF(C8:AG8,CléEnfantMalade)+COUNTIF(C8:AG8,CléRTT)+COUNTIF(C8:AG8,CléCongéMalade)+COUNTIF(C8:AG8,CléRécupération)+COUNTIF(C8:AG8,CléFormation)+COUNTIF(C8:AG8,CléTélétravail-1)+COUNTIF(C8:AG8,CléCongéSpécial)+COUNTIF(C8:AG8,CléPrésenceExceptionnelle-1)+COUNTIF(C8:AG8,CléDemiRtt)/2)+COUNTIF(C8:AG8,CléDemiRécupération)/2)+COUNTIF(C8:AG8,CléDemiEnfantMalade)/2</calculatedColumnFormula>
    </tableColumn>
    <tableColumn id="34" xr3:uid="{DF0BAFB9-44A1-9341-9562-ACFE96D59546}" name="Dont RTT" totalsRowFunction="sum" dataDxfId="526" totalsRowDxfId="525" dataCellStyle="Total">
      <calculatedColumnFormula>COUNTIF(C8:AG8,CléRTT)+COUNTIF(C8:AG8,CléDemiRtt)/2</calculatedColumnFormula>
    </tableColumn>
    <tableColumn id="36" xr3:uid="{0B250DF6-8FFE-5D46-B122-8C5ECB9EED97}" name="Dont MALADIE" totalsRowFunction="sum" dataDxfId="524" totalsRowDxfId="523" dataCellStyle="Total">
      <calculatedColumnFormula>COUNTIF(C8:AG8,$S$3)</calculatedColumnFormula>
    </tableColumn>
    <tableColumn id="35" xr3:uid="{C8DC0C30-15F6-604E-AAB1-BA3C7FEB55CA}" name="Solde RTT disponible au 01/01/2022" dataDxfId="522" totalsRowDxfId="521">
      <calculatedColumnFormula>Mars!AK8-Mai[[#This Row],[Dont RTT]]+2</calculatedColumnFormula>
    </tableColumn>
    <tableColumn id="37" xr3:uid="{D088FF7B-F11B-CC4A-8C02-29721EBA6654}" name="Commentaires" dataDxfId="520" totalsRowDxfId="519" dataCellStyle="Total"/>
  </tableColumns>
  <tableStyleInfo name="Tableau des absences des employés" showFirstColumn="1" showLastColumn="1" showRowStripes="1" showColumnStripes="0"/>
  <extLst>
    <ext xmlns:x14="http://schemas.microsoft.com/office/spreadsheetml/2009/9/main" uri="{504A1905-F514-4f6f-8877-14C23A59335A}">
      <x14:table altTextSummary="Fournit une liste de noms et des dates de calendrier pour enregistrer les absences et motifs d’absence des employés (C= Congé, M=Maladie, P=Personnel, et deux espaces réservés pour des entrées personnalisées)"/>
    </ext>
  </extLst>
</table>
</file>

<file path=xl/tables/table1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00000000-000C-0000-FFFF-FFFF0C000000}" name="T_Employés" displayName="T_Employés" ref="B3:D7">
  <autoFilter ref="B3:D7" xr:uid="{00000000-0009-0000-0100-00000D000000}"/>
  <sortState xmlns:xlrd2="http://schemas.microsoft.com/office/spreadsheetml/2017/richdata2" ref="B4:B11">
    <sortCondition ref="B3:B11"/>
  </sortState>
  <tableColumns count="3">
    <tableColumn id="1" xr3:uid="{00000000-0010-0000-0C00-000001000000}" name="Noms des employés" totalsRowFunction="count" totalsRowDxfId="518" dataCellStyle="Employé"/>
    <tableColumn id="2" xr3:uid="{3F061EE8-4F4D-0F46-88CF-23D45ED7D2BB}" name="Solde rtt disponible au 1er janvier 2022" dataDxfId="517" totalsRowDxfId="516" dataCellStyle="Employé"/>
    <tableColumn id="3" xr3:uid="{AFDA9075-FCA7-464B-B4C0-8D1125DC0C50}" name="Solde cp disponible au 1er janvier 2021" totalsRowDxfId="515" dataCellStyle="Employé"/>
  </tableColumns>
  <tableStyleInfo name="Tableau des absences des employés" showFirstColumn="1" showLastColumn="1" showRowStripes="1" showColumnStripes="0"/>
  <extLst>
    <ext xmlns:x14="http://schemas.microsoft.com/office/spreadsheetml/2009/9/main" uri="{504A1905-F514-4f6f-8877-14C23A59335A}">
      <x14:table altTextSummary="Entrez les noms des employés dans ce tableau. Ces noms sont utilisés en tant qu’options dans la colonne B du calendrier des absences de chaque mois."/>
    </ext>
  </extLst>
</table>
</file>

<file path=xl/tables/table1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E530ECEA-5E74-1C4F-982D-1F90265A9A97}" name="T_Types" displayName="T_Types" ref="A4:B18" totalsRowShown="0">
  <autoFilter ref="A4:B18" xr:uid="{53211BAC-524C-DA40-BB07-1B9E9DD4C4F0}"/>
  <tableColumns count="2">
    <tableColumn id="1" xr3:uid="{61995EDA-B6ED-D647-B5DF-5F5566EC7461}" name="Motif"/>
    <tableColumn id="2" xr3:uid="{F9BCB8C5-81DF-7545-A4B0-1B3055C6B9D3}" name="Descriptif"/>
  </tableColumns>
  <tableStyleInfo name="Tableau des absences des employés" showFirstColumn="0" showLastColumn="0" showRowStripes="1" showColumnStripes="0"/>
</table>
</file>

<file path=xl/tables/table1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6" xr:uid="{68AFCC76-F8DF-4A64-BF9D-327BE0FF3926}" name="T_Recap" displayName="T_Recap" ref="A2:C3" insertRow="1" totalsRowShown="0">
  <autoFilter ref="A2:C3" xr:uid="{68AFCC76-F8DF-4A64-BF9D-327BE0FF3926}"/>
  <tableColumns count="3">
    <tableColumn id="1" xr3:uid="{E56B9D58-6E29-4E43-9387-64D4546EC1DE}" name="Employé" dataDxfId="514"/>
    <tableColumn id="2" xr3:uid="{1264AEBD-165C-45D1-A671-C8BA845FF843}" name="Absences" dataDxfId="513"/>
    <tableColumn id="3" xr3:uid="{718EC1C7-210D-4315-8286-12CA89AF6963}" name="Date" dataDxfId="512"/>
  </tableColumns>
  <tableStyleInfo name="TableStyleMedium1" showFirstColumn="0" showLastColumn="0" showRowStripes="1" showColumnStripes="0"/>
</table>
</file>

<file path=xl/theme/theme1.xml><?xml version="1.0" encoding="utf-8"?>
<a:theme xmlns:a="http://schemas.openxmlformats.org/drawingml/2006/main" name="Office Theme">
  <a:themeElements>
    <a:clrScheme name="Employee Absense Schedule">
      <a:dk1>
        <a:sysClr val="windowText" lastClr="000000"/>
      </a:dk1>
      <a:lt1>
        <a:sysClr val="window" lastClr="FFFFFF"/>
      </a:lt1>
      <a:dk2>
        <a:srgbClr val="4B180E"/>
      </a:dk2>
      <a:lt2>
        <a:srgbClr val="F1F2E8"/>
      </a:lt2>
      <a:accent1>
        <a:srgbClr val="A53423"/>
      </a:accent1>
      <a:accent2>
        <a:srgbClr val="E68130"/>
      </a:accent2>
      <a:accent3>
        <a:srgbClr val="9BB05D"/>
      </a:accent3>
      <a:accent4>
        <a:srgbClr val="CC9900"/>
      </a:accent4>
      <a:accent5>
        <a:srgbClr val="4F66AF"/>
      </a:accent5>
      <a:accent6>
        <a:srgbClr val="D0D2D3"/>
      </a:accent6>
      <a:hlink>
        <a:srgbClr val="4F66AF"/>
      </a:hlink>
      <a:folHlink>
        <a:srgbClr val="6B9AC6"/>
      </a:folHlink>
    </a:clrScheme>
    <a:fontScheme name="Employee Absence Schedule">
      <a:majorFont>
        <a:latin typeface="Calibri"/>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vmlDrawing" Target="../drawings/vmlDrawing1.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table" Target="../tables/table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table" Target="../tables/table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table" Target="../tables/table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table" Target="../tables/table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table" Target="../tables/table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table" Target="../tables/table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table" Target="../tables/table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table" Target="../tables/table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table" Target="../tables/table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table" Target="../tables/table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table" Target="../tables/table13.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table" Target="../tables/table14.xml"/></Relationships>
</file>

<file path=xl/worksheets/_rels/sheet15.xml.rels><?xml version="1.0" encoding="UTF-8" standalone="yes"?>
<Relationships xmlns="http://schemas.openxmlformats.org/package/2006/relationships"><Relationship Id="rId2" Type="http://schemas.openxmlformats.org/officeDocument/2006/relationships/table" Target="../tables/table15.xml"/><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euil1">
    <tabColor theme="2" tint="-0.89999084444715716"/>
  </sheetPr>
  <dimension ref="A1:AK19"/>
  <sheetViews>
    <sheetView showGridLines="0" zoomScale="110" zoomScaleNormal="110" workbookViewId="0">
      <selection activeCell="B8" sqref="B8"/>
    </sheetView>
  </sheetViews>
  <sheetFormatPr baseColWidth="10" defaultColWidth="9.140625" defaultRowHeight="30" customHeight="1"/>
  <cols>
    <col min="1" max="1" width="2.7109375" style="3" customWidth="1"/>
    <col min="2" max="2" width="25.85546875" style="3" customWidth="1"/>
    <col min="3" max="33" width="4.7109375" style="3" customWidth="1"/>
    <col min="34" max="34" width="13.28515625" style="3" customWidth="1"/>
    <col min="35" max="36" width="13.28515625" customWidth="1"/>
    <col min="37" max="37" width="19.28515625" customWidth="1"/>
  </cols>
  <sheetData>
    <row r="1" spans="1:37" ht="50.1" customHeight="1">
      <c r="A1" s="5"/>
      <c r="B1" s="4" t="s">
        <v>0</v>
      </c>
    </row>
    <row r="2" spans="1:37" ht="21.95" customHeight="1">
      <c r="A2" s="5"/>
      <c r="C2" s="48" t="s">
        <v>89</v>
      </c>
      <c r="D2" s="93" t="s">
        <v>90</v>
      </c>
      <c r="E2" s="93"/>
      <c r="F2" s="39" t="s">
        <v>72</v>
      </c>
      <c r="G2" s="88" t="s">
        <v>66</v>
      </c>
      <c r="H2" s="88"/>
      <c r="I2" s="38" t="s">
        <v>71</v>
      </c>
      <c r="J2" s="88" t="s">
        <v>74</v>
      </c>
      <c r="K2" s="88"/>
      <c r="L2" s="88"/>
      <c r="P2" s="47" t="s">
        <v>87</v>
      </c>
      <c r="Q2" s="95" t="s">
        <v>88</v>
      </c>
      <c r="R2" s="95"/>
      <c r="S2" s="95"/>
      <c r="T2" s="95"/>
      <c r="U2" s="95"/>
      <c r="V2" s="40" t="s">
        <v>70</v>
      </c>
      <c r="W2" s="88" t="s">
        <v>73</v>
      </c>
      <c r="X2" s="88"/>
      <c r="Y2" s="88"/>
      <c r="Z2" s="51" t="s">
        <v>96</v>
      </c>
      <c r="AA2" s="88" t="s">
        <v>97</v>
      </c>
      <c r="AB2" s="88"/>
      <c r="AC2" s="88"/>
      <c r="AD2" s="3" t="s">
        <v>104</v>
      </c>
      <c r="AE2" s="94" t="s">
        <v>106</v>
      </c>
      <c r="AF2" s="94"/>
      <c r="AG2" s="94"/>
      <c r="AH2" s="94"/>
    </row>
    <row r="3" spans="1:37" ht="18" customHeight="1">
      <c r="B3" s="9" t="s">
        <v>1</v>
      </c>
      <c r="C3" s="17" t="s">
        <v>4</v>
      </c>
      <c r="D3" s="89" t="s">
        <v>7</v>
      </c>
      <c r="E3" s="89"/>
      <c r="F3" s="18" t="s">
        <v>57</v>
      </c>
      <c r="G3" s="88" t="s">
        <v>57</v>
      </c>
      <c r="H3" s="88"/>
      <c r="I3" s="21" t="s">
        <v>55</v>
      </c>
      <c r="J3" s="88" t="s">
        <v>56</v>
      </c>
      <c r="K3" s="88"/>
      <c r="L3" s="88"/>
      <c r="M3" s="14" t="s">
        <v>58</v>
      </c>
      <c r="N3" s="88" t="s">
        <v>59</v>
      </c>
      <c r="O3" s="90"/>
      <c r="P3" s="54" t="s">
        <v>60</v>
      </c>
      <c r="Q3" s="91" t="s">
        <v>61</v>
      </c>
      <c r="R3" s="88"/>
      <c r="S3" s="20" t="s">
        <v>11</v>
      </c>
      <c r="T3" s="89" t="s">
        <v>17</v>
      </c>
      <c r="U3" s="89"/>
      <c r="V3" s="36" t="s">
        <v>69</v>
      </c>
      <c r="W3" s="88" t="s">
        <v>68</v>
      </c>
      <c r="X3" s="88"/>
      <c r="Y3" s="88"/>
      <c r="Z3" s="73" t="s">
        <v>100</v>
      </c>
      <c r="AA3" s="92" t="s">
        <v>101</v>
      </c>
      <c r="AB3" s="92"/>
      <c r="AC3" s="92"/>
      <c r="AD3" s="3" t="s">
        <v>103</v>
      </c>
      <c r="AE3" s="94" t="s">
        <v>105</v>
      </c>
      <c r="AF3" s="94"/>
      <c r="AG3" s="94"/>
      <c r="AH3" s="94"/>
    </row>
    <row r="4" spans="1:37" ht="15" customHeight="1">
      <c r="AK4" s="57" t="s">
        <v>40</v>
      </c>
    </row>
    <row r="5" spans="1:37" ht="30" customHeight="1">
      <c r="B5" s="19" t="s">
        <v>2</v>
      </c>
      <c r="C5" s="86" t="s">
        <v>5</v>
      </c>
      <c r="D5" s="87"/>
      <c r="E5" s="87"/>
      <c r="F5" s="87"/>
      <c r="G5" s="87"/>
      <c r="H5" s="87"/>
      <c r="I5" s="87"/>
      <c r="J5" s="87"/>
      <c r="K5" s="87"/>
      <c r="L5" s="87"/>
      <c r="M5" s="87"/>
      <c r="N5" s="87"/>
      <c r="O5" s="87"/>
      <c r="P5" s="87"/>
      <c r="Q5" s="87"/>
      <c r="R5" s="87"/>
      <c r="S5" s="87"/>
      <c r="T5" s="87"/>
      <c r="U5" s="87"/>
      <c r="V5" s="87"/>
      <c r="W5" s="87"/>
      <c r="X5" s="87"/>
      <c r="Y5" s="87"/>
      <c r="Z5" s="87"/>
      <c r="AA5" s="87"/>
      <c r="AB5" s="87"/>
      <c r="AC5" s="87"/>
      <c r="AD5" s="87"/>
      <c r="AE5" s="87"/>
      <c r="AF5" s="87"/>
      <c r="AG5" s="87"/>
      <c r="AH5" s="23"/>
      <c r="AI5" s="23"/>
      <c r="AJ5" s="23"/>
      <c r="AK5" s="69">
        <v>2021</v>
      </c>
    </row>
    <row r="6" spans="1:37" ht="15" customHeight="1">
      <c r="B6" s="13"/>
      <c r="C6" s="55" t="str">
        <f>TEXT(WEEKDAY(DATE(AnnéeCalendrier,1,1),1),"jjj")</f>
        <v>ven</v>
      </c>
      <c r="D6" s="55" t="str">
        <f>TEXT(WEEKDAY(DATE(AnnéeCalendrier,1,2),1),"jjj")</f>
        <v>sam</v>
      </c>
      <c r="E6" s="55" t="str">
        <f>TEXT(WEEKDAY(DATE(AnnéeCalendrier,1,3),1),"jjj")</f>
        <v>dim</v>
      </c>
      <c r="F6" s="55" t="str">
        <f>TEXT(WEEKDAY(DATE(AnnéeCalendrier,1,4),1),"jjj")</f>
        <v>lun</v>
      </c>
      <c r="G6" s="55" t="str">
        <f>TEXT(WEEKDAY(DATE(AnnéeCalendrier,1,5),1),"jjj")</f>
        <v>mar</v>
      </c>
      <c r="H6" s="55" t="str">
        <f>TEXT(WEEKDAY(DATE(AnnéeCalendrier,1,6),1),"jjj")</f>
        <v>mer</v>
      </c>
      <c r="I6" s="55" t="str">
        <f>TEXT(WEEKDAY(DATE(AnnéeCalendrier,1,7),1),"jjj")</f>
        <v>jeu</v>
      </c>
      <c r="J6" s="55" t="str">
        <f>TEXT(WEEKDAY(DATE(AnnéeCalendrier,1,8),1),"jjj")</f>
        <v>ven</v>
      </c>
      <c r="K6" s="55" t="str">
        <f>TEXT(WEEKDAY(DATE(AnnéeCalendrier,1,9),1),"jjj")</f>
        <v>sam</v>
      </c>
      <c r="L6" s="55" t="str">
        <f>TEXT(WEEKDAY(DATE(AnnéeCalendrier,1,10),1),"jjj")</f>
        <v>dim</v>
      </c>
      <c r="M6" s="55" t="str">
        <f>TEXT(WEEKDAY(DATE(AnnéeCalendrier,1,11),1),"jjj")</f>
        <v>lun</v>
      </c>
      <c r="N6" s="55" t="str">
        <f>TEXT(WEEKDAY(DATE(AnnéeCalendrier,1,12),1),"jjj")</f>
        <v>mar</v>
      </c>
      <c r="O6" s="55" t="str">
        <f>TEXT(WEEKDAY(DATE(AnnéeCalendrier,1,13),1),"jjj")</f>
        <v>mer</v>
      </c>
      <c r="P6" s="55" t="str">
        <f>TEXT(WEEKDAY(DATE(AnnéeCalendrier,1,14),1),"jjj")</f>
        <v>jeu</v>
      </c>
      <c r="Q6" s="55" t="str">
        <f>TEXT(WEEKDAY(DATE(AnnéeCalendrier,1,15),1),"jjj")</f>
        <v>ven</v>
      </c>
      <c r="R6" s="55" t="str">
        <f>TEXT(WEEKDAY(DATE(AnnéeCalendrier,1,16),1),"jjj")</f>
        <v>sam</v>
      </c>
      <c r="S6" s="55" t="str">
        <f>TEXT(WEEKDAY(DATE(AnnéeCalendrier,1,17),1),"jjj")</f>
        <v>dim</v>
      </c>
      <c r="T6" s="55" t="str">
        <f>TEXT(WEEKDAY(DATE(AnnéeCalendrier,1,18),1),"jjj")</f>
        <v>lun</v>
      </c>
      <c r="U6" s="55" t="str">
        <f>TEXT(WEEKDAY(DATE(AnnéeCalendrier,1,19),1),"jjj")</f>
        <v>mar</v>
      </c>
      <c r="V6" s="55" t="str">
        <f>TEXT(WEEKDAY(DATE(AnnéeCalendrier,1,20),1),"jjj")</f>
        <v>mer</v>
      </c>
      <c r="W6" s="55" t="str">
        <f>TEXT(WEEKDAY(DATE(AnnéeCalendrier,1,21),1),"jjj")</f>
        <v>jeu</v>
      </c>
      <c r="X6" s="55" t="str">
        <f>TEXT(WEEKDAY(DATE(AnnéeCalendrier,1,22),1),"jjj")</f>
        <v>ven</v>
      </c>
      <c r="Y6" s="55" t="str">
        <f>TEXT(WEEKDAY(DATE(AnnéeCalendrier,1,23),1),"jjj")</f>
        <v>sam</v>
      </c>
      <c r="Z6" s="55" t="str">
        <f>TEXT(WEEKDAY(DATE(AnnéeCalendrier,1,24),1),"jjj")</f>
        <v>dim</v>
      </c>
      <c r="AA6" s="55" t="str">
        <f>TEXT(WEEKDAY(DATE(AnnéeCalendrier,1,25),1),"jjj")</f>
        <v>lun</v>
      </c>
      <c r="AB6" s="55" t="str">
        <f>TEXT(WEEKDAY(DATE(AnnéeCalendrier,1,26),1),"jjj")</f>
        <v>mar</v>
      </c>
      <c r="AC6" s="55" t="str">
        <f>TEXT(WEEKDAY(DATE(AnnéeCalendrier,1,27),1),"jjj")</f>
        <v>mer</v>
      </c>
      <c r="AD6" s="55" t="str">
        <f>TEXT(WEEKDAY(DATE(AnnéeCalendrier,1,28),1),"jjj")</f>
        <v>jeu</v>
      </c>
      <c r="AE6" s="55" t="str">
        <f>TEXT(WEEKDAY(DATE(AnnéeCalendrier,1,29),1),"jjj")</f>
        <v>ven</v>
      </c>
      <c r="AF6" s="55" t="str">
        <f>TEXT(WEEKDAY(DATE(AnnéeCalendrier,1,30),1),"jjj")</f>
        <v>sam</v>
      </c>
      <c r="AG6" s="55" t="str">
        <f>TEXT(WEEKDAY(DATE(AnnéeCalendrier,1,31),1),"jjj")</f>
        <v>dim</v>
      </c>
      <c r="AH6" s="10"/>
      <c r="AI6" s="10"/>
      <c r="AJ6" s="10"/>
      <c r="AK6" s="10"/>
    </row>
    <row r="7" spans="1:37" ht="35.1" customHeight="1">
      <c r="B7" s="85" t="s">
        <v>3</v>
      </c>
      <c r="C7" s="12" t="s">
        <v>6</v>
      </c>
      <c r="D7" s="12" t="s">
        <v>8</v>
      </c>
      <c r="E7" s="12" t="s">
        <v>9</v>
      </c>
      <c r="F7" s="12" t="s">
        <v>10</v>
      </c>
      <c r="G7" s="12" t="s">
        <v>12</v>
      </c>
      <c r="H7" s="12" t="s">
        <v>13</v>
      </c>
      <c r="I7" s="12" t="s">
        <v>14</v>
      </c>
      <c r="J7" s="12" t="s">
        <v>15</v>
      </c>
      <c r="K7" s="12" t="s">
        <v>16</v>
      </c>
      <c r="L7" s="12" t="s">
        <v>18</v>
      </c>
      <c r="M7" s="12" t="s">
        <v>19</v>
      </c>
      <c r="N7" s="12" t="s">
        <v>20</v>
      </c>
      <c r="O7" s="12" t="s">
        <v>21</v>
      </c>
      <c r="P7" s="12" t="s">
        <v>22</v>
      </c>
      <c r="Q7" s="12" t="s">
        <v>23</v>
      </c>
      <c r="R7" s="12" t="s">
        <v>24</v>
      </c>
      <c r="S7" s="12" t="s">
        <v>25</v>
      </c>
      <c r="T7" s="12" t="s">
        <v>26</v>
      </c>
      <c r="U7" s="12" t="s">
        <v>27</v>
      </c>
      <c r="V7" s="12" t="s">
        <v>28</v>
      </c>
      <c r="W7" s="12" t="s">
        <v>29</v>
      </c>
      <c r="X7" s="12" t="s">
        <v>30</v>
      </c>
      <c r="Y7" s="12" t="s">
        <v>31</v>
      </c>
      <c r="Z7" s="12" t="s">
        <v>32</v>
      </c>
      <c r="AA7" s="12" t="s">
        <v>33</v>
      </c>
      <c r="AB7" s="12" t="s">
        <v>34</v>
      </c>
      <c r="AC7" s="12" t="s">
        <v>35</v>
      </c>
      <c r="AD7" s="12" t="s">
        <v>36</v>
      </c>
      <c r="AE7" s="12" t="s">
        <v>37</v>
      </c>
      <c r="AF7" s="12" t="s">
        <v>38</v>
      </c>
      <c r="AG7" s="12" t="s">
        <v>39</v>
      </c>
      <c r="AH7" s="50" t="s">
        <v>67</v>
      </c>
      <c r="AI7" s="25" t="s">
        <v>78</v>
      </c>
      <c r="AJ7" s="25" t="s">
        <v>98</v>
      </c>
      <c r="AK7" s="37" t="s">
        <v>64</v>
      </c>
    </row>
    <row r="8" spans="1:37" ht="30" customHeight="1">
      <c r="B8" s="8" t="s">
        <v>107</v>
      </c>
      <c r="C8" s="15"/>
      <c r="D8" s="15"/>
      <c r="E8" s="15"/>
      <c r="F8" s="15"/>
      <c r="G8" s="15"/>
      <c r="H8" s="15" t="s">
        <v>112</v>
      </c>
      <c r="I8" s="15" t="s">
        <v>112</v>
      </c>
      <c r="J8" s="15"/>
      <c r="K8" s="15"/>
      <c r="L8" s="15"/>
      <c r="M8" s="15"/>
      <c r="N8" s="15"/>
      <c r="O8" s="15"/>
      <c r="P8" s="15"/>
      <c r="Q8" s="15"/>
      <c r="R8" s="15"/>
      <c r="S8" s="15"/>
      <c r="T8" s="15"/>
      <c r="U8" s="15"/>
      <c r="V8" s="15"/>
      <c r="W8" s="15"/>
      <c r="X8" s="15"/>
      <c r="Y8" s="15"/>
      <c r="Z8" s="15"/>
      <c r="AA8" s="15"/>
      <c r="AB8" s="15"/>
      <c r="AC8" s="15"/>
      <c r="AD8" s="15"/>
      <c r="AE8" s="15"/>
      <c r="AF8" s="15"/>
      <c r="AG8" s="15"/>
      <c r="AH8" s="31">
        <f t="shared" ref="AH8:AH18" si="0">(COUNTIF(C8:AG8,CléCongé)+(COUNTIF(C8:AG8,CléEnfantMalade)+COUNTIF(C8:AG8,CléRTT)+COUNTIF(C8:AG8,CléCongéMalade)+COUNTIF(C8:AG8,CléRécupération)+COUNTIF(C8:AG8,CléFormation)+COUNTIF(C8:AG8,CléTélétravail-1)+COUNTIF(C8:AG8,CléCongéSpécial)+COUNTIF(C8:AG8,CléPrésenceExceptionnelle-1)+COUNTIF(C8:AG8,CléDemiRtt)/2)+COUNTIF(C8:AG8,CléDemiRécupération)/2)+COUNTIF(C8:AG8,CléDemiEnfantMalade)/2</f>
        <v>2</v>
      </c>
      <c r="AI8" s="31">
        <f t="shared" ref="AI8:AI18" si="1">COUNTIF(C8:AG8,CléRTT)+COUNTIF(C8:AG8,CléDemiRtt)/2</f>
        <v>0</v>
      </c>
      <c r="AJ8" s="31">
        <f t="shared" ref="AJ8:AJ18" si="2">COUNTIF(C8:AG8,CléCongéMalade)</f>
        <v>0</v>
      </c>
      <c r="AK8" s="22"/>
    </row>
    <row r="9" spans="1:37" ht="30" customHeight="1">
      <c r="B9" s="8" t="s">
        <v>108</v>
      </c>
      <c r="C9" s="15"/>
      <c r="D9" s="15"/>
      <c r="E9" s="15"/>
      <c r="F9" s="15" t="s">
        <v>111</v>
      </c>
      <c r="G9" s="15" t="s">
        <v>111</v>
      </c>
      <c r="H9" s="15" t="s">
        <v>112</v>
      </c>
      <c r="I9" s="15"/>
      <c r="J9" s="15"/>
      <c r="K9" s="15"/>
      <c r="L9" s="15"/>
      <c r="M9" s="15"/>
      <c r="N9" s="15"/>
      <c r="O9" s="15"/>
      <c r="P9" s="15"/>
      <c r="Q9" s="15"/>
      <c r="R9" s="15"/>
      <c r="S9" s="15"/>
      <c r="T9" s="15"/>
      <c r="U9" s="15"/>
      <c r="V9" s="15"/>
      <c r="W9" s="15"/>
      <c r="X9" s="15"/>
      <c r="Y9" s="15"/>
      <c r="Z9" s="15"/>
      <c r="AA9" s="15"/>
      <c r="AB9" s="15"/>
      <c r="AC9" s="15"/>
      <c r="AD9" s="15"/>
      <c r="AE9" s="15"/>
      <c r="AF9" s="15"/>
      <c r="AG9" s="15"/>
      <c r="AH9" s="31">
        <f t="shared" si="0"/>
        <v>3</v>
      </c>
      <c r="AI9" s="31">
        <f t="shared" si="1"/>
        <v>2</v>
      </c>
      <c r="AJ9" s="31">
        <f t="shared" si="2"/>
        <v>0</v>
      </c>
      <c r="AK9" s="22">
        <f>5+2-Janvier[[#This Row],[Dont RTT]]</f>
        <v>5</v>
      </c>
    </row>
    <row r="10" spans="1:37" ht="30" customHeight="1">
      <c r="B10" s="8" t="s">
        <v>109</v>
      </c>
      <c r="C10" s="15"/>
      <c r="D10" s="15"/>
      <c r="E10" s="15"/>
      <c r="F10" s="15"/>
      <c r="G10" s="15"/>
      <c r="H10" s="15"/>
      <c r="I10" s="15"/>
      <c r="J10" s="15" t="s">
        <v>113</v>
      </c>
      <c r="K10" s="15" t="s">
        <v>113</v>
      </c>
      <c r="L10" s="15" t="s">
        <v>113</v>
      </c>
      <c r="M10" s="15" t="s">
        <v>113</v>
      </c>
      <c r="N10" s="15" t="s">
        <v>113</v>
      </c>
      <c r="O10" s="15" t="s">
        <v>113</v>
      </c>
      <c r="P10" s="15" t="s">
        <v>113</v>
      </c>
      <c r="Q10" s="15" t="s">
        <v>113</v>
      </c>
      <c r="R10" s="15"/>
      <c r="S10" s="15"/>
      <c r="T10" s="15"/>
      <c r="U10" s="15"/>
      <c r="V10" s="15"/>
      <c r="W10" s="15"/>
      <c r="X10" s="15"/>
      <c r="Y10" s="15"/>
      <c r="Z10" s="15"/>
      <c r="AA10" s="15"/>
      <c r="AB10" s="15"/>
      <c r="AC10" s="15"/>
      <c r="AD10" s="15"/>
      <c r="AE10" s="15"/>
      <c r="AF10" s="15"/>
      <c r="AG10" s="15"/>
      <c r="AH10" s="31">
        <f t="shared" si="0"/>
        <v>8</v>
      </c>
      <c r="AI10" s="31">
        <f t="shared" si="1"/>
        <v>0</v>
      </c>
      <c r="AJ10" s="31">
        <f t="shared" si="2"/>
        <v>8</v>
      </c>
      <c r="AK10" s="22">
        <f>11+2-Janvier[[#This Row],[Dont RTT]]</f>
        <v>13</v>
      </c>
    </row>
    <row r="11" spans="1:37" ht="30" customHeight="1">
      <c r="B11" s="8" t="s">
        <v>110</v>
      </c>
      <c r="C11" s="15"/>
      <c r="D11" s="15"/>
      <c r="E11" s="15"/>
      <c r="F11" s="15"/>
      <c r="G11" s="15"/>
      <c r="H11" s="15"/>
      <c r="I11" s="15"/>
      <c r="J11" s="15"/>
      <c r="K11" s="15"/>
      <c r="L11" s="15"/>
      <c r="M11" s="15"/>
      <c r="N11" s="15"/>
      <c r="O11" s="15"/>
      <c r="P11" s="15"/>
      <c r="Q11" s="15"/>
      <c r="R11" s="15"/>
      <c r="S11" s="15"/>
      <c r="T11" s="15"/>
      <c r="U11" s="15"/>
      <c r="V11" s="15"/>
      <c r="W11" s="15"/>
      <c r="X11" s="15"/>
      <c r="Y11" s="15"/>
      <c r="Z11" s="15"/>
      <c r="AA11" s="15"/>
      <c r="AB11" s="15"/>
      <c r="AC11" s="15"/>
      <c r="AD11" s="15"/>
      <c r="AE11" s="15"/>
      <c r="AF11" s="15"/>
      <c r="AG11" s="15"/>
      <c r="AH11" s="31">
        <f t="shared" si="0"/>
        <v>0</v>
      </c>
      <c r="AI11" s="31">
        <f t="shared" si="1"/>
        <v>0</v>
      </c>
      <c r="AJ11" s="31">
        <f t="shared" si="2"/>
        <v>0</v>
      </c>
      <c r="AK11" s="22"/>
    </row>
    <row r="12" spans="1:37" ht="30" customHeight="1">
      <c r="B12" s="8"/>
      <c r="C12" s="15"/>
      <c r="D12" s="15"/>
      <c r="E12" s="15"/>
      <c r="F12" s="15"/>
      <c r="G12" s="15"/>
      <c r="H12" s="15"/>
      <c r="I12" s="15"/>
      <c r="J12" s="15"/>
      <c r="K12" s="15"/>
      <c r="L12" s="15"/>
      <c r="M12" s="15"/>
      <c r="N12" s="15"/>
      <c r="O12" s="15"/>
      <c r="P12" s="15"/>
      <c r="Q12" s="15"/>
      <c r="R12" s="15"/>
      <c r="S12" s="15"/>
      <c r="T12" s="15"/>
      <c r="U12" s="15"/>
      <c r="V12" s="15"/>
      <c r="W12" s="15"/>
      <c r="X12" s="15"/>
      <c r="Y12" s="15"/>
      <c r="Z12" s="15"/>
      <c r="AA12" s="15"/>
      <c r="AB12" s="15"/>
      <c r="AC12" s="15"/>
      <c r="AD12" s="15"/>
      <c r="AE12" s="15"/>
      <c r="AF12" s="15"/>
      <c r="AG12" s="15"/>
      <c r="AH12" s="31">
        <f t="shared" si="0"/>
        <v>0</v>
      </c>
      <c r="AI12" s="31">
        <f t="shared" si="1"/>
        <v>0</v>
      </c>
      <c r="AJ12" s="31">
        <f t="shared" si="2"/>
        <v>0</v>
      </c>
      <c r="AK12" s="22"/>
    </row>
    <row r="13" spans="1:37" ht="30" customHeight="1">
      <c r="B13" s="8"/>
      <c r="C13" s="22"/>
      <c r="D13" s="22"/>
      <c r="E13" s="22"/>
      <c r="F13" s="22"/>
      <c r="G13" s="22"/>
      <c r="H13" s="22"/>
      <c r="I13" s="22"/>
      <c r="J13" s="22"/>
      <c r="K13" s="15"/>
      <c r="L13" s="22"/>
      <c r="M13" s="22"/>
      <c r="N13" s="22"/>
      <c r="O13" s="22"/>
      <c r="P13" s="22"/>
      <c r="Q13" s="22"/>
      <c r="R13" s="15"/>
      <c r="S13" s="22"/>
      <c r="T13" s="22"/>
      <c r="U13" s="22"/>
      <c r="V13" s="22"/>
      <c r="W13" s="22"/>
      <c r="X13" s="22"/>
      <c r="Y13" s="15"/>
      <c r="Z13" s="22"/>
      <c r="AA13" s="22"/>
      <c r="AB13" s="22"/>
      <c r="AC13" s="22"/>
      <c r="AD13" s="22"/>
      <c r="AE13" s="22"/>
      <c r="AF13" s="22"/>
      <c r="AG13" s="22"/>
      <c r="AH13" s="31">
        <f t="shared" si="0"/>
        <v>0</v>
      </c>
      <c r="AI13" s="31">
        <f t="shared" si="1"/>
        <v>0</v>
      </c>
      <c r="AJ13" s="31">
        <f t="shared" si="2"/>
        <v>0</v>
      </c>
      <c r="AK13" s="22">
        <f>2.93+2-Janvier[[#This Row],[Dont RTT]]</f>
        <v>4.93</v>
      </c>
    </row>
    <row r="14" spans="1:37" ht="30" customHeight="1">
      <c r="B14" s="8"/>
      <c r="C14" s="22"/>
      <c r="D14" s="22"/>
      <c r="E14" s="22"/>
      <c r="F14" s="22"/>
      <c r="G14" s="22"/>
      <c r="H14" s="22"/>
      <c r="I14" s="22"/>
      <c r="J14" s="22"/>
      <c r="K14" s="15"/>
      <c r="L14" s="22"/>
      <c r="M14" s="22"/>
      <c r="N14" s="22"/>
      <c r="O14" s="22"/>
      <c r="P14" s="22"/>
      <c r="Q14" s="22"/>
      <c r="R14" s="15"/>
      <c r="S14" s="22"/>
      <c r="T14" s="22"/>
      <c r="U14" s="22"/>
      <c r="V14" s="22"/>
      <c r="W14" s="22"/>
      <c r="X14" s="22"/>
      <c r="Y14" s="15"/>
      <c r="Z14" s="22"/>
      <c r="AA14" s="22"/>
      <c r="AB14" s="22"/>
      <c r="AC14" s="22"/>
      <c r="AD14" s="22"/>
      <c r="AE14" s="22"/>
      <c r="AF14" s="22"/>
      <c r="AG14" s="22"/>
      <c r="AH14" s="31">
        <f t="shared" si="0"/>
        <v>0</v>
      </c>
      <c r="AI14" s="31">
        <f t="shared" si="1"/>
        <v>0</v>
      </c>
      <c r="AJ14" s="31">
        <f t="shared" si="2"/>
        <v>0</v>
      </c>
      <c r="AK14" s="22">
        <f>2.5+2-Janvier[[#This Row],[Dont RTT]]</f>
        <v>4.5</v>
      </c>
    </row>
    <row r="15" spans="1:37" ht="30" customHeight="1">
      <c r="B15" s="8"/>
      <c r="C15" s="22"/>
      <c r="D15" s="22"/>
      <c r="E15" s="22"/>
      <c r="F15" s="22"/>
      <c r="G15" s="22"/>
      <c r="H15" s="22"/>
      <c r="I15" s="22"/>
      <c r="J15" s="22"/>
      <c r="K15" s="22"/>
      <c r="L15" s="22"/>
      <c r="M15" s="15"/>
      <c r="N15" s="22"/>
      <c r="O15" s="22"/>
      <c r="P15" s="22"/>
      <c r="Q15" s="22"/>
      <c r="R15" s="22"/>
      <c r="S15" s="22"/>
      <c r="T15" s="15"/>
      <c r="U15" s="22"/>
      <c r="V15" s="22"/>
      <c r="W15" s="22"/>
      <c r="X15" s="22"/>
      <c r="Y15" s="22"/>
      <c r="Z15" s="22"/>
      <c r="AA15" s="15"/>
      <c r="AB15" s="22"/>
      <c r="AC15" s="22"/>
      <c r="AD15" s="22"/>
      <c r="AE15" s="22"/>
      <c r="AF15" s="22"/>
      <c r="AG15" s="22"/>
      <c r="AH15" s="31">
        <f t="shared" si="0"/>
        <v>0</v>
      </c>
      <c r="AI15" s="31">
        <f t="shared" si="1"/>
        <v>0</v>
      </c>
      <c r="AJ15" s="31">
        <f t="shared" si="2"/>
        <v>0</v>
      </c>
      <c r="AK15" s="22">
        <f>5.5+2-Janvier[[#This Row],[Dont RTT]]</f>
        <v>7.5</v>
      </c>
    </row>
    <row r="16" spans="1:37" ht="30" customHeight="1">
      <c r="B16" s="8"/>
      <c r="C16" s="22"/>
      <c r="D16" s="22"/>
      <c r="E16" s="22"/>
      <c r="F16" s="22"/>
      <c r="G16" s="22"/>
      <c r="H16" s="22"/>
      <c r="I16" s="22"/>
      <c r="J16" s="22"/>
      <c r="K16" s="15"/>
      <c r="L16" s="22"/>
      <c r="M16" s="22"/>
      <c r="N16" s="22"/>
      <c r="O16" s="22"/>
      <c r="P16" s="22"/>
      <c r="Q16" s="22"/>
      <c r="R16" s="15"/>
      <c r="S16" s="22"/>
      <c r="T16" s="22"/>
      <c r="U16" s="22"/>
      <c r="V16" s="22"/>
      <c r="W16" s="22"/>
      <c r="X16" s="22"/>
      <c r="Y16" s="15"/>
      <c r="Z16" s="22"/>
      <c r="AA16" s="22"/>
      <c r="AB16" s="22"/>
      <c r="AC16" s="22"/>
      <c r="AD16" s="22"/>
      <c r="AE16" s="22"/>
      <c r="AF16" s="22"/>
      <c r="AG16" s="22"/>
      <c r="AH16" s="31">
        <f t="shared" si="0"/>
        <v>0</v>
      </c>
      <c r="AI16" s="31">
        <f t="shared" si="1"/>
        <v>0</v>
      </c>
      <c r="AJ16" s="31">
        <f t="shared" si="2"/>
        <v>0</v>
      </c>
      <c r="AK16" s="22">
        <f>2.16+2-Janvier[[#This Row],[Dont RTT]]</f>
        <v>4.16</v>
      </c>
    </row>
    <row r="17" spans="2:37" ht="30" customHeight="1">
      <c r="B17" s="8"/>
      <c r="C17" s="22"/>
      <c r="D17" s="22"/>
      <c r="E17" s="22"/>
      <c r="F17" s="22"/>
      <c r="G17" s="22"/>
      <c r="H17" s="22"/>
      <c r="I17" s="22"/>
      <c r="J17" s="22"/>
      <c r="K17" s="22"/>
      <c r="L17" s="22"/>
      <c r="M17" s="15"/>
      <c r="N17" s="22"/>
      <c r="O17" s="22"/>
      <c r="P17" s="22"/>
      <c r="Q17" s="22"/>
      <c r="R17" s="22"/>
      <c r="S17" s="22"/>
      <c r="T17" s="15"/>
      <c r="U17" s="22"/>
      <c r="V17" s="22"/>
      <c r="W17" s="22"/>
      <c r="X17" s="22"/>
      <c r="Y17" s="22"/>
      <c r="Z17" s="22"/>
      <c r="AA17" s="15"/>
      <c r="AB17" s="22"/>
      <c r="AC17" s="22"/>
      <c r="AD17" s="22"/>
      <c r="AE17" s="22"/>
      <c r="AF17" s="22"/>
      <c r="AG17" s="22"/>
      <c r="AH17" s="31">
        <f t="shared" si="0"/>
        <v>0</v>
      </c>
      <c r="AI17" s="31">
        <f t="shared" si="1"/>
        <v>0</v>
      </c>
      <c r="AJ17" s="31">
        <f t="shared" si="2"/>
        <v>0</v>
      </c>
      <c r="AK17" s="22">
        <f>11+2-Janvier[[#This Row],[Dont RTT]]</f>
        <v>13</v>
      </c>
    </row>
    <row r="18" spans="2:37" ht="30" customHeight="1">
      <c r="B18" s="8"/>
      <c r="C18" s="22"/>
      <c r="D18" s="22"/>
      <c r="E18" s="22"/>
      <c r="F18" s="22"/>
      <c r="G18" s="22"/>
      <c r="H18" s="22"/>
      <c r="I18" s="22"/>
      <c r="J18" s="22"/>
      <c r="K18" s="15"/>
      <c r="L18" s="22"/>
      <c r="M18" s="22"/>
      <c r="N18" s="22"/>
      <c r="O18" s="22"/>
      <c r="P18" s="22"/>
      <c r="Q18" s="22"/>
      <c r="R18" s="15"/>
      <c r="S18" s="22"/>
      <c r="T18" s="22"/>
      <c r="U18" s="22"/>
      <c r="V18" s="22"/>
      <c r="W18" s="22"/>
      <c r="X18" s="22"/>
      <c r="Y18" s="15"/>
      <c r="Z18" s="22"/>
      <c r="AA18" s="22"/>
      <c r="AB18" s="22"/>
      <c r="AC18" s="22"/>
      <c r="AD18" s="22"/>
      <c r="AE18" s="22"/>
      <c r="AF18" s="22"/>
      <c r="AG18" s="22"/>
      <c r="AH18" s="31">
        <f t="shared" si="0"/>
        <v>0</v>
      </c>
      <c r="AI18" s="31">
        <f t="shared" si="1"/>
        <v>0</v>
      </c>
      <c r="AJ18" s="31">
        <f t="shared" si="2"/>
        <v>0</v>
      </c>
      <c r="AK18" s="22">
        <f>2.5+2-Janvier[[#This Row],[Dont RTT]]</f>
        <v>4.5</v>
      </c>
    </row>
    <row r="19" spans="2:37" ht="30" customHeight="1">
      <c r="B19" s="28" t="str">
        <f>NomMois&amp;" Total"</f>
        <v>Janvier Total</v>
      </c>
      <c r="C19" s="33">
        <f>COUNTIF(Janvier[1],CléCongé)+(COUNTIF(Janvier[1],CléCongéSpécial)+COUNTIF(Janvier[1],CléRTT)+(COUNTIF(Janvier[1],CléDemiRtt)/2)+COUNTIF(Janvier[1],CléCongéMalade)+COUNTIF(Janvier[1],CléRécupération)+(COUNTIF(Janvier[1],CléDemiRécupération)/2)+COUNTIF(Janvier[1],CléFormation)+(COUNTIF(Janvier[1],CléEnfantMalade)+(COUNTIF(Janvier[1],CléDemiEnfantMalade)/2)))</f>
        <v>0</v>
      </c>
      <c r="D19" s="33">
        <f>COUNTIF(Janvier[2],CléCongé)+(COUNTIF(Janvier[2],CléCongéSpécial)+COUNTIF(Janvier[2],CléRTT)+(COUNTIF(Janvier[2],CléDemiRtt)/2)+COUNTIF(Janvier[2],CléCongéMalade)+COUNTIF(Janvier[2],CléRécupération)+(COUNTIF(Janvier[2],CléDemiRécupération)/2)+COUNTIF(Janvier[2],CléFormation)+(COUNTIF(Janvier[2],CléEnfantMalade)+(COUNTIF(Janvier[2],CléDemiEnfantMalade)/2)))</f>
        <v>0</v>
      </c>
      <c r="E19" s="33">
        <f>COUNTIF(Janvier[3],CléCongé)+(COUNTIF(Janvier[3],CléCongéSpécial)+COUNTIF(Janvier[3],CléRTT)+(COUNTIF(Janvier[3],CléDemiRtt)/2)+COUNTIF(Janvier[3],CléCongéMalade)+COUNTIF(Janvier[3],CléRécupération)+(COUNTIF(Janvier[3],CléDemiRécupération)/2)+COUNTIF(Janvier[3],CléFormation)+(COUNTIF(Janvier[3],CléEnfantMalade)+(COUNTIF(Janvier[3],CléDemiEnfantMalade)/2)))</f>
        <v>0</v>
      </c>
      <c r="F19" s="33">
        <f>COUNTIF(Janvier[4],CléCongé)+(COUNTIF(Janvier[4],CléCongéSpécial)+COUNTIF(Janvier[4],CléRTT)+(COUNTIF(Janvier[4],CléDemiRtt)/2)+COUNTIF(Janvier[4],CléCongéMalade)+COUNTIF(Janvier[4],CléRécupération)+(COUNTIF(Janvier[4],CléDemiRécupération)/2)+COUNTIF(Janvier[4],CléFormation)+(COUNTIF(Janvier[4],CléEnfantMalade)+(COUNTIF(Janvier[4],CléDemiEnfantMalade)/2)))</f>
        <v>1</v>
      </c>
      <c r="G19" s="33">
        <f>COUNTIF(Janvier[5],CléCongé)+(COUNTIF(Janvier[5],CléCongéSpécial)+COUNTIF(Janvier[5],CléRTT)+(COUNTIF(Janvier[5],CléDemiRtt)/2)+COUNTIF(Janvier[5],CléCongéMalade)+COUNTIF(Janvier[5],CléRécupération)+(COUNTIF(Janvier[5],CléDemiRécupération)/2)+COUNTIF(Janvier[5],CléFormation)+(COUNTIF(Janvier[5],CléEnfantMalade)+(COUNTIF(Janvier[5],CléDemiEnfantMalade)/2)))</f>
        <v>1</v>
      </c>
      <c r="H19" s="33">
        <f>COUNTIF(Janvier[6],CléCongé)+(COUNTIF(Janvier[6],CléCongéSpécial)+COUNTIF(Janvier[6],CléRTT)+(COUNTIF(Janvier[6],CléDemiRtt)/2)+COUNTIF(Janvier[6],CléCongéMalade)+COUNTIF(Janvier[6],CléRécupération)+(COUNTIF(Janvier[6],CléDemiRécupération)/2)+COUNTIF(Janvier[6],CléFormation)+(COUNTIF(Janvier[6],CléEnfantMalade)+(COUNTIF(Janvier[6],CléDemiEnfantMalade)/2)))</f>
        <v>2</v>
      </c>
      <c r="I19" s="33">
        <f>COUNTIF(Janvier[7],CléCongé)+(COUNTIF(Janvier[7],CléCongéSpécial)+COUNTIF(Janvier[7],CléRTT)+(COUNTIF(Janvier[7],CléDemiRtt)/2)+COUNTIF(Janvier[7],CléCongéMalade)+COUNTIF(Janvier[7],CléRécupération)+(COUNTIF(Janvier[7],CléDemiRécupération)/2)+COUNTIF(Janvier[7],CléFormation)+(COUNTIF(Janvier[7],CléEnfantMalade)+(COUNTIF(Janvier[7],CléDemiEnfantMalade)/2)))</f>
        <v>1</v>
      </c>
      <c r="J19" s="33">
        <f>COUNTIF(Janvier[8],CléCongé)+(COUNTIF(Janvier[8],CléCongéSpécial)+COUNTIF(Janvier[8],CléRTT)+(COUNTIF(Janvier[8],CléDemiRtt)/2)+COUNTIF(Janvier[8],CléCongéMalade)+COUNTIF(Janvier[8],CléRécupération)+(COUNTIF(Janvier[8],CléDemiRécupération)/2)+COUNTIF(Janvier[8],CléFormation)+(COUNTIF(Janvier[8],CléEnfantMalade)+(COUNTIF(Janvier[8],CléDemiEnfantMalade)/2)))</f>
        <v>1</v>
      </c>
      <c r="K19" s="33">
        <f>COUNTIF(Janvier[9],CléCongé)+(COUNTIF(Janvier[9],CléCongéSpécial)+COUNTIF(Janvier[9],CléRTT)+(COUNTIF(Janvier[9],CléDemiRtt)/2)+COUNTIF(Janvier[9],CléCongéMalade)+COUNTIF(Janvier[9],CléRécupération)+(COUNTIF(Janvier[9],CléDemiRécupération)/2)+COUNTIF(Janvier[9],CléFormation)+(COUNTIF(Janvier[9],CléEnfantMalade)+(COUNTIF(Janvier[9],CléDemiEnfantMalade)/2)))</f>
        <v>1</v>
      </c>
      <c r="L19" s="33">
        <f>COUNTIF(Janvier[10],CléCongé)+(COUNTIF(Janvier[10],CléCongéSpécial)+COUNTIF(Janvier[10],CléRTT)+(COUNTIF(Janvier[10],CléDemiRtt)/2)+COUNTIF(Janvier[10],CléCongéMalade)+COUNTIF(Janvier[10],CléRécupération)+(COUNTIF(Janvier[10],CléDemiRécupération)/2)+COUNTIF(Janvier[10],CléFormation)+(COUNTIF(Janvier[10],CléEnfantMalade)+(COUNTIF(Janvier[10],CléDemiEnfantMalade)/2)))</f>
        <v>1</v>
      </c>
      <c r="M19" s="33">
        <f>COUNTIF(Janvier[11],CléCongé)+(COUNTIF(Janvier[11],CléCongéSpécial)+COUNTIF(Janvier[11],CléRTT)+(COUNTIF(Janvier[11],CléDemiRtt)/2)+COUNTIF(Janvier[11],CléCongéMalade)+COUNTIF(Janvier[11],CléRécupération)+(COUNTIF(Janvier[11],CléDemiRécupération)/2)+COUNTIF(Janvier[11],CléFormation)+(COUNTIF(Janvier[11],CléEnfantMalade)+(COUNTIF(Janvier[11],CléDemiEnfantMalade)/2)))</f>
        <v>1</v>
      </c>
      <c r="N19" s="33">
        <f>COUNTIF(Janvier[12],CléCongé)+(COUNTIF(Janvier[12],CléCongéSpécial)+COUNTIF(Janvier[12],CléRTT)+(COUNTIF(Janvier[12],CléDemiRtt)/2)+COUNTIF(Janvier[12],CléCongéMalade)+COUNTIF(Janvier[12],CléRécupération)+(COUNTIF(Janvier[12],CléDemiRécupération)/2)+COUNTIF(Janvier[12],CléFormation)+(COUNTIF(Janvier[12],CléEnfantMalade)+(COUNTIF(Janvier[12],CléDemiEnfantMalade)/2)))</f>
        <v>1</v>
      </c>
      <c r="O19" s="33">
        <f>COUNTIF(Janvier[13],CléCongé)+(COUNTIF(Janvier[13],CléCongéSpécial)+COUNTIF(Janvier[13],CléRTT)+(COUNTIF(Janvier[13],CléDemiRtt)/2)+COUNTIF(Janvier[13],CléCongéMalade)+COUNTIF(Janvier[13],CléRécupération)+(COUNTIF(Janvier[13],CléDemiRécupération)/2)+COUNTIF(Janvier[13],CléFormation)+(COUNTIF(Janvier[13],CléEnfantMalade)+(COUNTIF(Janvier[13],CléDemiEnfantMalade)/2)))</f>
        <v>1</v>
      </c>
      <c r="P19" s="33">
        <f>COUNTIF(Janvier[14],CléCongé)+(COUNTIF(Janvier[14],CléCongéSpécial)+COUNTIF(Janvier[14],CléRTT)+(COUNTIF(Janvier[14],CléDemiRtt)/2)+COUNTIF(Janvier[14],CléCongéMalade)+COUNTIF(Janvier[14],CléRécupération)+(COUNTIF(Janvier[14],CléDemiRécupération)/2)+COUNTIF(Janvier[14],CléFormation)+(COUNTIF(Janvier[14],CléEnfantMalade)+(COUNTIF(Janvier[14],CléDemiEnfantMalade)/2)))</f>
        <v>1</v>
      </c>
      <c r="Q19" s="33">
        <f>COUNTIF(Janvier[15],CléCongé)+(COUNTIF(Janvier[15],CléCongéSpécial)+COUNTIF(Janvier[15],CléRTT)+(COUNTIF(Janvier[15],CléDemiRtt)/2)+COUNTIF(Janvier[15],CléCongéMalade)+COUNTIF(Janvier[15],CléRécupération)+(COUNTIF(Janvier[15],CléDemiRécupération)/2)+COUNTIF(Janvier[15],CléFormation)+(COUNTIF(Janvier[15],CléEnfantMalade)+(COUNTIF(Janvier[15],CléDemiEnfantMalade)/2)))</f>
        <v>1</v>
      </c>
      <c r="R19" s="33">
        <f>COUNTIF(Janvier[16],CléCongé)+(COUNTIF(Janvier[16],CléCongéSpécial)+COUNTIF(Janvier[16],CléRTT)+(COUNTIF(Janvier[16],CléDemiRtt)/2)+COUNTIF(Janvier[16],CléCongéMalade)+COUNTIF(Janvier[16],CléRécupération)+(COUNTIF(Janvier[16],CléDemiRécupération)/2)+COUNTIF(Janvier[16],CléFormation)+(COUNTIF(Janvier[16],CléEnfantMalade)+(COUNTIF(Janvier[16],CléDemiEnfantMalade)/2)))</f>
        <v>0</v>
      </c>
      <c r="S19" s="33">
        <f>COUNTIF(Janvier[17],CléCongé)+(COUNTIF(Janvier[17],CléCongéSpécial)+COUNTIF(Janvier[17],CléRTT)+(COUNTIF(Janvier[17],CléDemiRtt)/2)+COUNTIF(Janvier[17],CléCongéMalade)+COUNTIF(Janvier[17],CléRécupération)+(COUNTIF(Janvier[17],CléDemiRécupération)/2)+COUNTIF(Janvier[17],CléFormation)+(COUNTIF(Janvier[17],CléEnfantMalade)+(COUNTIF(Janvier[17],CléDemiEnfantMalade)/2)))</f>
        <v>0</v>
      </c>
      <c r="T19" s="33">
        <f>COUNTIF(Janvier[18],CléCongé)+(COUNTIF(Janvier[18],CléCongéSpécial)+COUNTIF(Janvier[18],CléRTT)+(COUNTIF(Janvier[18],CléDemiRtt)/2)+COUNTIF(Janvier[18],CléCongéMalade)+COUNTIF(Janvier[18],CléRécupération)+(COUNTIF(Janvier[18],CléDemiRécupération)/2)+COUNTIF(Janvier[18],CléFormation)+(COUNTIF(Janvier[18],CléEnfantMalade)+(COUNTIF(Janvier[18],CléDemiEnfantMalade)/2)))</f>
        <v>0</v>
      </c>
      <c r="U19" s="33">
        <f>COUNTIF(Janvier[19],CléCongé)+(COUNTIF(Janvier[19],CléCongéSpécial)+COUNTIF(Janvier[19],CléRTT)+(COUNTIF(Janvier[19],CléDemiRtt)/2)+COUNTIF(Janvier[19],CléCongéMalade)+COUNTIF(Janvier[19],CléRécupération)+(COUNTIF(Janvier[19],CléDemiRécupération)/2)+COUNTIF(Janvier[19],CléFormation)+(COUNTIF(Janvier[19],CléEnfantMalade)+(COUNTIF(Janvier[19],CléDemiEnfantMalade)/2)))</f>
        <v>0</v>
      </c>
      <c r="V19" s="33">
        <f>COUNTIF(Janvier[20],CléCongé)+(COUNTIF(Janvier[20],CléCongéSpécial)+COUNTIF(Janvier[20],CléRTT)+(COUNTIF(Janvier[20],CléDemiRtt)/2)+COUNTIF(Janvier[20],CléCongéMalade)+COUNTIF(Janvier[20],CléRécupération)+(COUNTIF(Janvier[20],CléDemiRécupération)/2)+COUNTIF(Janvier[20],CléFormation)+(COUNTIF(Janvier[20],CléEnfantMalade)+(COUNTIF(Janvier[20],CléDemiEnfantMalade)/2)))</f>
        <v>0</v>
      </c>
      <c r="W19" s="33">
        <f>COUNTIF(Janvier[21],CléCongé)+(COUNTIF(Janvier[21],CléCongéSpécial)+COUNTIF(Janvier[21],CléRTT)+(COUNTIF(Janvier[21],CléDemiRtt)/2)+COUNTIF(Janvier[21],CléCongéMalade)+COUNTIF(Janvier[21],CléRécupération)+(COUNTIF(Janvier[21],CléDemiRécupération)/2)+COUNTIF(Janvier[21],CléFormation)+(COUNTIF(Janvier[21],CléEnfantMalade)+(COUNTIF(Janvier[21],CléDemiEnfantMalade)/2)))</f>
        <v>0</v>
      </c>
      <c r="X19" s="33">
        <f>COUNTIF(Janvier[22],CléCongé)+(COUNTIF(Janvier[22],CléCongéSpécial)+COUNTIF(Janvier[22],CléRTT)+(COUNTIF(Janvier[22],CléDemiRtt)/2)+COUNTIF(Janvier[22],CléCongéMalade)+COUNTIF(Janvier[22],CléRécupération)+(COUNTIF(Janvier[22],CléDemiRécupération)/2)+COUNTIF(Janvier[22],CléFormation)+(COUNTIF(Janvier[22],CléEnfantMalade)+(COUNTIF(Janvier[22],CléDemiEnfantMalade)/2)))</f>
        <v>0</v>
      </c>
      <c r="Y19" s="33">
        <f>COUNTIF(Janvier[23],CléCongé)+(COUNTIF(Janvier[23],CléCongéSpécial)+COUNTIF(Janvier[23],CléRTT)+(COUNTIF(Janvier[23],CléDemiRtt)/2)+COUNTIF(Janvier[23],CléCongéMalade)+COUNTIF(Janvier[23],CléRécupération)+(COUNTIF(Janvier[23],CléDemiRécupération)/2)+COUNTIF(Janvier[23],CléFormation)+(COUNTIF(Janvier[23],CléEnfantMalade)+(COUNTIF(Janvier[23],CléDemiEnfantMalade)/2)))</f>
        <v>0</v>
      </c>
      <c r="Z19" s="33">
        <f>COUNTIF(Janvier[24],CléCongé)+(COUNTIF(Janvier[24],CléCongéSpécial)+COUNTIF(Janvier[24],CléRTT)+(COUNTIF(Janvier[24],CléDemiRtt)/2)+COUNTIF(Janvier[24],CléCongéMalade)+COUNTIF(Janvier[24],CléRécupération)+(COUNTIF(Janvier[24],CléDemiRécupération)/2)+COUNTIF(Janvier[24],CléFormation)+(COUNTIF(Janvier[24],CléEnfantMalade)+(COUNTIF(Janvier[24],CléDemiEnfantMalade)/2)))</f>
        <v>0</v>
      </c>
      <c r="AA19" s="33">
        <f>COUNTIF(Janvier[25],CléCongé)+(COUNTIF(Janvier[25],CléCongéSpécial)+COUNTIF(Janvier[25],CléRTT)+(COUNTIF(Janvier[25],CléDemiRtt)/2)+COUNTIF(Janvier[25],CléCongéMalade)+COUNTIF(Janvier[25],CléRécupération)+(COUNTIF(Janvier[25],CléDemiRécupération)/2)+COUNTIF(Janvier[25],CléFormation)+(COUNTIF(Janvier[25],CléEnfantMalade)+(COUNTIF(Janvier[25],CléDemiEnfantMalade)/2)))</f>
        <v>0</v>
      </c>
      <c r="AB19" s="33">
        <f>COUNTIF(Janvier[26],CléCongé)+(COUNTIF(Janvier[26],CléCongéSpécial)+COUNTIF(Janvier[26],CléRTT)+(COUNTIF(Janvier[26],CléDemiRtt)/2)+COUNTIF(Janvier[26],CléCongéMalade)+COUNTIF(Janvier[26],CléRécupération)+(COUNTIF(Janvier[26],CléDemiRécupération)/2)+COUNTIF(Janvier[26],CléFormation)+(COUNTIF(Janvier[26],CléEnfantMalade)+(COUNTIF(Janvier[26],CléDemiEnfantMalade)/2)))</f>
        <v>0</v>
      </c>
      <c r="AC19" s="33">
        <f>COUNTIF(Janvier[27],CléCongé)+(COUNTIF(Janvier[27],CléCongéSpécial)+COUNTIF(Janvier[27],CléRTT)+(COUNTIF(Janvier[27],CléDemiRtt)/2)+COUNTIF(Janvier[27],CléCongéMalade)+COUNTIF(Janvier[27],CléRécupération)+(COUNTIF(Janvier[27],CléDemiRécupération)/2)+COUNTIF(Janvier[27],CléFormation)+(COUNTIF(Janvier[27],CléEnfantMalade)+(COUNTIF(Janvier[27],CléDemiEnfantMalade)/2)))</f>
        <v>0</v>
      </c>
      <c r="AD19" s="33">
        <f>COUNTIF(Janvier[28],CléCongé)+(COUNTIF(Janvier[28],CléCongéSpécial)+COUNTIF(Janvier[28],CléRTT)+(COUNTIF(Janvier[28],CléDemiRtt)/2)+COUNTIF(Janvier[28],CléCongéMalade)+COUNTIF(Janvier[28],CléRécupération)+(COUNTIF(Janvier[28],CléDemiRécupération)/2)+COUNTIF(Janvier[28],CléFormation)+(COUNTIF(Janvier[28],CléEnfantMalade)+(COUNTIF(Janvier[28],CléDemiEnfantMalade)/2)))</f>
        <v>0</v>
      </c>
      <c r="AE19" s="33">
        <f>COUNTIF(Janvier[29],CléCongé)+(COUNTIF(Janvier[29],CléCongéSpécial)+COUNTIF(Janvier[29],CléRTT)+(COUNTIF(Janvier[29],CléDemiRtt)/2)+COUNTIF(Janvier[29],CléCongéMalade)+COUNTIF(Janvier[29],CléRécupération)+(COUNTIF(Janvier[29],CléDemiRécupération)/2)+COUNTIF(Janvier[29],CléFormation)+(COUNTIF(Janvier[29],CléEnfantMalade)+(COUNTIF(Janvier[29],CléDemiEnfantMalade)/2)))</f>
        <v>0</v>
      </c>
      <c r="AF19" s="33">
        <f>COUNTIF(Janvier[30],CléCongé)+(COUNTIF(Janvier[30],CléCongéSpécial)+COUNTIF(Janvier[30],CléRTT)+(COUNTIF(Janvier[30],CléDemiRtt)/2)+COUNTIF(Janvier[30],CléCongéMalade)+COUNTIF(Janvier[30],CléRécupération)+(COUNTIF(Janvier[30],CléDemiRécupération)/2)+COUNTIF(Janvier[30],CléFormation)+(COUNTIF(Janvier[30],CléEnfantMalade)+(COUNTIF(Janvier[30],CléDemiEnfantMalade)/2)))</f>
        <v>0</v>
      </c>
      <c r="AG19" s="33">
        <f>COUNTIF(Janvier[31],CléCongé)+(COUNTIF(Janvier[31],CléCongéSpécial)+COUNTIF(Janvier[31],CléRTT)+(COUNTIF(Janvier[31],CléDemiRtt)/2)+COUNTIF(Janvier[31],CléCongéMalade)+COUNTIF(Janvier[31],CléRécupération)+(COUNTIF(Janvier[31],CléDemiRécupération)/2)+COUNTIF(Janvier[31],CléFormation)+(COUNTIF(Janvier[31],CléEnfantMalade)+(COUNTIF(Janvier[31],CléDemiEnfantMalade)/2)))</f>
        <v>0</v>
      </c>
      <c r="AH19" s="35">
        <f>SUBTOTAL(109,Janvier[Total absence])</f>
        <v>13</v>
      </c>
      <c r="AI19" s="35">
        <f>SUBTOTAL(109,Janvier[Dont RTT])</f>
        <v>2</v>
      </c>
      <c r="AJ19" s="35">
        <f>SUBTOTAL(109,Janvier[Dont MALADIE])</f>
        <v>8</v>
      </c>
      <c r="AK19" s="34"/>
    </row>
  </sheetData>
  <mergeCells count="17">
    <mergeCell ref="D2:E2"/>
    <mergeCell ref="AA2:AC2"/>
    <mergeCell ref="AE2:AH2"/>
    <mergeCell ref="AE3:AH3"/>
    <mergeCell ref="W2:Y2"/>
    <mergeCell ref="J2:L2"/>
    <mergeCell ref="G2:H2"/>
    <mergeCell ref="Q2:U2"/>
    <mergeCell ref="C5:AG5"/>
    <mergeCell ref="G3:H3"/>
    <mergeCell ref="D3:E3"/>
    <mergeCell ref="J3:L3"/>
    <mergeCell ref="N3:O3"/>
    <mergeCell ref="Q3:R3"/>
    <mergeCell ref="T3:U3"/>
    <mergeCell ref="W3:Y3"/>
    <mergeCell ref="AA3:AC3"/>
  </mergeCells>
  <phoneticPr fontId="23" type="noConversion"/>
  <conditionalFormatting sqref="C8:AG8 C10:AG18 I9:AG9">
    <cfRule type="expression" dxfId="511" priority="16" stopIfTrue="1">
      <formula>C8=CléAbsenceJustifiée</formula>
    </cfRule>
    <cfRule type="expression" dxfId="510" priority="38" stopIfTrue="1">
      <formula>C8=CléNonTravaillé</formula>
    </cfRule>
    <cfRule type="expression" dxfId="509" priority="43" stopIfTrue="1">
      <formula>C8=CléPrésenceExceptionnelle</formula>
    </cfRule>
    <cfRule type="expression" dxfId="508" priority="45" stopIfTrue="1">
      <formula>C8=CléCongéSpécial</formula>
    </cfRule>
    <cfRule type="expression" dxfId="507" priority="48" stopIfTrue="1">
      <formula>C8=CléDemiRécupération</formula>
    </cfRule>
    <cfRule type="expression" dxfId="506" priority="49" stopIfTrue="1">
      <formula>C8=CléDemiEnfantMalade</formula>
    </cfRule>
    <cfRule type="expression" dxfId="505" priority="54" stopIfTrue="1">
      <formula>C8=CléEnfantMalade</formula>
    </cfRule>
    <cfRule type="expression" dxfId="504" priority="56" stopIfTrue="1">
      <formula>C8=CléDemiRtt</formula>
    </cfRule>
    <cfRule type="expression" priority="59" stopIfTrue="1">
      <formula>C8=""</formula>
    </cfRule>
    <cfRule type="expression" dxfId="503" priority="60" stopIfTrue="1">
      <formula>C8=CléCongéMalade</formula>
    </cfRule>
    <cfRule type="expression" dxfId="502" priority="65" stopIfTrue="1">
      <formula>C8=CléCongé</formula>
    </cfRule>
    <cfRule type="expression" dxfId="501" priority="71" stopIfTrue="1">
      <formula>C8=CléRécupération</formula>
    </cfRule>
    <cfRule type="expression" dxfId="500" priority="72" stopIfTrue="1">
      <formula>C8=CléFormation</formula>
    </cfRule>
    <cfRule type="expression" dxfId="499" priority="73" stopIfTrue="1">
      <formula>C8=CléRTT</formula>
    </cfRule>
    <cfRule type="expression" dxfId="498" priority="74" stopIfTrue="1">
      <formula>C8=CléTélétravail</formula>
    </cfRule>
  </conditionalFormatting>
  <conditionalFormatting sqref="AJ8:AJ18">
    <cfRule type="dataBar" priority="64">
      <dataBar>
        <cfvo type="num" val="0"/>
        <cfvo type="num" val="31"/>
        <color rgb="FFFF0000"/>
      </dataBar>
      <extLst>
        <ext xmlns:x14="http://schemas.microsoft.com/office/spreadsheetml/2009/9/main" uri="{B025F937-C7B1-47D3-B67F-A62EFF666E3E}">
          <x14:id>{06B0B54B-3B45-C645-843F-C0B723C8AC12}</x14:id>
        </ext>
      </extLst>
    </cfRule>
  </conditionalFormatting>
  <conditionalFormatting sqref="AL3:XFD3 A3:D3 A1:XFD1 A2 F2:G3 M3:N3 Q3 S3:T3 V2:W3 I2:J3 A7:AH7 AK7:XFD7 AI2:XFD2 A6:AJ6 AL6:XFD6 A4:AG5 AI4:XFD5">
    <cfRule type="containsText" dxfId="497" priority="55" stopIfTrue="1" operator="containsText" text="dim">
      <formula>NOT(ISERROR(SEARCH("dim",A1)))</formula>
    </cfRule>
  </conditionalFormatting>
  <conditionalFormatting sqref="V2:W2">
    <cfRule type="containsText" dxfId="496" priority="53" stopIfTrue="1" operator="containsText" text="dim">
      <formula>NOT(ISERROR(SEARCH("dim",V2)))</formula>
    </cfRule>
  </conditionalFormatting>
  <conditionalFormatting sqref="AH8:AH18">
    <cfRule type="dataBar" priority="36">
      <dataBar>
        <cfvo type="num" val="0"/>
        <cfvo type="num" val="31"/>
        <color rgb="FF00B0F0"/>
      </dataBar>
      <extLst>
        <ext xmlns:x14="http://schemas.microsoft.com/office/spreadsheetml/2009/9/main" uri="{B025F937-C7B1-47D3-B67F-A62EFF666E3E}">
          <x14:id>{22EEE165-6413-544B-B435-0A9B8805D7ED}</x14:id>
        </ext>
      </extLst>
    </cfRule>
    <cfRule type="containsText" dxfId="495" priority="41" stopIfTrue="1" operator="containsText" text="dim">
      <formula>NOT(ISERROR(SEARCH("dim",AH8)))</formula>
    </cfRule>
  </conditionalFormatting>
  <conditionalFormatting sqref="AA2">
    <cfRule type="containsText" dxfId="494" priority="40" stopIfTrue="1" operator="containsText" text="dim">
      <formula>NOT(ISERROR(SEARCH("dim",AA2)))</formula>
    </cfRule>
  </conditionalFormatting>
  <conditionalFormatting sqref="AA2">
    <cfRule type="containsText" dxfId="493" priority="39" stopIfTrue="1" operator="containsText" text="dim">
      <formula>NOT(ISERROR(SEARCH("dim",AA2)))</formula>
    </cfRule>
  </conditionalFormatting>
  <conditionalFormatting sqref="AI8:AI18">
    <cfRule type="dataBar" priority="37">
      <dataBar>
        <cfvo type="num" val="0"/>
        <cfvo type="num" val="31"/>
        <color rgb="FF92D050"/>
      </dataBar>
      <extLst>
        <ext xmlns:x14="http://schemas.microsoft.com/office/spreadsheetml/2009/9/main" uri="{B025F937-C7B1-47D3-B67F-A62EFF666E3E}">
          <x14:id>{10DB94B8-2D5F-4244-B3AC-869B80A980B5}</x14:id>
        </ext>
      </extLst>
    </cfRule>
  </conditionalFormatting>
  <conditionalFormatting sqref="P3">
    <cfRule type="expression" dxfId="492" priority="22" stopIfTrue="1">
      <formula>P3=CléNonTravaillé</formula>
    </cfRule>
    <cfRule type="expression" dxfId="491" priority="23" stopIfTrue="1">
      <formula>P3=CléPrésenceExceptionnelle</formula>
    </cfRule>
    <cfRule type="expression" dxfId="490" priority="24" stopIfTrue="1">
      <formula>P3=CléCongéSpécial</formula>
    </cfRule>
    <cfRule type="expression" dxfId="489" priority="25" stopIfTrue="1">
      <formula>P3=CléDemiRécupération</formula>
    </cfRule>
    <cfRule type="expression" dxfId="488" priority="26" stopIfTrue="1">
      <formula>P3=CléDemiEnfantMalade</formula>
    </cfRule>
    <cfRule type="expression" dxfId="487" priority="27" stopIfTrue="1">
      <formula>P3=CléEnfantMalade</formula>
    </cfRule>
    <cfRule type="expression" dxfId="486" priority="28" stopIfTrue="1">
      <formula>P3=CléDemiRtt</formula>
    </cfRule>
    <cfRule type="expression" priority="29" stopIfTrue="1">
      <formula>P3=""</formula>
    </cfRule>
    <cfRule type="expression" dxfId="485" priority="30" stopIfTrue="1">
      <formula>P3=CléMaladie</formula>
    </cfRule>
    <cfRule type="expression" dxfId="484" priority="31" stopIfTrue="1">
      <formula>P3=CléCongé</formula>
    </cfRule>
    <cfRule type="expression" dxfId="483" priority="32" stopIfTrue="1">
      <formula>P3=CléRécupération</formula>
    </cfRule>
    <cfRule type="expression" dxfId="482" priority="33" stopIfTrue="1">
      <formula>P3=CléFormation</formula>
    </cfRule>
    <cfRule type="expression" dxfId="481" priority="34" stopIfTrue="1">
      <formula>P3=CléRTT</formula>
    </cfRule>
    <cfRule type="expression" dxfId="480" priority="35" stopIfTrue="1">
      <formula>P3=CléTélétravail</formula>
    </cfRule>
  </conditionalFormatting>
  <conditionalFormatting sqref="AK6">
    <cfRule type="containsText" dxfId="479" priority="20" stopIfTrue="1" operator="containsText" text="dim">
      <formula>NOT(ISERROR(SEARCH("dim",AK6)))</formula>
    </cfRule>
  </conditionalFormatting>
  <conditionalFormatting sqref="AH5">
    <cfRule type="containsText" dxfId="478" priority="19" stopIfTrue="1" operator="containsText" text="dim">
      <formula>NOT(ISERROR(SEARCH("dim",AH5)))</formula>
    </cfRule>
  </conditionalFormatting>
  <conditionalFormatting sqref="AA3">
    <cfRule type="containsText" dxfId="477" priority="18" stopIfTrue="1" operator="containsText" text="dim">
      <formula>NOT(ISERROR(SEARCH("dim",AA3)))</formula>
    </cfRule>
  </conditionalFormatting>
  <conditionalFormatting sqref="AA3">
    <cfRule type="containsText" dxfId="476" priority="17" stopIfTrue="1" operator="containsText" text="dim">
      <formula>NOT(ISERROR(SEARCH("dim",AA3)))</formula>
    </cfRule>
  </conditionalFormatting>
  <conditionalFormatting sqref="C9:H9">
    <cfRule type="expression" dxfId="475" priority="1" stopIfTrue="1">
      <formula>C9=CléAbsenceJustifiée</formula>
    </cfRule>
    <cfRule type="expression" dxfId="474" priority="2" stopIfTrue="1">
      <formula>C9=CléNonTravaillé</formula>
    </cfRule>
    <cfRule type="expression" dxfId="473" priority="3" stopIfTrue="1">
      <formula>C9=CléPrésenceExceptionnelle</formula>
    </cfRule>
    <cfRule type="expression" dxfId="472" priority="4" stopIfTrue="1">
      <formula>C9=CléCongéSpécial</formula>
    </cfRule>
    <cfRule type="expression" dxfId="471" priority="5" stopIfTrue="1">
      <formula>C9=CléDemiRécupération</formula>
    </cfRule>
    <cfRule type="expression" dxfId="470" priority="6" stopIfTrue="1">
      <formula>C9=CléDemiEnfantMalade</formula>
    </cfRule>
    <cfRule type="expression" dxfId="469" priority="7" stopIfTrue="1">
      <formula>C9=CléEnfantMalade</formula>
    </cfRule>
    <cfRule type="expression" dxfId="468" priority="8" stopIfTrue="1">
      <formula>C9=CléDemiRtt</formula>
    </cfRule>
    <cfRule type="expression" priority="9" stopIfTrue="1">
      <formula>C9=""</formula>
    </cfRule>
    <cfRule type="expression" dxfId="467" priority="10" stopIfTrue="1">
      <formula>C9=CléCongéMalade</formula>
    </cfRule>
    <cfRule type="expression" dxfId="466" priority="11" stopIfTrue="1">
      <formula>C9=CléCongé</formula>
    </cfRule>
    <cfRule type="expression" dxfId="465" priority="12" stopIfTrue="1">
      <formula>C9=CléRécupération</formula>
    </cfRule>
    <cfRule type="expression" dxfId="464" priority="13" stopIfTrue="1">
      <formula>C9=CléFormation</formula>
    </cfRule>
    <cfRule type="expression" dxfId="463" priority="14" stopIfTrue="1">
      <formula>C9=CléRTT</formula>
    </cfRule>
    <cfRule type="expression" dxfId="462" priority="15" stopIfTrue="1">
      <formula>C9=CléTélétravail</formula>
    </cfRule>
  </conditionalFormatting>
  <dataValidations count="16">
    <dataValidation allowBlank="1" showErrorMessage="1" prompt="Entrez l’année dans cette cellule." sqref="AK5" xr:uid="{00000000-0002-0000-0000-000000000000}"/>
    <dataValidation errorStyle="warning" allowBlank="1" showInputMessage="1" showErrorMessage="1" error="Sélectionnez un nom dans la liste. Sélectionnez ANNULER, appuyez sur ALT+FLÈCHE BAS, puis sur ENTRÉE pour sélectionner un nom" prompt="Entrez les noms des employés dans la feuille de calcul du Noms des employés, puis sélectionnez l’un des noms de la liste figurant dans cette colonne. Appuyez sur ALT+FLÈCHE BAS, puis sur ENTRÉE pour sélectionner un nom" sqref="B7" xr:uid="{00000000-0002-0000-0000-000001000000}"/>
    <dataValidation allowBlank="1" showInputMessage="1" showErrorMessage="1" prompt="Les jours du mois dans cette ligne sont générés automatiquement. Entrez l’absence et le motif d’absence d’un employé dans chaque colonne pour chaque jour du mois. Un champ vide indique qu’il n’y a pas eu d’absence" sqref="C7" xr:uid="{00000000-0002-0000-0000-000002000000}"/>
    <dataValidation allowBlank="1" showErrorMessage="1" prompt="La lettre « C » indique une absence pour cause de congé" sqref="C3" xr:uid="{180648D2-410D-B143-B587-7A30566DDE0A}"/>
    <dataValidation allowBlank="1" showErrorMessage="1" prompt="La lettre « P » indique une absence pour motifs personnels" sqref="F3" xr:uid="{F76D8E89-C5BE-5641-A960-C8924BC7F107}"/>
    <dataValidation allowBlank="1" showInputMessage="1" showErrorMessage="1" prompt="La lettre « M » indique une absence pour cause de maladie" sqref="S3" xr:uid="{AA4B8FA4-AE57-CA43-B1F0-5DF94DD8246B}"/>
    <dataValidation allowBlank="1" showInputMessage="1" showErrorMessage="1" prompt="Entrez une lettre et personnalisez l’étiquette à droite pour ajouter un élément de clé" sqref="M3" xr:uid="{DA6A8F83-9B62-0141-AED8-7A83438C3BCA}"/>
    <dataValidation allowBlank="1" showInputMessage="1" showErrorMessage="1" prompt="Entrez une étiquette pour décrire la clé personnalisée à gauche" sqref="J2:J3" xr:uid="{52436857-DDAD-6E4E-A172-6A9E68296673}"/>
    <dataValidation allowBlank="1" showInputMessage="1" showErrorMessage="1" prompt="Le Calendrier des absences des employés suit les absences exprimées en jours pour chaque mois. Il existe 13 feuilles de calcul, 12 mensuelles et la dernière pour les noms des employés. Suivez les absences du mois de janvier dans cette feuille de calcul" sqref="A1:A2" xr:uid="{00000000-0002-0000-0000-00000D000000}"/>
    <dataValidation allowBlank="1" showErrorMessage="1" prompt="Entrez l’année dans la cellule ci-dessous" sqref="AK4" xr:uid="{00000000-0002-0000-0000-00000E000000}"/>
    <dataValidation allowBlank="1" showErrorMessage="1" prompt="Entrez une lettre et personnalisez l’étiquette à droite pour ajouter un élément de clé" sqref="I2:I3" xr:uid="{F3C13E23-AA26-A242-AB55-71EFAB18774F}"/>
    <dataValidation allowBlank="1" showErrorMessage="1" prompt="Entrez une étiquette pour décrire la clé personnalisée à gauche" sqref="N3" xr:uid="{D27234F8-1932-2849-A1D5-DEF8B0A16588}"/>
    <dataValidation allowBlank="1" showErrorMessage="1" sqref="B1:B5" xr:uid="{287AE99F-A568-2E49-87F0-4F6D162FD61E}"/>
    <dataValidation allowBlank="1" showErrorMessage="1" prompt="Calcule automatiquement le nombre total de jours d’absence d’un employé durant ce mois" sqref="AH7 AK7" xr:uid="{040E8A70-86A9-DF47-A79B-3431F39E2A12}"/>
    <dataValidation allowBlank="1" showInputMessage="1" showErrorMessage="1" prompt="Les jours de la semaine dans cette ligne sont mis à jour automatiquement pour le mois en fonction de l’année entrée dans AH4. Chaque jour du mois est une colonne dans laquelle noter l’absence et le motif d’absence d’un employé" sqref="C6" xr:uid="{00000000-0002-0000-0000-000003000000}"/>
    <dataValidation type="list" allowBlank="1" showInputMessage="1" showErrorMessage="1" sqref="B8:B18" xr:uid="{2AA984CB-36ED-4A9D-9A41-B79E1629B9CD}">
      <formula1>Nom_Employe</formula1>
    </dataValidation>
  </dataValidations>
  <pageMargins left="0.7" right="0.7" top="0.75" bottom="0.75" header="0.3" footer="0.3"/>
  <pageSetup paperSize="9" fitToHeight="0" orientation="portrait" r:id="rId1"/>
  <tableParts count="1">
    <tablePart r:id="rId2"/>
  </tableParts>
  <extLst>
    <ext xmlns:x14="http://schemas.microsoft.com/office/spreadsheetml/2009/9/main" uri="{78C0D931-6437-407d-A8EE-F0AAD7539E65}">
      <x14:conditionalFormattings>
        <x14:conditionalFormatting xmlns:xm="http://schemas.microsoft.com/office/excel/2006/main">
          <x14:cfRule type="dataBar" id="{06B0B54B-3B45-C645-843F-C0B723C8AC12}">
            <x14:dataBar minLength="0" maxLength="100">
              <x14:cfvo type="num">
                <xm:f>0</xm:f>
              </x14:cfvo>
              <x14:cfvo type="num">
                <xm:f>31</xm:f>
              </x14:cfvo>
              <x14:negativeFillColor rgb="FFFF0000"/>
              <x14:axisColor rgb="FF000000"/>
            </x14:dataBar>
          </x14:cfRule>
          <xm:sqref>AJ8:AJ18</xm:sqref>
        </x14:conditionalFormatting>
        <x14:conditionalFormatting xmlns:xm="http://schemas.microsoft.com/office/excel/2006/main">
          <x14:cfRule type="dataBar" id="{22EEE165-6413-544B-B435-0A9B8805D7ED}">
            <x14:dataBar minLength="0" maxLength="100">
              <x14:cfvo type="num">
                <xm:f>0</xm:f>
              </x14:cfvo>
              <x14:cfvo type="num">
                <xm:f>31</xm:f>
              </x14:cfvo>
              <x14:negativeFillColor rgb="FFFF0000"/>
              <x14:axisColor rgb="FF000000"/>
            </x14:dataBar>
          </x14:cfRule>
          <xm:sqref>AH8:AH18</xm:sqref>
        </x14:conditionalFormatting>
        <x14:conditionalFormatting xmlns:xm="http://schemas.microsoft.com/office/excel/2006/main">
          <x14:cfRule type="dataBar" id="{10DB94B8-2D5F-4244-B3AC-869B80A980B5}">
            <x14:dataBar minLength="0" maxLength="100">
              <x14:cfvo type="num">
                <xm:f>0</xm:f>
              </x14:cfvo>
              <x14:cfvo type="num">
                <xm:f>31</xm:f>
              </x14:cfvo>
              <x14:negativeFillColor rgb="FFFF0000"/>
              <x14:axisColor rgb="FF000000"/>
            </x14:dataBar>
          </x14:cfRule>
          <xm:sqref>AI8:AI18</xm:sqref>
        </x14:conditionalFormatting>
      </x14:conditionalFormatting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B0D29E-C9F5-A540-9E94-B8BDDEAD3CFF}">
  <sheetPr codeName="Feuil2">
    <tabColor theme="2" tint="-0.749992370372631"/>
  </sheetPr>
  <dimension ref="A1:AK19"/>
  <sheetViews>
    <sheetView showGridLines="0" zoomScale="110" zoomScaleNormal="110" workbookViewId="0">
      <selection activeCell="B8" sqref="B8"/>
    </sheetView>
  </sheetViews>
  <sheetFormatPr baseColWidth="10" defaultColWidth="9.140625" defaultRowHeight="30" customHeight="1"/>
  <cols>
    <col min="1" max="1" width="2.7109375" style="3" customWidth="1"/>
    <col min="2" max="2" width="25.85546875" style="3" customWidth="1"/>
    <col min="3" max="33" width="4.7109375" style="3" customWidth="1"/>
    <col min="34" max="34" width="13.28515625" style="3" customWidth="1"/>
    <col min="35" max="36" width="13.28515625" customWidth="1"/>
    <col min="37" max="37" width="19.28515625" customWidth="1"/>
  </cols>
  <sheetData>
    <row r="1" spans="1:37" ht="50.1" customHeight="1">
      <c r="B1" s="4" t="str">
        <f>Titre_Absence_Employé</f>
        <v>Calendrier des absences des employés</v>
      </c>
    </row>
    <row r="2" spans="1:37" ht="21.95" customHeight="1">
      <c r="A2" s="5"/>
      <c r="C2" s="48" t="s">
        <v>89</v>
      </c>
      <c r="D2" s="93" t="s">
        <v>90</v>
      </c>
      <c r="E2" s="93"/>
      <c r="F2" s="39" t="s">
        <v>72</v>
      </c>
      <c r="G2" s="88" t="s">
        <v>66</v>
      </c>
      <c r="H2" s="88"/>
      <c r="I2" s="38" t="s">
        <v>71</v>
      </c>
      <c r="J2" s="88" t="s">
        <v>74</v>
      </c>
      <c r="K2" s="88"/>
      <c r="L2" s="88"/>
      <c r="P2" s="47" t="s">
        <v>87</v>
      </c>
      <c r="Q2" s="95" t="s">
        <v>88</v>
      </c>
      <c r="R2" s="95"/>
      <c r="S2" s="95"/>
      <c r="T2" s="95"/>
      <c r="U2" s="95"/>
      <c r="V2" s="40" t="s">
        <v>70</v>
      </c>
      <c r="W2" s="88" t="s">
        <v>73</v>
      </c>
      <c r="X2" s="88"/>
      <c r="Y2" s="88"/>
      <c r="Z2" s="51" t="s">
        <v>96</v>
      </c>
      <c r="AA2" s="88" t="s">
        <v>97</v>
      </c>
      <c r="AB2" s="88"/>
      <c r="AC2" s="88"/>
    </row>
    <row r="3" spans="1:37" ht="18" customHeight="1">
      <c r="B3" s="9" t="s">
        <v>1</v>
      </c>
      <c r="C3" s="17" t="s">
        <v>4</v>
      </c>
      <c r="D3" s="89" t="s">
        <v>7</v>
      </c>
      <c r="E3" s="89"/>
      <c r="F3" s="18" t="s">
        <v>57</v>
      </c>
      <c r="G3" s="88" t="s">
        <v>57</v>
      </c>
      <c r="H3" s="88"/>
      <c r="I3" s="21" t="s">
        <v>55</v>
      </c>
      <c r="J3" s="88" t="s">
        <v>56</v>
      </c>
      <c r="K3" s="88"/>
      <c r="L3" s="88"/>
      <c r="M3" s="14" t="s">
        <v>58</v>
      </c>
      <c r="N3" s="88" t="s">
        <v>59</v>
      </c>
      <c r="O3" s="90"/>
      <c r="P3" s="54" t="s">
        <v>60</v>
      </c>
      <c r="Q3" s="91" t="s">
        <v>61</v>
      </c>
      <c r="R3" s="88"/>
      <c r="S3" s="20" t="s">
        <v>11</v>
      </c>
      <c r="T3" s="89" t="s">
        <v>17</v>
      </c>
      <c r="U3" s="89"/>
      <c r="V3" s="36" t="s">
        <v>69</v>
      </c>
      <c r="W3" s="88" t="s">
        <v>68</v>
      </c>
      <c r="X3" s="88"/>
      <c r="Y3" s="88"/>
      <c r="Z3" s="73" t="s">
        <v>100</v>
      </c>
      <c r="AA3" s="92" t="s">
        <v>101</v>
      </c>
      <c r="AB3" s="92"/>
      <c r="AC3" s="92"/>
    </row>
    <row r="4" spans="1:37" ht="15" customHeight="1">
      <c r="B4"/>
    </row>
    <row r="5" spans="1:37" ht="30" customHeight="1">
      <c r="B5" s="19" t="s">
        <v>41</v>
      </c>
      <c r="C5" s="87" t="s">
        <v>5</v>
      </c>
      <c r="D5" s="87"/>
      <c r="E5" s="87"/>
      <c r="F5" s="87"/>
      <c r="G5" s="87"/>
      <c r="H5" s="87"/>
      <c r="I5" s="87"/>
      <c r="J5" s="87"/>
      <c r="K5" s="87"/>
      <c r="L5" s="87"/>
      <c r="M5" s="87"/>
      <c r="N5" s="87"/>
      <c r="O5" s="87"/>
      <c r="P5" s="87"/>
      <c r="Q5" s="87"/>
      <c r="R5" s="87"/>
      <c r="S5" s="87"/>
      <c r="T5" s="87"/>
      <c r="U5" s="87"/>
      <c r="V5" s="87"/>
      <c r="W5" s="87"/>
      <c r="X5" s="87"/>
      <c r="Y5" s="87"/>
      <c r="Z5" s="87"/>
      <c r="AA5" s="87"/>
      <c r="AB5" s="87"/>
      <c r="AC5" s="87"/>
      <c r="AD5" s="87"/>
      <c r="AE5" s="87"/>
      <c r="AF5" s="87"/>
      <c r="AG5" s="87"/>
      <c r="AH5" s="23"/>
      <c r="AI5" s="23"/>
      <c r="AJ5" s="23"/>
      <c r="AK5" s="69">
        <f>AnnéeCalendrier01</f>
        <v>2021</v>
      </c>
    </row>
    <row r="6" spans="1:37" ht="15" customHeight="1">
      <c r="B6" s="13"/>
      <c r="C6" s="55" t="str">
        <f>TEXT(WEEKDAY(DATE(AnnéeCalendrier,2,1),1),"jjj")</f>
        <v>lun</v>
      </c>
      <c r="D6" s="55" t="str">
        <f>TEXT(WEEKDAY(DATE(AnnéeCalendrier,2,2),1),"jjj")</f>
        <v>mar</v>
      </c>
      <c r="E6" s="55" t="str">
        <f>TEXT(WEEKDAY(DATE(AnnéeCalendrier,2,3),1),"jjj")</f>
        <v>mer</v>
      </c>
      <c r="F6" s="55" t="str">
        <f>TEXT(WEEKDAY(DATE(AnnéeCalendrier,2,4),1),"jjj")</f>
        <v>jeu</v>
      </c>
      <c r="G6" s="55" t="str">
        <f>TEXT(WEEKDAY(DATE(AnnéeCalendrier,2,5),1),"jjj")</f>
        <v>ven</v>
      </c>
      <c r="H6" s="55" t="str">
        <f>TEXT(WEEKDAY(DATE(AnnéeCalendrier,2,6),1),"jjj")</f>
        <v>sam</v>
      </c>
      <c r="I6" s="55" t="str">
        <f>TEXT(WEEKDAY(DATE(AnnéeCalendrier,2,7),1),"jjj")</f>
        <v>dim</v>
      </c>
      <c r="J6" s="55" t="str">
        <f>TEXT(WEEKDAY(DATE(AnnéeCalendrier,2,8),1),"jjj")</f>
        <v>lun</v>
      </c>
      <c r="K6" s="55" t="str">
        <f>TEXT(WEEKDAY(DATE(AnnéeCalendrier,2,9),1),"jjj")</f>
        <v>mar</v>
      </c>
      <c r="L6" s="55" t="str">
        <f>TEXT(WEEKDAY(DATE(AnnéeCalendrier,2,10),1),"jjj")</f>
        <v>mer</v>
      </c>
      <c r="M6" s="55" t="str">
        <f>TEXT(WEEKDAY(DATE(AnnéeCalendrier,2,11),1),"jjj")</f>
        <v>jeu</v>
      </c>
      <c r="N6" s="55" t="str">
        <f>TEXT(WEEKDAY(DATE(AnnéeCalendrier,2,12),1),"jjj")</f>
        <v>ven</v>
      </c>
      <c r="O6" s="55" t="str">
        <f>TEXT(WEEKDAY(DATE(AnnéeCalendrier,2,13),1),"jjj")</f>
        <v>sam</v>
      </c>
      <c r="P6" s="55" t="str">
        <f>TEXT(WEEKDAY(DATE(AnnéeCalendrier,2,14),1),"jjj")</f>
        <v>dim</v>
      </c>
      <c r="Q6" s="55" t="str">
        <f>TEXT(WEEKDAY(DATE(AnnéeCalendrier,2,15),1),"jjj")</f>
        <v>lun</v>
      </c>
      <c r="R6" s="55" t="str">
        <f>TEXT(WEEKDAY(DATE(AnnéeCalendrier,2,16),1),"jjj")</f>
        <v>mar</v>
      </c>
      <c r="S6" s="55" t="str">
        <f>TEXT(WEEKDAY(DATE(AnnéeCalendrier,2,17),1),"jjj")</f>
        <v>mer</v>
      </c>
      <c r="T6" s="55" t="str">
        <f>TEXT(WEEKDAY(DATE(AnnéeCalendrier,2,18),1),"jjj")</f>
        <v>jeu</v>
      </c>
      <c r="U6" s="55" t="str">
        <f>TEXT(WEEKDAY(DATE(AnnéeCalendrier,2,19),1),"jjj")</f>
        <v>ven</v>
      </c>
      <c r="V6" s="55" t="str">
        <f>TEXT(WEEKDAY(DATE(AnnéeCalendrier,2,20),1),"jjj")</f>
        <v>sam</v>
      </c>
      <c r="W6" s="55" t="str">
        <f>TEXT(WEEKDAY(DATE(AnnéeCalendrier,2,21),1),"jjj")</f>
        <v>dim</v>
      </c>
      <c r="X6" s="55" t="str">
        <f>TEXT(WEEKDAY(DATE(AnnéeCalendrier,2,22),1),"jjj")</f>
        <v>lun</v>
      </c>
      <c r="Y6" s="55" t="str">
        <f>TEXT(WEEKDAY(DATE(AnnéeCalendrier,2,23),1),"jjj")</f>
        <v>mar</v>
      </c>
      <c r="Z6" s="55" t="str">
        <f>TEXT(WEEKDAY(DATE(AnnéeCalendrier,2,24),1),"jjj")</f>
        <v>mer</v>
      </c>
      <c r="AA6" s="55" t="str">
        <f>TEXT(WEEKDAY(DATE(AnnéeCalendrier,2,25),1),"jjj")</f>
        <v>jeu</v>
      </c>
      <c r="AB6" s="55" t="str">
        <f>TEXT(WEEKDAY(DATE(AnnéeCalendrier,2,26),1),"jjj")</f>
        <v>ven</v>
      </c>
      <c r="AC6" s="55" t="str">
        <f>TEXT(WEEKDAY(DATE(AnnéeCalendrier,2,27),1),"jjj")</f>
        <v>sam</v>
      </c>
      <c r="AD6" s="55" t="str">
        <f>TEXT(WEEKDAY(DATE(AnnéeCalendrier,2,28),1),"jjj")</f>
        <v>dim</v>
      </c>
      <c r="AE6" s="55" t="str">
        <f>TEXT(WEEKDAY(DATE(AnnéeCalendrier,2,29),1),"jjj")</f>
        <v>lun</v>
      </c>
      <c r="AF6" s="56"/>
      <c r="AG6" s="56"/>
      <c r="AH6" s="10"/>
      <c r="AI6" s="10"/>
      <c r="AJ6" s="10"/>
      <c r="AK6" s="10"/>
    </row>
    <row r="7" spans="1:37" ht="35.1" customHeight="1">
      <c r="B7" s="11" t="s">
        <v>3</v>
      </c>
      <c r="C7" s="12" t="s">
        <v>6</v>
      </c>
      <c r="D7" s="12" t="s">
        <v>8</v>
      </c>
      <c r="E7" s="12" t="s">
        <v>9</v>
      </c>
      <c r="F7" s="12" t="s">
        <v>10</v>
      </c>
      <c r="G7" s="12" t="s">
        <v>12</v>
      </c>
      <c r="H7" s="12" t="s">
        <v>13</v>
      </c>
      <c r="I7" s="12" t="s">
        <v>14</v>
      </c>
      <c r="J7" s="12" t="s">
        <v>15</v>
      </c>
      <c r="K7" s="12" t="s">
        <v>16</v>
      </c>
      <c r="L7" s="12" t="s">
        <v>18</v>
      </c>
      <c r="M7" s="12" t="s">
        <v>19</v>
      </c>
      <c r="N7" s="12" t="s">
        <v>20</v>
      </c>
      <c r="O7" s="12" t="s">
        <v>21</v>
      </c>
      <c r="P7" s="12" t="s">
        <v>22</v>
      </c>
      <c r="Q7" s="12" t="s">
        <v>23</v>
      </c>
      <c r="R7" s="12" t="s">
        <v>24</v>
      </c>
      <c r="S7" s="12" t="s">
        <v>25</v>
      </c>
      <c r="T7" s="12" t="s">
        <v>26</v>
      </c>
      <c r="U7" s="12" t="s">
        <v>27</v>
      </c>
      <c r="V7" s="12" t="s">
        <v>28</v>
      </c>
      <c r="W7" s="12" t="s">
        <v>29</v>
      </c>
      <c r="X7" s="12" t="s">
        <v>30</v>
      </c>
      <c r="Y7" s="12" t="s">
        <v>31</v>
      </c>
      <c r="Z7" s="12" t="s">
        <v>32</v>
      </c>
      <c r="AA7" s="12" t="s">
        <v>33</v>
      </c>
      <c r="AB7" s="12" t="s">
        <v>34</v>
      </c>
      <c r="AC7" s="12" t="s">
        <v>35</v>
      </c>
      <c r="AD7" s="12" t="s">
        <v>36</v>
      </c>
      <c r="AE7" s="12" t="s">
        <v>37</v>
      </c>
      <c r="AF7" s="12" t="s">
        <v>42</v>
      </c>
      <c r="AG7" s="12" t="s">
        <v>43</v>
      </c>
      <c r="AH7" s="24" t="s">
        <v>91</v>
      </c>
      <c r="AI7" s="25" t="s">
        <v>78</v>
      </c>
      <c r="AJ7" s="25" t="s">
        <v>98</v>
      </c>
      <c r="AK7" s="32" t="s">
        <v>65</v>
      </c>
    </row>
    <row r="8" spans="1:37" ht="30" customHeight="1">
      <c r="B8" s="8" t="s">
        <v>107</v>
      </c>
      <c r="C8" s="15"/>
      <c r="D8" s="15"/>
      <c r="E8" s="15"/>
      <c r="F8" s="15"/>
      <c r="G8" s="15"/>
      <c r="H8" s="15"/>
      <c r="I8" s="15"/>
      <c r="J8" s="15"/>
      <c r="K8" s="15"/>
      <c r="L8" s="15"/>
      <c r="M8" s="15"/>
      <c r="N8" s="15"/>
      <c r="O8" s="15"/>
      <c r="P8" s="15"/>
      <c r="Q8" s="15"/>
      <c r="R8" s="15"/>
      <c r="S8" s="15"/>
      <c r="T8" s="15"/>
      <c r="U8" s="15"/>
      <c r="V8" s="15"/>
      <c r="W8" s="15"/>
      <c r="X8" s="15"/>
      <c r="Y8" s="15"/>
      <c r="Z8" s="15"/>
      <c r="AA8" s="15"/>
      <c r="AB8" s="15"/>
      <c r="AC8" s="15"/>
      <c r="AD8" s="15"/>
      <c r="AE8" s="15"/>
      <c r="AF8" s="15"/>
      <c r="AG8" s="15"/>
      <c r="AH8" s="31">
        <f t="shared" ref="AH8:AH18" si="0">(COUNTIF(C8:AG8,CléCongé)+(COUNTIF(C8:AG8,CléEnfantMalade)+COUNTIF(C8:AG8,CléRTT)+COUNTIF(C8:AG8,CléCongéMalade)+COUNTIF(C8:AG8,CléRécupération)+COUNTIF(C8:AG8,CléFormation)+COUNTIF(C8:AG8,CléTélétravail-1)+COUNTIF(C8:AG8,CléCongéSpécial)+COUNTIF(C8:AG8,CléPrésenceExceptionnelle-1)+COUNTIF(C8:AG8,CléDemiRtt)/2)+COUNTIF(C8:AG8,CléDemiRécupération)/2)+COUNTIF(C8:AG8,CléDemiEnfantMalade)/2</f>
        <v>0</v>
      </c>
      <c r="AI8" s="31">
        <f t="shared" ref="AI8:AI18" si="1">COUNTIF(C8:AG8,CléRTT)+COUNTIF(C8:AG8,CléDemiRtt)/2</f>
        <v>0</v>
      </c>
      <c r="AJ8" s="31">
        <f t="shared" ref="AJ8:AJ18" si="2">COUNTIF(C8:AG8,$S$3)</f>
        <v>0</v>
      </c>
      <c r="AK8" s="22"/>
    </row>
    <row r="9" spans="1:37" ht="30" customHeight="1">
      <c r="B9" s="8"/>
      <c r="C9" s="15"/>
      <c r="D9" s="15"/>
      <c r="E9" s="15"/>
      <c r="F9" s="15"/>
      <c r="G9" s="15"/>
      <c r="H9" s="15"/>
      <c r="I9" s="15"/>
      <c r="J9" s="15"/>
      <c r="K9" s="15"/>
      <c r="L9" s="15"/>
      <c r="M9" s="15"/>
      <c r="N9" s="15"/>
      <c r="O9" s="15"/>
      <c r="P9" s="15"/>
      <c r="Q9" s="15"/>
      <c r="R9" s="15"/>
      <c r="S9" s="15"/>
      <c r="T9" s="15"/>
      <c r="U9" s="15"/>
      <c r="V9" s="15"/>
      <c r="W9" s="15"/>
      <c r="X9" s="15"/>
      <c r="Y9" s="15"/>
      <c r="Z9" s="15"/>
      <c r="AA9" s="15"/>
      <c r="AB9" s="15"/>
      <c r="AC9" s="15"/>
      <c r="AD9" s="15"/>
      <c r="AE9" s="15"/>
      <c r="AF9" s="15"/>
      <c r="AG9" s="15"/>
      <c r="AH9" s="31">
        <f t="shared" si="0"/>
        <v>0</v>
      </c>
      <c r="AI9" s="31">
        <f t="shared" si="1"/>
        <v>0</v>
      </c>
      <c r="AJ9" s="31">
        <f t="shared" si="2"/>
        <v>0</v>
      </c>
      <c r="AK9" s="22">
        <f>Janvier!AK9-Fevrier[[#This Row],[Dont RTT]]+2</f>
        <v>7</v>
      </c>
    </row>
    <row r="10" spans="1:37" ht="30" customHeight="1">
      <c r="B10" s="8"/>
      <c r="C10" s="15"/>
      <c r="D10" s="15"/>
      <c r="E10" s="15"/>
      <c r="F10" s="15"/>
      <c r="G10" s="15"/>
      <c r="H10" s="15"/>
      <c r="I10" s="15"/>
      <c r="J10" s="15"/>
      <c r="K10" s="15"/>
      <c r="L10" s="15"/>
      <c r="M10" s="15"/>
      <c r="N10" s="15"/>
      <c r="O10" s="15"/>
      <c r="P10" s="15"/>
      <c r="Q10" s="15"/>
      <c r="R10" s="15"/>
      <c r="S10" s="15"/>
      <c r="T10" s="15"/>
      <c r="U10" s="15"/>
      <c r="V10" s="15"/>
      <c r="W10" s="15"/>
      <c r="X10" s="15"/>
      <c r="Y10" s="15"/>
      <c r="Z10" s="15"/>
      <c r="AA10" s="15"/>
      <c r="AB10" s="15"/>
      <c r="AC10" s="15"/>
      <c r="AD10" s="15"/>
      <c r="AE10" s="15"/>
      <c r="AF10" s="15"/>
      <c r="AG10" s="15"/>
      <c r="AH10" s="31">
        <f t="shared" si="0"/>
        <v>0</v>
      </c>
      <c r="AI10" s="31">
        <f t="shared" si="1"/>
        <v>0</v>
      </c>
      <c r="AJ10" s="31">
        <f t="shared" si="2"/>
        <v>0</v>
      </c>
      <c r="AK10" s="22">
        <f>Janvier!AK10-Fevrier[[#This Row],[Dont RTT]]+2</f>
        <v>15</v>
      </c>
    </row>
    <row r="11" spans="1:37" ht="30" customHeight="1">
      <c r="B11" s="8"/>
      <c r="C11" s="15"/>
      <c r="D11" s="15"/>
      <c r="E11" s="15"/>
      <c r="F11" s="15"/>
      <c r="G11" s="15"/>
      <c r="H11" s="15"/>
      <c r="I11" s="15"/>
      <c r="J11" s="15"/>
      <c r="K11" s="15"/>
      <c r="L11" s="15"/>
      <c r="M11" s="15"/>
      <c r="N11" s="15"/>
      <c r="O11" s="15"/>
      <c r="P11" s="15"/>
      <c r="Q11" s="15"/>
      <c r="R11" s="15"/>
      <c r="S11" s="15"/>
      <c r="T11" s="15"/>
      <c r="U11" s="15"/>
      <c r="V11" s="15"/>
      <c r="W11" s="15"/>
      <c r="X11" s="15"/>
      <c r="Y11" s="15"/>
      <c r="Z11" s="15"/>
      <c r="AA11" s="15"/>
      <c r="AB11" s="15"/>
      <c r="AC11" s="15"/>
      <c r="AD11" s="15"/>
      <c r="AE11" s="15"/>
      <c r="AF11" s="15"/>
      <c r="AG11" s="15"/>
      <c r="AH11" s="31">
        <f t="shared" si="0"/>
        <v>0</v>
      </c>
      <c r="AI11" s="31">
        <f t="shared" si="1"/>
        <v>0</v>
      </c>
      <c r="AJ11" s="31">
        <f t="shared" si="2"/>
        <v>0</v>
      </c>
      <c r="AK11" s="22"/>
    </row>
    <row r="12" spans="1:37" ht="30" customHeight="1">
      <c r="B12" s="8"/>
      <c r="C12" s="15"/>
      <c r="D12" s="15"/>
      <c r="E12" s="15"/>
      <c r="F12" s="15"/>
      <c r="G12" s="15"/>
      <c r="H12" s="15"/>
      <c r="I12" s="15"/>
      <c r="J12" s="15"/>
      <c r="K12" s="15"/>
      <c r="L12" s="15"/>
      <c r="M12" s="15"/>
      <c r="N12" s="15"/>
      <c r="O12" s="15"/>
      <c r="P12" s="15"/>
      <c r="Q12" s="15"/>
      <c r="R12" s="15"/>
      <c r="S12" s="15"/>
      <c r="T12" s="15"/>
      <c r="U12" s="15"/>
      <c r="V12" s="15"/>
      <c r="W12" s="15"/>
      <c r="X12" s="15"/>
      <c r="Y12" s="15"/>
      <c r="Z12" s="15"/>
      <c r="AA12" s="15"/>
      <c r="AB12" s="15"/>
      <c r="AC12" s="15"/>
      <c r="AD12" s="15"/>
      <c r="AE12" s="15"/>
      <c r="AF12" s="15"/>
      <c r="AG12" s="15"/>
      <c r="AH12" s="31">
        <f t="shared" si="0"/>
        <v>0</v>
      </c>
      <c r="AI12" s="31">
        <f t="shared" si="1"/>
        <v>0</v>
      </c>
      <c r="AJ12" s="31">
        <f t="shared" si="2"/>
        <v>0</v>
      </c>
      <c r="AK12" s="22"/>
    </row>
    <row r="13" spans="1:37" ht="30" customHeight="1">
      <c r="B13" s="8"/>
      <c r="C13" s="22"/>
      <c r="D13" s="22"/>
      <c r="E13" s="22"/>
      <c r="F13" s="22"/>
      <c r="G13" s="22"/>
      <c r="H13" s="22"/>
      <c r="I13" s="22"/>
      <c r="J13" s="22"/>
      <c r="K13" s="15"/>
      <c r="L13" s="22"/>
      <c r="M13" s="22"/>
      <c r="N13" s="22"/>
      <c r="O13" s="22"/>
      <c r="P13" s="22"/>
      <c r="Q13" s="22"/>
      <c r="R13" s="15"/>
      <c r="S13" s="22"/>
      <c r="T13" s="22"/>
      <c r="U13" s="22"/>
      <c r="V13" s="22"/>
      <c r="W13" s="22"/>
      <c r="X13" s="22"/>
      <c r="Y13" s="15"/>
      <c r="Z13" s="22"/>
      <c r="AA13" s="22"/>
      <c r="AB13" s="22"/>
      <c r="AC13" s="22"/>
      <c r="AD13" s="22"/>
      <c r="AE13" s="22"/>
      <c r="AF13" s="22"/>
      <c r="AG13" s="22"/>
      <c r="AH13" s="31">
        <f t="shared" si="0"/>
        <v>0</v>
      </c>
      <c r="AI13" s="31">
        <f t="shared" si="1"/>
        <v>0</v>
      </c>
      <c r="AJ13" s="31">
        <f t="shared" si="2"/>
        <v>0</v>
      </c>
      <c r="AK13" s="22">
        <f>Janvier!AK13-Fevrier[[#This Row],[Dont RTT]]+2</f>
        <v>6.93</v>
      </c>
    </row>
    <row r="14" spans="1:37" ht="30" customHeight="1">
      <c r="B14" s="8"/>
      <c r="C14" s="22"/>
      <c r="D14" s="22"/>
      <c r="E14" s="22"/>
      <c r="F14" s="22"/>
      <c r="G14" s="22"/>
      <c r="H14" s="22"/>
      <c r="I14" s="22"/>
      <c r="J14" s="22"/>
      <c r="K14" s="15"/>
      <c r="L14" s="22"/>
      <c r="M14" s="22"/>
      <c r="N14" s="22"/>
      <c r="O14" s="22"/>
      <c r="P14" s="22"/>
      <c r="Q14" s="22"/>
      <c r="R14" s="15"/>
      <c r="S14" s="22"/>
      <c r="T14" s="22"/>
      <c r="U14" s="22"/>
      <c r="V14" s="22"/>
      <c r="W14" s="22"/>
      <c r="X14" s="22"/>
      <c r="Y14" s="15"/>
      <c r="Z14" s="22"/>
      <c r="AA14" s="22"/>
      <c r="AB14" s="22"/>
      <c r="AC14" s="22"/>
      <c r="AD14" s="22"/>
      <c r="AE14" s="22"/>
      <c r="AF14" s="22"/>
      <c r="AG14" s="22"/>
      <c r="AH14" s="31">
        <f t="shared" si="0"/>
        <v>0</v>
      </c>
      <c r="AI14" s="31">
        <f t="shared" si="1"/>
        <v>0</v>
      </c>
      <c r="AJ14" s="31">
        <f t="shared" si="2"/>
        <v>0</v>
      </c>
      <c r="AK14" s="22">
        <f>Janvier!AK14-Fevrier[[#This Row],[Dont RTT]]+2</f>
        <v>6.5</v>
      </c>
    </row>
    <row r="15" spans="1:37" ht="30" customHeight="1">
      <c r="B15" s="8"/>
      <c r="C15" s="22"/>
      <c r="D15" s="22"/>
      <c r="E15" s="22"/>
      <c r="F15" s="22"/>
      <c r="G15" s="22"/>
      <c r="H15" s="22"/>
      <c r="I15" s="22"/>
      <c r="J15" s="22"/>
      <c r="K15" s="22"/>
      <c r="L15" s="22"/>
      <c r="M15" s="15"/>
      <c r="N15" s="22"/>
      <c r="O15" s="22"/>
      <c r="P15" s="22"/>
      <c r="Q15" s="22"/>
      <c r="R15" s="22"/>
      <c r="S15" s="22"/>
      <c r="T15" s="15"/>
      <c r="U15" s="22"/>
      <c r="V15" s="22"/>
      <c r="W15" s="22"/>
      <c r="X15" s="22"/>
      <c r="Y15" s="22"/>
      <c r="Z15" s="22"/>
      <c r="AA15" s="15"/>
      <c r="AB15" s="22"/>
      <c r="AC15" s="22"/>
      <c r="AD15" s="22"/>
      <c r="AE15" s="22"/>
      <c r="AF15" s="22"/>
      <c r="AG15" s="22"/>
      <c r="AH15" s="31">
        <f t="shared" si="0"/>
        <v>0</v>
      </c>
      <c r="AI15" s="31">
        <f t="shared" si="1"/>
        <v>0</v>
      </c>
      <c r="AJ15" s="31">
        <f t="shared" si="2"/>
        <v>0</v>
      </c>
      <c r="AK15" s="22">
        <f>Janvier!AK15-Fevrier[[#This Row],[Dont RTT]]+2</f>
        <v>9.5</v>
      </c>
    </row>
    <row r="16" spans="1:37" ht="30" customHeight="1">
      <c r="B16" s="8"/>
      <c r="C16" s="22"/>
      <c r="D16" s="22"/>
      <c r="E16" s="22"/>
      <c r="F16" s="22"/>
      <c r="G16" s="22"/>
      <c r="H16" s="22"/>
      <c r="I16" s="22"/>
      <c r="J16" s="22"/>
      <c r="K16" s="15"/>
      <c r="L16" s="22"/>
      <c r="M16" s="22"/>
      <c r="N16" s="22"/>
      <c r="O16" s="22"/>
      <c r="P16" s="22"/>
      <c r="Q16" s="22"/>
      <c r="R16" s="15"/>
      <c r="S16" s="22"/>
      <c r="T16" s="22"/>
      <c r="U16" s="22"/>
      <c r="V16" s="22"/>
      <c r="W16" s="22"/>
      <c r="X16" s="22"/>
      <c r="Y16" s="15"/>
      <c r="Z16" s="22"/>
      <c r="AA16" s="22"/>
      <c r="AB16" s="22"/>
      <c r="AC16" s="22"/>
      <c r="AD16" s="22"/>
      <c r="AE16" s="22"/>
      <c r="AF16" s="22"/>
      <c r="AG16" s="22"/>
      <c r="AH16" s="31">
        <f t="shared" si="0"/>
        <v>0</v>
      </c>
      <c r="AI16" s="31">
        <f t="shared" si="1"/>
        <v>0</v>
      </c>
      <c r="AJ16" s="31">
        <f t="shared" si="2"/>
        <v>0</v>
      </c>
      <c r="AK16" s="22">
        <f>Janvier!AK16-Fevrier[[#This Row],[Dont RTT]]+2</f>
        <v>6.16</v>
      </c>
    </row>
    <row r="17" spans="2:37" ht="30" customHeight="1">
      <c r="B17" s="8"/>
      <c r="C17" s="22"/>
      <c r="D17" s="22"/>
      <c r="E17" s="22"/>
      <c r="F17" s="22"/>
      <c r="G17" s="22"/>
      <c r="H17" s="22"/>
      <c r="I17" s="22"/>
      <c r="J17" s="22"/>
      <c r="K17" s="22"/>
      <c r="L17" s="22"/>
      <c r="M17" s="15"/>
      <c r="N17" s="22"/>
      <c r="O17" s="22"/>
      <c r="P17" s="22"/>
      <c r="Q17" s="22"/>
      <c r="R17" s="22"/>
      <c r="S17" s="22"/>
      <c r="T17" s="15"/>
      <c r="U17" s="22"/>
      <c r="V17" s="22"/>
      <c r="W17" s="22"/>
      <c r="X17" s="22"/>
      <c r="Y17" s="22"/>
      <c r="Z17" s="22"/>
      <c r="AA17" s="15"/>
      <c r="AB17" s="22"/>
      <c r="AC17" s="22"/>
      <c r="AD17" s="22"/>
      <c r="AE17" s="22"/>
      <c r="AF17" s="22"/>
      <c r="AG17" s="22"/>
      <c r="AH17" s="31">
        <f t="shared" si="0"/>
        <v>0</v>
      </c>
      <c r="AI17" s="31">
        <f t="shared" si="1"/>
        <v>0</v>
      </c>
      <c r="AJ17" s="31">
        <f t="shared" si="2"/>
        <v>0</v>
      </c>
      <c r="AK17" s="22">
        <f>Janvier!AK17-Fevrier[[#This Row],[Dont RTT]]+2</f>
        <v>15</v>
      </c>
    </row>
    <row r="18" spans="2:37" ht="30" customHeight="1">
      <c r="B18" s="8"/>
      <c r="C18" s="22"/>
      <c r="D18" s="22"/>
      <c r="E18" s="22"/>
      <c r="F18" s="22"/>
      <c r="G18" s="22"/>
      <c r="H18" s="22"/>
      <c r="I18" s="22"/>
      <c r="J18" s="22"/>
      <c r="K18" s="15"/>
      <c r="L18" s="22"/>
      <c r="M18" s="22"/>
      <c r="N18" s="22"/>
      <c r="O18" s="22"/>
      <c r="P18" s="22"/>
      <c r="Q18" s="22"/>
      <c r="R18" s="15"/>
      <c r="S18" s="22"/>
      <c r="T18" s="22"/>
      <c r="U18" s="22"/>
      <c r="V18" s="22"/>
      <c r="W18" s="22"/>
      <c r="X18" s="22"/>
      <c r="Y18" s="15"/>
      <c r="Z18" s="22"/>
      <c r="AA18" s="22"/>
      <c r="AB18" s="22"/>
      <c r="AC18" s="22"/>
      <c r="AD18" s="22"/>
      <c r="AE18" s="22"/>
      <c r="AF18" s="22"/>
      <c r="AG18" s="22"/>
      <c r="AH18" s="31">
        <f t="shared" si="0"/>
        <v>0</v>
      </c>
      <c r="AI18" s="31">
        <f t="shared" si="1"/>
        <v>0</v>
      </c>
      <c r="AJ18" s="31">
        <f t="shared" si="2"/>
        <v>0</v>
      </c>
      <c r="AK18" s="22">
        <f>Janvier!AK18-Fevrier[[#This Row],[Dont RTT]]+2</f>
        <v>6.5</v>
      </c>
    </row>
    <row r="19" spans="2:37" ht="30" customHeight="1">
      <c r="B19" s="28" t="str">
        <f>NomMois&amp;" Total"</f>
        <v>Février Total</v>
      </c>
      <c r="C19" s="33">
        <f>COUNTIF(Fevrier[1],CléCongé)+(COUNTIF(Fevrier[1],CléCongéSpécial)+COUNTIF(Fevrier[1],CléRTT)+(COUNTIF(Fevrier[1],CléDemiRtt)/2)+COUNTIF(Fevrier[1],CléCongéMalade)+COUNTIF(Fevrier[1],CléRécupération)+(COUNTIF(Fevrier[1],CléDemiRécupération)/2)+COUNTIF(Fevrier[1],CléFormation)+(COUNTIF(Fevrier[1],CléEnfantMalade)+(COUNTIF(Fevrier[1],CléDemiEnfantMalade)/2)))</f>
        <v>0</v>
      </c>
      <c r="D19" s="33">
        <f>COUNTIF(Fevrier[2],CléCongé)+(COUNTIF(Fevrier[2],CléCongéSpécial)+COUNTIF(Fevrier[2],CléRTT)+(COUNTIF(Fevrier[2],CléDemiRtt)/2)+COUNTIF(Fevrier[2],CléCongéMalade)+COUNTIF(Fevrier[2],CléRécupération)+(COUNTIF(Fevrier[2],CléDemiRécupération)/2)+COUNTIF(Fevrier[2],CléFormation)+(COUNTIF(Fevrier[2],CléEnfantMalade)+(COUNTIF(Fevrier[2],CléDemiEnfantMalade)/2)))</f>
        <v>0</v>
      </c>
      <c r="E19" s="33">
        <f>COUNTIF(Fevrier[3],CléCongé)+(COUNTIF(Fevrier[3],CléCongéSpécial)+COUNTIF(Fevrier[3],CléRTT)+(COUNTIF(Fevrier[3],CléDemiRtt)/2)+COUNTIF(Fevrier[3],CléCongéMalade)+COUNTIF(Fevrier[3],CléRécupération)+(COUNTIF(Fevrier[3],CléDemiRécupération)/2)+COUNTIF(Fevrier[3],CléFormation)+(COUNTIF(Fevrier[3],CléEnfantMalade)+(COUNTIF(Fevrier[3],CléDemiEnfantMalade)/2)))</f>
        <v>0</v>
      </c>
      <c r="F19" s="33">
        <f>COUNTIF(Fevrier[4],CléCongé)+(COUNTIF(Fevrier[4],CléCongéSpécial)+COUNTIF(Fevrier[4],CléRTT)+(COUNTIF(Fevrier[4],CléDemiRtt)/2)+COUNTIF(Fevrier[4],CléCongéMalade)+COUNTIF(Fevrier[4],CléRécupération)+(COUNTIF(Fevrier[4],CléDemiRécupération)/2)+COUNTIF(Fevrier[4],CléFormation)+(COUNTIF(Fevrier[4],CléEnfantMalade)+(COUNTIF(Fevrier[4],CléDemiEnfantMalade)/2)))</f>
        <v>0</v>
      </c>
      <c r="G19" s="33">
        <f>COUNTIF(Fevrier[5],CléCongé)+(COUNTIF(Fevrier[5],CléCongéSpécial)+COUNTIF(Fevrier[5],CléRTT)+(COUNTIF(Fevrier[5],CléDemiRtt)/2)+COUNTIF(Fevrier[5],CléCongéMalade)+COUNTIF(Fevrier[5],CléRécupération)+(COUNTIF(Fevrier[5],CléDemiRécupération)/2)+COUNTIF(Fevrier[5],CléFormation)+(COUNTIF(Fevrier[5],CléEnfantMalade)+(COUNTIF(Fevrier[5],CléDemiEnfantMalade)/2)))</f>
        <v>0</v>
      </c>
      <c r="H19" s="33">
        <f>COUNTIF(Fevrier[6],CléCongé)+(COUNTIF(Fevrier[6],CléCongéSpécial)+COUNTIF(Fevrier[6],CléRTT)+(COUNTIF(Fevrier[6],CléDemiRtt)/2)+COUNTIF(Fevrier[6],CléCongéMalade)+COUNTIF(Fevrier[6],CléRécupération)+(COUNTIF(Fevrier[6],CléDemiRécupération)/2)+COUNTIF(Fevrier[6],CléFormation)+(COUNTIF(Fevrier[6],CléEnfantMalade)+(COUNTIF(Fevrier[6],CléDemiEnfantMalade)/2)))</f>
        <v>0</v>
      </c>
      <c r="I19" s="33">
        <f>COUNTIF(Fevrier[7],CléCongé)+(COUNTIF(Fevrier[7],CléCongéSpécial)+COUNTIF(Fevrier[7],CléRTT)+(COUNTIF(Fevrier[7],CléDemiRtt)/2)+COUNTIF(Fevrier[7],CléCongéMalade)+COUNTIF(Fevrier[7],CléRécupération)+(COUNTIF(Fevrier[7],CléDemiRécupération)/2)+COUNTIF(Fevrier[7],CléFormation)+(COUNTIF(Fevrier[7],CléEnfantMalade)+(COUNTIF(Fevrier[7],CléDemiEnfantMalade)/2)))</f>
        <v>0</v>
      </c>
      <c r="J19" s="33">
        <f>COUNTIF(Fevrier[8],CléCongé)+(COUNTIF(Fevrier[8],CléCongéSpécial)+COUNTIF(Fevrier[8],CléRTT)+(COUNTIF(Fevrier[8],CléDemiRtt)/2)+COUNTIF(Fevrier[8],CléCongéMalade)+COUNTIF(Fevrier[8],CléRécupération)+(COUNTIF(Fevrier[8],CléDemiRécupération)/2)+COUNTIF(Fevrier[8],CléFormation)+(COUNTIF(Fevrier[8],CléEnfantMalade)+(COUNTIF(Fevrier[8],CléDemiEnfantMalade)/2)))</f>
        <v>0</v>
      </c>
      <c r="K19" s="33">
        <f>COUNTIF(Fevrier[9],CléCongé)+(COUNTIF(Fevrier[9],CléCongéSpécial)+COUNTIF(Fevrier[9],CléRTT)+(COUNTIF(Fevrier[9],CléDemiRtt)/2)+COUNTIF(Fevrier[9],CléCongéMalade)+COUNTIF(Fevrier[9],CléRécupération)+(COUNTIF(Fevrier[9],CléDemiRécupération)/2)+COUNTIF(Fevrier[9],CléFormation)+(COUNTIF(Fevrier[9],CléEnfantMalade)+(COUNTIF(Fevrier[9],CléDemiEnfantMalade)/2)))</f>
        <v>0</v>
      </c>
      <c r="L19" s="33">
        <f>COUNTIF(Fevrier[10],CléCongé)+(COUNTIF(Fevrier[10],CléCongéSpécial)+COUNTIF(Fevrier[10],CléRTT)+(COUNTIF(Fevrier[10],CléDemiRtt)/2)+COUNTIF(Fevrier[10],CléCongéMalade)+COUNTIF(Fevrier[10],CléRécupération)+(COUNTIF(Fevrier[10],CléDemiRécupération)/2)+COUNTIF(Fevrier[10],CléFormation)+(COUNTIF(Fevrier[10],CléEnfantMalade)+(COUNTIF(Fevrier[10],CléDemiEnfantMalade)/2)))</f>
        <v>0</v>
      </c>
      <c r="M19" s="33">
        <f>COUNTIF(Fevrier[11],CléCongé)+(COUNTIF(Fevrier[11],CléCongéSpécial)+COUNTIF(Fevrier[11],CléRTT)+(COUNTIF(Fevrier[11],CléDemiRtt)/2)+COUNTIF(Fevrier[11],CléCongéMalade)+COUNTIF(Fevrier[11],CléRécupération)+(COUNTIF(Fevrier[11],CléDemiRécupération)/2)+COUNTIF(Fevrier[11],CléFormation)+(COUNTIF(Fevrier[11],CléEnfantMalade)+(COUNTIF(Fevrier[11],CléDemiEnfantMalade)/2)))</f>
        <v>0</v>
      </c>
      <c r="N19" s="33">
        <f>COUNTIF(Fevrier[12],CléCongé)+(COUNTIF(Fevrier[12],CléCongéSpécial)+COUNTIF(Fevrier[12],CléRTT)+(COUNTIF(Fevrier[12],CléDemiRtt)/2)+COUNTIF(Fevrier[12],CléCongéMalade)+COUNTIF(Fevrier[12],CléRécupération)+(COUNTIF(Fevrier[12],CléDemiRécupération)/2)+COUNTIF(Fevrier[12],CléFormation)+(COUNTIF(Fevrier[12],CléEnfantMalade)+(COUNTIF(Fevrier[12],CléDemiEnfantMalade)/2)))</f>
        <v>0</v>
      </c>
      <c r="O19" s="33">
        <f>COUNTIF(Fevrier[13],CléCongé)+(COUNTIF(Fevrier[13],CléCongéSpécial)+COUNTIF(Fevrier[13],CléRTT)+(COUNTIF(Fevrier[13],CléDemiRtt)/2)+COUNTIF(Fevrier[13],CléCongéMalade)+COUNTIF(Fevrier[13],CléRécupération)+(COUNTIF(Fevrier[13],CléDemiRécupération)/2)+COUNTIF(Fevrier[13],CléFormation)+(COUNTIF(Fevrier[13],CléEnfantMalade)+(COUNTIF(Fevrier[13],CléDemiEnfantMalade)/2)))</f>
        <v>0</v>
      </c>
      <c r="P19" s="33">
        <f>COUNTIF(Fevrier[14],CléCongé)+(COUNTIF(Fevrier[14],CléCongéSpécial)+COUNTIF(Fevrier[14],CléRTT)+(COUNTIF(Fevrier[14],CléDemiRtt)/2)+COUNTIF(Fevrier[14],CléCongéMalade)+COUNTIF(Fevrier[14],CléRécupération)+(COUNTIF(Fevrier[14],CléDemiRécupération)/2)+COUNTIF(Fevrier[14],CléFormation)+(COUNTIF(Fevrier[14],CléEnfantMalade)+(COUNTIF(Fevrier[14],CléDemiEnfantMalade)/2)))</f>
        <v>0</v>
      </c>
      <c r="Q19" s="33">
        <f>COUNTIF(Fevrier[15],CléCongé)+(COUNTIF(Fevrier[15],CléCongéSpécial)+COUNTIF(Fevrier[15],CléRTT)+(COUNTIF(Fevrier[15],CléDemiRtt)/2)+COUNTIF(Fevrier[15],CléCongéMalade)+COUNTIF(Fevrier[15],CléRécupération)+(COUNTIF(Fevrier[15],CléDemiRécupération)/2)+COUNTIF(Fevrier[15],CléFormation)+(COUNTIF(Fevrier[15],CléEnfantMalade)+(COUNTIF(Fevrier[15],CléDemiEnfantMalade)/2)))</f>
        <v>0</v>
      </c>
      <c r="R19" s="33">
        <f>COUNTIF(Fevrier[16],CléCongé)+(COUNTIF(Fevrier[16],CléCongéSpécial)+COUNTIF(Fevrier[16],CléRTT)+(COUNTIF(Fevrier[16],CléDemiRtt)/2)+COUNTIF(Fevrier[16],CléCongéMalade)+COUNTIF(Fevrier[16],CléRécupération)+(COUNTIF(Fevrier[16],CléDemiRécupération)/2)+COUNTIF(Fevrier[16],CléFormation)+(COUNTIF(Fevrier[16],CléEnfantMalade)+(COUNTIF(Fevrier[16],CléDemiEnfantMalade)/2)))</f>
        <v>0</v>
      </c>
      <c r="S19" s="33">
        <f>COUNTIF(Fevrier[17],CléCongé)+(COUNTIF(Fevrier[17],CléCongéSpécial)+COUNTIF(Fevrier[17],CléRTT)+(COUNTIF(Fevrier[17],CléDemiRtt)/2)+COUNTIF(Fevrier[17],CléCongéMalade)+COUNTIF(Fevrier[17],CléRécupération)+(COUNTIF(Fevrier[17],CléDemiRécupération)/2)+COUNTIF(Fevrier[17],CléFormation)+(COUNTIF(Fevrier[17],CléEnfantMalade)+(COUNTIF(Fevrier[17],CléDemiEnfantMalade)/2)))</f>
        <v>0</v>
      </c>
      <c r="T19" s="33">
        <f>COUNTIF(Fevrier[18],CléCongé)+(COUNTIF(Fevrier[18],CléCongéSpécial)+COUNTIF(Fevrier[18],CléRTT)+(COUNTIF(Fevrier[18],CléDemiRtt)/2)+COUNTIF(Fevrier[18],CléCongéMalade)+COUNTIF(Fevrier[18],CléRécupération)+(COUNTIF(Fevrier[18],CléDemiRécupération)/2)+COUNTIF(Fevrier[18],CléFormation)+(COUNTIF(Fevrier[18],CléEnfantMalade)+(COUNTIF(Fevrier[18],CléDemiEnfantMalade)/2)))</f>
        <v>0</v>
      </c>
      <c r="U19" s="33">
        <f>COUNTIF(Fevrier[19],CléCongé)+(COUNTIF(Fevrier[19],CléCongéSpécial)+COUNTIF(Fevrier[19],CléRTT)+(COUNTIF(Fevrier[19],CléDemiRtt)/2)+COUNTIF(Fevrier[19],CléCongéMalade)+COUNTIF(Fevrier[19],CléRécupération)+(COUNTIF(Fevrier[19],CléDemiRécupération)/2)+COUNTIF(Fevrier[19],CléFormation)+(COUNTIF(Fevrier[19],CléEnfantMalade)+(COUNTIF(Fevrier[19],CléDemiEnfantMalade)/2)))</f>
        <v>0</v>
      </c>
      <c r="V19" s="33">
        <f>COUNTIF(Fevrier[20],CléCongé)+(COUNTIF(Fevrier[20],CléCongéSpécial)+COUNTIF(Fevrier[20],CléRTT)+(COUNTIF(Fevrier[20],CléDemiRtt)/2)+COUNTIF(Fevrier[20],CléCongéMalade)+COUNTIF(Fevrier[20],CléRécupération)+(COUNTIF(Fevrier[20],CléDemiRécupération)/2)+COUNTIF(Fevrier[20],CléFormation)+(COUNTIF(Fevrier[20],CléEnfantMalade)+(COUNTIF(Fevrier[20],CléDemiEnfantMalade)/2)))</f>
        <v>0</v>
      </c>
      <c r="W19" s="33">
        <f>COUNTIF(Fevrier[21],CléCongé)+(COUNTIF(Fevrier[21],CléCongéSpécial)+COUNTIF(Fevrier[21],CléRTT)+(COUNTIF(Fevrier[21],CléDemiRtt)/2)+COUNTIF(Fevrier[21],CléCongéMalade)+COUNTIF(Fevrier[21],CléRécupération)+(COUNTIF(Fevrier[21],CléDemiRécupération)/2)+COUNTIF(Fevrier[21],CléFormation)+(COUNTIF(Fevrier[21],CléEnfantMalade)+(COUNTIF(Fevrier[21],CléDemiEnfantMalade)/2)))</f>
        <v>0</v>
      </c>
      <c r="X19" s="33">
        <f>COUNTIF(Fevrier[22],CléCongé)+(COUNTIF(Fevrier[22],CléCongéSpécial)+COUNTIF(Fevrier[22],CléRTT)+(COUNTIF(Fevrier[22],CléDemiRtt)/2)+COUNTIF(Fevrier[22],CléCongéMalade)+COUNTIF(Fevrier[22],CléRécupération)+(COUNTIF(Fevrier[22],CléDemiRécupération)/2)+COUNTIF(Fevrier[22],CléFormation)+(COUNTIF(Fevrier[22],CléEnfantMalade)+(COUNTIF(Fevrier[22],CléDemiEnfantMalade)/2)))</f>
        <v>0</v>
      </c>
      <c r="Y19" s="33">
        <f>COUNTIF(Fevrier[23],CléCongé)+(COUNTIF(Fevrier[23],CléCongéSpécial)+COUNTIF(Fevrier[23],CléRTT)+(COUNTIF(Fevrier[23],CléDemiRtt)/2)+COUNTIF(Fevrier[23],CléCongéMalade)+COUNTIF(Fevrier[23],CléRécupération)+(COUNTIF(Fevrier[23],CléDemiRécupération)/2)+COUNTIF(Fevrier[23],CléFormation)+(COUNTIF(Fevrier[23],CléEnfantMalade)+(COUNTIF(Fevrier[23],CléDemiEnfantMalade)/2)))</f>
        <v>0</v>
      </c>
      <c r="Z19" s="33">
        <f>COUNTIF(Fevrier[24],CléCongé)+(COUNTIF(Fevrier[24],CléCongéSpécial)+COUNTIF(Fevrier[24],CléRTT)+(COUNTIF(Fevrier[24],CléDemiRtt)/2)+COUNTIF(Fevrier[24],CléCongéMalade)+COUNTIF(Fevrier[24],CléRécupération)+(COUNTIF(Fevrier[24],CléDemiRécupération)/2)+COUNTIF(Fevrier[24],CléFormation)+(COUNTIF(Fevrier[24],CléEnfantMalade)+(COUNTIF(Fevrier[24],CléDemiEnfantMalade)/2)))</f>
        <v>0</v>
      </c>
      <c r="AA19" s="33">
        <f>COUNTIF(Fevrier[25],CléCongé)+(COUNTIF(Fevrier[25],CléCongéSpécial)+COUNTIF(Fevrier[25],CléRTT)+(COUNTIF(Fevrier[25],CléDemiRtt)/2)+COUNTIF(Fevrier[25],CléCongéMalade)+COUNTIF(Fevrier[25],CléRécupération)+(COUNTIF(Fevrier[25],CléDemiRécupération)/2)+COUNTIF(Fevrier[25],CléFormation)+(COUNTIF(Fevrier[25],CléEnfantMalade)+(COUNTIF(Fevrier[25],CléDemiEnfantMalade)/2)))</f>
        <v>0</v>
      </c>
      <c r="AB19" s="33">
        <f>COUNTIF(Fevrier[26],CléCongé)+(COUNTIF(Fevrier[26],CléCongéSpécial)+COUNTIF(Fevrier[26],CléRTT)+(COUNTIF(Fevrier[26],CléDemiRtt)/2)+COUNTIF(Fevrier[26],CléCongéMalade)+COUNTIF(Fevrier[26],CléRécupération)+(COUNTIF(Fevrier[26],CléDemiRécupération)/2)+COUNTIF(Fevrier[26],CléFormation)+(COUNTIF(Fevrier[26],CléEnfantMalade)+(COUNTIF(Fevrier[26],CléDemiEnfantMalade)/2)))</f>
        <v>0</v>
      </c>
      <c r="AC19" s="33">
        <f>COUNTIF(Fevrier[27],CléCongé)+(COUNTIF(Fevrier[27],CléCongéSpécial)+COUNTIF(Fevrier[27],CléRTT)+(COUNTIF(Fevrier[27],CléDemiRtt)/2)+COUNTIF(Fevrier[27],CléCongéMalade)+COUNTIF(Fevrier[27],CléRécupération)+(COUNTIF(Fevrier[27],CléDemiRécupération)/2)+COUNTIF(Fevrier[27],CléFormation)+(COUNTIF(Fevrier[27],CléEnfantMalade)+(COUNTIF(Fevrier[27],CléDemiEnfantMalade)/2)))</f>
        <v>0</v>
      </c>
      <c r="AD19" s="33">
        <f>COUNTIF(Fevrier[28],CléCongé)+(COUNTIF(Fevrier[28],CléCongéSpécial)+COUNTIF(Fevrier[28],CléRTT)+(COUNTIF(Fevrier[28],CléDemiRtt)/2)+COUNTIF(Fevrier[28],CléCongéMalade)+COUNTIF(Fevrier[28],CléRécupération)+(COUNTIF(Fevrier[28],CléDemiRécupération)/2)+COUNTIF(Fevrier[28],CléFormation)+(COUNTIF(Fevrier[28],CléEnfantMalade)+(COUNTIF(Fevrier[28],CléDemiEnfantMalade)/2)))</f>
        <v>0</v>
      </c>
      <c r="AE19" s="33">
        <f>COUNTIF(Fevrier[29],CléCongé)+(COUNTIF(Fevrier[29],CléCongéSpécial)+COUNTIF(Fevrier[29],CléRTT)+(COUNTIF(Fevrier[29],CléDemiRtt)/2)+COUNTIF(Fevrier[29],CléCongéMalade)+COUNTIF(Fevrier[29],CléRécupération)+(COUNTIF(Fevrier[29],CléDemiRécupération)/2)+COUNTIF(Fevrier[29],CléFormation)+(COUNTIF(Fevrier[29],CléEnfantMalade)+(COUNTIF(Fevrier[29],CléDemiEnfantMalade)/2)))</f>
        <v>0</v>
      </c>
      <c r="AF19" s="33">
        <f>COUNTIF(Fevrier[[ ]],CléCongé)+(COUNTIF(Fevrier[[ ]],CléCongéSpécial)+COUNTIF(Fevrier[[ ]],CléRTT)+(COUNTIF(Fevrier[[ ]],CléDemiRtt)/2)+COUNTIF(Fevrier[[ ]],CléCongéMalade)+COUNTIF(Fevrier[[ ]],CléRécupération)+(COUNTIF(Fevrier[[ ]],CléDemiRécupération)/2)+COUNTIF(Fevrier[[ ]],CléFormation)+(COUNTIF(Fevrier[[ ]],CléEnfantMalade)+(COUNTIF(Fevrier[[ ]],CléDemiEnfantMalade)/2)))</f>
        <v>0</v>
      </c>
      <c r="AG19" s="33">
        <f>COUNTIF(Fevrier[[  ]],CléCongé)+(COUNTIF(Fevrier[[  ]],CléCongéSpécial)+COUNTIF(Fevrier[[  ]],CléRTT)+(COUNTIF(Fevrier[[  ]],CléDemiRtt)/2)+COUNTIF(Fevrier[[  ]],CléCongéMalade)+COUNTIF(Fevrier[[  ]],CléRécupération)+(COUNTIF(Fevrier[[  ]],CléDemiRécupération)/2)+COUNTIF(Fevrier[[  ]],CléFormation)+(COUNTIF(Fevrier[[  ]],CléEnfantMalade)+(COUNTIF(Fevrier[[  ]],CléDemiEnfantMalade)/2)))</f>
        <v>0</v>
      </c>
      <c r="AH19" s="26">
        <f>SUBTOTAL(109,Fevrier[Total])</f>
        <v>0</v>
      </c>
      <c r="AI19" s="26">
        <f>SUBTOTAL(109,Fevrier[Dont RTT])</f>
        <v>0</v>
      </c>
      <c r="AJ19" s="35">
        <f>SUBTOTAL(109,Fevrier[Dont MALADIE])</f>
        <v>0</v>
      </c>
      <c r="AK19" s="30"/>
    </row>
  </sheetData>
  <mergeCells count="15">
    <mergeCell ref="C5:AG5"/>
    <mergeCell ref="G2:H2"/>
    <mergeCell ref="J2:L2"/>
    <mergeCell ref="W2:Y2"/>
    <mergeCell ref="D3:E3"/>
    <mergeCell ref="G3:H3"/>
    <mergeCell ref="J3:L3"/>
    <mergeCell ref="N3:O3"/>
    <mergeCell ref="Q3:R3"/>
    <mergeCell ref="T3:U3"/>
    <mergeCell ref="W3:Y3"/>
    <mergeCell ref="D2:E2"/>
    <mergeCell ref="Q2:U2"/>
    <mergeCell ref="AA2:AC2"/>
    <mergeCell ref="AA3:AC3"/>
  </mergeCells>
  <conditionalFormatting sqref="A1:XFD1 A20:XFD1048576 A8:A18 AL8:XFD18 A19:B19 AH19:AI19 A7:AH7 AK7:XFD7 AK19:XFD19 A4:XFD4 A6:AJ6 A5:AG5 AI5:AJ5 AL5:XFD6">
    <cfRule type="containsText" dxfId="461" priority="387" stopIfTrue="1" operator="containsText" text="dim">
      <formula>NOT(ISERROR(SEARCH("dim",A1)))</formula>
    </cfRule>
  </conditionalFormatting>
  <conditionalFormatting sqref="C19:AG19">
    <cfRule type="containsText" dxfId="460" priority="274" stopIfTrue="1" operator="containsText" text="dim">
      <formula>NOT(ISERROR(SEARCH("dim",C19)))</formula>
    </cfRule>
  </conditionalFormatting>
  <conditionalFormatting sqref="AL3:XFD3 A2:A3 AG2:XFD2">
    <cfRule type="containsText" dxfId="459" priority="134" stopIfTrue="1" operator="containsText" text="dim">
      <formula>NOT(ISERROR(SEARCH("dim",A2)))</formula>
    </cfRule>
  </conditionalFormatting>
  <conditionalFormatting sqref="AJ19">
    <cfRule type="containsText" dxfId="458" priority="109" stopIfTrue="1" operator="containsText" text="dim">
      <formula>NOT(ISERROR(SEARCH("dim",AJ19)))</formula>
    </cfRule>
  </conditionalFormatting>
  <conditionalFormatting sqref="AH8:AH18">
    <cfRule type="dataBar" priority="73">
      <dataBar>
        <cfvo type="num" val="0"/>
        <cfvo type="num" val="31"/>
        <color rgb="FF00B0F0"/>
      </dataBar>
      <extLst>
        <ext xmlns:x14="http://schemas.microsoft.com/office/spreadsheetml/2009/9/main" uri="{B025F937-C7B1-47D3-B67F-A62EFF666E3E}">
          <x14:id>{EDBEF5A3-6273-3246-944C-733C6563D89E}</x14:id>
        </ext>
      </extLst>
    </cfRule>
    <cfRule type="containsText" dxfId="457" priority="76" stopIfTrue="1" operator="containsText" text="dim">
      <formula>NOT(ISERROR(SEARCH("dim",AH8)))</formula>
    </cfRule>
  </conditionalFormatting>
  <conditionalFormatting sqref="AI8:AI18">
    <cfRule type="dataBar" priority="74">
      <dataBar>
        <cfvo type="num" val="0"/>
        <cfvo type="num" val="31"/>
        <color rgb="FF92D050"/>
      </dataBar>
      <extLst>
        <ext xmlns:x14="http://schemas.microsoft.com/office/spreadsheetml/2009/9/main" uri="{B025F937-C7B1-47D3-B67F-A62EFF666E3E}">
          <x14:id>{299B0925-68E6-984D-BADF-3C0190B25A12}</x14:id>
        </ext>
      </extLst>
    </cfRule>
  </conditionalFormatting>
  <conditionalFormatting sqref="AH5">
    <cfRule type="containsText" dxfId="456" priority="56" stopIfTrue="1" operator="containsText" text="dim">
      <formula>NOT(ISERROR(SEARCH("dim",AH5)))</formula>
    </cfRule>
  </conditionalFormatting>
  <conditionalFormatting sqref="AK6">
    <cfRule type="containsText" dxfId="455" priority="55" stopIfTrue="1" operator="containsText" text="dim">
      <formula>NOT(ISERROR(SEARCH("dim",AK6)))</formula>
    </cfRule>
  </conditionalFormatting>
  <conditionalFormatting sqref="B3:D3 F2:G3 M3:N3 Q3 T3 V2:W3 I2:J3">
    <cfRule type="containsText" dxfId="454" priority="52" stopIfTrue="1" operator="containsText" text="dim">
      <formula>NOT(ISERROR(SEARCH("dim",B2)))</formula>
    </cfRule>
  </conditionalFormatting>
  <conditionalFormatting sqref="V2:W2">
    <cfRule type="containsText" dxfId="453" priority="51" stopIfTrue="1" operator="containsText" text="dim">
      <formula>NOT(ISERROR(SEARCH("dim",V2)))</formula>
    </cfRule>
  </conditionalFormatting>
  <conditionalFormatting sqref="AA2">
    <cfRule type="containsText" dxfId="452" priority="50" stopIfTrue="1" operator="containsText" text="dim">
      <formula>NOT(ISERROR(SEARCH("dim",AA2)))</formula>
    </cfRule>
  </conditionalFormatting>
  <conditionalFormatting sqref="AA2">
    <cfRule type="containsText" dxfId="451" priority="49" stopIfTrue="1" operator="containsText" text="dim">
      <formula>NOT(ISERROR(SEARCH("dim",AA2)))</formula>
    </cfRule>
  </conditionalFormatting>
  <conditionalFormatting sqref="P3">
    <cfRule type="expression" dxfId="450" priority="35" stopIfTrue="1">
      <formula>P3=CléNonTravaillé</formula>
    </cfRule>
    <cfRule type="expression" dxfId="449" priority="36" stopIfTrue="1">
      <formula>P3=CléPrésenceExceptionnelle</formula>
    </cfRule>
    <cfRule type="expression" dxfId="448" priority="37" stopIfTrue="1">
      <formula>P3=CléCongéSpécial</formula>
    </cfRule>
    <cfRule type="expression" dxfId="447" priority="38" stopIfTrue="1">
      <formula>P3=CléDemiRécupération</formula>
    </cfRule>
    <cfRule type="expression" dxfId="446" priority="39" stopIfTrue="1">
      <formula>P3=CléDemiEnfantMalade</formula>
    </cfRule>
    <cfRule type="expression" dxfId="445" priority="40" stopIfTrue="1">
      <formula>P3=CléEnfantMalade</formula>
    </cfRule>
    <cfRule type="expression" dxfId="444" priority="41" stopIfTrue="1">
      <formula>P3=CléDemiRtt</formula>
    </cfRule>
    <cfRule type="expression" priority="42" stopIfTrue="1">
      <formula>P3=""</formula>
    </cfRule>
    <cfRule type="expression" dxfId="443" priority="43" stopIfTrue="1">
      <formula>P3=CléMaladie</formula>
    </cfRule>
    <cfRule type="expression" dxfId="442" priority="44" stopIfTrue="1">
      <formula>P3=CléCongé</formula>
    </cfRule>
    <cfRule type="expression" dxfId="441" priority="45" stopIfTrue="1">
      <formula>P3=CléRécupération</formula>
    </cfRule>
    <cfRule type="expression" dxfId="440" priority="46" stopIfTrue="1">
      <formula>P3=CléFormation</formula>
    </cfRule>
    <cfRule type="expression" dxfId="439" priority="47" stopIfTrue="1">
      <formula>P3=CléRTT</formula>
    </cfRule>
    <cfRule type="expression" dxfId="438" priority="48" stopIfTrue="1">
      <formula>P3=CléTélétravail</formula>
    </cfRule>
  </conditionalFormatting>
  <conditionalFormatting sqref="AA3">
    <cfRule type="containsText" dxfId="437" priority="34" stopIfTrue="1" operator="containsText" text="dim">
      <formula>NOT(ISERROR(SEARCH("dim",AA3)))</formula>
    </cfRule>
  </conditionalFormatting>
  <conditionalFormatting sqref="AA3">
    <cfRule type="containsText" dxfId="436" priority="33" stopIfTrue="1" operator="containsText" text="dim">
      <formula>NOT(ISERROR(SEARCH("dim",AA3)))</formula>
    </cfRule>
  </conditionalFormatting>
  <conditionalFormatting sqref="C8:AG18">
    <cfRule type="expression" dxfId="435" priority="3" stopIfTrue="1">
      <formula>C8=CléAbsenceJustifiée</formula>
    </cfRule>
    <cfRule type="expression" dxfId="434" priority="4" stopIfTrue="1">
      <formula>C8=CléNonTravaillé</formula>
    </cfRule>
    <cfRule type="expression" dxfId="433" priority="5" stopIfTrue="1">
      <formula>C8=CléPrésenceExceptionnelle</formula>
    </cfRule>
    <cfRule type="expression" dxfId="432" priority="6" stopIfTrue="1">
      <formula>C8=CléCongéSpécial</formula>
    </cfRule>
    <cfRule type="expression" dxfId="431" priority="7" stopIfTrue="1">
      <formula>C8=CléDemiRécupération</formula>
    </cfRule>
    <cfRule type="expression" dxfId="430" priority="8" stopIfTrue="1">
      <formula>C8=CléDemiEnfantMalade</formula>
    </cfRule>
    <cfRule type="expression" dxfId="429" priority="9" stopIfTrue="1">
      <formula>C8=CléEnfantMalade</formula>
    </cfRule>
    <cfRule type="expression" dxfId="428" priority="10" stopIfTrue="1">
      <formula>C8=CléDemiRtt</formula>
    </cfRule>
    <cfRule type="expression" priority="11" stopIfTrue="1">
      <formula>C8=""</formula>
    </cfRule>
    <cfRule type="expression" dxfId="427" priority="12" stopIfTrue="1">
      <formula>C8=CléCongéMalade</formula>
    </cfRule>
    <cfRule type="expression" dxfId="426" priority="13" stopIfTrue="1">
      <formula>C8=CléCongé</formula>
    </cfRule>
    <cfRule type="expression" dxfId="425" priority="14" stopIfTrue="1">
      <formula>C8=CléRécupération</formula>
    </cfRule>
    <cfRule type="expression" dxfId="424" priority="15" stopIfTrue="1">
      <formula>C8=CléFormation</formula>
    </cfRule>
    <cfRule type="expression" dxfId="423" priority="16" stopIfTrue="1">
      <formula>C8=CléRTT</formula>
    </cfRule>
    <cfRule type="expression" dxfId="422" priority="17" stopIfTrue="1">
      <formula>C8=CléTélétravail</formula>
    </cfRule>
  </conditionalFormatting>
  <conditionalFormatting sqref="S3">
    <cfRule type="containsText" dxfId="421" priority="2" stopIfTrue="1" operator="containsText" text="dim">
      <formula>NOT(ISERROR(SEARCH("dim",S3)))</formula>
    </cfRule>
  </conditionalFormatting>
  <conditionalFormatting sqref="AJ8:AJ18">
    <cfRule type="dataBar" priority="1">
      <dataBar>
        <cfvo type="num" val="0"/>
        <cfvo type="num" val="31"/>
        <color rgb="FFFF0000"/>
      </dataBar>
      <extLst>
        <ext xmlns:x14="http://schemas.microsoft.com/office/spreadsheetml/2009/9/main" uri="{B025F937-C7B1-47D3-B67F-A62EFF666E3E}">
          <x14:id>{369FAF46-5954-4E68-948F-7793BA727CAC}</x14:id>
        </ext>
      </extLst>
    </cfRule>
  </conditionalFormatting>
  <dataValidations count="18">
    <dataValidation allowBlank="1" showInputMessage="1" showErrorMessage="1" prompt="Les jours du mois dans cette ligne sont générés automatiquement. Entrez l’absence et le motif d’absence d’un employé dans chaque colonne pour chaque jour du mois. Un champ vide indique qu’il n’y a pas eu d’absence" sqref="C7" xr:uid="{C2975FCB-1223-B74D-A693-223600ACC9DE}"/>
    <dataValidation allowBlank="1" showInputMessage="1" showErrorMessage="1" prompt="Les jours de la semaine dans cette ligne sont mis à jour automatiquement pour le mois en fonction de l’année dans AH4. Chaque jour du mois est une colonne dans laquelle noter l’absence et le motif d’absence d’un employé" sqref="C6" xr:uid="{0B6AC1ED-5B45-5C47-9018-82BEB881A4B9}"/>
    <dataValidation allowBlank="1" showInputMessage="1" showErrorMessage="1" prompt="La lettre « M » indique une absence pour cause de maladie" sqref="S3" xr:uid="{4B0A0B58-1FA1-4308-9FFA-1CC2D60C139F}"/>
    <dataValidation allowBlank="1" showInputMessage="1" showErrorMessage="1" prompt="Entrez une lettre et personnalisez l’étiquette à droite pour ajouter un élément de clé" sqref="M3" xr:uid="{B1CE2677-C082-A540-A1D0-13B87A62E7A9}"/>
    <dataValidation allowBlank="1" showInputMessage="1" showErrorMessage="1" prompt="Entrez une étiquette pour décrire la clé personnalisée à gauche" sqref="J2:J3" xr:uid="{3CCE56D1-5651-844C-9961-0F5B695C2D2D}"/>
    <dataValidation errorStyle="warning" allowBlank="1" showInputMessage="1" showErrorMessage="1" error="Sélectionnez un nom dans la liste. Sélectionnez ANNULER, appuyez sur ALT+FLÈCHE BAS, puis sur ENTRÉE pour sélectionner un nom" prompt="Entrez les noms des employés dans la feuille de calcul du Noms des employés, puis sélectionnez l’un des noms de la liste figurant dans cette colonne. Appuyez sur ALT+FLÈCHE BAS, puis sur ENTRÉE pour sélectionner un nom" sqref="B7" xr:uid="{6E21AA15-07EC-124C-8558-70E9D45EAB68}"/>
    <dataValidation allowBlank="1" showInputMessage="1" showErrorMessage="1" prompt="Nom du mois pour ce calendrier des absences dans cette cellule. Le total des absences pour ce mois figure dans la dernière cellule du tableau. Sélectionnez les noms des employés dans la colonne B du tableau" sqref="B5" xr:uid="{7F217003-CCEF-7B4C-B314-E0AC0315AABB}"/>
    <dataValidation allowBlank="1" showInputMessage="1" showErrorMessage="1" prompt="Le titre mis à jour automatiquement figure dans cette cellule. Pour modifier le titre, mettez à jour la cellule B1 de la feuille de calcul Janvier" sqref="B1" xr:uid="{65760958-6D36-554D-BFAC-65B14AC3BE91}"/>
    <dataValidation allowBlank="1" showInputMessage="1" showErrorMessage="1" prompt="Calcule automatiquement le nombre total de jours d’absence d’un employé durant ce mois dans cette colonne" sqref="AH7" xr:uid="{EC965676-0CCD-144A-8E87-E48A3238E9E1}"/>
    <dataValidation allowBlank="1" showInputMessage="1" showErrorMessage="1" prompt="Suivez les absences du mois de février dans cette feuille de calcul" sqref="A1" xr:uid="{DCD38D13-2AE8-E443-BE8C-8A45B8EFD412}"/>
    <dataValidation allowBlank="1" showErrorMessage="1" prompt="Entrez une étiquette pour décrire la clé personnalisée à gauche" sqref="N3" xr:uid="{3FD90DF7-F746-384F-90E1-8FDF702B5D35}"/>
    <dataValidation allowBlank="1" showErrorMessage="1" prompt="Entrez une lettre et personnalisez l’étiquette à droite pour ajouter un élément de clé" sqref="I2:I3" xr:uid="{999B0789-9769-834D-9C9E-3F4B171A8C4D}"/>
    <dataValidation allowBlank="1" showErrorMessage="1" prompt="La lettre « P » indique une absence pour motifs personnels" sqref="F3" xr:uid="{E5CB4047-F134-EF47-90D0-62DF789BB397}"/>
    <dataValidation allowBlank="1" showErrorMessage="1" prompt="La lettre « C » indique une absence pour cause de congé" sqref="C3" xr:uid="{AFA45F87-32F0-6848-AE6C-0E11F9B2DE4E}"/>
    <dataValidation allowBlank="1" showInputMessage="1" showErrorMessage="1" prompt="Le Calendrier des absences des employés suit les absences exprimées en jours pour chaque mois. Il existe 13 feuilles de calcul, 12 mensuelles et la dernière pour les noms des employés. Suivez les absences du mois de janvier dans cette feuille de calcul" sqref="A2" xr:uid="{D59AF29B-8E9C-254F-8C4B-4208649A9A62}"/>
    <dataValidation allowBlank="1" showErrorMessage="1" sqref="B2:B3" xr:uid="{0778C10D-80D3-4542-8567-06BE98088473}"/>
    <dataValidation allowBlank="1" showInputMessage="1" showErrorMessage="1" prompt="Année mise à jour automatiquement en fonction de l’année entrée dans la feuille de calcul Janvier" sqref="AK5" xr:uid="{316E5908-D010-274B-80FC-1B5013D4826E}"/>
    <dataValidation type="list" allowBlank="1" showInputMessage="1" showErrorMessage="1" sqref="B8:B18" xr:uid="{50AFECC1-0D8C-EB4D-ABEF-B2397E89204F}">
      <formula1>Nom_Employe</formula1>
    </dataValidation>
  </dataValidations>
  <pageMargins left="0.7" right="0.7" top="0.75" bottom="0.75" header="0.3" footer="0.3"/>
  <pageSetup paperSize="9" fitToHeight="0" orientation="portrait" verticalDpi="4294967293" r:id="rId1"/>
  <legacyDrawing r:id="rId2"/>
  <tableParts count="1">
    <tablePart r:id="rId3"/>
  </tableParts>
  <extLst>
    <ext xmlns:x14="http://schemas.microsoft.com/office/spreadsheetml/2009/9/main" uri="{78C0D931-6437-407d-A8EE-F0AAD7539E65}">
      <x14:conditionalFormattings>
        <x14:conditionalFormatting xmlns:xm="http://schemas.microsoft.com/office/excel/2006/main">
          <x14:cfRule type="dataBar" id="{EDBEF5A3-6273-3246-944C-733C6563D89E}">
            <x14:dataBar minLength="0" maxLength="100">
              <x14:cfvo type="num">
                <xm:f>0</xm:f>
              </x14:cfvo>
              <x14:cfvo type="num">
                <xm:f>31</xm:f>
              </x14:cfvo>
              <x14:negativeFillColor rgb="FFFF0000"/>
              <x14:axisColor rgb="FF000000"/>
            </x14:dataBar>
          </x14:cfRule>
          <xm:sqref>AH8:AH18</xm:sqref>
        </x14:conditionalFormatting>
        <x14:conditionalFormatting xmlns:xm="http://schemas.microsoft.com/office/excel/2006/main">
          <x14:cfRule type="dataBar" id="{299B0925-68E6-984D-BADF-3C0190B25A12}">
            <x14:dataBar minLength="0" maxLength="100">
              <x14:cfvo type="num">
                <xm:f>0</xm:f>
              </x14:cfvo>
              <x14:cfvo type="num">
                <xm:f>31</xm:f>
              </x14:cfvo>
              <x14:negativeFillColor rgb="FFFF0000"/>
              <x14:axisColor rgb="FF000000"/>
            </x14:dataBar>
          </x14:cfRule>
          <xm:sqref>AI8:AI18</xm:sqref>
        </x14:conditionalFormatting>
        <x14:conditionalFormatting xmlns:xm="http://schemas.microsoft.com/office/excel/2006/main">
          <x14:cfRule type="dataBar" id="{369FAF46-5954-4E68-948F-7793BA727CAC}">
            <x14:dataBar minLength="0" maxLength="100">
              <x14:cfvo type="num">
                <xm:f>0</xm:f>
              </x14:cfvo>
              <x14:cfvo type="num">
                <xm:f>31</xm:f>
              </x14:cfvo>
              <x14:negativeFillColor rgb="FFFF0000"/>
              <x14:axisColor rgb="FF000000"/>
            </x14:dataBar>
          </x14:cfRule>
          <xm:sqref>AJ8:AJ18</xm:sqref>
        </x14:conditionalFormatting>
      </x14:conditionalFormatting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48B9A17-16B1-4944-AA7A-08DB67BAA54A}">
  <sheetPr codeName="Feuil3">
    <tabColor theme="2" tint="-0.499984740745262"/>
  </sheetPr>
  <dimension ref="A1:AK19"/>
  <sheetViews>
    <sheetView showGridLines="0" topLeftCell="M5" zoomScale="110" zoomScaleNormal="110" workbookViewId="0">
      <selection activeCell="AJ9" sqref="AJ9"/>
    </sheetView>
  </sheetViews>
  <sheetFormatPr baseColWidth="10" defaultColWidth="9.140625" defaultRowHeight="30" customHeight="1"/>
  <cols>
    <col min="1" max="1" width="2.7109375" style="3" customWidth="1"/>
    <col min="2" max="2" width="25.85546875" style="3" customWidth="1"/>
    <col min="3" max="33" width="4.7109375" style="3" customWidth="1"/>
    <col min="34" max="34" width="13.28515625" style="3" customWidth="1"/>
    <col min="35" max="36" width="13.28515625" customWidth="1"/>
    <col min="37" max="37" width="19.42578125" customWidth="1"/>
  </cols>
  <sheetData>
    <row r="1" spans="1:37" ht="50.1" customHeight="1">
      <c r="B1" s="4" t="str">
        <f>Titre_Absence_Employé</f>
        <v>Calendrier des absences des employés</v>
      </c>
    </row>
    <row r="2" spans="1:37" ht="21.95" customHeight="1">
      <c r="A2" s="5"/>
      <c r="C2" s="48" t="s">
        <v>89</v>
      </c>
      <c r="D2" s="93" t="s">
        <v>90</v>
      </c>
      <c r="E2" s="93"/>
      <c r="F2" s="39" t="s">
        <v>72</v>
      </c>
      <c r="G2" s="88" t="s">
        <v>66</v>
      </c>
      <c r="H2" s="88"/>
      <c r="I2" s="38" t="s">
        <v>71</v>
      </c>
      <c r="J2" s="88" t="s">
        <v>74</v>
      </c>
      <c r="K2" s="88"/>
      <c r="L2" s="88"/>
      <c r="P2" s="47" t="s">
        <v>87</v>
      </c>
      <c r="Q2" s="95" t="s">
        <v>88</v>
      </c>
      <c r="R2" s="95"/>
      <c r="S2" s="95"/>
      <c r="T2" s="95"/>
      <c r="U2" s="95"/>
      <c r="V2" s="40" t="s">
        <v>70</v>
      </c>
      <c r="W2" s="88" t="s">
        <v>73</v>
      </c>
      <c r="X2" s="88"/>
      <c r="Y2" s="88"/>
      <c r="Z2" s="51" t="s">
        <v>96</v>
      </c>
      <c r="AA2" s="88" t="s">
        <v>97</v>
      </c>
      <c r="AB2" s="88"/>
      <c r="AC2" s="88"/>
    </row>
    <row r="3" spans="1:37" ht="18" customHeight="1">
      <c r="B3" s="9" t="s">
        <v>1</v>
      </c>
      <c r="C3" s="17" t="s">
        <v>4</v>
      </c>
      <c r="D3" s="89" t="s">
        <v>7</v>
      </c>
      <c r="E3" s="89"/>
      <c r="F3" s="18" t="s">
        <v>57</v>
      </c>
      <c r="G3" s="88" t="s">
        <v>57</v>
      </c>
      <c r="H3" s="88"/>
      <c r="I3" s="21" t="s">
        <v>55</v>
      </c>
      <c r="J3" s="88" t="s">
        <v>56</v>
      </c>
      <c r="K3" s="88"/>
      <c r="L3" s="88"/>
      <c r="M3" s="14" t="s">
        <v>58</v>
      </c>
      <c r="N3" s="88" t="s">
        <v>59</v>
      </c>
      <c r="O3" s="90"/>
      <c r="P3" s="54" t="s">
        <v>60</v>
      </c>
      <c r="Q3" s="91" t="s">
        <v>61</v>
      </c>
      <c r="R3" s="88"/>
      <c r="S3" s="20" t="s">
        <v>11</v>
      </c>
      <c r="T3" s="89" t="s">
        <v>17</v>
      </c>
      <c r="U3" s="89"/>
      <c r="V3" s="36" t="s">
        <v>69</v>
      </c>
      <c r="W3" s="88" t="s">
        <v>68</v>
      </c>
      <c r="X3" s="88"/>
      <c r="Y3" s="88"/>
      <c r="Z3" s="73" t="s">
        <v>100</v>
      </c>
      <c r="AA3" s="92" t="s">
        <v>101</v>
      </c>
      <c r="AB3" s="92"/>
      <c r="AC3" s="92"/>
    </row>
    <row r="4" spans="1:37" ht="15" customHeight="1">
      <c r="B4" s="4"/>
    </row>
    <row r="5" spans="1:37" ht="30" customHeight="1">
      <c r="B5" s="19" t="s">
        <v>44</v>
      </c>
      <c r="C5" s="87" t="s">
        <v>5</v>
      </c>
      <c r="D5" s="87"/>
      <c r="E5" s="87"/>
      <c r="F5" s="87"/>
      <c r="G5" s="87"/>
      <c r="H5" s="87"/>
      <c r="I5" s="87"/>
      <c r="J5" s="87"/>
      <c r="K5" s="87"/>
      <c r="L5" s="87"/>
      <c r="M5" s="87"/>
      <c r="N5" s="87"/>
      <c r="O5" s="87"/>
      <c r="P5" s="87"/>
      <c r="Q5" s="87"/>
      <c r="R5" s="87"/>
      <c r="S5" s="87"/>
      <c r="T5" s="87"/>
      <c r="U5" s="87"/>
      <c r="V5" s="87"/>
      <c r="W5" s="87"/>
      <c r="X5" s="87"/>
      <c r="Y5" s="87"/>
      <c r="Z5" s="87"/>
      <c r="AA5" s="87"/>
      <c r="AB5" s="87"/>
      <c r="AC5" s="87"/>
      <c r="AD5" s="87"/>
      <c r="AE5" s="87"/>
      <c r="AF5" s="87"/>
      <c r="AG5" s="87"/>
      <c r="AH5" s="23"/>
      <c r="AI5" s="23"/>
      <c r="AJ5" s="23"/>
      <c r="AK5" s="69">
        <f>AnnéeCalendrier</f>
        <v>2021</v>
      </c>
    </row>
    <row r="6" spans="1:37" ht="15" customHeight="1">
      <c r="B6" s="13"/>
      <c r="C6" s="55" t="str">
        <f>TEXT(WEEKDAY(DATE(AnnéeCalendrier,3,1),1),"jjj")</f>
        <v>lun</v>
      </c>
      <c r="D6" s="55" t="str">
        <f>TEXT(WEEKDAY(DATE(AnnéeCalendrier,3,2),1),"jjj")</f>
        <v>mar</v>
      </c>
      <c r="E6" s="55" t="str">
        <f>TEXT(WEEKDAY(DATE(AnnéeCalendrier,3,3),1),"jjj")</f>
        <v>mer</v>
      </c>
      <c r="F6" s="55" t="str">
        <f>TEXT(WEEKDAY(DATE(AnnéeCalendrier,3,4),1),"jjj")</f>
        <v>jeu</v>
      </c>
      <c r="G6" s="55" t="str">
        <f>TEXT(WEEKDAY(DATE(AnnéeCalendrier,3,5),1),"jjj")</f>
        <v>ven</v>
      </c>
      <c r="H6" s="55" t="str">
        <f>TEXT(WEEKDAY(DATE(AnnéeCalendrier,3,6),1),"jjj")</f>
        <v>sam</v>
      </c>
      <c r="I6" s="55" t="str">
        <f>TEXT(WEEKDAY(DATE(AnnéeCalendrier,3,7),1),"jjj")</f>
        <v>dim</v>
      </c>
      <c r="J6" s="55" t="str">
        <f>TEXT(WEEKDAY(DATE(AnnéeCalendrier,3,8),1),"jjj")</f>
        <v>lun</v>
      </c>
      <c r="K6" s="55" t="str">
        <f>TEXT(WEEKDAY(DATE(AnnéeCalendrier,3,9),1),"jjj")</f>
        <v>mar</v>
      </c>
      <c r="L6" s="55" t="str">
        <f>TEXT(WEEKDAY(DATE(AnnéeCalendrier,3,10),1),"jjj")</f>
        <v>mer</v>
      </c>
      <c r="M6" s="55" t="str">
        <f>TEXT(WEEKDAY(DATE(AnnéeCalendrier,3,11),1),"jjj")</f>
        <v>jeu</v>
      </c>
      <c r="N6" s="55" t="str">
        <f>TEXT(WEEKDAY(DATE(AnnéeCalendrier,3,12),1),"jjj")</f>
        <v>ven</v>
      </c>
      <c r="O6" s="55" t="str">
        <f>TEXT(WEEKDAY(DATE(AnnéeCalendrier,3,13),1),"jjj")</f>
        <v>sam</v>
      </c>
      <c r="P6" s="55" t="str">
        <f>TEXT(WEEKDAY(DATE(AnnéeCalendrier,3,14),1),"jjj")</f>
        <v>dim</v>
      </c>
      <c r="Q6" s="55" t="str">
        <f>TEXT(WEEKDAY(DATE(AnnéeCalendrier,3,15),1),"jjj")</f>
        <v>lun</v>
      </c>
      <c r="R6" s="55" t="str">
        <f>TEXT(WEEKDAY(DATE(AnnéeCalendrier,3,16),1),"jjj")</f>
        <v>mar</v>
      </c>
      <c r="S6" s="55" t="str">
        <f>TEXT(WEEKDAY(DATE(AnnéeCalendrier,3,17),1),"jjj")</f>
        <v>mer</v>
      </c>
      <c r="T6" s="55" t="str">
        <f>TEXT(WEEKDAY(DATE(AnnéeCalendrier,3,18),1),"jjj")</f>
        <v>jeu</v>
      </c>
      <c r="U6" s="55" t="str">
        <f>TEXT(WEEKDAY(DATE(AnnéeCalendrier,3,19),1),"jjj")</f>
        <v>ven</v>
      </c>
      <c r="V6" s="55" t="str">
        <f>TEXT(WEEKDAY(DATE(AnnéeCalendrier,3,20),1),"jjj")</f>
        <v>sam</v>
      </c>
      <c r="W6" s="55" t="str">
        <f>TEXT(WEEKDAY(DATE(AnnéeCalendrier,3,21),1),"jjj")</f>
        <v>dim</v>
      </c>
      <c r="X6" s="55" t="str">
        <f>TEXT(WEEKDAY(DATE(AnnéeCalendrier,3,22),1),"jjj")</f>
        <v>lun</v>
      </c>
      <c r="Y6" s="55" t="str">
        <f>TEXT(WEEKDAY(DATE(AnnéeCalendrier,3,23),1),"jjj")</f>
        <v>mar</v>
      </c>
      <c r="Z6" s="55" t="str">
        <f>TEXT(WEEKDAY(DATE(AnnéeCalendrier,3,24),1),"jjj")</f>
        <v>mer</v>
      </c>
      <c r="AA6" s="55" t="str">
        <f>TEXT(WEEKDAY(DATE(AnnéeCalendrier,3,25),1),"jjj")</f>
        <v>jeu</v>
      </c>
      <c r="AB6" s="55" t="str">
        <f>TEXT(WEEKDAY(DATE(AnnéeCalendrier,3,26),1),"jjj")</f>
        <v>ven</v>
      </c>
      <c r="AC6" s="55" t="str">
        <f>TEXT(WEEKDAY(DATE(AnnéeCalendrier,3,27),1),"jjj")</f>
        <v>sam</v>
      </c>
      <c r="AD6" s="55" t="str">
        <f>TEXT(WEEKDAY(DATE(AnnéeCalendrier,3,28),1),"jjj")</f>
        <v>dim</v>
      </c>
      <c r="AE6" s="55" t="str">
        <f>TEXT(WEEKDAY(DATE(AnnéeCalendrier,3,29),1),"jjj")</f>
        <v>lun</v>
      </c>
      <c r="AF6" s="55" t="str">
        <f>TEXT(WEEKDAY(DATE(AnnéeCalendrier,3,30),1),"jjj")</f>
        <v>mar</v>
      </c>
      <c r="AG6" s="55" t="str">
        <f>TEXT(WEEKDAY(DATE(AnnéeCalendrier,3,31),1),"jjj")</f>
        <v>mer</v>
      </c>
      <c r="AH6" s="10"/>
      <c r="AI6" s="10"/>
      <c r="AJ6" s="10"/>
      <c r="AK6" s="10"/>
    </row>
    <row r="7" spans="1:37" ht="35.1" customHeight="1">
      <c r="B7" s="11" t="s">
        <v>3</v>
      </c>
      <c r="C7" s="12" t="s">
        <v>6</v>
      </c>
      <c r="D7" s="12" t="s">
        <v>8</v>
      </c>
      <c r="E7" s="12" t="s">
        <v>9</v>
      </c>
      <c r="F7" s="12" t="s">
        <v>10</v>
      </c>
      <c r="G7" s="12" t="s">
        <v>12</v>
      </c>
      <c r="H7" s="12" t="s">
        <v>13</v>
      </c>
      <c r="I7" s="12" t="s">
        <v>14</v>
      </c>
      <c r="J7" s="12" t="s">
        <v>15</v>
      </c>
      <c r="K7" s="12" t="s">
        <v>16</v>
      </c>
      <c r="L7" s="12" t="s">
        <v>18</v>
      </c>
      <c r="M7" s="12" t="s">
        <v>19</v>
      </c>
      <c r="N7" s="12" t="s">
        <v>20</v>
      </c>
      <c r="O7" s="12" t="s">
        <v>21</v>
      </c>
      <c r="P7" s="12" t="s">
        <v>22</v>
      </c>
      <c r="Q7" s="12" t="s">
        <v>23</v>
      </c>
      <c r="R7" s="12" t="s">
        <v>24</v>
      </c>
      <c r="S7" s="12" t="s">
        <v>25</v>
      </c>
      <c r="T7" s="12" t="s">
        <v>26</v>
      </c>
      <c r="U7" s="12" t="s">
        <v>27</v>
      </c>
      <c r="V7" s="12" t="s">
        <v>28</v>
      </c>
      <c r="W7" s="12" t="s">
        <v>29</v>
      </c>
      <c r="X7" s="12" t="s">
        <v>30</v>
      </c>
      <c r="Y7" s="12" t="s">
        <v>31</v>
      </c>
      <c r="Z7" s="12" t="s">
        <v>32</v>
      </c>
      <c r="AA7" s="12" t="s">
        <v>33</v>
      </c>
      <c r="AB7" s="12" t="s">
        <v>34</v>
      </c>
      <c r="AC7" s="12" t="s">
        <v>35</v>
      </c>
      <c r="AD7" s="12" t="s">
        <v>36</v>
      </c>
      <c r="AE7" s="12" t="s">
        <v>37</v>
      </c>
      <c r="AF7" s="12" t="s">
        <v>38</v>
      </c>
      <c r="AG7" s="12" t="s">
        <v>39</v>
      </c>
      <c r="AH7" s="24" t="s">
        <v>67</v>
      </c>
      <c r="AI7" s="25" t="s">
        <v>78</v>
      </c>
      <c r="AJ7" s="25" t="s">
        <v>98</v>
      </c>
      <c r="AK7" s="32" t="s">
        <v>75</v>
      </c>
    </row>
    <row r="8" spans="1:37" ht="30" customHeight="1">
      <c r="B8" s="8"/>
      <c r="C8" s="15"/>
      <c r="D8" s="15"/>
      <c r="E8" s="15"/>
      <c r="F8" s="15"/>
      <c r="G8" s="15"/>
      <c r="H8" s="15"/>
      <c r="I8" s="15"/>
      <c r="J8" s="15"/>
      <c r="K8" s="15"/>
      <c r="L8" s="15"/>
      <c r="M8" s="15"/>
      <c r="N8" s="15"/>
      <c r="O8" s="15"/>
      <c r="P8" s="15"/>
      <c r="Q8" s="15"/>
      <c r="R8" s="15"/>
      <c r="S8" s="15"/>
      <c r="T8" s="15"/>
      <c r="U8" s="15"/>
      <c r="V8" s="15"/>
      <c r="W8" s="15"/>
      <c r="X8" s="15"/>
      <c r="Y8" s="15"/>
      <c r="Z8" s="15"/>
      <c r="AA8" s="15"/>
      <c r="AB8" s="15"/>
      <c r="AC8" s="15"/>
      <c r="AD8" s="15"/>
      <c r="AE8" s="15"/>
      <c r="AF8" s="15"/>
      <c r="AG8" s="15"/>
      <c r="AH8" s="31">
        <f t="shared" ref="AH8:AH18" si="0">(COUNTIF(C8:AG8,CléCongé)+(COUNTIF(C8:AG8,CléEnfantMalade)+COUNTIF(C8:AG8,CléRTT)+COUNTIF(C8:AG8,CléCongéMalade)+COUNTIF(C8:AG8,CléRécupération)+COUNTIF(C8:AG8,CléFormation)+COUNTIF(C8:AG8,CléTélétravail-1)+COUNTIF(C8:AG8,CléCongéSpécial)+COUNTIF(C8:AG8,CléPrésenceExceptionnelle-1)+COUNTIF(C8:AG8,CléDemiRtt)/2)+COUNTIF(C8:AG8,CléDemiRécupération)/2)+COUNTIF(C8:AG8,CléDemiEnfantMalade)/2</f>
        <v>0</v>
      </c>
      <c r="AI8" s="31">
        <f t="shared" ref="AI8:AI18" si="1">COUNTIF(C8:AG8,CléRTT)+COUNTIF(C8:AG8,CléDemiRtt)/2</f>
        <v>0</v>
      </c>
      <c r="AJ8" s="31">
        <f t="shared" ref="AJ8:AJ18" si="2">COUNTIF(C8:AG8,$S$3)</f>
        <v>0</v>
      </c>
      <c r="AK8" s="22"/>
    </row>
    <row r="9" spans="1:37" ht="30" customHeight="1">
      <c r="B9" s="8"/>
      <c r="C9" s="15"/>
      <c r="D9" s="15"/>
      <c r="E9" s="15"/>
      <c r="F9" s="15"/>
      <c r="G9" s="15"/>
      <c r="H9" s="15"/>
      <c r="I9" s="15"/>
      <c r="J9" s="15"/>
      <c r="K9" s="15"/>
      <c r="L9" s="15"/>
      <c r="M9" s="15"/>
      <c r="N9" s="15"/>
      <c r="O9" s="15"/>
      <c r="P9" s="15"/>
      <c r="Q9" s="15"/>
      <c r="R9" s="15"/>
      <c r="S9" s="15"/>
      <c r="T9" s="15"/>
      <c r="U9" s="15"/>
      <c r="V9" s="15"/>
      <c r="W9" s="15"/>
      <c r="X9" s="15"/>
      <c r="Y9" s="15"/>
      <c r="Z9" s="15"/>
      <c r="AA9" s="15"/>
      <c r="AB9" s="15"/>
      <c r="AC9" s="15"/>
      <c r="AD9" s="15"/>
      <c r="AE9" s="15"/>
      <c r="AF9" s="15"/>
      <c r="AG9" s="15"/>
      <c r="AH9" s="31">
        <f t="shared" si="0"/>
        <v>0</v>
      </c>
      <c r="AI9" s="31">
        <f t="shared" si="1"/>
        <v>0</v>
      </c>
      <c r="AJ9" s="31">
        <f t="shared" si="2"/>
        <v>0</v>
      </c>
      <c r="AK9" s="22">
        <f>Fevrier!AK9-Mars[[#This Row],[Dont RTT]]+2</f>
        <v>9</v>
      </c>
    </row>
    <row r="10" spans="1:37" ht="30" customHeight="1">
      <c r="B10" s="8"/>
      <c r="C10" s="15"/>
      <c r="D10" s="15"/>
      <c r="E10" s="15"/>
      <c r="F10" s="15"/>
      <c r="G10" s="15"/>
      <c r="H10" s="15"/>
      <c r="I10" s="15"/>
      <c r="J10" s="15"/>
      <c r="K10" s="15"/>
      <c r="L10" s="15"/>
      <c r="M10" s="15"/>
      <c r="N10" s="15"/>
      <c r="O10" s="15"/>
      <c r="P10" s="15"/>
      <c r="Q10" s="15"/>
      <c r="R10" s="15"/>
      <c r="S10" s="15"/>
      <c r="T10" s="15"/>
      <c r="U10" s="15"/>
      <c r="V10" s="15"/>
      <c r="W10" s="15"/>
      <c r="X10" s="15"/>
      <c r="Y10" s="15"/>
      <c r="Z10" s="15"/>
      <c r="AA10" s="15"/>
      <c r="AB10" s="15"/>
      <c r="AC10" s="15"/>
      <c r="AD10" s="15"/>
      <c r="AE10" s="15"/>
      <c r="AF10" s="15"/>
      <c r="AG10" s="15"/>
      <c r="AH10" s="31">
        <f t="shared" si="0"/>
        <v>0</v>
      </c>
      <c r="AI10" s="31">
        <f t="shared" si="1"/>
        <v>0</v>
      </c>
      <c r="AJ10" s="31">
        <f t="shared" si="2"/>
        <v>0</v>
      </c>
      <c r="AK10" s="22">
        <f>Fevrier!AK10-Mars[[#This Row],[Dont RTT]]+2</f>
        <v>17</v>
      </c>
    </row>
    <row r="11" spans="1:37" ht="30" customHeight="1">
      <c r="B11" s="8"/>
      <c r="C11" s="15"/>
      <c r="D11" s="15"/>
      <c r="E11" s="15"/>
      <c r="F11" s="15"/>
      <c r="G11" s="15"/>
      <c r="H11" s="15"/>
      <c r="I11" s="15"/>
      <c r="J11" s="15"/>
      <c r="K11" s="15"/>
      <c r="L11" s="15"/>
      <c r="M11" s="15"/>
      <c r="N11" s="15"/>
      <c r="O11" s="15"/>
      <c r="P11" s="15"/>
      <c r="Q11" s="15"/>
      <c r="R11" s="15"/>
      <c r="S11" s="15"/>
      <c r="T11" s="15"/>
      <c r="U11" s="15"/>
      <c r="V11" s="15"/>
      <c r="W11" s="15"/>
      <c r="X11" s="15"/>
      <c r="Y11" s="15"/>
      <c r="Z11" s="15"/>
      <c r="AA11" s="15"/>
      <c r="AB11" s="15"/>
      <c r="AC11" s="15"/>
      <c r="AD11" s="15"/>
      <c r="AE11" s="15"/>
      <c r="AF11" s="15"/>
      <c r="AG11" s="15"/>
      <c r="AH11" s="31">
        <f t="shared" si="0"/>
        <v>0</v>
      </c>
      <c r="AI11" s="31">
        <f t="shared" si="1"/>
        <v>0</v>
      </c>
      <c r="AJ11" s="31">
        <f t="shared" si="2"/>
        <v>0</v>
      </c>
      <c r="AK11" s="22"/>
    </row>
    <row r="12" spans="1:37" ht="30" customHeight="1">
      <c r="B12" s="8"/>
      <c r="C12" s="15"/>
      <c r="D12" s="15"/>
      <c r="E12" s="15"/>
      <c r="F12" s="15"/>
      <c r="G12" s="15"/>
      <c r="H12" s="15"/>
      <c r="I12" s="15"/>
      <c r="J12" s="15"/>
      <c r="K12" s="15"/>
      <c r="L12" s="15"/>
      <c r="M12" s="15"/>
      <c r="N12" s="15"/>
      <c r="O12" s="15"/>
      <c r="P12" s="15"/>
      <c r="Q12" s="15"/>
      <c r="R12" s="15"/>
      <c r="S12" s="15"/>
      <c r="T12" s="15"/>
      <c r="U12" s="15"/>
      <c r="V12" s="15"/>
      <c r="W12" s="15"/>
      <c r="X12" s="15"/>
      <c r="Y12" s="15"/>
      <c r="Z12" s="15"/>
      <c r="AA12" s="15"/>
      <c r="AB12" s="15"/>
      <c r="AC12" s="15"/>
      <c r="AD12" s="15"/>
      <c r="AE12" s="15"/>
      <c r="AF12" s="15"/>
      <c r="AG12" s="15"/>
      <c r="AH12" s="31">
        <f t="shared" si="0"/>
        <v>0</v>
      </c>
      <c r="AI12" s="31">
        <f t="shared" si="1"/>
        <v>0</v>
      </c>
      <c r="AJ12" s="31">
        <f t="shared" si="2"/>
        <v>0</v>
      </c>
      <c r="AK12" s="22"/>
    </row>
    <row r="13" spans="1:37" ht="30" customHeight="1">
      <c r="B13" s="8"/>
      <c r="C13" s="22"/>
      <c r="D13" s="22"/>
      <c r="E13" s="22"/>
      <c r="F13" s="22"/>
      <c r="G13" s="22"/>
      <c r="H13" s="22"/>
      <c r="I13" s="22"/>
      <c r="J13" s="22"/>
      <c r="K13" s="15"/>
      <c r="L13" s="22"/>
      <c r="M13" s="22"/>
      <c r="N13" s="22"/>
      <c r="O13" s="22"/>
      <c r="P13" s="22"/>
      <c r="Q13" s="22"/>
      <c r="R13" s="15"/>
      <c r="S13" s="22"/>
      <c r="T13" s="22"/>
      <c r="U13" s="22"/>
      <c r="V13" s="22"/>
      <c r="W13" s="22"/>
      <c r="X13" s="22"/>
      <c r="Y13" s="15"/>
      <c r="Z13" s="22"/>
      <c r="AA13" s="22"/>
      <c r="AB13" s="22"/>
      <c r="AC13" s="22"/>
      <c r="AD13" s="22"/>
      <c r="AE13" s="22"/>
      <c r="AF13" s="22"/>
      <c r="AG13" s="22"/>
      <c r="AH13" s="31">
        <f t="shared" si="0"/>
        <v>0</v>
      </c>
      <c r="AI13" s="31">
        <f t="shared" si="1"/>
        <v>0</v>
      </c>
      <c r="AJ13" s="31">
        <f t="shared" si="2"/>
        <v>0</v>
      </c>
      <c r="AK13" s="22">
        <f>Fevrier!AK13-Mars[[#This Row],[Dont RTT]]+2</f>
        <v>8.93</v>
      </c>
    </row>
    <row r="14" spans="1:37" ht="30" customHeight="1">
      <c r="B14" s="8"/>
      <c r="C14" s="22"/>
      <c r="D14" s="22"/>
      <c r="E14" s="22"/>
      <c r="F14" s="22"/>
      <c r="G14" s="22"/>
      <c r="H14" s="22"/>
      <c r="I14" s="22"/>
      <c r="J14" s="22"/>
      <c r="K14" s="15"/>
      <c r="L14" s="22"/>
      <c r="M14" s="22"/>
      <c r="N14" s="22"/>
      <c r="O14" s="22"/>
      <c r="P14" s="22"/>
      <c r="Q14" s="22"/>
      <c r="R14" s="15"/>
      <c r="S14" s="22"/>
      <c r="T14" s="22"/>
      <c r="U14" s="22"/>
      <c r="V14" s="22"/>
      <c r="W14" s="22"/>
      <c r="X14" s="22"/>
      <c r="Y14" s="15"/>
      <c r="Z14" s="22"/>
      <c r="AA14" s="22"/>
      <c r="AB14" s="22"/>
      <c r="AC14" s="22"/>
      <c r="AD14" s="22"/>
      <c r="AE14" s="22"/>
      <c r="AF14" s="22"/>
      <c r="AG14" s="22"/>
      <c r="AH14" s="31">
        <f t="shared" si="0"/>
        <v>0</v>
      </c>
      <c r="AI14" s="31">
        <f t="shared" si="1"/>
        <v>0</v>
      </c>
      <c r="AJ14" s="31">
        <f t="shared" si="2"/>
        <v>0</v>
      </c>
      <c r="AK14" s="22">
        <f>Fevrier!AK14-Mars[[#This Row],[Dont RTT]]+2</f>
        <v>8.5</v>
      </c>
    </row>
    <row r="15" spans="1:37" ht="30" customHeight="1">
      <c r="B15" s="8"/>
      <c r="C15" s="22"/>
      <c r="D15" s="22"/>
      <c r="E15" s="22"/>
      <c r="F15" s="22"/>
      <c r="G15" s="22"/>
      <c r="H15" s="22"/>
      <c r="I15" s="22"/>
      <c r="J15" s="22"/>
      <c r="K15" s="22"/>
      <c r="L15" s="22"/>
      <c r="M15" s="15"/>
      <c r="N15" s="22"/>
      <c r="O15" s="22"/>
      <c r="P15" s="22"/>
      <c r="Q15" s="22"/>
      <c r="R15" s="22"/>
      <c r="S15" s="22"/>
      <c r="T15" s="15"/>
      <c r="U15" s="22"/>
      <c r="V15" s="22"/>
      <c r="W15" s="22"/>
      <c r="X15" s="22"/>
      <c r="Y15" s="22"/>
      <c r="Z15" s="22"/>
      <c r="AA15" s="15"/>
      <c r="AB15" s="22"/>
      <c r="AC15" s="22"/>
      <c r="AD15" s="22"/>
      <c r="AE15" s="22"/>
      <c r="AF15" s="22"/>
      <c r="AG15" s="22"/>
      <c r="AH15" s="31">
        <f t="shared" si="0"/>
        <v>0</v>
      </c>
      <c r="AI15" s="31">
        <f t="shared" si="1"/>
        <v>0</v>
      </c>
      <c r="AJ15" s="31">
        <f t="shared" si="2"/>
        <v>0</v>
      </c>
      <c r="AK15" s="22">
        <f>Fevrier!AK15-Mars[[#This Row],[Dont RTT]]+2</f>
        <v>11.5</v>
      </c>
    </row>
    <row r="16" spans="1:37" ht="30" customHeight="1">
      <c r="B16" s="8"/>
      <c r="C16" s="22"/>
      <c r="D16" s="22"/>
      <c r="E16" s="22"/>
      <c r="F16" s="22"/>
      <c r="G16" s="22"/>
      <c r="H16" s="22"/>
      <c r="I16" s="22"/>
      <c r="J16" s="22"/>
      <c r="K16" s="15"/>
      <c r="L16" s="22"/>
      <c r="M16" s="22"/>
      <c r="N16" s="22"/>
      <c r="O16" s="22"/>
      <c r="P16" s="22"/>
      <c r="Q16" s="22"/>
      <c r="R16" s="15"/>
      <c r="S16" s="22"/>
      <c r="T16" s="22"/>
      <c r="U16" s="22"/>
      <c r="V16" s="22"/>
      <c r="W16" s="22"/>
      <c r="X16" s="22"/>
      <c r="Y16" s="15"/>
      <c r="Z16" s="22"/>
      <c r="AA16" s="22"/>
      <c r="AB16" s="22"/>
      <c r="AC16" s="22"/>
      <c r="AD16" s="22"/>
      <c r="AE16" s="22"/>
      <c r="AF16" s="22"/>
      <c r="AG16" s="22"/>
      <c r="AH16" s="31">
        <f t="shared" si="0"/>
        <v>0</v>
      </c>
      <c r="AI16" s="31">
        <f t="shared" si="1"/>
        <v>0</v>
      </c>
      <c r="AJ16" s="31">
        <f t="shared" si="2"/>
        <v>0</v>
      </c>
      <c r="AK16" s="22">
        <f>Fevrier!AK16-Mars[[#This Row],[Dont RTT]]+2</f>
        <v>8.16</v>
      </c>
    </row>
    <row r="17" spans="2:37" ht="30" customHeight="1">
      <c r="B17" s="8"/>
      <c r="C17" s="22"/>
      <c r="D17" s="22"/>
      <c r="E17" s="22"/>
      <c r="F17" s="22"/>
      <c r="G17" s="22"/>
      <c r="H17" s="22"/>
      <c r="I17" s="22"/>
      <c r="J17" s="22"/>
      <c r="K17" s="22"/>
      <c r="L17" s="22"/>
      <c r="M17" s="15"/>
      <c r="N17" s="22"/>
      <c r="O17" s="22"/>
      <c r="P17" s="22"/>
      <c r="Q17" s="22"/>
      <c r="R17" s="22"/>
      <c r="S17" s="22"/>
      <c r="T17" s="15"/>
      <c r="U17" s="22"/>
      <c r="V17" s="22"/>
      <c r="W17" s="22"/>
      <c r="X17" s="22"/>
      <c r="Y17" s="22"/>
      <c r="Z17" s="22"/>
      <c r="AA17" s="15"/>
      <c r="AB17" s="22"/>
      <c r="AC17" s="22"/>
      <c r="AD17" s="22"/>
      <c r="AE17" s="22"/>
      <c r="AF17" s="22"/>
      <c r="AG17" s="22"/>
      <c r="AH17" s="31">
        <f t="shared" si="0"/>
        <v>0</v>
      </c>
      <c r="AI17" s="31">
        <f t="shared" si="1"/>
        <v>0</v>
      </c>
      <c r="AJ17" s="31">
        <f t="shared" si="2"/>
        <v>0</v>
      </c>
      <c r="AK17" s="22">
        <f>Fevrier!AK17-Mars[[#This Row],[Dont RTT]]+2</f>
        <v>17</v>
      </c>
    </row>
    <row r="18" spans="2:37" ht="30" customHeight="1">
      <c r="B18" s="8"/>
      <c r="C18" s="22"/>
      <c r="D18" s="22"/>
      <c r="E18" s="22"/>
      <c r="F18" s="22"/>
      <c r="G18" s="22"/>
      <c r="H18" s="22"/>
      <c r="I18" s="22"/>
      <c r="J18" s="22"/>
      <c r="K18" s="15"/>
      <c r="L18" s="22"/>
      <c r="M18" s="22"/>
      <c r="N18" s="22"/>
      <c r="O18" s="22"/>
      <c r="P18" s="22"/>
      <c r="Q18" s="22"/>
      <c r="R18" s="15"/>
      <c r="S18" s="22"/>
      <c r="T18" s="22"/>
      <c r="U18" s="22"/>
      <c r="V18" s="22"/>
      <c r="W18" s="22"/>
      <c r="X18" s="22"/>
      <c r="Y18" s="15"/>
      <c r="Z18" s="22"/>
      <c r="AA18" s="22"/>
      <c r="AB18" s="22"/>
      <c r="AC18" s="22"/>
      <c r="AD18" s="22"/>
      <c r="AE18" s="22"/>
      <c r="AF18" s="22"/>
      <c r="AG18" s="22"/>
      <c r="AH18" s="31">
        <f t="shared" si="0"/>
        <v>0</v>
      </c>
      <c r="AI18" s="31">
        <f t="shared" si="1"/>
        <v>0</v>
      </c>
      <c r="AJ18" s="31">
        <f t="shared" si="2"/>
        <v>0</v>
      </c>
      <c r="AK18" s="22">
        <f>Fevrier!AK18-Mars[[#This Row],[Dont RTT]]+2</f>
        <v>8.5</v>
      </c>
    </row>
    <row r="19" spans="2:37" ht="30" customHeight="1">
      <c r="B19" s="28" t="str">
        <f>NomMois&amp;" Total"</f>
        <v>Mars Total</v>
      </c>
      <c r="C19" s="33">
        <f>COUNTIF(Mars[1],CléCongé)+(COUNTIF(Mars[1],CléCongéSpécial)+COUNTIF(Mars[1],CléRTT)+(COUNTIF(Mars[1],CléDemiRtt)/2)+COUNTIF(Mars[1],CléCongéMalade)+COUNTIF(Mars[1],CléRécupération)+(COUNTIF(Mars[1],CléDemiRécupération)/2)+COUNTIF(Mars[1],CléFormation)+(COUNTIF(Mars[1],CléEnfantMalade)+(COUNTIF(Mars[1],CléDemiEnfantMalade)/2)))</f>
        <v>0</v>
      </c>
      <c r="D19" s="33">
        <f>COUNTIF(Mars[2],CléCongé)+(COUNTIF(Mars[2],CléCongéSpécial)+COUNTIF(Mars[2],CléRTT)+(COUNTIF(Mars[2],CléDemiRtt)/2)+COUNTIF(Mars[2],CléCongéMalade)+COUNTIF(Mars[2],CléRécupération)+(COUNTIF(Mars[2],CléDemiRécupération)/2)+COUNTIF(Mars[2],CléFormation)+(COUNTIF(Mars[2],CléEnfantMalade)+(COUNTIF(Mars[2],CléDemiEnfantMalade)/2)))</f>
        <v>0</v>
      </c>
      <c r="E19" s="33">
        <f>COUNTIF(Mars[3],CléCongé)+(COUNTIF(Mars[3],CléCongéSpécial)+COUNTIF(Mars[3],CléRTT)+(COUNTIF(Mars[3],CléDemiRtt)/2)+COUNTIF(Mars[3],CléCongéMalade)+COUNTIF(Mars[3],CléRécupération)+(COUNTIF(Mars[3],CléDemiRécupération)/2)+COUNTIF(Mars[3],CléFormation)+(COUNTIF(Mars[3],CléEnfantMalade)+(COUNTIF(Mars[3],CléDemiEnfantMalade)/2)))</f>
        <v>0</v>
      </c>
      <c r="F19" s="33">
        <f>COUNTIF(Mars[4],CléCongé)+(COUNTIF(Mars[4],CléCongéSpécial)+COUNTIF(Mars[4],CléRTT)+(COUNTIF(Mars[4],CléDemiRtt)/2)+COUNTIF(Mars[4],CléCongéMalade)+COUNTIF(Mars[4],CléRécupération)+(COUNTIF(Mars[4],CléDemiRécupération)/2)+COUNTIF(Mars[4],CléFormation)+(COUNTIF(Mars[4],CléEnfantMalade)+(COUNTIF(Mars[4],CléDemiEnfantMalade)/2)))</f>
        <v>0</v>
      </c>
      <c r="G19" s="33">
        <f>COUNTIF(Mars[5],CléCongé)+(COUNTIF(Mars[5],CléCongéSpécial)+COUNTIF(Mars[5],CléRTT)+(COUNTIF(Mars[5],CléDemiRtt)/2)+COUNTIF(Mars[5],CléCongéMalade)+COUNTIF(Mars[5],CléRécupération)+(COUNTIF(Mars[5],CléDemiRécupération)/2)+COUNTIF(Mars[5],CléFormation)+(COUNTIF(Mars[5],CléEnfantMalade)+(COUNTIF(Mars[5],CléDemiEnfantMalade)/2)))</f>
        <v>0</v>
      </c>
      <c r="H19" s="33">
        <f>COUNTIF(Mars[6],CléCongé)+(COUNTIF(Mars[6],CléCongéSpécial)+COUNTIF(Mars[6],CléRTT)+(COUNTIF(Mars[6],CléDemiRtt)/2)+COUNTIF(Mars[6],CléCongéMalade)+COUNTIF(Mars[6],CléRécupération)+(COUNTIF(Mars[6],CléDemiRécupération)/2)+COUNTIF(Mars[6],CléFormation)+(COUNTIF(Mars[6],CléEnfantMalade)+(COUNTIF(Mars[6],CléDemiEnfantMalade)/2)))</f>
        <v>0</v>
      </c>
      <c r="I19" s="33">
        <f>COUNTIF(Mars[7],CléCongé)+(COUNTIF(Mars[7],CléCongéSpécial)+COUNTIF(Mars[7],CléRTT)+(COUNTIF(Mars[7],CléDemiRtt)/2)+COUNTIF(Mars[7],CléCongéMalade)+COUNTIF(Mars[7],CléRécupération)+(COUNTIF(Mars[7],CléDemiRécupération)/2)+COUNTIF(Mars[7],CléFormation)+(COUNTIF(Mars[7],CléEnfantMalade)+(COUNTIF(Mars[7],CléDemiEnfantMalade)/2)))</f>
        <v>0</v>
      </c>
      <c r="J19" s="33">
        <f>COUNTIF(Mars[8],CléCongé)+(COUNTIF(Mars[8],CléCongéSpécial)+COUNTIF(Mars[8],CléRTT)+(COUNTIF(Mars[8],CléDemiRtt)/2)+COUNTIF(Mars[8],CléCongéMalade)+COUNTIF(Mars[8],CléRécupération)+(COUNTIF(Mars[8],CléDemiRécupération)/2)+COUNTIF(Mars[8],CléFormation)+(COUNTIF(Mars[8],CléEnfantMalade)+(COUNTIF(Mars[8],CléDemiEnfantMalade)/2)))</f>
        <v>0</v>
      </c>
      <c r="K19" s="33">
        <f>COUNTIF(Mars[9],CléCongé)+(COUNTIF(Mars[9],CléCongéSpécial)+COUNTIF(Mars[9],CléRTT)+(COUNTIF(Mars[9],CléDemiRtt)/2)+COUNTIF(Mars[9],CléCongéMalade)+COUNTIF(Mars[9],CléRécupération)+(COUNTIF(Mars[9],CléDemiRécupération)/2)+COUNTIF(Mars[9],CléFormation)+(COUNTIF(Mars[9],CléEnfantMalade)+(COUNTIF(Mars[9],CléDemiEnfantMalade)/2)))</f>
        <v>0</v>
      </c>
      <c r="L19" s="33">
        <f>COUNTIF(Mars[10],CléCongé)+(COUNTIF(Mars[10],CléCongéSpécial)+COUNTIF(Mars[10],CléRTT)+(COUNTIF(Mars[10],CléDemiRtt)/2)+COUNTIF(Mars[10],CléCongéMalade)+COUNTIF(Mars[10],CléRécupération)+(COUNTIF(Mars[10],CléDemiRécupération)/2)+COUNTIF(Mars[10],CléFormation)+(COUNTIF(Mars[10],CléEnfantMalade)+(COUNTIF(Mars[10],CléDemiEnfantMalade)/2)))</f>
        <v>0</v>
      </c>
      <c r="M19" s="33">
        <f>COUNTIF(Mars[11],CléCongé)+(COUNTIF(Mars[11],CléCongéSpécial)+COUNTIF(Mars[11],CléRTT)+(COUNTIF(Mars[11],CléDemiRtt)/2)+COUNTIF(Mars[11],CléCongéMalade)+COUNTIF(Mars[11],CléRécupération)+(COUNTIF(Mars[11],CléDemiRécupération)/2)+COUNTIF(Mars[11],CléFormation)+(COUNTIF(Mars[11],CléEnfantMalade)+(COUNTIF(Mars[11],CléDemiEnfantMalade)/2)))</f>
        <v>0</v>
      </c>
      <c r="N19" s="33">
        <f>COUNTIF(Mars[12],CléCongé)+(COUNTIF(Mars[12],CléCongéSpécial)+COUNTIF(Mars[12],CléRTT)+(COUNTIF(Mars[12],CléDemiRtt)/2)+COUNTIF(Mars[12],CléCongéMalade)+COUNTIF(Mars[12],CléRécupération)+(COUNTIF(Mars[12],CléDemiRécupération)/2)+COUNTIF(Mars[12],CléFormation)+(COUNTIF(Mars[12],CléEnfantMalade)+(COUNTIF(Mars[12],CléDemiEnfantMalade)/2)))</f>
        <v>0</v>
      </c>
      <c r="O19" s="33">
        <f>COUNTIF(Mars[13],CléCongé)+(COUNTIF(Mars[13],CléCongéSpécial)+COUNTIF(Mars[13],CléRTT)+(COUNTIF(Mars[13],CléDemiRtt)/2)+COUNTIF(Mars[13],CléCongéMalade)+COUNTIF(Mars[13],CléRécupération)+(COUNTIF(Mars[13],CléDemiRécupération)/2)+COUNTIF(Mars[13],CléFormation)+(COUNTIF(Mars[13],CléEnfantMalade)+(COUNTIF(Mars[13],CléDemiEnfantMalade)/2)))</f>
        <v>0</v>
      </c>
      <c r="P19" s="33">
        <f>COUNTIF(Mars[14],CléCongé)+(COUNTIF(Mars[14],CléCongéSpécial)+COUNTIF(Mars[14],CléRTT)+(COUNTIF(Mars[14],CléDemiRtt)/2)+COUNTIF(Mars[14],CléCongéMalade)+COUNTIF(Mars[14],CléRécupération)+(COUNTIF(Mars[14],CléDemiRécupération)/2)+COUNTIF(Mars[14],CléFormation)+(COUNTIF(Mars[14],CléEnfantMalade)+(COUNTIF(Mars[14],CléDemiEnfantMalade)/2)))</f>
        <v>0</v>
      </c>
      <c r="Q19" s="33">
        <f>COUNTIF(Mars[15],CléCongé)+(COUNTIF(Mars[15],CléCongéSpécial)+COUNTIF(Mars[15],CléRTT)+(COUNTIF(Mars[15],CléDemiRtt)/2)+COUNTIF(Mars[15],CléCongéMalade)+COUNTIF(Mars[15],CléRécupération)+(COUNTIF(Mars[15],CléDemiRécupération)/2)+COUNTIF(Mars[15],CléFormation)+(COUNTIF(Mars[15],CléEnfantMalade)+(COUNTIF(Mars[15],CléDemiEnfantMalade)/2)))</f>
        <v>0</v>
      </c>
      <c r="R19" s="33">
        <f>COUNTIF(Mars[16],CléCongé)+(COUNTIF(Mars[16],CléCongéSpécial)+COUNTIF(Mars[16],CléRTT)+(COUNTIF(Mars[16],CléDemiRtt)/2)+COUNTIF(Mars[16],CléCongéMalade)+COUNTIF(Mars[16],CléRécupération)+(COUNTIF(Mars[16],CléDemiRécupération)/2)+COUNTIF(Mars[16],CléFormation)+(COUNTIF(Mars[16],CléEnfantMalade)+(COUNTIF(Mars[16],CléDemiEnfantMalade)/2)))</f>
        <v>0</v>
      </c>
      <c r="S19" s="33">
        <f>COUNTIF(Mars[17],CléCongé)+(COUNTIF(Mars[17],CléCongéSpécial)+COUNTIF(Mars[17],CléRTT)+(COUNTIF(Mars[17],CléDemiRtt)/2)+COUNTIF(Mars[17],CléCongéMalade)+COUNTIF(Mars[17],CléRécupération)+(COUNTIF(Mars[17],CléDemiRécupération)/2)+COUNTIF(Mars[17],CléFormation)+(COUNTIF(Mars[17],CléEnfantMalade)+(COUNTIF(Mars[17],CléDemiEnfantMalade)/2)))</f>
        <v>0</v>
      </c>
      <c r="T19" s="33">
        <f>COUNTIF(Mars[18],CléCongé)+(COUNTIF(Mars[18],CléCongéSpécial)+COUNTIF(Mars[18],CléRTT)+(COUNTIF(Mars[18],CléDemiRtt)/2)+COUNTIF(Mars[18],CléCongéMalade)+COUNTIF(Mars[18],CléRécupération)+(COUNTIF(Mars[18],CléDemiRécupération)/2)+COUNTIF(Mars[18],CléFormation)+(COUNTIF(Mars[18],CléEnfantMalade)+(COUNTIF(Mars[18],CléDemiEnfantMalade)/2)))</f>
        <v>0</v>
      </c>
      <c r="U19" s="33">
        <f>COUNTIF(Mars[19],CléCongé)+(COUNTIF(Mars[19],CléCongéSpécial)+COUNTIF(Mars[19],CléRTT)+(COUNTIF(Mars[19],CléDemiRtt)/2)+COUNTIF(Mars[19],CléCongéMalade)+COUNTIF(Mars[19],CléRécupération)+(COUNTIF(Mars[19],CléDemiRécupération)/2)+COUNTIF(Mars[19],CléFormation)+(COUNTIF(Mars[19],CléEnfantMalade)+(COUNTIF(Mars[19],CléDemiEnfantMalade)/2)))</f>
        <v>0</v>
      </c>
      <c r="V19" s="33">
        <f>COUNTIF(Mars[20],CléCongé)+(COUNTIF(Mars[20],CléCongéSpécial)+COUNTIF(Mars[20],CléRTT)+(COUNTIF(Mars[20],CléDemiRtt)/2)+COUNTIF(Mars[20],CléCongéMalade)+COUNTIF(Mars[20],CléRécupération)+(COUNTIF(Mars[20],CléDemiRécupération)/2)+COUNTIF(Mars[20],CléFormation)+(COUNTIF(Mars[20],CléEnfantMalade)+(COUNTIF(Mars[20],CléDemiEnfantMalade)/2)))</f>
        <v>0</v>
      </c>
      <c r="W19" s="33">
        <f>COUNTIF(Mars[21],CléCongé)+(COUNTIF(Mars[21],CléCongéSpécial)+COUNTIF(Mars[21],CléRTT)+(COUNTIF(Mars[21],CléDemiRtt)/2)+COUNTIF(Mars[21],CléCongéMalade)+COUNTIF(Mars[21],CléRécupération)+(COUNTIF(Mars[21],CléDemiRécupération)/2)+COUNTIF(Mars[21],CléFormation)+(COUNTIF(Mars[21],CléEnfantMalade)+(COUNTIF(Mars[21],CléDemiEnfantMalade)/2)))</f>
        <v>0</v>
      </c>
      <c r="X19" s="33">
        <f>COUNTIF(Mars[22],CléCongé)+(COUNTIF(Mars[22],CléCongéSpécial)+COUNTIF(Mars[22],CléRTT)+(COUNTIF(Mars[22],CléDemiRtt)/2)+COUNTIF(Mars[22],CléCongéMalade)+COUNTIF(Mars[22],CléRécupération)+(COUNTIF(Mars[22],CléDemiRécupération)/2)+COUNTIF(Mars[22],CléFormation)+(COUNTIF(Mars[22],CléEnfantMalade)+(COUNTIF(Mars[22],CléDemiEnfantMalade)/2)))</f>
        <v>0</v>
      </c>
      <c r="Y19" s="33">
        <f>COUNTIF(Mars[23],CléCongé)+(COUNTIF(Mars[23],CléCongéSpécial)+COUNTIF(Mars[23],CléRTT)+(COUNTIF(Mars[23],CléDemiRtt)/2)+COUNTIF(Mars[23],CléCongéMalade)+COUNTIF(Mars[23],CléRécupération)+(COUNTIF(Mars[23],CléDemiRécupération)/2)+COUNTIF(Mars[23],CléFormation)+(COUNTIF(Mars[23],CléEnfantMalade)+(COUNTIF(Mars[23],CléDemiEnfantMalade)/2)))</f>
        <v>0</v>
      </c>
      <c r="Z19" s="33">
        <f>COUNTIF(Mars[24],CléCongé)+(COUNTIF(Mars[24],CléCongéSpécial)+COUNTIF(Mars[24],CléRTT)+(COUNTIF(Mars[24],CléDemiRtt)/2)+COUNTIF(Mars[24],CléCongéMalade)+COUNTIF(Mars[24],CléRécupération)+(COUNTIF(Mars[24],CléDemiRécupération)/2)+COUNTIF(Mars[24],CléFormation)+(COUNTIF(Mars[24],CléEnfantMalade)+(COUNTIF(Mars[24],CléDemiEnfantMalade)/2)))</f>
        <v>0</v>
      </c>
      <c r="AA19" s="33">
        <f>COUNTIF(Mars[25],CléCongé)+(COUNTIF(Mars[25],CléCongéSpécial)+COUNTIF(Mars[25],CléRTT)+(COUNTIF(Mars[25],CléDemiRtt)/2)+COUNTIF(Mars[25],CléCongéMalade)+COUNTIF(Mars[25],CléRécupération)+(COUNTIF(Mars[25],CléDemiRécupération)/2)+COUNTIF(Mars[25],CléFormation)+(COUNTIF(Mars[25],CléEnfantMalade)+(COUNTIF(Mars[25],CléDemiEnfantMalade)/2)))</f>
        <v>0</v>
      </c>
      <c r="AB19" s="33">
        <f>COUNTIF(Mars[26],CléCongé)+(COUNTIF(Mars[26],CléCongéSpécial)+COUNTIF(Mars[26],CléRTT)+(COUNTIF(Mars[26],CléDemiRtt)/2)+COUNTIF(Mars[26],CléCongéMalade)+COUNTIF(Mars[26],CléRécupération)+(COUNTIF(Mars[26],CléDemiRécupération)/2)+COUNTIF(Mars[26],CléFormation)+(COUNTIF(Mars[26],CléEnfantMalade)+(COUNTIF(Mars[26],CléDemiEnfantMalade)/2)))</f>
        <v>0</v>
      </c>
      <c r="AC19" s="33">
        <f>COUNTIF(Mars[27],CléCongé)+(COUNTIF(Mars[27],CléCongéSpécial)+COUNTIF(Mars[27],CléRTT)+(COUNTIF(Mars[27],CléDemiRtt)/2)+COUNTIF(Mars[27],CléCongéMalade)+COUNTIF(Mars[27],CléRécupération)+(COUNTIF(Mars[27],CléDemiRécupération)/2)+COUNTIF(Mars[27],CléFormation)+(COUNTIF(Mars[27],CléEnfantMalade)+(COUNTIF(Mars[27],CléDemiEnfantMalade)/2)))</f>
        <v>0</v>
      </c>
      <c r="AD19" s="33">
        <f>COUNTIF(Mars[28],CléCongé)+(COUNTIF(Mars[28],CléCongéSpécial)+COUNTIF(Mars[28],CléRTT)+(COUNTIF(Mars[28],CléDemiRtt)/2)+COUNTIF(Mars[28],CléCongéMalade)+COUNTIF(Mars[28],CléRécupération)+(COUNTIF(Mars[28],CléDemiRécupération)/2)+COUNTIF(Mars[28],CléFormation)+(COUNTIF(Mars[28],CléEnfantMalade)+(COUNTIF(Mars[28],CléDemiEnfantMalade)/2)))</f>
        <v>0</v>
      </c>
      <c r="AE19" s="33">
        <f>COUNTIF(Mars[29],CléCongé)+(COUNTIF(Mars[29],CléCongéSpécial)+COUNTIF(Mars[29],CléRTT)+(COUNTIF(Mars[29],CléDemiRtt)/2)+COUNTIF(Mars[29],CléCongéMalade)+COUNTIF(Mars[29],CléRécupération)+(COUNTIF(Mars[29],CléDemiRécupération)/2)+COUNTIF(Mars[29],CléFormation)+(COUNTIF(Mars[29],CléEnfantMalade)+(COUNTIF(Mars[29],CléDemiEnfantMalade)/2)))</f>
        <v>0</v>
      </c>
      <c r="AF19" s="33">
        <f>COUNTIF(Mars[30],CléCongé)+(COUNTIF(Mars[30],CléCongéSpécial)+COUNTIF(Mars[30],CléRTT)+(COUNTIF(Mars[30],CléDemiRtt)/2)+COUNTIF(Mars[30],CléCongéMalade)+COUNTIF(Mars[30],CléRécupération)+(COUNTIF(Mars[30],CléDemiRécupération)/2)+COUNTIF(Mars[30],CléFormation)+(COUNTIF(Mars[30],CléEnfantMalade)+(COUNTIF(Mars[30],CléDemiEnfantMalade)/2)))</f>
        <v>0</v>
      </c>
      <c r="AG19" s="33">
        <f>COUNTIF(Mars[31],CléCongé)+(COUNTIF(Mars[31],CléCongéSpécial)+COUNTIF(Mars[31],CléRTT)+(COUNTIF(Mars[31],CléDemiRtt)/2)+COUNTIF(Mars[31],CléCongéMalade)+COUNTIF(Mars[31],CléRécupération)+(COUNTIF(Mars[31],CléDemiRécupération)/2)+COUNTIF(Mars[31],CléFormation)+(COUNTIF(Mars[31],CléEnfantMalade)+(COUNTIF(Mars[31],CléDemiEnfantMalade)/2)))</f>
        <v>0</v>
      </c>
      <c r="AH19" s="29">
        <f>SUBTOTAL(109,Mars[Total absence])</f>
        <v>0</v>
      </c>
      <c r="AI19" s="26">
        <f>SUBTOTAL(109,Mars[Dont RTT])</f>
        <v>0</v>
      </c>
      <c r="AJ19" s="35">
        <f>SUBTOTAL(109,Mars[Dont MALADIE])</f>
        <v>0</v>
      </c>
      <c r="AK19" s="30"/>
    </row>
  </sheetData>
  <mergeCells count="15">
    <mergeCell ref="C5:AG5"/>
    <mergeCell ref="G2:H2"/>
    <mergeCell ref="J2:L2"/>
    <mergeCell ref="W2:Y2"/>
    <mergeCell ref="D3:E3"/>
    <mergeCell ref="G3:H3"/>
    <mergeCell ref="J3:L3"/>
    <mergeCell ref="N3:O3"/>
    <mergeCell ref="Q3:R3"/>
    <mergeCell ref="T3:U3"/>
    <mergeCell ref="W3:Y3"/>
    <mergeCell ref="D2:E2"/>
    <mergeCell ref="Q2:U2"/>
    <mergeCell ref="AA2:AC2"/>
    <mergeCell ref="AA3:AC3"/>
  </mergeCells>
  <conditionalFormatting sqref="AK1 AK19:AK1048576 AK4 AK7">
    <cfRule type="containsText" dxfId="420" priority="230" stopIfTrue="1" operator="containsText" text="dim">
      <formula>NOT(ISERROR(SEARCH("dim",AK1)))</formula>
    </cfRule>
  </conditionalFormatting>
  <conditionalFormatting sqref="C6:AG6">
    <cfRule type="containsText" dxfId="419" priority="139" stopIfTrue="1" operator="containsText" text="dim">
      <formula>NOT(ISERROR(SEARCH("dim",C6)))</formula>
    </cfRule>
  </conditionalFormatting>
  <conditionalFormatting sqref="AH7">
    <cfRule type="containsText" dxfId="418" priority="138" stopIfTrue="1" operator="containsText" text="dim">
      <formula>NOT(ISERROR(SEARCH("dim",AH7)))</formula>
    </cfRule>
  </conditionalFormatting>
  <conditionalFormatting sqref="AI19">
    <cfRule type="containsText" dxfId="417" priority="137" stopIfTrue="1" operator="containsText" text="dim">
      <formula>NOT(ISERROR(SEARCH("dim",AI19)))</formula>
    </cfRule>
  </conditionalFormatting>
  <conditionalFormatting sqref="C19:AG19">
    <cfRule type="containsText" dxfId="416" priority="116" stopIfTrue="1" operator="containsText" text="dim">
      <formula>NOT(ISERROR(SEARCH("dim",C19)))</formula>
    </cfRule>
  </conditionalFormatting>
  <conditionalFormatting sqref="AL3:XFD3 A2:A3 AG2:XFD2">
    <cfRule type="containsText" dxfId="415" priority="114" stopIfTrue="1" operator="containsText" text="dim">
      <formula>NOT(ISERROR(SEARCH("dim",A2)))</formula>
    </cfRule>
  </conditionalFormatting>
  <conditionalFormatting sqref="AJ19">
    <cfRule type="containsText" dxfId="414" priority="89" stopIfTrue="1" operator="containsText" text="dim">
      <formula>NOT(ISERROR(SEARCH("dim",AJ19)))</formula>
    </cfRule>
  </conditionalFormatting>
  <conditionalFormatting sqref="AH8:AH18">
    <cfRule type="dataBar" priority="53">
      <dataBar>
        <cfvo type="num" val="0"/>
        <cfvo type="num" val="31"/>
        <color rgb="FF00B0F0"/>
      </dataBar>
      <extLst>
        <ext xmlns:x14="http://schemas.microsoft.com/office/spreadsheetml/2009/9/main" uri="{B025F937-C7B1-47D3-B67F-A62EFF666E3E}">
          <x14:id>{70B0D600-AA18-6E4E-88AF-E716FF444CDB}</x14:id>
        </ext>
      </extLst>
    </cfRule>
    <cfRule type="containsText" dxfId="413" priority="56" stopIfTrue="1" operator="containsText" text="dim">
      <formula>NOT(ISERROR(SEARCH("dim",AH8)))</formula>
    </cfRule>
  </conditionalFormatting>
  <conditionalFormatting sqref="AI8:AI18">
    <cfRule type="dataBar" priority="54">
      <dataBar>
        <cfvo type="num" val="0"/>
        <cfvo type="num" val="31"/>
        <color rgb="FF92D050"/>
      </dataBar>
      <extLst>
        <ext xmlns:x14="http://schemas.microsoft.com/office/spreadsheetml/2009/9/main" uri="{B025F937-C7B1-47D3-B67F-A62EFF666E3E}">
          <x14:id>{8689CD13-DB79-F947-A7CD-0135813A8595}</x14:id>
        </ext>
      </extLst>
    </cfRule>
  </conditionalFormatting>
  <conditionalFormatting sqref="B3:D3 F2:G3 M3:N3 Q3 S3:T3 V2:W3 I2:J3">
    <cfRule type="containsText" dxfId="412" priority="36" stopIfTrue="1" operator="containsText" text="dim">
      <formula>NOT(ISERROR(SEARCH("dim",B2)))</formula>
    </cfRule>
  </conditionalFormatting>
  <conditionalFormatting sqref="V2:W2">
    <cfRule type="containsText" dxfId="411" priority="35" stopIfTrue="1" operator="containsText" text="dim">
      <formula>NOT(ISERROR(SEARCH("dim",V2)))</formula>
    </cfRule>
  </conditionalFormatting>
  <conditionalFormatting sqref="AA2">
    <cfRule type="containsText" dxfId="410" priority="34" stopIfTrue="1" operator="containsText" text="dim">
      <formula>NOT(ISERROR(SEARCH("dim",AA2)))</formula>
    </cfRule>
  </conditionalFormatting>
  <conditionalFormatting sqref="AA2">
    <cfRule type="containsText" dxfId="409" priority="33" stopIfTrue="1" operator="containsText" text="dim">
      <formula>NOT(ISERROR(SEARCH("dim",AA2)))</formula>
    </cfRule>
  </conditionalFormatting>
  <conditionalFormatting sqref="P3">
    <cfRule type="expression" dxfId="408" priority="19" stopIfTrue="1">
      <formula>P3=CléNonTravaillé</formula>
    </cfRule>
    <cfRule type="expression" dxfId="407" priority="20" stopIfTrue="1">
      <formula>P3=CléPrésenceExceptionnelle</formula>
    </cfRule>
    <cfRule type="expression" dxfId="406" priority="21" stopIfTrue="1">
      <formula>P3=CléCongéSpécial</formula>
    </cfRule>
    <cfRule type="expression" dxfId="405" priority="22" stopIfTrue="1">
      <formula>P3=CléDemiRécupération</formula>
    </cfRule>
    <cfRule type="expression" dxfId="404" priority="23" stopIfTrue="1">
      <formula>P3=CléDemiEnfantMalade</formula>
    </cfRule>
    <cfRule type="expression" dxfId="403" priority="24" stopIfTrue="1">
      <formula>P3=CléEnfantMalade</formula>
    </cfRule>
    <cfRule type="expression" dxfId="402" priority="25" stopIfTrue="1">
      <formula>P3=CléDemiRtt</formula>
    </cfRule>
    <cfRule type="expression" priority="26" stopIfTrue="1">
      <formula>P3=""</formula>
    </cfRule>
    <cfRule type="expression" dxfId="401" priority="27" stopIfTrue="1">
      <formula>P3=CléMaladie</formula>
    </cfRule>
    <cfRule type="expression" dxfId="400" priority="28" stopIfTrue="1">
      <formula>P3=CléCongé</formula>
    </cfRule>
    <cfRule type="expression" dxfId="399" priority="29" stopIfTrue="1">
      <formula>P3=CléRécupération</formula>
    </cfRule>
    <cfRule type="expression" dxfId="398" priority="30" stopIfTrue="1">
      <formula>P3=CléFormation</formula>
    </cfRule>
    <cfRule type="expression" dxfId="397" priority="31" stopIfTrue="1">
      <formula>P3=CléRTT</formula>
    </cfRule>
    <cfRule type="expression" dxfId="396" priority="32" stopIfTrue="1">
      <formula>P3=CléTélétravail</formula>
    </cfRule>
  </conditionalFormatting>
  <conditionalFormatting sqref="AA3">
    <cfRule type="containsText" dxfId="395" priority="18" stopIfTrue="1" operator="containsText" text="dim">
      <formula>NOT(ISERROR(SEARCH("dim",AA3)))</formula>
    </cfRule>
  </conditionalFormatting>
  <conditionalFormatting sqref="AA3">
    <cfRule type="containsText" dxfId="394" priority="17" stopIfTrue="1" operator="containsText" text="dim">
      <formula>NOT(ISERROR(SEARCH("dim",AA3)))</formula>
    </cfRule>
  </conditionalFormatting>
  <conditionalFormatting sqref="C8:AG18">
    <cfRule type="expression" dxfId="393" priority="2" stopIfTrue="1">
      <formula>C8=CléAbsenceJustifiée</formula>
    </cfRule>
    <cfRule type="expression" dxfId="392" priority="3" stopIfTrue="1">
      <formula>C8=CléNonTravaillé</formula>
    </cfRule>
    <cfRule type="expression" dxfId="391" priority="4" stopIfTrue="1">
      <formula>C8=CléPrésenceExceptionnelle</formula>
    </cfRule>
    <cfRule type="expression" dxfId="390" priority="5" stopIfTrue="1">
      <formula>C8=CléCongéSpécial</formula>
    </cfRule>
    <cfRule type="expression" dxfId="389" priority="6" stopIfTrue="1">
      <formula>C8=CléDemiRécupération</formula>
    </cfRule>
    <cfRule type="expression" dxfId="388" priority="7" stopIfTrue="1">
      <formula>C8=CléDemiEnfantMalade</formula>
    </cfRule>
    <cfRule type="expression" dxfId="387" priority="8" stopIfTrue="1">
      <formula>C8=CléEnfantMalade</formula>
    </cfRule>
    <cfRule type="expression" dxfId="386" priority="9" stopIfTrue="1">
      <formula>C8=CléDemiRtt</formula>
    </cfRule>
    <cfRule type="expression" priority="10" stopIfTrue="1">
      <formula>C8=""</formula>
    </cfRule>
    <cfRule type="expression" dxfId="385" priority="11" stopIfTrue="1">
      <formula>C8=CléCongéMalade</formula>
    </cfRule>
    <cfRule type="expression" dxfId="384" priority="12" stopIfTrue="1">
      <formula>C8=CléCongé</formula>
    </cfRule>
    <cfRule type="expression" dxfId="383" priority="13" stopIfTrue="1">
      <formula>C8=CléRécupération</formula>
    </cfRule>
    <cfRule type="expression" dxfId="382" priority="14" stopIfTrue="1">
      <formula>C8=CléFormation</formula>
    </cfRule>
    <cfRule type="expression" dxfId="381" priority="15" stopIfTrue="1">
      <formula>C8=CléRTT</formula>
    </cfRule>
    <cfRule type="expression" dxfId="380" priority="16" stopIfTrue="1">
      <formula>C8=CléTélétravail</formula>
    </cfRule>
  </conditionalFormatting>
  <conditionalFormatting sqref="AJ8:AJ18">
    <cfRule type="dataBar" priority="1">
      <dataBar>
        <cfvo type="num" val="0"/>
        <cfvo type="num" val="31"/>
        <color rgb="FFFF0000"/>
      </dataBar>
      <extLst>
        <ext xmlns:x14="http://schemas.microsoft.com/office/spreadsheetml/2009/9/main" uri="{B025F937-C7B1-47D3-B67F-A62EFF666E3E}">
          <x14:id>{4BA5FB8D-EBC5-4C37-8B03-9454D3137674}</x14:id>
        </ext>
      </extLst>
    </cfRule>
  </conditionalFormatting>
  <dataValidations count="17">
    <dataValidation allowBlank="1" showInputMessage="1" showErrorMessage="1" prompt="Calcule automatiquement le nombre total de jours d’absence d’un employé durant ce mois dans cette colonne" sqref="AH7" xr:uid="{392E3765-5967-5F49-9AA4-97454329BF7F}"/>
    <dataValidation allowBlank="1" showInputMessage="1" showErrorMessage="1" prompt="Suivez les absences du mois de mars dans cette feuille de calcul" sqref="A1" xr:uid="{B958DC82-5BB3-6F4D-B847-4D1FBE7EEA77}"/>
    <dataValidation errorStyle="warning" allowBlank="1" showInputMessage="1" showErrorMessage="1" error="Sélectionnez un nom dans la liste. Sélectionnez ANNULER, appuyez sur ALT+FLÈCHE BAS, puis sur ENTRÉE pour sélectionner un nom" prompt="Entrez les noms des employés dans la feuille de calcul du Noms des employés, puis sélectionnez l’un des noms de la liste figurant dans cette colonne. Appuyez sur ALT+FLÈCHE BAS, puis sur ENTRÉE pour sélectionner un nom" sqref="B7" xr:uid="{B4197EEA-4B58-8E41-A3C9-8E05FB2035F4}"/>
    <dataValidation allowBlank="1" showInputMessage="1" showErrorMessage="1" prompt="La lettre « M » indique une absence pour cause de maladie" sqref="AG10 U10 S3" xr:uid="{0805F197-3C45-5D44-8532-45E2BF4064E6}"/>
    <dataValidation allowBlank="1" showInputMessage="1" showErrorMessage="1" prompt="Nom du mois pour ce calendrier des absences dans cette cellule. Le total des absences pour ce mois figure dans la dernière cellule du tableau. Sélectionnez les noms des employés dans la colonne B du tableau" sqref="B5" xr:uid="{EF5B19EF-6C6D-F445-806F-C1AF7F688E65}"/>
    <dataValidation allowBlank="1" showInputMessage="1" showErrorMessage="1" prompt="Les jours de la semaine dans cette ligne sont mis à jour automatiquement pour le mois en fonction de l’année dans AH4. Chaque jour du mois est une colonne dans laquelle noter l’absence et le motif d’absence d’un employé" sqref="C6" xr:uid="{B5857D76-BC94-664F-84C7-0012CDC21CE7}"/>
    <dataValidation allowBlank="1" showInputMessage="1" showErrorMessage="1" prompt="Les jours du mois dans cette ligne sont générés automatiquement. Entrez l’absence et le motif d’absence d’un employé dans chaque colonne pour chaque jour du mois. Un champ vide indique qu’il n’y a pas eu d’absence" sqref="C7" xr:uid="{5421F493-A31F-8648-8CC2-873E0B9CED93}"/>
    <dataValidation allowBlank="1" showInputMessage="1" showErrorMessage="1" prompt="Le Calendrier des absences des employés suit les absences exprimées en jours pour chaque mois. Il existe 13 feuilles de calcul, 12 mensuelles et la dernière pour les noms des employés. Suivez les absences du mois de janvier dans cette feuille de calcul" sqref="A2" xr:uid="{EB96700F-AF7B-8044-9396-0968816A3B1A}"/>
    <dataValidation allowBlank="1" showErrorMessage="1" sqref="B1:Y1 B2:B3" xr:uid="{834BA3B8-AE7C-F641-9116-D4379DF82498}"/>
    <dataValidation allowBlank="1" showErrorMessage="1" prompt="Entrez une étiquette pour décrire la clé personnalisée à gauche" sqref="N3" xr:uid="{1110D081-4450-D24F-8E89-E5060A420017}"/>
    <dataValidation allowBlank="1" showErrorMessage="1" prompt="Entrez une lettre et personnalisez l’étiquette à droite pour ajouter un élément de clé" sqref="I2:I3" xr:uid="{3C943EFA-6AF0-F040-9A3B-C5C8C8C181F6}"/>
    <dataValidation allowBlank="1" showInputMessage="1" showErrorMessage="1" prompt="Entrez une étiquette pour décrire la clé personnalisée à gauche" sqref="J2:J3" xr:uid="{90BE1D7F-8FFA-5D45-9E40-456CC1EC8194}"/>
    <dataValidation allowBlank="1" showInputMessage="1" showErrorMessage="1" prompt="Entrez une lettre et personnalisez l’étiquette à droite pour ajouter un élément de clé" sqref="M3" xr:uid="{6249C861-3CF7-8044-A522-5BD470DA5AE0}"/>
    <dataValidation allowBlank="1" showErrorMessage="1" prompt="La lettre « P » indique une absence pour motifs personnels" sqref="F3" xr:uid="{F6CA74E1-27E1-994B-BAA2-EBB35E820E11}"/>
    <dataValidation allowBlank="1" showErrorMessage="1" prompt="La lettre « C » indique une absence pour cause de congé" sqref="C3" xr:uid="{285882F3-4FE2-A842-AD1E-82EB0627E773}"/>
    <dataValidation allowBlank="1" showInputMessage="1" showErrorMessage="1" prompt="Année mise à jour automatiquement en fonction de l’année entrée dans la feuille de calcul Janvier" sqref="AK5" xr:uid="{39196C44-96C9-5F49-B489-3E9FF48C5841}"/>
    <dataValidation type="list" allowBlank="1" showInputMessage="1" showErrorMessage="1" sqref="B8:B18" xr:uid="{E0DC8F65-A4F4-4062-AE87-F487F44EA8AD}">
      <formula1>Nom_Employe</formula1>
    </dataValidation>
  </dataValidations>
  <pageMargins left="0.7" right="0.7" top="0.75" bottom="0.75" header="0.3" footer="0.3"/>
  <pageSetup paperSize="9" fitToHeight="0" orientation="portrait" verticalDpi="4294967293" r:id="rId1"/>
  <tableParts count="1">
    <tablePart r:id="rId2"/>
  </tableParts>
  <extLst>
    <ext xmlns:x14="http://schemas.microsoft.com/office/spreadsheetml/2009/9/main" uri="{78C0D931-6437-407d-A8EE-F0AAD7539E65}">
      <x14:conditionalFormattings>
        <x14:conditionalFormatting xmlns:xm="http://schemas.microsoft.com/office/excel/2006/main">
          <x14:cfRule type="dataBar" id="{70B0D600-AA18-6E4E-88AF-E716FF444CDB}">
            <x14:dataBar minLength="0" maxLength="100">
              <x14:cfvo type="num">
                <xm:f>0</xm:f>
              </x14:cfvo>
              <x14:cfvo type="num">
                <xm:f>31</xm:f>
              </x14:cfvo>
              <x14:negativeFillColor rgb="FFFF0000"/>
              <x14:axisColor rgb="FF000000"/>
            </x14:dataBar>
          </x14:cfRule>
          <xm:sqref>AH8:AH18</xm:sqref>
        </x14:conditionalFormatting>
        <x14:conditionalFormatting xmlns:xm="http://schemas.microsoft.com/office/excel/2006/main">
          <x14:cfRule type="dataBar" id="{8689CD13-DB79-F947-A7CD-0135813A8595}">
            <x14:dataBar minLength="0" maxLength="100">
              <x14:cfvo type="num">
                <xm:f>0</xm:f>
              </x14:cfvo>
              <x14:cfvo type="num">
                <xm:f>31</xm:f>
              </x14:cfvo>
              <x14:negativeFillColor rgb="FFFF0000"/>
              <x14:axisColor rgb="FF000000"/>
            </x14:dataBar>
          </x14:cfRule>
          <xm:sqref>AI8:AI18</xm:sqref>
        </x14:conditionalFormatting>
        <x14:conditionalFormatting xmlns:xm="http://schemas.microsoft.com/office/excel/2006/main">
          <x14:cfRule type="dataBar" id="{4BA5FB8D-EBC5-4C37-8B03-9454D3137674}">
            <x14:dataBar minLength="0" maxLength="100">
              <x14:cfvo type="num">
                <xm:f>0</xm:f>
              </x14:cfvo>
              <x14:cfvo type="num">
                <xm:f>31</xm:f>
              </x14:cfvo>
              <x14:negativeFillColor rgb="FFFF0000"/>
              <x14:axisColor rgb="FF000000"/>
            </x14:dataBar>
          </x14:cfRule>
          <xm:sqref>AJ8:AJ18</xm:sqref>
        </x14:conditionalFormatting>
      </x14:conditionalFormatting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B1A6BD-3DC0-4145-BF9B-10A476ED778C}">
  <sheetPr codeName="Feuil4">
    <tabColor theme="2" tint="-0.249977111117893"/>
  </sheetPr>
  <dimension ref="A1:AK19"/>
  <sheetViews>
    <sheetView showGridLines="0" topLeftCell="F12" zoomScale="110" zoomScaleNormal="110" workbookViewId="0">
      <selection activeCell="AJ8" sqref="AJ8:AJ18"/>
    </sheetView>
  </sheetViews>
  <sheetFormatPr baseColWidth="10" defaultColWidth="9.140625" defaultRowHeight="30" customHeight="1"/>
  <cols>
    <col min="1" max="1" width="2.7109375" style="3" customWidth="1"/>
    <col min="2" max="2" width="25.85546875" style="3" customWidth="1"/>
    <col min="3" max="33" width="4.7109375" style="3" customWidth="1"/>
    <col min="34" max="34" width="13.42578125" style="3" customWidth="1"/>
    <col min="35" max="36" width="11.140625" customWidth="1"/>
    <col min="37" max="37" width="21.42578125" customWidth="1"/>
  </cols>
  <sheetData>
    <row r="1" spans="1:37" ht="50.1" customHeight="1">
      <c r="B1" s="4" t="str">
        <f>Titre_Absence_Employé</f>
        <v>Calendrier des absences des employés</v>
      </c>
    </row>
    <row r="2" spans="1:37" ht="21.95" customHeight="1">
      <c r="A2" s="5"/>
      <c r="C2" s="48" t="s">
        <v>89</v>
      </c>
      <c r="D2" s="93" t="s">
        <v>90</v>
      </c>
      <c r="E2" s="93"/>
      <c r="F2" s="39" t="s">
        <v>72</v>
      </c>
      <c r="G2" s="88" t="s">
        <v>66</v>
      </c>
      <c r="H2" s="88"/>
      <c r="I2" s="38" t="s">
        <v>71</v>
      </c>
      <c r="J2" s="88" t="s">
        <v>74</v>
      </c>
      <c r="K2" s="88"/>
      <c r="L2" s="88"/>
      <c r="P2" s="47" t="s">
        <v>87</v>
      </c>
      <c r="Q2" s="95" t="s">
        <v>88</v>
      </c>
      <c r="R2" s="95"/>
      <c r="S2" s="95"/>
      <c r="T2" s="95"/>
      <c r="U2" s="95"/>
      <c r="V2" s="40" t="s">
        <v>70</v>
      </c>
      <c r="W2" s="88" t="s">
        <v>73</v>
      </c>
      <c r="X2" s="88"/>
      <c r="Y2" s="88"/>
      <c r="Z2" s="51" t="s">
        <v>96</v>
      </c>
      <c r="AA2" s="88" t="s">
        <v>97</v>
      </c>
      <c r="AB2" s="88"/>
      <c r="AC2" s="88"/>
    </row>
    <row r="3" spans="1:37" ht="18" customHeight="1">
      <c r="B3" s="9" t="s">
        <v>1</v>
      </c>
      <c r="C3" s="17" t="s">
        <v>4</v>
      </c>
      <c r="D3" s="89" t="s">
        <v>7</v>
      </c>
      <c r="E3" s="89"/>
      <c r="F3" s="18" t="s">
        <v>57</v>
      </c>
      <c r="G3" s="88" t="s">
        <v>57</v>
      </c>
      <c r="H3" s="88"/>
      <c r="I3" s="21" t="s">
        <v>55</v>
      </c>
      <c r="J3" s="88" t="s">
        <v>56</v>
      </c>
      <c r="K3" s="88"/>
      <c r="L3" s="88"/>
      <c r="M3" s="14" t="s">
        <v>58</v>
      </c>
      <c r="N3" s="88" t="s">
        <v>59</v>
      </c>
      <c r="O3" s="90"/>
      <c r="P3" s="54" t="s">
        <v>60</v>
      </c>
      <c r="Q3" s="91" t="s">
        <v>61</v>
      </c>
      <c r="R3" s="88"/>
      <c r="S3" s="20" t="s">
        <v>11</v>
      </c>
      <c r="T3" s="89" t="s">
        <v>17</v>
      </c>
      <c r="U3" s="89"/>
      <c r="V3" s="36" t="s">
        <v>69</v>
      </c>
      <c r="W3" s="88" t="s">
        <v>68</v>
      </c>
      <c r="X3" s="88"/>
      <c r="Y3" s="88"/>
      <c r="Z3" s="73" t="s">
        <v>100</v>
      </c>
      <c r="AA3" s="92" t="s">
        <v>101</v>
      </c>
      <c r="AB3" s="92"/>
      <c r="AC3" s="92"/>
    </row>
    <row r="4" spans="1:37" ht="15" customHeight="1">
      <c r="B4" s="4"/>
    </row>
    <row r="5" spans="1:37" ht="30" customHeight="1">
      <c r="B5" s="19" t="s">
        <v>45</v>
      </c>
      <c r="C5" s="87" t="s">
        <v>5</v>
      </c>
      <c r="D5" s="87"/>
      <c r="E5" s="87"/>
      <c r="F5" s="87"/>
      <c r="G5" s="87"/>
      <c r="H5" s="87"/>
      <c r="I5" s="87"/>
      <c r="J5" s="87"/>
      <c r="K5" s="87"/>
      <c r="L5" s="87"/>
      <c r="M5" s="87"/>
      <c r="N5" s="87"/>
      <c r="O5" s="87"/>
      <c r="P5" s="87"/>
      <c r="Q5" s="87"/>
      <c r="R5" s="87"/>
      <c r="S5" s="87"/>
      <c r="T5" s="87"/>
      <c r="U5" s="87"/>
      <c r="V5" s="87"/>
      <c r="W5" s="87"/>
      <c r="X5" s="87"/>
      <c r="Y5" s="87"/>
      <c r="Z5" s="87"/>
      <c r="AA5" s="87"/>
      <c r="AB5" s="87"/>
      <c r="AC5" s="87"/>
      <c r="AD5" s="87"/>
      <c r="AE5" s="87"/>
      <c r="AF5" s="87"/>
      <c r="AG5" s="87"/>
      <c r="AH5" s="23"/>
      <c r="AI5" s="23"/>
      <c r="AJ5" s="23"/>
      <c r="AK5" s="69">
        <f>AnnéeCalendrier</f>
        <v>2021</v>
      </c>
    </row>
    <row r="6" spans="1:37" ht="15" customHeight="1">
      <c r="B6" s="13"/>
      <c r="C6" s="55" t="str">
        <f>TEXT(WEEKDAY(DATE(AnnéeCalendrier,4,1),1),"jjj")</f>
        <v>jeu</v>
      </c>
      <c r="D6" s="55" t="str">
        <f>TEXT(WEEKDAY(DATE(AnnéeCalendrier,4,2),1),"jjj")</f>
        <v>ven</v>
      </c>
      <c r="E6" s="55" t="str">
        <f>TEXT(WEEKDAY(DATE(AnnéeCalendrier,4,3),1),"jjj")</f>
        <v>sam</v>
      </c>
      <c r="F6" s="55" t="str">
        <f>TEXT(WEEKDAY(DATE(AnnéeCalendrier,4,4),1),"jjj")</f>
        <v>dim</v>
      </c>
      <c r="G6" s="55" t="str">
        <f>TEXT(WEEKDAY(DATE(AnnéeCalendrier,4,5),1),"jjj")</f>
        <v>lun</v>
      </c>
      <c r="H6" s="55" t="str">
        <f>TEXT(WEEKDAY(DATE(AnnéeCalendrier,4,6),1),"jjj")</f>
        <v>mar</v>
      </c>
      <c r="I6" s="55" t="str">
        <f>TEXT(WEEKDAY(DATE(AnnéeCalendrier,4,7),1),"jjj")</f>
        <v>mer</v>
      </c>
      <c r="J6" s="55" t="str">
        <f>TEXT(WEEKDAY(DATE(AnnéeCalendrier,4,8),1),"jjj")</f>
        <v>jeu</v>
      </c>
      <c r="K6" s="55" t="str">
        <f>TEXT(WEEKDAY(DATE(AnnéeCalendrier,4,9),1),"jjj")</f>
        <v>ven</v>
      </c>
      <c r="L6" s="55" t="str">
        <f>TEXT(WEEKDAY(DATE(AnnéeCalendrier,4,10),1),"jjj")</f>
        <v>sam</v>
      </c>
      <c r="M6" s="55" t="str">
        <f>TEXT(WEEKDAY(DATE(AnnéeCalendrier,4,11),1),"jjj")</f>
        <v>dim</v>
      </c>
      <c r="N6" s="55" t="str">
        <f>TEXT(WEEKDAY(DATE(AnnéeCalendrier,4,12),1),"jjj")</f>
        <v>lun</v>
      </c>
      <c r="O6" s="55" t="str">
        <f>TEXT(WEEKDAY(DATE(AnnéeCalendrier,4,13),1),"jjj")</f>
        <v>mar</v>
      </c>
      <c r="P6" s="55" t="str">
        <f>TEXT(WEEKDAY(DATE(AnnéeCalendrier,4,14),1),"jjj")</f>
        <v>mer</v>
      </c>
      <c r="Q6" s="55" t="str">
        <f>TEXT(WEEKDAY(DATE(AnnéeCalendrier,4,15),1),"jjj")</f>
        <v>jeu</v>
      </c>
      <c r="R6" s="55" t="str">
        <f>TEXT(WEEKDAY(DATE(AnnéeCalendrier,4,16),1),"jjj")</f>
        <v>ven</v>
      </c>
      <c r="S6" s="55" t="str">
        <f>TEXT(WEEKDAY(DATE(AnnéeCalendrier,4,17),1),"jjj")</f>
        <v>sam</v>
      </c>
      <c r="T6" s="55" t="str">
        <f>TEXT(WEEKDAY(DATE(AnnéeCalendrier,4,18),1),"jjj")</f>
        <v>dim</v>
      </c>
      <c r="U6" s="55" t="str">
        <f>TEXT(WEEKDAY(DATE(AnnéeCalendrier,4,19),1),"jjj")</f>
        <v>lun</v>
      </c>
      <c r="V6" s="55" t="str">
        <f>TEXT(WEEKDAY(DATE(AnnéeCalendrier,4,20),1),"jjj")</f>
        <v>mar</v>
      </c>
      <c r="W6" s="55" t="str">
        <f>TEXT(WEEKDAY(DATE(AnnéeCalendrier,4,21),1),"jjj")</f>
        <v>mer</v>
      </c>
      <c r="X6" s="55" t="str">
        <f>TEXT(WEEKDAY(DATE(AnnéeCalendrier,4,22),1),"jjj")</f>
        <v>jeu</v>
      </c>
      <c r="Y6" s="55" t="str">
        <f>TEXT(WEEKDAY(DATE(AnnéeCalendrier,4,23),1),"jjj")</f>
        <v>ven</v>
      </c>
      <c r="Z6" s="55" t="str">
        <f>TEXT(WEEKDAY(DATE(AnnéeCalendrier,4,24),1),"jjj")</f>
        <v>sam</v>
      </c>
      <c r="AA6" s="55" t="str">
        <f>TEXT(WEEKDAY(DATE(AnnéeCalendrier,4,25),1),"jjj")</f>
        <v>dim</v>
      </c>
      <c r="AB6" s="55" t="str">
        <f>TEXT(WEEKDAY(DATE(AnnéeCalendrier,4,26),1),"jjj")</f>
        <v>lun</v>
      </c>
      <c r="AC6" s="55" t="str">
        <f>TEXT(WEEKDAY(DATE(AnnéeCalendrier,4,27),1),"jjj")</f>
        <v>mar</v>
      </c>
      <c r="AD6" s="55" t="str">
        <f>TEXT(WEEKDAY(DATE(AnnéeCalendrier,4,28),1),"jjj")</f>
        <v>mer</v>
      </c>
      <c r="AE6" s="55" t="str">
        <f>TEXT(WEEKDAY(DATE(AnnéeCalendrier,4,29),1),"jjj")</f>
        <v>jeu</v>
      </c>
      <c r="AF6" s="55" t="str">
        <f>TEXT(WEEKDAY(DATE(AnnéeCalendrier,4,30),1),"jjj")</f>
        <v>ven</v>
      </c>
      <c r="AG6" s="55"/>
      <c r="AH6" s="10"/>
      <c r="AI6" s="10"/>
      <c r="AJ6" s="10"/>
      <c r="AK6" s="10"/>
    </row>
    <row r="7" spans="1:37" ht="33.950000000000003" customHeight="1">
      <c r="B7" s="42" t="s">
        <v>3</v>
      </c>
      <c r="C7" s="12" t="s">
        <v>6</v>
      </c>
      <c r="D7" s="12" t="s">
        <v>8</v>
      </c>
      <c r="E7" s="12" t="s">
        <v>9</v>
      </c>
      <c r="F7" s="12" t="s">
        <v>10</v>
      </c>
      <c r="G7" s="52" t="s">
        <v>12</v>
      </c>
      <c r="H7" s="12" t="s">
        <v>13</v>
      </c>
      <c r="I7" s="12" t="s">
        <v>14</v>
      </c>
      <c r="J7" s="12" t="s">
        <v>15</v>
      </c>
      <c r="K7" s="12" t="s">
        <v>16</v>
      </c>
      <c r="L7" s="12" t="s">
        <v>18</v>
      </c>
      <c r="M7" s="12" t="s">
        <v>19</v>
      </c>
      <c r="N7" s="12" t="s">
        <v>20</v>
      </c>
      <c r="O7" s="12" t="s">
        <v>21</v>
      </c>
      <c r="P7" s="12" t="s">
        <v>22</v>
      </c>
      <c r="Q7" s="12" t="s">
        <v>23</v>
      </c>
      <c r="R7" s="12" t="s">
        <v>24</v>
      </c>
      <c r="S7" s="12" t="s">
        <v>25</v>
      </c>
      <c r="T7" s="12" t="s">
        <v>26</v>
      </c>
      <c r="U7" s="12" t="s">
        <v>27</v>
      </c>
      <c r="V7" s="12" t="s">
        <v>28</v>
      </c>
      <c r="W7" s="12" t="s">
        <v>29</v>
      </c>
      <c r="X7" s="12" t="s">
        <v>30</v>
      </c>
      <c r="Y7" s="12" t="s">
        <v>31</v>
      </c>
      <c r="Z7" s="12" t="s">
        <v>32</v>
      </c>
      <c r="AA7" s="12" t="s">
        <v>33</v>
      </c>
      <c r="AB7" s="12" t="s">
        <v>34</v>
      </c>
      <c r="AC7" s="12" t="s">
        <v>35</v>
      </c>
      <c r="AD7" s="12" t="s">
        <v>36</v>
      </c>
      <c r="AE7" s="12" t="s">
        <v>37</v>
      </c>
      <c r="AF7" s="12" t="s">
        <v>38</v>
      </c>
      <c r="AG7" s="12" t="s">
        <v>42</v>
      </c>
      <c r="AH7" s="24" t="s">
        <v>67</v>
      </c>
      <c r="AI7" s="25" t="s">
        <v>78</v>
      </c>
      <c r="AJ7" s="25" t="s">
        <v>98</v>
      </c>
      <c r="AK7" s="32" t="s">
        <v>76</v>
      </c>
    </row>
    <row r="8" spans="1:37" ht="30" customHeight="1">
      <c r="B8" s="8"/>
      <c r="C8" s="15"/>
      <c r="D8" s="15"/>
      <c r="E8" s="15"/>
      <c r="F8" s="15"/>
      <c r="G8" s="15"/>
      <c r="H8" s="15"/>
      <c r="I8" s="15"/>
      <c r="J8" s="15"/>
      <c r="K8" s="15"/>
      <c r="L8" s="15"/>
      <c r="M8" s="15"/>
      <c r="N8" s="15"/>
      <c r="O8" s="15"/>
      <c r="P8" s="15"/>
      <c r="Q8" s="15"/>
      <c r="R8" s="15"/>
      <c r="S8" s="15"/>
      <c r="T8" s="15"/>
      <c r="U8" s="15"/>
      <c r="V8" s="15"/>
      <c r="W8" s="15"/>
      <c r="X8" s="15"/>
      <c r="Y8" s="15"/>
      <c r="Z8" s="15"/>
      <c r="AA8" s="15"/>
      <c r="AB8" s="15"/>
      <c r="AC8" s="15"/>
      <c r="AD8" s="15"/>
      <c r="AE8" s="15"/>
      <c r="AF8" s="15"/>
      <c r="AG8" s="15"/>
      <c r="AH8" s="31">
        <f t="shared" ref="AH8:AH18" si="0">(COUNTIF(C8:AG8,CléCongé)+(COUNTIF(C8:AG8,CléEnfantMalade)+COUNTIF(C8:AG8,CléRTT)+COUNTIF(C8:AG8,CléCongéMalade)+COUNTIF(C8:AG8,CléRécupération)+COUNTIF(C8:AG8,CléFormation)+COUNTIF(C8:AG8,CléTélétravail-1)+COUNTIF(C8:AG8,CléCongéSpécial)+COUNTIF(C8:AG8,CléPrésenceExceptionnelle-1)+COUNTIF(C8:AG8,CléDemiRtt)/2)+COUNTIF(C8:AG8,CléDemiRécupération)/2)+COUNTIF(C8:AG8,CléDemiEnfantMalade)/2</f>
        <v>0</v>
      </c>
      <c r="AI8" s="31">
        <f t="shared" ref="AI8:AI18" si="1">COUNTIF(C8:AG8,CléRTT)+COUNTIF(C8:AG8,CléDemiRtt)/2</f>
        <v>0</v>
      </c>
      <c r="AJ8" s="31">
        <f>COUNTIF(C8:AG8,$S$3)</f>
        <v>0</v>
      </c>
      <c r="AK8" s="22"/>
    </row>
    <row r="9" spans="1:37" ht="30" customHeight="1">
      <c r="B9" s="8"/>
      <c r="C9" s="15"/>
      <c r="D9" s="15"/>
      <c r="E9" s="15"/>
      <c r="F9" s="15"/>
      <c r="G9" s="15"/>
      <c r="H9" s="15"/>
      <c r="I9" s="15"/>
      <c r="J9" s="15"/>
      <c r="K9" s="15"/>
      <c r="L9" s="15"/>
      <c r="M9" s="15"/>
      <c r="N9" s="15"/>
      <c r="O9" s="15"/>
      <c r="P9" s="15"/>
      <c r="Q9" s="15"/>
      <c r="R9" s="15"/>
      <c r="S9" s="15"/>
      <c r="T9" s="15"/>
      <c r="U9" s="15"/>
      <c r="V9" s="15"/>
      <c r="W9" s="15"/>
      <c r="X9" s="15"/>
      <c r="Y9" s="15"/>
      <c r="Z9" s="15"/>
      <c r="AA9" s="15"/>
      <c r="AB9" s="15"/>
      <c r="AC9" s="15"/>
      <c r="AD9" s="15"/>
      <c r="AE9" s="15"/>
      <c r="AF9" s="15"/>
      <c r="AG9" s="15"/>
      <c r="AH9" s="31">
        <f t="shared" si="0"/>
        <v>0</v>
      </c>
      <c r="AI9" s="31">
        <f t="shared" si="1"/>
        <v>0</v>
      </c>
      <c r="AJ9" s="31">
        <f t="shared" ref="AJ9:AJ18" si="2">COUNTIF(C9:AG9,$S$3)</f>
        <v>0</v>
      </c>
      <c r="AK9" s="22">
        <f>Mars!AK9-Avril[[#This Row],[Dont RTT]]+2</f>
        <v>11</v>
      </c>
    </row>
    <row r="10" spans="1:37" ht="30" customHeight="1">
      <c r="B10" s="8"/>
      <c r="C10" s="15"/>
      <c r="D10" s="15"/>
      <c r="E10" s="15"/>
      <c r="F10" s="15"/>
      <c r="G10" s="15"/>
      <c r="H10" s="15"/>
      <c r="I10" s="15"/>
      <c r="J10" s="15"/>
      <c r="K10" s="15"/>
      <c r="L10" s="15"/>
      <c r="M10" s="15"/>
      <c r="N10" s="15"/>
      <c r="O10" s="15"/>
      <c r="P10" s="15"/>
      <c r="Q10" s="15"/>
      <c r="R10" s="15"/>
      <c r="S10" s="15"/>
      <c r="T10" s="15"/>
      <c r="U10" s="15"/>
      <c r="V10" s="15"/>
      <c r="W10" s="15"/>
      <c r="X10" s="15"/>
      <c r="Y10" s="15"/>
      <c r="Z10" s="15"/>
      <c r="AA10" s="15"/>
      <c r="AB10" s="15"/>
      <c r="AC10" s="15"/>
      <c r="AD10" s="15"/>
      <c r="AE10" s="15"/>
      <c r="AF10" s="15"/>
      <c r="AG10" s="15"/>
      <c r="AH10" s="31">
        <f t="shared" si="0"/>
        <v>0</v>
      </c>
      <c r="AI10" s="31">
        <f t="shared" si="1"/>
        <v>0</v>
      </c>
      <c r="AJ10" s="31">
        <f t="shared" si="2"/>
        <v>0</v>
      </c>
      <c r="AK10" s="22">
        <f>Mars!AK10-Avril[[#This Row],[Dont RTT]]+2</f>
        <v>19</v>
      </c>
    </row>
    <row r="11" spans="1:37" ht="30" customHeight="1">
      <c r="B11" s="8"/>
      <c r="C11" s="15"/>
      <c r="D11" s="15"/>
      <c r="E11" s="15"/>
      <c r="F11" s="15"/>
      <c r="G11" s="15"/>
      <c r="H11" s="15"/>
      <c r="I11" s="15"/>
      <c r="J11" s="15"/>
      <c r="K11" s="15"/>
      <c r="L11" s="15"/>
      <c r="M11" s="15"/>
      <c r="N11" s="15"/>
      <c r="O11" s="15"/>
      <c r="P11" s="15"/>
      <c r="Q11" s="15"/>
      <c r="R11" s="15"/>
      <c r="S11" s="15"/>
      <c r="T11" s="15"/>
      <c r="U11" s="15"/>
      <c r="V11" s="15"/>
      <c r="W11" s="15"/>
      <c r="X11" s="15"/>
      <c r="Y11" s="15"/>
      <c r="Z11" s="15"/>
      <c r="AA11" s="15"/>
      <c r="AB11" s="15"/>
      <c r="AC11" s="15"/>
      <c r="AD11" s="15"/>
      <c r="AE11" s="15"/>
      <c r="AF11" s="15"/>
      <c r="AG11" s="15"/>
      <c r="AH11" s="31">
        <f t="shared" si="0"/>
        <v>0</v>
      </c>
      <c r="AI11" s="31">
        <f t="shared" si="1"/>
        <v>0</v>
      </c>
      <c r="AJ11" s="31">
        <f t="shared" si="2"/>
        <v>0</v>
      </c>
      <c r="AK11" s="22"/>
    </row>
    <row r="12" spans="1:37" ht="30" customHeight="1">
      <c r="B12" s="8"/>
      <c r="C12" s="15"/>
      <c r="D12" s="15"/>
      <c r="E12" s="15"/>
      <c r="F12" s="15"/>
      <c r="G12" s="15"/>
      <c r="H12" s="15"/>
      <c r="I12" s="15"/>
      <c r="J12" s="15"/>
      <c r="K12" s="15"/>
      <c r="L12" s="15"/>
      <c r="M12" s="15"/>
      <c r="N12" s="15"/>
      <c r="O12" s="15"/>
      <c r="P12" s="15"/>
      <c r="Q12" s="15"/>
      <c r="R12" s="15"/>
      <c r="S12" s="15"/>
      <c r="T12" s="15"/>
      <c r="U12" s="15"/>
      <c r="V12" s="15"/>
      <c r="W12" s="15"/>
      <c r="X12" s="15"/>
      <c r="Y12" s="15"/>
      <c r="Z12" s="15"/>
      <c r="AA12" s="15"/>
      <c r="AB12" s="15"/>
      <c r="AC12" s="15"/>
      <c r="AD12" s="15"/>
      <c r="AE12" s="15"/>
      <c r="AF12" s="15"/>
      <c r="AG12" s="15"/>
      <c r="AH12" s="31">
        <f t="shared" si="0"/>
        <v>0</v>
      </c>
      <c r="AI12" s="31">
        <f t="shared" si="1"/>
        <v>0</v>
      </c>
      <c r="AJ12" s="31">
        <f t="shared" si="2"/>
        <v>0</v>
      </c>
      <c r="AK12" s="22"/>
    </row>
    <row r="13" spans="1:37" ht="30" customHeight="1">
      <c r="B13" s="8"/>
      <c r="C13" s="22"/>
      <c r="D13" s="22"/>
      <c r="E13" s="22"/>
      <c r="F13" s="22"/>
      <c r="G13" s="22"/>
      <c r="H13" s="22"/>
      <c r="I13" s="22"/>
      <c r="J13" s="22"/>
      <c r="K13" s="15"/>
      <c r="L13" s="22"/>
      <c r="M13" s="22"/>
      <c r="N13" s="22"/>
      <c r="O13" s="22"/>
      <c r="P13" s="22"/>
      <c r="Q13" s="22"/>
      <c r="R13" s="15"/>
      <c r="S13" s="22"/>
      <c r="T13" s="22"/>
      <c r="U13" s="22"/>
      <c r="V13" s="22"/>
      <c r="W13" s="22"/>
      <c r="X13" s="22"/>
      <c r="Y13" s="15"/>
      <c r="Z13" s="22"/>
      <c r="AA13" s="22"/>
      <c r="AB13" s="22"/>
      <c r="AC13" s="22"/>
      <c r="AD13" s="22"/>
      <c r="AE13" s="22"/>
      <c r="AF13" s="22"/>
      <c r="AG13" s="22"/>
      <c r="AH13" s="31">
        <f t="shared" si="0"/>
        <v>0</v>
      </c>
      <c r="AI13" s="31">
        <f t="shared" si="1"/>
        <v>0</v>
      </c>
      <c r="AJ13" s="31">
        <f t="shared" si="2"/>
        <v>0</v>
      </c>
      <c r="AK13" s="22">
        <f>Mars!AK13-Avril[[#This Row],[Dont RTT]]+2</f>
        <v>10.93</v>
      </c>
    </row>
    <row r="14" spans="1:37" ht="30" customHeight="1">
      <c r="B14" s="8"/>
      <c r="C14" s="22"/>
      <c r="D14" s="22"/>
      <c r="E14" s="22"/>
      <c r="F14" s="22"/>
      <c r="G14" s="22"/>
      <c r="H14" s="22"/>
      <c r="I14" s="22"/>
      <c r="J14" s="22"/>
      <c r="K14" s="15"/>
      <c r="L14" s="22"/>
      <c r="M14" s="22"/>
      <c r="N14" s="22"/>
      <c r="O14" s="22"/>
      <c r="P14" s="22"/>
      <c r="Q14" s="22"/>
      <c r="R14" s="15"/>
      <c r="S14" s="22"/>
      <c r="T14" s="22"/>
      <c r="U14" s="22"/>
      <c r="V14" s="22"/>
      <c r="W14" s="22"/>
      <c r="X14" s="22"/>
      <c r="Y14" s="15"/>
      <c r="Z14" s="22"/>
      <c r="AA14" s="22"/>
      <c r="AB14" s="22"/>
      <c r="AC14" s="22"/>
      <c r="AD14" s="22"/>
      <c r="AE14" s="22"/>
      <c r="AF14" s="22"/>
      <c r="AG14" s="22"/>
      <c r="AH14" s="31">
        <f t="shared" si="0"/>
        <v>0</v>
      </c>
      <c r="AI14" s="31">
        <f t="shared" si="1"/>
        <v>0</v>
      </c>
      <c r="AJ14" s="31">
        <f t="shared" si="2"/>
        <v>0</v>
      </c>
      <c r="AK14" s="22">
        <f>Mars!AK14-Avril[[#This Row],[Dont RTT]]+2</f>
        <v>10.5</v>
      </c>
    </row>
    <row r="15" spans="1:37" ht="30" customHeight="1">
      <c r="B15" s="8"/>
      <c r="C15" s="22"/>
      <c r="D15" s="22"/>
      <c r="E15" s="22"/>
      <c r="F15" s="22"/>
      <c r="G15" s="22"/>
      <c r="H15" s="22"/>
      <c r="I15" s="22"/>
      <c r="J15" s="22"/>
      <c r="K15" s="22"/>
      <c r="L15" s="22"/>
      <c r="M15" s="15"/>
      <c r="N15" s="22"/>
      <c r="O15" s="22"/>
      <c r="P15" s="22"/>
      <c r="Q15" s="22"/>
      <c r="R15" s="22"/>
      <c r="S15" s="22"/>
      <c r="T15" s="15"/>
      <c r="U15" s="22"/>
      <c r="V15" s="22"/>
      <c r="W15" s="22"/>
      <c r="X15" s="22"/>
      <c r="Y15" s="22"/>
      <c r="Z15" s="22"/>
      <c r="AA15" s="15"/>
      <c r="AB15" s="22"/>
      <c r="AC15" s="22"/>
      <c r="AD15" s="22"/>
      <c r="AE15" s="22"/>
      <c r="AF15" s="22"/>
      <c r="AG15" s="22"/>
      <c r="AH15" s="31">
        <f t="shared" si="0"/>
        <v>0</v>
      </c>
      <c r="AI15" s="31">
        <f t="shared" si="1"/>
        <v>0</v>
      </c>
      <c r="AJ15" s="31">
        <f t="shared" si="2"/>
        <v>0</v>
      </c>
      <c r="AK15" s="22">
        <f>Mars!AK15-Avril[[#This Row],[Dont RTT]]+2</f>
        <v>13.5</v>
      </c>
    </row>
    <row r="16" spans="1:37" ht="30" customHeight="1">
      <c r="B16" s="8"/>
      <c r="C16" s="22"/>
      <c r="D16" s="22"/>
      <c r="E16" s="22"/>
      <c r="F16" s="22"/>
      <c r="G16" s="22"/>
      <c r="H16" s="22"/>
      <c r="I16" s="22"/>
      <c r="J16" s="22"/>
      <c r="K16" s="15"/>
      <c r="L16" s="22"/>
      <c r="M16" s="22"/>
      <c r="N16" s="22"/>
      <c r="O16" s="22"/>
      <c r="P16" s="22"/>
      <c r="Q16" s="22"/>
      <c r="R16" s="15"/>
      <c r="S16" s="22"/>
      <c r="T16" s="22"/>
      <c r="U16" s="22"/>
      <c r="V16" s="22"/>
      <c r="W16" s="22"/>
      <c r="X16" s="22"/>
      <c r="Y16" s="15"/>
      <c r="Z16" s="22"/>
      <c r="AA16" s="22"/>
      <c r="AB16" s="22"/>
      <c r="AC16" s="22"/>
      <c r="AD16" s="22"/>
      <c r="AE16" s="22"/>
      <c r="AF16" s="22"/>
      <c r="AG16" s="22"/>
      <c r="AH16" s="31">
        <f t="shared" si="0"/>
        <v>0</v>
      </c>
      <c r="AI16" s="31">
        <f t="shared" si="1"/>
        <v>0</v>
      </c>
      <c r="AJ16" s="31">
        <f t="shared" si="2"/>
        <v>0</v>
      </c>
      <c r="AK16" s="22">
        <f>Mars!AK16-Avril[[#This Row],[Dont RTT]]+2</f>
        <v>10.16</v>
      </c>
    </row>
    <row r="17" spans="2:37" ht="30" customHeight="1">
      <c r="B17" s="8"/>
      <c r="C17" s="22"/>
      <c r="D17" s="22"/>
      <c r="E17" s="22"/>
      <c r="F17" s="22"/>
      <c r="G17" s="22"/>
      <c r="H17" s="22"/>
      <c r="I17" s="22"/>
      <c r="J17" s="22"/>
      <c r="K17" s="22"/>
      <c r="L17" s="22"/>
      <c r="M17" s="15"/>
      <c r="N17" s="22"/>
      <c r="O17" s="22"/>
      <c r="P17" s="22"/>
      <c r="Q17" s="22"/>
      <c r="R17" s="22"/>
      <c r="S17" s="22"/>
      <c r="T17" s="15"/>
      <c r="U17" s="22"/>
      <c r="V17" s="22"/>
      <c r="W17" s="22"/>
      <c r="X17" s="22"/>
      <c r="Y17" s="22"/>
      <c r="Z17" s="22"/>
      <c r="AA17" s="15"/>
      <c r="AB17" s="22"/>
      <c r="AC17" s="22"/>
      <c r="AD17" s="22"/>
      <c r="AE17" s="22"/>
      <c r="AF17" s="22"/>
      <c r="AG17" s="22"/>
      <c r="AH17" s="31">
        <f t="shared" si="0"/>
        <v>0</v>
      </c>
      <c r="AI17" s="31">
        <f t="shared" si="1"/>
        <v>0</v>
      </c>
      <c r="AJ17" s="31">
        <f t="shared" si="2"/>
        <v>0</v>
      </c>
      <c r="AK17" s="22">
        <f>Mars!AK17-Avril[[#This Row],[Dont RTT]]+2</f>
        <v>19</v>
      </c>
    </row>
    <row r="18" spans="2:37" ht="30" customHeight="1">
      <c r="B18" s="8"/>
      <c r="C18" s="22"/>
      <c r="D18" s="22"/>
      <c r="E18" s="22"/>
      <c r="F18" s="22"/>
      <c r="G18" s="22"/>
      <c r="H18" s="22"/>
      <c r="I18" s="22"/>
      <c r="J18" s="22"/>
      <c r="K18" s="15"/>
      <c r="L18" s="22"/>
      <c r="M18" s="22"/>
      <c r="N18" s="22"/>
      <c r="O18" s="22"/>
      <c r="P18" s="22"/>
      <c r="Q18" s="22"/>
      <c r="R18" s="15"/>
      <c r="S18" s="22"/>
      <c r="T18" s="22"/>
      <c r="U18" s="22"/>
      <c r="V18" s="22"/>
      <c r="W18" s="22"/>
      <c r="X18" s="22"/>
      <c r="Y18" s="15"/>
      <c r="Z18" s="22"/>
      <c r="AA18" s="22"/>
      <c r="AB18" s="22"/>
      <c r="AC18" s="22"/>
      <c r="AD18" s="22"/>
      <c r="AE18" s="22"/>
      <c r="AF18" s="22"/>
      <c r="AG18" s="22"/>
      <c r="AH18" s="31">
        <f t="shared" si="0"/>
        <v>0</v>
      </c>
      <c r="AI18" s="31">
        <f t="shared" si="1"/>
        <v>0</v>
      </c>
      <c r="AJ18" s="31">
        <f t="shared" si="2"/>
        <v>0</v>
      </c>
      <c r="AK18" s="22">
        <f>Mars!AK18-Avril[[#This Row],[Dont RTT]]+2</f>
        <v>10.5</v>
      </c>
    </row>
    <row r="19" spans="2:37" ht="30" customHeight="1">
      <c r="B19" s="28" t="str">
        <f>NomMois&amp;" Total"</f>
        <v>Avril Total</v>
      </c>
      <c r="C19" s="33">
        <f>COUNTIF(Avril[1],CléCongé)+(COUNTIF(Avril[1],CléCongéSpécial)+COUNTIF(Avril[1],CléRTT)+(COUNTIF(Avril[1],CléDemiRtt)/2)+COUNTIF(Avril[1],CléCongéMalade)+COUNTIF(Avril[1],CléRécupération)+(COUNTIF(Avril[1],CléDemiRécupération)/2)+COUNTIF(Avril[1],CléFormation)+(COUNTIF(Avril[1],CléEnfantMalade)+(COUNTIF(Avril[1],CléDemiEnfantMalade)/2)))</f>
        <v>0</v>
      </c>
      <c r="D19" s="33">
        <f>COUNTIF(Avril[2],CléCongé)+(COUNTIF(Avril[2],CléCongéSpécial)+COUNTIF(Avril[2],CléRTT)+(COUNTIF(Avril[2],CléDemiRtt)/2)+COUNTIF(Avril[2],CléCongéMalade)+COUNTIF(Avril[2],CléRécupération)+(COUNTIF(Avril[2],CléDemiRécupération)/2)+COUNTIF(Avril[2],CléFormation)+(COUNTIF(Avril[2],CléEnfantMalade)+(COUNTIF(Avril[2],CléDemiEnfantMalade)/2)))</f>
        <v>0</v>
      </c>
      <c r="E19" s="33">
        <f>COUNTIF(Avril[3],CléCongé)+(COUNTIF(Avril[3],CléCongéSpécial)+COUNTIF(Avril[3],CléRTT)+(COUNTIF(Avril[3],CléDemiRtt)/2)+COUNTIF(Avril[3],CléCongéMalade)+COUNTIF(Avril[3],CléRécupération)+(COUNTIF(Avril[3],CléDemiRécupération)/2)+COUNTIF(Avril[3],CléFormation)+(COUNTIF(Avril[3],CléEnfantMalade)+(COUNTIF(Avril[3],CléDemiEnfantMalade)/2)))</f>
        <v>0</v>
      </c>
      <c r="F19" s="33">
        <f>COUNTIF(Avril[4],CléCongé)+(COUNTIF(Avril[4],CléCongéSpécial)+COUNTIF(Avril[4],CléRTT)+(COUNTIF(Avril[4],CléDemiRtt)/2)+COUNTIF(Avril[4],CléCongéMalade)+COUNTIF(Avril[4],CléRécupération)+(COUNTIF(Avril[4],CléDemiRécupération)/2)+COUNTIF(Avril[4],CléFormation)+(COUNTIF(Avril[4],CléEnfantMalade)+(COUNTIF(Avril[4],CléDemiEnfantMalade)/2)))</f>
        <v>0</v>
      </c>
      <c r="G19" s="33">
        <f>COUNTIF(Avril[5],CléCongé)+(COUNTIF(Avril[5],CléCongéSpécial)+COUNTIF(Avril[5],CléRTT)+(COUNTIF(Avril[5],CléDemiRtt)/2)+COUNTIF(Avril[5],CléCongéMalade)+COUNTIF(Avril[5],CléRécupération)+(COUNTIF(Avril[5],CléDemiRécupération)/2)+COUNTIF(Avril[5],CléFormation)+(COUNTIF(Avril[5],CléEnfantMalade)+(COUNTIF(Avril[5],CléDemiEnfantMalade)/2)))</f>
        <v>0</v>
      </c>
      <c r="H19" s="33">
        <f>COUNTIF(Avril[6],CléCongé)+(COUNTIF(Avril[6],CléCongéSpécial)+COUNTIF(Avril[6],CléRTT)+(COUNTIF(Avril[6],CléDemiRtt)/2)+COUNTIF(Avril[6],CléCongéMalade)+COUNTIF(Avril[6],CléRécupération)+(COUNTIF(Avril[6],CléDemiRécupération)/2)+COUNTIF(Avril[6],CléFormation)+(COUNTIF(Avril[6],CléEnfantMalade)+(COUNTIF(Avril[6],CléDemiEnfantMalade)/2)))</f>
        <v>0</v>
      </c>
      <c r="I19" s="33">
        <f>COUNTIF(Avril[7],CléCongé)+(COUNTIF(Avril[7],CléCongéSpécial)+COUNTIF(Avril[7],CléRTT)+(COUNTIF(Avril[7],CléDemiRtt)/2)+COUNTIF(Avril[7],CléCongéMalade)+COUNTIF(Avril[7],CléRécupération)+(COUNTIF(Avril[7],CléDemiRécupération)/2)+COUNTIF(Avril[7],CléFormation)+(COUNTIF(Avril[7],CléEnfantMalade)+(COUNTIF(Avril[7],CléDemiEnfantMalade)/2)))</f>
        <v>0</v>
      </c>
      <c r="J19" s="33">
        <f>COUNTIF(Avril[8],CléCongé)+(COUNTIF(Avril[8],CléCongéSpécial)+COUNTIF(Avril[8],CléRTT)+(COUNTIF(Avril[8],CléDemiRtt)/2)+COUNTIF(Avril[8],CléCongéMalade)+COUNTIF(Avril[8],CléRécupération)+(COUNTIF(Avril[8],CléDemiRécupération)/2)+COUNTIF(Avril[8],CléFormation)+(COUNTIF(Avril[8],CléEnfantMalade)+(COUNTIF(Avril[8],CléDemiEnfantMalade)/2)))</f>
        <v>0</v>
      </c>
      <c r="K19" s="33">
        <f>COUNTIF(Avril[9],CléCongé)+(COUNTIF(Avril[9],CléCongéSpécial)+COUNTIF(Avril[9],CléRTT)+(COUNTIF(Avril[9],CléDemiRtt)/2)+COUNTIF(Avril[9],CléCongéMalade)+COUNTIF(Avril[9],CléRécupération)+(COUNTIF(Avril[9],CléDemiRécupération)/2)+COUNTIF(Avril[9],CléFormation)+(COUNTIF(Avril[9],CléEnfantMalade)+(COUNTIF(Avril[9],CléDemiEnfantMalade)/2)))</f>
        <v>0</v>
      </c>
      <c r="L19" s="33">
        <f>COUNTIF(Avril[10],CléCongé)+(COUNTIF(Avril[10],CléCongéSpécial)+COUNTIF(Avril[10],CléRTT)+(COUNTIF(Avril[10],CléDemiRtt)/2)+COUNTIF(Avril[10],CléCongéMalade)+COUNTIF(Avril[10],CléRécupération)+(COUNTIF(Avril[10],CléDemiRécupération)/2)+COUNTIF(Avril[10],CléFormation)+(COUNTIF(Avril[10],CléEnfantMalade)+(COUNTIF(Avril[10],CléDemiEnfantMalade)/2)))</f>
        <v>0</v>
      </c>
      <c r="M19" s="33">
        <f>COUNTIF(Avril[11],CléCongé)+(COUNTIF(Avril[11],CléCongéSpécial)+COUNTIF(Avril[11],CléRTT)+(COUNTIF(Avril[11],CléDemiRtt)/2)+COUNTIF(Avril[11],CléCongéMalade)+COUNTIF(Avril[11],CléRécupération)+(COUNTIF(Avril[11],CléDemiRécupération)/2)+COUNTIF(Avril[11],CléFormation)+(COUNTIF(Avril[11],CléEnfantMalade)+(COUNTIF(Avril[11],CléDemiEnfantMalade)/2)))</f>
        <v>0</v>
      </c>
      <c r="N19" s="33">
        <f>COUNTIF(Avril[12],CléCongé)+(COUNTIF(Avril[12],CléCongéSpécial)+COUNTIF(Avril[12],CléRTT)+(COUNTIF(Avril[12],CléDemiRtt)/2)+COUNTIF(Avril[12],CléCongéMalade)+COUNTIF(Avril[12],CléRécupération)+(COUNTIF(Avril[12],CléDemiRécupération)/2)+COUNTIF(Avril[12],CléFormation)+(COUNTIF(Avril[12],CléEnfantMalade)+(COUNTIF(Avril[12],CléDemiEnfantMalade)/2)))</f>
        <v>0</v>
      </c>
      <c r="O19" s="33">
        <f>COUNTIF(Avril[13],CléCongé)+(COUNTIF(Avril[13],CléCongéSpécial)+COUNTIF(Avril[13],CléRTT)+(COUNTIF(Avril[13],CléDemiRtt)/2)+COUNTIF(Avril[13],CléCongéMalade)+COUNTIF(Avril[13],CléRécupération)+(COUNTIF(Avril[13],CléDemiRécupération)/2)+COUNTIF(Avril[13],CléFormation)+(COUNTIF(Avril[13],CléEnfantMalade)+(COUNTIF(Avril[13],CléDemiEnfantMalade)/2)))</f>
        <v>0</v>
      </c>
      <c r="P19" s="33">
        <f>COUNTIF(Avril[14],CléCongé)+(COUNTIF(Avril[14],CléCongéSpécial)+COUNTIF(Avril[14],CléRTT)+(COUNTIF(Avril[14],CléDemiRtt)/2)+COUNTIF(Avril[14],CléCongéMalade)+COUNTIF(Avril[14],CléRécupération)+(COUNTIF(Avril[14],CléDemiRécupération)/2)+COUNTIF(Avril[14],CléFormation)+(COUNTIF(Avril[14],CléEnfantMalade)+(COUNTIF(Avril[14],CléDemiEnfantMalade)/2)))</f>
        <v>0</v>
      </c>
      <c r="Q19" s="33">
        <f>COUNTIF(Avril[15],CléCongé)+(COUNTIF(Avril[15],CléCongéSpécial)+COUNTIF(Avril[15],CléRTT)+(COUNTIF(Avril[15],CléDemiRtt)/2)+COUNTIF(Avril[15],CléCongéMalade)+COUNTIF(Avril[15],CléRécupération)+(COUNTIF(Avril[15],CléDemiRécupération)/2)+COUNTIF(Avril[15],CléFormation)+(COUNTIF(Avril[15],CléEnfantMalade)+(COUNTIF(Avril[15],CléDemiEnfantMalade)/2)))</f>
        <v>0</v>
      </c>
      <c r="R19" s="33">
        <f>COUNTIF(Avril[16],CléCongé)+(COUNTIF(Avril[16],CléCongéSpécial)+COUNTIF(Avril[16],CléRTT)+(COUNTIF(Avril[16],CléDemiRtt)/2)+COUNTIF(Avril[16],CléCongéMalade)+COUNTIF(Avril[16],CléRécupération)+(COUNTIF(Avril[16],CléDemiRécupération)/2)+COUNTIF(Avril[16],CléFormation)+(COUNTIF(Avril[16],CléEnfantMalade)+(COUNTIF(Avril[16],CléDemiEnfantMalade)/2)))</f>
        <v>0</v>
      </c>
      <c r="S19" s="33">
        <f>COUNTIF(Avril[17],CléCongé)+(COUNTIF(Avril[17],CléCongéSpécial)+COUNTIF(Avril[17],CléRTT)+(COUNTIF(Avril[17],CléDemiRtt)/2)+COUNTIF(Avril[17],CléCongéMalade)+COUNTIF(Avril[17],CléRécupération)+(COUNTIF(Avril[17],CléDemiRécupération)/2)+COUNTIF(Avril[17],CléFormation)+(COUNTIF(Avril[17],CléEnfantMalade)+(COUNTIF(Avril[17],CléDemiEnfantMalade)/2)))</f>
        <v>0</v>
      </c>
      <c r="T19" s="33">
        <f>COUNTIF(Avril[18],CléCongé)+(COUNTIF(Avril[18],CléCongéSpécial)+COUNTIF(Avril[18],CléRTT)+(COUNTIF(Avril[18],CléDemiRtt)/2)+COUNTIF(Avril[18],CléCongéMalade)+COUNTIF(Avril[18],CléRécupération)+(COUNTIF(Avril[18],CléDemiRécupération)/2)+COUNTIF(Avril[18],CléFormation)+(COUNTIF(Avril[18],CléEnfantMalade)+(COUNTIF(Avril[18],CléDemiEnfantMalade)/2)))</f>
        <v>0</v>
      </c>
      <c r="U19" s="33">
        <f>COUNTIF(Avril[19],CléCongé)+(COUNTIF(Avril[19],CléCongéSpécial)+COUNTIF(Avril[19],CléRTT)+(COUNTIF(Avril[19],CléDemiRtt)/2)+COUNTIF(Avril[19],CléCongéMalade)+COUNTIF(Avril[19],CléRécupération)+(COUNTIF(Avril[19],CléDemiRécupération)/2)+COUNTIF(Avril[19],CléFormation)+(COUNTIF(Avril[19],CléEnfantMalade)+(COUNTIF(Avril[19],CléDemiEnfantMalade)/2)))</f>
        <v>0</v>
      </c>
      <c r="V19" s="33">
        <f>COUNTIF(Avril[20],CléCongé)+(COUNTIF(Avril[20],CléCongéSpécial)+COUNTIF(Avril[20],CléRTT)+(COUNTIF(Avril[20],CléDemiRtt)/2)+COUNTIF(Avril[20],CléCongéMalade)+COUNTIF(Avril[20],CléRécupération)+(COUNTIF(Avril[20],CléDemiRécupération)/2)+COUNTIF(Avril[20],CléFormation)+(COUNTIF(Avril[20],CléEnfantMalade)+(COUNTIF(Avril[20],CléDemiEnfantMalade)/2)))</f>
        <v>0</v>
      </c>
      <c r="W19" s="33">
        <f>COUNTIF(Avril[21],CléCongé)+(COUNTIF(Avril[21],CléCongéSpécial)+COUNTIF(Avril[21],CléRTT)+(COUNTIF(Avril[21],CléDemiRtt)/2)+COUNTIF(Avril[21],CléCongéMalade)+COUNTIF(Avril[21],CléRécupération)+(COUNTIF(Avril[21],CléDemiRécupération)/2)+COUNTIF(Avril[21],CléFormation)+(COUNTIF(Avril[21],CléEnfantMalade)+(COUNTIF(Avril[21],CléDemiEnfantMalade)/2)))</f>
        <v>0</v>
      </c>
      <c r="X19" s="33">
        <f>COUNTIF(Avril[22],CléCongé)+(COUNTIF(Avril[22],CléCongéSpécial)+COUNTIF(Avril[22],CléRTT)+(COUNTIF(Avril[22],CléDemiRtt)/2)+COUNTIF(Avril[22],CléCongéMalade)+COUNTIF(Avril[22],CléRécupération)+(COUNTIF(Avril[22],CléDemiRécupération)/2)+COUNTIF(Avril[22],CléFormation)+(COUNTIF(Avril[22],CléEnfantMalade)+(COUNTIF(Avril[22],CléDemiEnfantMalade)/2)))</f>
        <v>0</v>
      </c>
      <c r="Y19" s="33">
        <f>COUNTIF(Avril[23],CléCongé)+(COUNTIF(Avril[23],CléCongéSpécial)+COUNTIF(Avril[23],CléRTT)+(COUNTIF(Avril[23],CléDemiRtt)/2)+COUNTIF(Avril[23],CléCongéMalade)+COUNTIF(Avril[23],CléRécupération)+(COUNTIF(Avril[23],CléDemiRécupération)/2)+COUNTIF(Avril[23],CléFormation)+(COUNTIF(Avril[23],CléEnfantMalade)+(COUNTIF(Avril[23],CléDemiEnfantMalade)/2)))</f>
        <v>0</v>
      </c>
      <c r="Z19" s="33">
        <f>COUNTIF(Avril[24],CléCongé)+(COUNTIF(Avril[24],CléCongéSpécial)+COUNTIF(Avril[24],CléRTT)+(COUNTIF(Avril[24],CléDemiRtt)/2)+COUNTIF(Avril[24],CléCongéMalade)+COUNTIF(Avril[24],CléRécupération)+(COUNTIF(Avril[24],CléDemiRécupération)/2)+COUNTIF(Avril[24],CléFormation)+(COUNTIF(Avril[24],CléEnfantMalade)+(COUNTIF(Avril[24],CléDemiEnfantMalade)/2)))</f>
        <v>0</v>
      </c>
      <c r="AA19" s="33">
        <f>COUNTIF(Avril[25],CléCongé)+(COUNTIF(Avril[25],CléCongéSpécial)+COUNTIF(Avril[25],CléRTT)+(COUNTIF(Avril[25],CléDemiRtt)/2)+COUNTIF(Avril[25],CléCongéMalade)+COUNTIF(Avril[25],CléRécupération)+(COUNTIF(Avril[25],CléDemiRécupération)/2)+COUNTIF(Avril[25],CléFormation)+(COUNTIF(Avril[25],CléEnfantMalade)+(COUNTIF(Avril[25],CléDemiEnfantMalade)/2)))</f>
        <v>0</v>
      </c>
      <c r="AB19" s="33">
        <f>COUNTIF(Avril[26],CléCongé)+(COUNTIF(Avril[26],CléCongéSpécial)+COUNTIF(Avril[26],CléRTT)+(COUNTIF(Avril[26],CléDemiRtt)/2)+COUNTIF(Avril[26],CléCongéMalade)+COUNTIF(Avril[26],CléRécupération)+(COUNTIF(Avril[26],CléDemiRécupération)/2)+COUNTIF(Avril[26],CléFormation)+(COUNTIF(Avril[26],CléEnfantMalade)+(COUNTIF(Avril[26],CléDemiEnfantMalade)/2)))</f>
        <v>0</v>
      </c>
      <c r="AC19" s="33">
        <f>COUNTIF(Avril[27],CléCongé)+(COUNTIF(Avril[27],CléCongéSpécial)+COUNTIF(Avril[27],CléRTT)+(COUNTIF(Avril[27],CléDemiRtt)/2)+COUNTIF(Avril[27],CléCongéMalade)+COUNTIF(Avril[27],CléRécupération)+(COUNTIF(Avril[27],CléDemiRécupération)/2)+COUNTIF(Avril[27],CléFormation)+(COUNTIF(Avril[27],CléEnfantMalade)+(COUNTIF(Avril[27],CléDemiEnfantMalade)/2)))</f>
        <v>0</v>
      </c>
      <c r="AD19" s="33">
        <f>COUNTIF(Avril[28],CléCongé)+(COUNTIF(Avril[28],CléCongéSpécial)+COUNTIF(Avril[28],CléRTT)+(COUNTIF(Avril[28],CléDemiRtt)/2)+COUNTIF(Avril[28],CléCongéMalade)+COUNTIF(Avril[28],CléRécupération)+(COUNTIF(Avril[28],CléDemiRécupération)/2)+COUNTIF(Avril[28],CléFormation)+(COUNTIF(Avril[28],CléEnfantMalade)+(COUNTIF(Avril[28],CléDemiEnfantMalade)/2)))</f>
        <v>0</v>
      </c>
      <c r="AE19" s="33">
        <f>COUNTIF(Avril[29],CléCongé)+(COUNTIF(Avril[29],CléCongéSpécial)+COUNTIF(Avril[29],CléRTT)+(COUNTIF(Avril[29],CléDemiRtt)/2)+COUNTIF(Avril[29],CléCongéMalade)+COUNTIF(Avril[29],CléRécupération)+(COUNTIF(Avril[29],CléDemiRécupération)/2)+COUNTIF(Avril[29],CléFormation)+(COUNTIF(Avril[29],CléEnfantMalade)+(COUNTIF(Avril[29],CléDemiEnfantMalade)/2)))</f>
        <v>0</v>
      </c>
      <c r="AF19" s="33">
        <f>COUNTIF(Avril[30],CléCongé)+(COUNTIF(Avril[30],CléCongéSpécial)+COUNTIF(Avril[30],CléRTT)+(COUNTIF(Avril[30],CléDemiRtt)/2)+COUNTIF(Avril[30],CléCongéMalade)+COUNTIF(Avril[30],CléRécupération)+(COUNTIF(Avril[30],CléDemiRécupération)/2)+COUNTIF(Avril[30],CléFormation)+(COUNTIF(Avril[30],CléEnfantMalade)+(COUNTIF(Avril[30],CléDemiEnfantMalade)/2)))</f>
        <v>0</v>
      </c>
      <c r="AG19" s="33">
        <f>COUNTIF(Avril[[ ]],CléCongé)+(COUNTIF(Avril[[ ]],CléCongéSpécial)+COUNTIF(Avril[[ ]],CléRTT)+(COUNTIF(Avril[[ ]],CléDemiRtt)/2)+COUNTIF(Avril[[ ]],CléCongéMalade)+COUNTIF(Avril[[ ]],CléRécupération)+(COUNTIF(Avril[[ ]],CléDemiRécupération)/2)+COUNTIF(Avril[[ ]],CléFormation)+(COUNTIF(Avril[[ ]],CléEnfantMalade)+(COUNTIF(Avril[[ ]],CléDemiEnfantMalade)/2)))</f>
        <v>0</v>
      </c>
      <c r="AH19" s="26">
        <f>SUBTOTAL(109,Avril[Total absence])</f>
        <v>0</v>
      </c>
      <c r="AI19" s="26">
        <f>SUBTOTAL(109,Avril[Dont RTT])</f>
        <v>0</v>
      </c>
      <c r="AJ19" s="35">
        <f>SUBTOTAL(109,Avril[Dont MALADIE])</f>
        <v>0</v>
      </c>
      <c r="AK19" s="30"/>
    </row>
  </sheetData>
  <mergeCells count="15">
    <mergeCell ref="C5:AG5"/>
    <mergeCell ref="G2:H2"/>
    <mergeCell ref="J2:L2"/>
    <mergeCell ref="W2:Y2"/>
    <mergeCell ref="D3:E3"/>
    <mergeCell ref="G3:H3"/>
    <mergeCell ref="J3:L3"/>
    <mergeCell ref="N3:O3"/>
    <mergeCell ref="Q3:R3"/>
    <mergeCell ref="T3:U3"/>
    <mergeCell ref="W3:Y3"/>
    <mergeCell ref="D2:E2"/>
    <mergeCell ref="Q2:U2"/>
    <mergeCell ref="AA2:AC2"/>
    <mergeCell ref="AA3:AC3"/>
  </mergeCells>
  <conditionalFormatting sqref="AK1 AK19:AK1048576 AK4 AK7">
    <cfRule type="containsText" dxfId="379" priority="293" stopIfTrue="1" operator="containsText" text="dim">
      <formula>NOT(ISERROR(SEARCH("dim",AK1)))</formula>
    </cfRule>
  </conditionalFormatting>
  <conditionalFormatting sqref="C6:AG6">
    <cfRule type="containsText" dxfId="378" priority="228" stopIfTrue="1" operator="containsText" text="dim">
      <formula>NOT(ISERROR(SEARCH("dim",C6)))</formula>
    </cfRule>
  </conditionalFormatting>
  <conditionalFormatting sqref="AH7">
    <cfRule type="containsText" dxfId="377" priority="227" stopIfTrue="1" operator="containsText" text="dim">
      <formula>NOT(ISERROR(SEARCH("dim",AH7)))</formula>
    </cfRule>
  </conditionalFormatting>
  <conditionalFormatting sqref="AI19">
    <cfRule type="containsText" dxfId="376" priority="225" stopIfTrue="1" operator="containsText" text="dim">
      <formula>NOT(ISERROR(SEARCH("dim",AI19)))</formula>
    </cfRule>
  </conditionalFormatting>
  <conditionalFormatting sqref="C19:AG19">
    <cfRule type="containsText" dxfId="375" priority="204" stopIfTrue="1" operator="containsText" text="dim">
      <formula>NOT(ISERROR(SEARCH("dim",C19)))</formula>
    </cfRule>
  </conditionalFormatting>
  <conditionalFormatting sqref="AL3:XFD3 A2:A3 AG2:XFD2">
    <cfRule type="containsText" dxfId="374" priority="201" stopIfTrue="1" operator="containsText" text="dim">
      <formula>NOT(ISERROR(SEARCH("dim",A2)))</formula>
    </cfRule>
  </conditionalFormatting>
  <conditionalFormatting sqref="AJ19">
    <cfRule type="containsText" dxfId="373" priority="88" stopIfTrue="1" operator="containsText" text="dim">
      <formula>NOT(ISERROR(SEARCH("dim",AJ19)))</formula>
    </cfRule>
  </conditionalFormatting>
  <conditionalFormatting sqref="AJ8:AJ18">
    <cfRule type="dataBar" priority="64">
      <dataBar>
        <cfvo type="num" val="0"/>
        <cfvo type="num" val="31"/>
        <color rgb="FFFF0000"/>
      </dataBar>
      <extLst>
        <ext xmlns:x14="http://schemas.microsoft.com/office/spreadsheetml/2009/9/main" uri="{B025F937-C7B1-47D3-B67F-A62EFF666E3E}">
          <x14:id>{42F8202A-5499-A748-B68E-322587385001}</x14:id>
        </ext>
      </extLst>
    </cfRule>
  </conditionalFormatting>
  <conditionalFormatting sqref="AH8:AH18">
    <cfRule type="dataBar" priority="52">
      <dataBar>
        <cfvo type="num" val="0"/>
        <cfvo type="num" val="31"/>
        <color rgb="FF00B0F0"/>
      </dataBar>
      <extLst>
        <ext xmlns:x14="http://schemas.microsoft.com/office/spreadsheetml/2009/9/main" uri="{B025F937-C7B1-47D3-B67F-A62EFF666E3E}">
          <x14:id>{5F766FC9-B2C4-EE49-B646-5D7E9D7BE408}</x14:id>
        </ext>
      </extLst>
    </cfRule>
    <cfRule type="containsText" dxfId="372" priority="55" stopIfTrue="1" operator="containsText" text="dim">
      <formula>NOT(ISERROR(SEARCH("dim",AH8)))</formula>
    </cfRule>
  </conditionalFormatting>
  <conditionalFormatting sqref="AI8:AI18">
    <cfRule type="dataBar" priority="53">
      <dataBar>
        <cfvo type="num" val="0"/>
        <cfvo type="num" val="31"/>
        <color rgb="FF92D050"/>
      </dataBar>
      <extLst>
        <ext xmlns:x14="http://schemas.microsoft.com/office/spreadsheetml/2009/9/main" uri="{B025F937-C7B1-47D3-B67F-A62EFF666E3E}">
          <x14:id>{1F9B411A-F363-C244-8866-506AEC24FA67}</x14:id>
        </ext>
      </extLst>
    </cfRule>
  </conditionalFormatting>
  <conditionalFormatting sqref="B3:D3 F2:G3 M3:N3 Q3 S3:T3 V2:W3 I2:J3">
    <cfRule type="containsText" dxfId="371" priority="35" stopIfTrue="1" operator="containsText" text="dim">
      <formula>NOT(ISERROR(SEARCH("dim",B2)))</formula>
    </cfRule>
  </conditionalFormatting>
  <conditionalFormatting sqref="V2:W2">
    <cfRule type="containsText" dxfId="370" priority="34" stopIfTrue="1" operator="containsText" text="dim">
      <formula>NOT(ISERROR(SEARCH("dim",V2)))</formula>
    </cfRule>
  </conditionalFormatting>
  <conditionalFormatting sqref="AA2">
    <cfRule type="containsText" dxfId="369" priority="33" stopIfTrue="1" operator="containsText" text="dim">
      <formula>NOT(ISERROR(SEARCH("dim",AA2)))</formula>
    </cfRule>
  </conditionalFormatting>
  <conditionalFormatting sqref="AA2">
    <cfRule type="containsText" dxfId="368" priority="32" stopIfTrue="1" operator="containsText" text="dim">
      <formula>NOT(ISERROR(SEARCH("dim",AA2)))</formula>
    </cfRule>
  </conditionalFormatting>
  <conditionalFormatting sqref="P3">
    <cfRule type="expression" dxfId="367" priority="18" stopIfTrue="1">
      <formula>P3=CléNonTravaillé</formula>
    </cfRule>
    <cfRule type="expression" dxfId="366" priority="19" stopIfTrue="1">
      <formula>P3=CléPrésenceExceptionnelle</formula>
    </cfRule>
    <cfRule type="expression" dxfId="365" priority="20" stopIfTrue="1">
      <formula>P3=CléCongéSpécial</formula>
    </cfRule>
    <cfRule type="expression" dxfId="364" priority="21" stopIfTrue="1">
      <formula>P3=CléDemiRécupération</formula>
    </cfRule>
    <cfRule type="expression" dxfId="363" priority="22" stopIfTrue="1">
      <formula>P3=CléDemiEnfantMalade</formula>
    </cfRule>
    <cfRule type="expression" dxfId="362" priority="23" stopIfTrue="1">
      <formula>P3=CléEnfantMalade</formula>
    </cfRule>
    <cfRule type="expression" dxfId="361" priority="24" stopIfTrue="1">
      <formula>P3=CléDemiRtt</formula>
    </cfRule>
    <cfRule type="expression" priority="25" stopIfTrue="1">
      <formula>P3=""</formula>
    </cfRule>
    <cfRule type="expression" dxfId="360" priority="26" stopIfTrue="1">
      <formula>P3=CléMaladie</formula>
    </cfRule>
    <cfRule type="expression" dxfId="359" priority="27" stopIfTrue="1">
      <formula>P3=CléCongé</formula>
    </cfRule>
    <cfRule type="expression" dxfId="358" priority="28" stopIfTrue="1">
      <formula>P3=CléRécupération</formula>
    </cfRule>
    <cfRule type="expression" dxfId="357" priority="29" stopIfTrue="1">
      <formula>P3=CléFormation</formula>
    </cfRule>
    <cfRule type="expression" dxfId="356" priority="30" stopIfTrue="1">
      <formula>P3=CléRTT</formula>
    </cfRule>
    <cfRule type="expression" dxfId="355" priority="31" stopIfTrue="1">
      <formula>P3=CléTélétravail</formula>
    </cfRule>
  </conditionalFormatting>
  <conditionalFormatting sqref="AA3">
    <cfRule type="containsText" dxfId="354" priority="17" stopIfTrue="1" operator="containsText" text="dim">
      <formula>NOT(ISERROR(SEARCH("dim",AA3)))</formula>
    </cfRule>
  </conditionalFormatting>
  <conditionalFormatting sqref="AA3">
    <cfRule type="containsText" dxfId="353" priority="16" stopIfTrue="1" operator="containsText" text="dim">
      <formula>NOT(ISERROR(SEARCH("dim",AA3)))</formula>
    </cfRule>
  </conditionalFormatting>
  <conditionalFormatting sqref="C8:AG18">
    <cfRule type="expression" dxfId="352" priority="1" stopIfTrue="1">
      <formula>C8=CléAbsenceJustifiée</formula>
    </cfRule>
    <cfRule type="expression" dxfId="351" priority="2" stopIfTrue="1">
      <formula>C8=CléNonTravaillé</formula>
    </cfRule>
    <cfRule type="expression" dxfId="350" priority="3" stopIfTrue="1">
      <formula>C8=CléPrésenceExceptionnelle</formula>
    </cfRule>
    <cfRule type="expression" dxfId="349" priority="4" stopIfTrue="1">
      <formula>C8=CléCongéSpécial</formula>
    </cfRule>
    <cfRule type="expression" dxfId="348" priority="5" stopIfTrue="1">
      <formula>C8=CléDemiRécupération</formula>
    </cfRule>
    <cfRule type="expression" dxfId="347" priority="6" stopIfTrue="1">
      <formula>C8=CléDemiEnfantMalade</formula>
    </cfRule>
    <cfRule type="expression" dxfId="346" priority="7" stopIfTrue="1">
      <formula>C8=CléEnfantMalade</formula>
    </cfRule>
    <cfRule type="expression" dxfId="345" priority="8" stopIfTrue="1">
      <formula>C8=CléDemiRtt</formula>
    </cfRule>
    <cfRule type="expression" priority="9" stopIfTrue="1">
      <formula>C8=""</formula>
    </cfRule>
    <cfRule type="expression" dxfId="344" priority="10" stopIfTrue="1">
      <formula>C8=CléCongéMalade</formula>
    </cfRule>
    <cfRule type="expression" dxfId="343" priority="11" stopIfTrue="1">
      <formula>C8=CléCongé</formula>
    </cfRule>
    <cfRule type="expression" dxfId="342" priority="12" stopIfTrue="1">
      <formula>C8=CléRécupération</formula>
    </cfRule>
    <cfRule type="expression" dxfId="341" priority="13" stopIfTrue="1">
      <formula>C8=CléFormation</formula>
    </cfRule>
    <cfRule type="expression" dxfId="340" priority="14" stopIfTrue="1">
      <formula>C8=CléRTT</formula>
    </cfRule>
    <cfRule type="expression" dxfId="339" priority="15" stopIfTrue="1">
      <formula>C8=CléTélétravail</formula>
    </cfRule>
  </conditionalFormatting>
  <dataValidations count="17">
    <dataValidation allowBlank="1" showInputMessage="1" showErrorMessage="1" prompt="Les jours du mois dans cette ligne sont générés automatiquement. Entrez l’absence et le motif d’absence d’un employé dans chaque colonne pour chaque jour du mois. Un champ vide indique qu’il n’y a pas eu d’absence" sqref="C7" xr:uid="{FAE640D8-2DF5-8A40-8095-859BA0CD369A}"/>
    <dataValidation allowBlank="1" showInputMessage="1" showErrorMessage="1" prompt="Nom du mois pour ce calendrier des absences dans cette cellule. Le total des absences pour ce mois figure dans la dernière cellule du tableau. Sélectionnez les noms des employés dans la colonne B du tableau" sqref="B5" xr:uid="{5C01EDF2-F02E-204B-91E7-51833A8124D0}"/>
    <dataValidation errorStyle="warning" allowBlank="1" showInputMessage="1" showErrorMessage="1" error="Sélectionnez un nom dans la liste. Sélectionnez ANNULER, appuyez sur ALT+FLÈCHE BAS, puis sur ENTRÉE pour sélectionner un nom" prompt="Entrez les noms des employés dans la feuille de calcul du Noms des employés, puis sélectionnez l’un des noms de la liste figurant dans cette colonne. Appuyez sur ALT+FLÈCHE BAS, puis sur ENTRÉE pour sélectionner un nom" sqref="B7" xr:uid="{83C5C1D8-EEFF-E54A-98F5-6F8ABEAFBAF8}"/>
    <dataValidation allowBlank="1" showInputMessage="1" showErrorMessage="1" prompt="Suivez les absences du mois d’avril dans cette feuille de calcul" sqref="A1" xr:uid="{7B7CE15F-E5C9-794F-9D3C-A766E4A4B1F4}"/>
    <dataValidation allowBlank="1" showInputMessage="1" showErrorMessage="1" prompt="Calcule automatiquement le nombre total de jours d’absence d’un employé durant ce mois dans cette colonne" sqref="AH7" xr:uid="{5F4A24E6-9F1E-5B41-AC8F-4F5BE45075B8}"/>
    <dataValidation allowBlank="1" showInputMessage="1" showErrorMessage="1" prompt="Année mise à jour automatiquement en fonction de l’année entrée dans la feuille de calcul Janvier" sqref="AH5 AK5" xr:uid="{254F797B-9BF2-5B4C-AFE9-7AC59BF55140}"/>
    <dataValidation allowBlank="1" showInputMessage="1" showErrorMessage="1" prompt="Le Calendrier des absences des employés suit les absences exprimées en jours pour chaque mois. Il existe 13 feuilles de calcul, 12 mensuelles et la dernière pour les noms des employés. Suivez les absences du mois de janvier dans cette feuille de calcul" sqref="A2" xr:uid="{F2F441D1-AC04-5F4F-8690-C2535193761C}"/>
    <dataValidation allowBlank="1" showErrorMessage="1" prompt="Les jours de la semaine dans cette ligne sont mis à jour automatiquement pour le mois en fonction de l’année dans AH4. Chaque jour du mois est une colonne dans laquelle noter l’absence et le motif d’absence d’un employé" sqref="C6:AG6" xr:uid="{D031B0BE-D128-5B4D-AAE6-5F2DC6C3F2E8}"/>
    <dataValidation allowBlank="1" showErrorMessage="1" sqref="B1:Y1 B2:B3" xr:uid="{1CB90103-6C62-7341-A7BE-85111CC1CE28}"/>
    <dataValidation allowBlank="1" showErrorMessage="1" prompt="Entrez une étiquette pour décrire la clé personnalisée à gauche" sqref="N3" xr:uid="{570DA598-9A39-3748-B6AD-C55AD057E890}"/>
    <dataValidation allowBlank="1" showErrorMessage="1" prompt="Entrez une lettre et personnalisez l’étiquette à droite pour ajouter un élément de clé" sqref="I2:I3" xr:uid="{A961902C-688B-0049-B697-15BE49C86330}"/>
    <dataValidation allowBlank="1" showInputMessage="1" showErrorMessage="1" prompt="Entrez une étiquette pour décrire la clé personnalisée à gauche" sqref="J2:J3" xr:uid="{1CBF9181-0E70-B346-80C6-48A36C3D3A96}"/>
    <dataValidation allowBlank="1" showInputMessage="1" showErrorMessage="1" prompt="Entrez une lettre et personnalisez l’étiquette à droite pour ajouter un élément de clé" sqref="M3" xr:uid="{1D8A4C6C-F4B9-9D47-B5E1-CBFB1432C53E}"/>
    <dataValidation allowBlank="1" showInputMessage="1" showErrorMessage="1" prompt="La lettre « M » indique une absence pour cause de maladie" sqref="S3" xr:uid="{36636B44-814E-0646-912F-1D0C6541F2F5}"/>
    <dataValidation allowBlank="1" showErrorMessage="1" prompt="La lettre « P » indique une absence pour motifs personnels" sqref="F3" xr:uid="{7093A885-B279-8B4A-8D17-2972022A54F6}"/>
    <dataValidation allowBlank="1" showErrorMessage="1" prompt="La lettre « C » indique une absence pour cause de congé" sqref="C3" xr:uid="{2A8DC548-F288-2C44-97ED-2585FDECB243}"/>
    <dataValidation type="list" allowBlank="1" showInputMessage="1" showErrorMessage="1" sqref="B8:B18" xr:uid="{CD3B2838-CA11-414B-9FA5-017ADEBFEC1B}">
      <formula1>Nom_Employe</formula1>
    </dataValidation>
  </dataValidations>
  <pageMargins left="0.7" right="0.7" top="0.75" bottom="0.75" header="0.3" footer="0.3"/>
  <pageSetup paperSize="9" fitToHeight="0" orientation="portrait" verticalDpi="4294967293" r:id="rId1"/>
  <tableParts count="1">
    <tablePart r:id="rId2"/>
  </tableParts>
  <extLst>
    <ext xmlns:x14="http://schemas.microsoft.com/office/spreadsheetml/2009/9/main" uri="{78C0D931-6437-407d-A8EE-F0AAD7539E65}">
      <x14:conditionalFormattings>
        <x14:conditionalFormatting xmlns:xm="http://schemas.microsoft.com/office/excel/2006/main">
          <x14:cfRule type="dataBar" id="{42F8202A-5499-A748-B68E-322587385001}">
            <x14:dataBar minLength="0" maxLength="100">
              <x14:cfvo type="num">
                <xm:f>0</xm:f>
              </x14:cfvo>
              <x14:cfvo type="num">
                <xm:f>31</xm:f>
              </x14:cfvo>
              <x14:negativeFillColor rgb="FFFF0000"/>
              <x14:axisColor rgb="FF000000"/>
            </x14:dataBar>
          </x14:cfRule>
          <xm:sqref>AJ8:AJ18</xm:sqref>
        </x14:conditionalFormatting>
        <x14:conditionalFormatting xmlns:xm="http://schemas.microsoft.com/office/excel/2006/main">
          <x14:cfRule type="dataBar" id="{5F766FC9-B2C4-EE49-B646-5D7E9D7BE408}">
            <x14:dataBar minLength="0" maxLength="100">
              <x14:cfvo type="num">
                <xm:f>0</xm:f>
              </x14:cfvo>
              <x14:cfvo type="num">
                <xm:f>31</xm:f>
              </x14:cfvo>
              <x14:negativeFillColor rgb="FFFF0000"/>
              <x14:axisColor rgb="FF000000"/>
            </x14:dataBar>
          </x14:cfRule>
          <xm:sqref>AH8:AH18</xm:sqref>
        </x14:conditionalFormatting>
        <x14:conditionalFormatting xmlns:xm="http://schemas.microsoft.com/office/excel/2006/main">
          <x14:cfRule type="dataBar" id="{1F9B411A-F363-C244-8866-506AEC24FA67}">
            <x14:dataBar minLength="0" maxLength="100">
              <x14:cfvo type="num">
                <xm:f>0</xm:f>
              </x14:cfvo>
              <x14:cfvo type="num">
                <xm:f>31</xm:f>
              </x14:cfvo>
              <x14:negativeFillColor rgb="FFFF0000"/>
              <x14:axisColor rgb="FF000000"/>
            </x14:dataBar>
          </x14:cfRule>
          <xm:sqref>AI8:AI18</xm:sqref>
        </x14:conditionalFormatting>
      </x14:conditionalFormatting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11CAFAF-1336-6947-BBC3-260FC00327A7}">
  <sheetPr codeName="Feuil5">
    <tabColor theme="2" tint="-9.9978637043366805E-2"/>
  </sheetPr>
  <dimension ref="A1:AK19"/>
  <sheetViews>
    <sheetView showGridLines="0" topLeftCell="J1" zoomScale="110" zoomScaleNormal="110" workbookViewId="0">
      <selection activeCell="AJ8" sqref="AJ8:AJ18"/>
    </sheetView>
  </sheetViews>
  <sheetFormatPr baseColWidth="10" defaultColWidth="9.140625" defaultRowHeight="30" customHeight="1"/>
  <cols>
    <col min="1" max="1" width="2.7109375" style="3" customWidth="1"/>
    <col min="2" max="2" width="25.85546875" style="3" customWidth="1"/>
    <col min="3" max="33" width="4.7109375" style="3" customWidth="1"/>
    <col min="34" max="34" width="13.42578125" style="3" customWidth="1"/>
    <col min="35" max="36" width="11.140625" customWidth="1"/>
    <col min="37" max="37" width="21" customWidth="1"/>
    <col min="38" max="38" width="2.7109375" customWidth="1"/>
  </cols>
  <sheetData>
    <row r="1" spans="1:37" ht="50.1" customHeight="1">
      <c r="B1" s="4" t="str">
        <f>Titre_Absence_Employé</f>
        <v>Calendrier des absences des employés</v>
      </c>
    </row>
    <row r="2" spans="1:37" ht="21.95" customHeight="1">
      <c r="A2" s="5"/>
      <c r="C2" s="48" t="s">
        <v>89</v>
      </c>
      <c r="D2" s="93" t="s">
        <v>90</v>
      </c>
      <c r="E2" s="93"/>
      <c r="F2" s="39" t="s">
        <v>72</v>
      </c>
      <c r="G2" s="88" t="s">
        <v>66</v>
      </c>
      <c r="H2" s="88"/>
      <c r="I2" s="38" t="s">
        <v>71</v>
      </c>
      <c r="J2" s="88" t="s">
        <v>74</v>
      </c>
      <c r="K2" s="88"/>
      <c r="L2" s="88"/>
      <c r="P2" s="47" t="s">
        <v>87</v>
      </c>
      <c r="Q2" s="95" t="s">
        <v>88</v>
      </c>
      <c r="R2" s="95"/>
      <c r="S2" s="95"/>
      <c r="T2" s="95"/>
      <c r="U2" s="95"/>
      <c r="V2" s="40" t="s">
        <v>70</v>
      </c>
      <c r="W2" s="88" t="s">
        <v>73</v>
      </c>
      <c r="X2" s="88"/>
      <c r="Y2" s="88"/>
      <c r="Z2" s="51" t="s">
        <v>96</v>
      </c>
      <c r="AA2" s="88" t="s">
        <v>97</v>
      </c>
      <c r="AB2" s="88"/>
      <c r="AC2" s="88"/>
    </row>
    <row r="3" spans="1:37" ht="18" customHeight="1">
      <c r="B3" s="9" t="s">
        <v>1</v>
      </c>
      <c r="C3" s="17" t="s">
        <v>4</v>
      </c>
      <c r="D3" s="89" t="s">
        <v>7</v>
      </c>
      <c r="E3" s="89"/>
      <c r="F3" s="18" t="s">
        <v>57</v>
      </c>
      <c r="G3" s="88" t="s">
        <v>57</v>
      </c>
      <c r="H3" s="88"/>
      <c r="I3" s="21" t="s">
        <v>55</v>
      </c>
      <c r="J3" s="88" t="s">
        <v>56</v>
      </c>
      <c r="K3" s="88"/>
      <c r="L3" s="88"/>
      <c r="M3" s="14" t="s">
        <v>58</v>
      </c>
      <c r="N3" s="88" t="s">
        <v>59</v>
      </c>
      <c r="O3" s="90"/>
      <c r="P3" s="54" t="s">
        <v>60</v>
      </c>
      <c r="Q3" s="91" t="s">
        <v>61</v>
      </c>
      <c r="R3" s="88"/>
      <c r="S3" s="20" t="s">
        <v>11</v>
      </c>
      <c r="T3" s="89" t="s">
        <v>17</v>
      </c>
      <c r="U3" s="89"/>
      <c r="V3" s="36" t="s">
        <v>69</v>
      </c>
      <c r="W3" s="88" t="s">
        <v>68</v>
      </c>
      <c r="X3" s="88"/>
      <c r="Y3" s="88"/>
      <c r="Z3" s="73" t="s">
        <v>100</v>
      </c>
      <c r="AA3" s="92" t="s">
        <v>101</v>
      </c>
      <c r="AB3" s="92"/>
      <c r="AC3" s="92"/>
    </row>
    <row r="4" spans="1:37" ht="15" customHeight="1">
      <c r="B4" s="4"/>
    </row>
    <row r="5" spans="1:37" ht="30" customHeight="1">
      <c r="B5" s="19" t="s">
        <v>46</v>
      </c>
      <c r="C5" s="87" t="s">
        <v>5</v>
      </c>
      <c r="D5" s="87"/>
      <c r="E5" s="87"/>
      <c r="F5" s="87"/>
      <c r="G5" s="87"/>
      <c r="H5" s="87"/>
      <c r="I5" s="87"/>
      <c r="J5" s="87"/>
      <c r="K5" s="87"/>
      <c r="L5" s="87"/>
      <c r="M5" s="87"/>
      <c r="N5" s="87"/>
      <c r="O5" s="87"/>
      <c r="P5" s="87"/>
      <c r="Q5" s="87"/>
      <c r="R5" s="87"/>
      <c r="S5" s="87"/>
      <c r="T5" s="87"/>
      <c r="U5" s="87"/>
      <c r="V5" s="87"/>
      <c r="W5" s="87"/>
      <c r="X5" s="87"/>
      <c r="Y5" s="87"/>
      <c r="Z5" s="87"/>
      <c r="AA5" s="87"/>
      <c r="AB5" s="87"/>
      <c r="AC5" s="87"/>
      <c r="AD5" s="87"/>
      <c r="AE5" s="87"/>
      <c r="AF5" s="87"/>
      <c r="AG5" s="87"/>
      <c r="AH5" s="23"/>
      <c r="AI5" s="23"/>
      <c r="AJ5" s="23"/>
      <c r="AK5" s="69">
        <f>AnnéeCalendrier</f>
        <v>2021</v>
      </c>
    </row>
    <row r="6" spans="1:37" ht="15" customHeight="1">
      <c r="B6" s="13"/>
      <c r="C6" s="55" t="str">
        <f>TEXT(WEEKDAY(DATE(AnnéeCalendrier,5,1),1),"jjj")</f>
        <v>sam</v>
      </c>
      <c r="D6" s="55" t="str">
        <f>TEXT(WEEKDAY(DATE(AnnéeCalendrier,5,2),1),"jjj")</f>
        <v>dim</v>
      </c>
      <c r="E6" s="55" t="str">
        <f>TEXT(WEEKDAY(DATE(AnnéeCalendrier,5,3),1),"jjj")</f>
        <v>lun</v>
      </c>
      <c r="F6" s="55" t="str">
        <f>TEXT(WEEKDAY(DATE(AnnéeCalendrier,5,4),1),"jjj")</f>
        <v>mar</v>
      </c>
      <c r="G6" s="55" t="str">
        <f>TEXT(WEEKDAY(DATE(AnnéeCalendrier,5,5),1),"jjj")</f>
        <v>mer</v>
      </c>
      <c r="H6" s="55" t="str">
        <f>TEXT(WEEKDAY(DATE(AnnéeCalendrier,5,6),1),"jjj")</f>
        <v>jeu</v>
      </c>
      <c r="I6" s="55" t="str">
        <f>TEXT(WEEKDAY(DATE(AnnéeCalendrier,5,7),1),"jjj")</f>
        <v>ven</v>
      </c>
      <c r="J6" s="55" t="str">
        <f>TEXT(WEEKDAY(DATE(AnnéeCalendrier,5,8),1),"jjj")</f>
        <v>sam</v>
      </c>
      <c r="K6" s="55" t="str">
        <f>TEXT(WEEKDAY(DATE(AnnéeCalendrier,5,9),1),"jjj")</f>
        <v>dim</v>
      </c>
      <c r="L6" s="55" t="str">
        <f>TEXT(WEEKDAY(DATE(AnnéeCalendrier,5,10),1),"jjj")</f>
        <v>lun</v>
      </c>
      <c r="M6" s="55" t="str">
        <f>TEXT(WEEKDAY(DATE(AnnéeCalendrier,5,11),1),"jjj")</f>
        <v>mar</v>
      </c>
      <c r="N6" s="55" t="str">
        <f>TEXT(WEEKDAY(DATE(AnnéeCalendrier,5,12),1),"jjj")</f>
        <v>mer</v>
      </c>
      <c r="O6" s="55" t="str">
        <f>TEXT(WEEKDAY(DATE(AnnéeCalendrier,5,13),1),"jjj")</f>
        <v>jeu</v>
      </c>
      <c r="P6" s="55" t="str">
        <f>TEXT(WEEKDAY(DATE(AnnéeCalendrier,5,14),1),"jjj")</f>
        <v>ven</v>
      </c>
      <c r="Q6" s="55" t="str">
        <f>TEXT(WEEKDAY(DATE(AnnéeCalendrier,5,15),1),"jjj")</f>
        <v>sam</v>
      </c>
      <c r="R6" s="55" t="str">
        <f>TEXT(WEEKDAY(DATE(AnnéeCalendrier,5,16),1),"jjj")</f>
        <v>dim</v>
      </c>
      <c r="S6" s="55" t="str">
        <f>TEXT(WEEKDAY(DATE(AnnéeCalendrier,5,17),1),"jjj")</f>
        <v>lun</v>
      </c>
      <c r="T6" s="55" t="str">
        <f>TEXT(WEEKDAY(DATE(AnnéeCalendrier,5,18),1),"jjj")</f>
        <v>mar</v>
      </c>
      <c r="U6" s="55" t="str">
        <f>TEXT(WEEKDAY(DATE(AnnéeCalendrier,5,19),1),"jjj")</f>
        <v>mer</v>
      </c>
      <c r="V6" s="55" t="str">
        <f>TEXT(WEEKDAY(DATE(AnnéeCalendrier,5,20),1),"jjj")</f>
        <v>jeu</v>
      </c>
      <c r="W6" s="55" t="str">
        <f>TEXT(WEEKDAY(DATE(AnnéeCalendrier,5,21),1),"jjj")</f>
        <v>ven</v>
      </c>
      <c r="X6" s="55" t="str">
        <f>TEXT(WEEKDAY(DATE(AnnéeCalendrier,5,22),1),"jjj")</f>
        <v>sam</v>
      </c>
      <c r="Y6" s="55" t="str">
        <f>TEXT(WEEKDAY(DATE(AnnéeCalendrier,5,23),1),"jjj")</f>
        <v>dim</v>
      </c>
      <c r="Z6" s="55" t="str">
        <f>TEXT(WEEKDAY(DATE(AnnéeCalendrier,5,24),1),"jjj")</f>
        <v>lun</v>
      </c>
      <c r="AA6" s="55" t="str">
        <f>TEXT(WEEKDAY(DATE(AnnéeCalendrier,5,25),1),"jjj")</f>
        <v>mar</v>
      </c>
      <c r="AB6" s="55" t="str">
        <f>TEXT(WEEKDAY(DATE(AnnéeCalendrier,5,26),1),"jjj")</f>
        <v>mer</v>
      </c>
      <c r="AC6" s="55" t="str">
        <f>TEXT(WEEKDAY(DATE(AnnéeCalendrier,5,27),1),"jjj")</f>
        <v>jeu</v>
      </c>
      <c r="AD6" s="55" t="str">
        <f>TEXT(WEEKDAY(DATE(AnnéeCalendrier,5,28),1),"jjj")</f>
        <v>ven</v>
      </c>
      <c r="AE6" s="55" t="str">
        <f>TEXT(WEEKDAY(DATE(AnnéeCalendrier,5,29),1),"jjj")</f>
        <v>sam</v>
      </c>
      <c r="AF6" s="55" t="str">
        <f>TEXT(WEEKDAY(DATE(AnnéeCalendrier,5,30),1),"jjj")</f>
        <v>dim</v>
      </c>
      <c r="AG6" s="55" t="str">
        <f>TEXT(WEEKDAY(DATE(AnnéeCalendrier,5,31),1),"jjj")</f>
        <v>lun</v>
      </c>
      <c r="AH6" s="10"/>
      <c r="AI6" s="10"/>
      <c r="AJ6" s="10"/>
      <c r="AK6" s="10"/>
    </row>
    <row r="7" spans="1:37" ht="33.950000000000003" customHeight="1">
      <c r="B7" s="11" t="s">
        <v>3</v>
      </c>
      <c r="C7" s="52" t="s">
        <v>6</v>
      </c>
      <c r="D7" s="12" t="s">
        <v>8</v>
      </c>
      <c r="E7" s="12" t="s">
        <v>9</v>
      </c>
      <c r="F7" s="12" t="s">
        <v>10</v>
      </c>
      <c r="G7" s="12" t="s">
        <v>12</v>
      </c>
      <c r="H7" s="12" t="s">
        <v>13</v>
      </c>
      <c r="I7" s="12" t="s">
        <v>14</v>
      </c>
      <c r="J7" s="52" t="s">
        <v>15</v>
      </c>
      <c r="K7" s="12" t="s">
        <v>16</v>
      </c>
      <c r="L7" s="12" t="s">
        <v>18</v>
      </c>
      <c r="M7" s="12" t="s">
        <v>19</v>
      </c>
      <c r="N7" s="12" t="s">
        <v>20</v>
      </c>
      <c r="O7" s="52" t="s">
        <v>21</v>
      </c>
      <c r="P7" s="12" t="s">
        <v>22</v>
      </c>
      <c r="Q7" s="12" t="s">
        <v>23</v>
      </c>
      <c r="R7" s="12" t="s">
        <v>24</v>
      </c>
      <c r="S7" s="12" t="s">
        <v>25</v>
      </c>
      <c r="T7" s="12" t="s">
        <v>26</v>
      </c>
      <c r="U7" s="12" t="s">
        <v>27</v>
      </c>
      <c r="V7" s="12" t="s">
        <v>28</v>
      </c>
      <c r="W7" s="12" t="s">
        <v>29</v>
      </c>
      <c r="X7" s="12" t="s">
        <v>30</v>
      </c>
      <c r="Y7" s="12" t="s">
        <v>31</v>
      </c>
      <c r="Z7" s="52" t="s">
        <v>32</v>
      </c>
      <c r="AA7" s="12" t="s">
        <v>33</v>
      </c>
      <c r="AB7" s="12" t="s">
        <v>34</v>
      </c>
      <c r="AC7" s="12" t="s">
        <v>35</v>
      </c>
      <c r="AD7" s="12" t="s">
        <v>36</v>
      </c>
      <c r="AE7" s="12" t="s">
        <v>37</v>
      </c>
      <c r="AF7" s="12" t="s">
        <v>38</v>
      </c>
      <c r="AG7" s="12" t="s">
        <v>39</v>
      </c>
      <c r="AH7" s="24" t="s">
        <v>67</v>
      </c>
      <c r="AI7" s="25" t="s">
        <v>78</v>
      </c>
      <c r="AJ7" s="25" t="s">
        <v>98</v>
      </c>
      <c r="AK7" s="32" t="s">
        <v>77</v>
      </c>
    </row>
    <row r="8" spans="1:37" ht="30" customHeight="1">
      <c r="B8" s="8"/>
      <c r="C8" s="15"/>
      <c r="D8" s="15"/>
      <c r="E8" s="15"/>
      <c r="F8" s="15"/>
      <c r="G8" s="15"/>
      <c r="H8" s="15"/>
      <c r="I8" s="15"/>
      <c r="J8" s="15"/>
      <c r="K8" s="15"/>
      <c r="L8" s="15"/>
      <c r="M8" s="15"/>
      <c r="N8" s="15"/>
      <c r="O8" s="15"/>
      <c r="P8" s="15"/>
      <c r="Q8" s="15"/>
      <c r="R8" s="15"/>
      <c r="S8" s="15"/>
      <c r="T8" s="15"/>
      <c r="U8" s="15"/>
      <c r="V8" s="15"/>
      <c r="W8" s="15"/>
      <c r="X8" s="15"/>
      <c r="Y8" s="15"/>
      <c r="Z8" s="15"/>
      <c r="AA8" s="15"/>
      <c r="AB8" s="15"/>
      <c r="AC8" s="15"/>
      <c r="AD8" s="15"/>
      <c r="AE8" s="15"/>
      <c r="AF8" s="15"/>
      <c r="AG8" s="15"/>
      <c r="AH8" s="31">
        <f t="shared" ref="AH8:AH18" si="0">(COUNTIF(C8:AG8,CléCongé)+(COUNTIF(C8:AG8,CléEnfantMalade)+COUNTIF(C8:AG8,CléRTT)+COUNTIF(C8:AG8,CléCongéMalade)+COUNTIF(C8:AG8,CléRécupération)+COUNTIF(C8:AG8,CléFormation)+COUNTIF(C8:AG8,CléTélétravail-1)+COUNTIF(C8:AG8,CléCongéSpécial)+COUNTIF(C8:AG8,CléPrésenceExceptionnelle-1)+COUNTIF(C8:AG8,CléDemiRtt)/2)+COUNTIF(C8:AG8,CléDemiRécupération)/2)+COUNTIF(C8:AG8,CléDemiEnfantMalade)/2</f>
        <v>0</v>
      </c>
      <c r="AI8" s="31">
        <f>COUNTIF(C8:AG8,"RTT")+COUNTIF(C8:AG8,"DRTT")/2</f>
        <v>0</v>
      </c>
      <c r="AJ8" s="31">
        <f>COUNTIF(C8:AG8,$S$3)</f>
        <v>0</v>
      </c>
      <c r="AK8" s="22"/>
    </row>
    <row r="9" spans="1:37" ht="30" customHeight="1">
      <c r="B9" s="8"/>
      <c r="C9" s="15"/>
      <c r="D9" s="15"/>
      <c r="E9" s="15"/>
      <c r="F9" s="15"/>
      <c r="G9" s="15"/>
      <c r="H9" s="15"/>
      <c r="I9" s="15"/>
      <c r="J9" s="15"/>
      <c r="K9" s="15"/>
      <c r="L9" s="15"/>
      <c r="M9" s="15"/>
      <c r="N9" s="15"/>
      <c r="O9" s="15"/>
      <c r="P9" s="15"/>
      <c r="Q9" s="15"/>
      <c r="R9" s="15"/>
      <c r="S9" s="15"/>
      <c r="T9" s="15"/>
      <c r="U9" s="15"/>
      <c r="V9" s="15"/>
      <c r="W9" s="15"/>
      <c r="X9" s="15"/>
      <c r="Y9" s="15"/>
      <c r="Z9" s="15"/>
      <c r="AA9" s="15"/>
      <c r="AB9" s="15"/>
      <c r="AC9" s="15"/>
      <c r="AD9" s="15"/>
      <c r="AE9" s="15"/>
      <c r="AF9" s="15"/>
      <c r="AG9" s="15"/>
      <c r="AH9" s="31">
        <f t="shared" si="0"/>
        <v>0</v>
      </c>
      <c r="AI9" s="31">
        <f t="shared" ref="AI9:AI18" si="1">COUNTIF(C9:AG9,"RTT")+COUNTIF(C9:AG9,"DRTT")/2</f>
        <v>0</v>
      </c>
      <c r="AJ9" s="31">
        <f t="shared" ref="AJ9:AJ18" si="2">COUNTIF(C9:AG9,$S$3)</f>
        <v>0</v>
      </c>
      <c r="AK9" s="22">
        <f>Avril!AK9-Mai[[#This Row],[Dont RTT]]+2</f>
        <v>13</v>
      </c>
    </row>
    <row r="10" spans="1:37" ht="30" customHeight="1">
      <c r="B10" s="8"/>
      <c r="C10" s="15"/>
      <c r="D10" s="15"/>
      <c r="E10" s="15"/>
      <c r="F10" s="15"/>
      <c r="G10" s="15"/>
      <c r="H10" s="15"/>
      <c r="I10" s="15"/>
      <c r="J10" s="15"/>
      <c r="K10" s="15"/>
      <c r="L10" s="15"/>
      <c r="M10" s="15"/>
      <c r="N10" s="15"/>
      <c r="O10" s="15"/>
      <c r="P10" s="15"/>
      <c r="Q10" s="15"/>
      <c r="R10" s="15"/>
      <c r="S10" s="15"/>
      <c r="T10" s="15"/>
      <c r="U10" s="15"/>
      <c r="V10" s="15"/>
      <c r="W10" s="15"/>
      <c r="X10" s="15"/>
      <c r="Y10" s="15"/>
      <c r="Z10" s="15"/>
      <c r="AA10" s="15"/>
      <c r="AB10" s="15"/>
      <c r="AC10" s="15"/>
      <c r="AD10" s="15"/>
      <c r="AE10" s="15"/>
      <c r="AF10" s="15"/>
      <c r="AG10" s="15"/>
      <c r="AH10" s="31">
        <f t="shared" si="0"/>
        <v>0</v>
      </c>
      <c r="AI10" s="31">
        <f t="shared" si="1"/>
        <v>0</v>
      </c>
      <c r="AJ10" s="31">
        <f t="shared" si="2"/>
        <v>0</v>
      </c>
      <c r="AK10" s="22">
        <f>Avril!AK10-Mai[[#This Row],[Dont RTT]]+2</f>
        <v>21</v>
      </c>
    </row>
    <row r="11" spans="1:37" ht="30" customHeight="1">
      <c r="B11" s="8"/>
      <c r="C11" s="15"/>
      <c r="D11" s="15"/>
      <c r="E11" s="15"/>
      <c r="F11" s="15"/>
      <c r="G11" s="15"/>
      <c r="H11" s="15"/>
      <c r="I11" s="15"/>
      <c r="J11" s="15"/>
      <c r="K11" s="15"/>
      <c r="L11" s="15"/>
      <c r="M11" s="15"/>
      <c r="N11" s="15"/>
      <c r="O11" s="15"/>
      <c r="P11" s="15"/>
      <c r="Q11" s="15"/>
      <c r="R11" s="15"/>
      <c r="S11" s="15"/>
      <c r="T11" s="15"/>
      <c r="U11" s="15"/>
      <c r="V11" s="15"/>
      <c r="W11" s="15"/>
      <c r="X11" s="15"/>
      <c r="Y11" s="15"/>
      <c r="Z11" s="15"/>
      <c r="AA11" s="15"/>
      <c r="AB11" s="15"/>
      <c r="AC11" s="15"/>
      <c r="AD11" s="15"/>
      <c r="AE11" s="15"/>
      <c r="AF11" s="15"/>
      <c r="AG11" s="15"/>
      <c r="AH11" s="31">
        <f t="shared" si="0"/>
        <v>0</v>
      </c>
      <c r="AI11" s="31">
        <f t="shared" si="1"/>
        <v>0</v>
      </c>
      <c r="AJ11" s="31">
        <f t="shared" si="2"/>
        <v>0</v>
      </c>
      <c r="AK11" s="22"/>
    </row>
    <row r="12" spans="1:37" ht="30" customHeight="1">
      <c r="B12" s="8"/>
      <c r="C12" s="15"/>
      <c r="D12" s="15"/>
      <c r="E12" s="15"/>
      <c r="F12" s="15"/>
      <c r="G12" s="15"/>
      <c r="H12" s="15"/>
      <c r="I12" s="15"/>
      <c r="J12" s="15"/>
      <c r="K12" s="15"/>
      <c r="L12" s="15"/>
      <c r="M12" s="15"/>
      <c r="N12" s="15"/>
      <c r="O12" s="15"/>
      <c r="P12" s="15"/>
      <c r="Q12" s="15"/>
      <c r="R12" s="15"/>
      <c r="S12" s="15"/>
      <c r="T12" s="15"/>
      <c r="U12" s="15"/>
      <c r="V12" s="15"/>
      <c r="W12" s="15"/>
      <c r="X12" s="15"/>
      <c r="Y12" s="15"/>
      <c r="Z12" s="15"/>
      <c r="AA12" s="15"/>
      <c r="AB12" s="15"/>
      <c r="AC12" s="15"/>
      <c r="AD12" s="15"/>
      <c r="AE12" s="15"/>
      <c r="AF12" s="15"/>
      <c r="AG12" s="15"/>
      <c r="AH12" s="31">
        <f t="shared" si="0"/>
        <v>0</v>
      </c>
      <c r="AI12" s="31">
        <f t="shared" si="1"/>
        <v>0</v>
      </c>
      <c r="AJ12" s="31">
        <f t="shared" si="2"/>
        <v>0</v>
      </c>
      <c r="AK12" s="22"/>
    </row>
    <row r="13" spans="1:37" ht="30" customHeight="1">
      <c r="B13" s="8"/>
      <c r="C13" s="22"/>
      <c r="D13" s="22"/>
      <c r="E13" s="22"/>
      <c r="F13" s="22"/>
      <c r="G13" s="22"/>
      <c r="H13" s="22"/>
      <c r="I13" s="22"/>
      <c r="J13" s="22"/>
      <c r="K13" s="15"/>
      <c r="L13" s="22"/>
      <c r="M13" s="22"/>
      <c r="N13" s="22"/>
      <c r="O13" s="22"/>
      <c r="P13" s="22"/>
      <c r="Q13" s="22"/>
      <c r="R13" s="15"/>
      <c r="S13" s="22"/>
      <c r="T13" s="22"/>
      <c r="U13" s="22"/>
      <c r="V13" s="22"/>
      <c r="W13" s="22"/>
      <c r="X13" s="22"/>
      <c r="Y13" s="15"/>
      <c r="Z13" s="22"/>
      <c r="AA13" s="22"/>
      <c r="AB13" s="22"/>
      <c r="AC13" s="22"/>
      <c r="AD13" s="22"/>
      <c r="AE13" s="22"/>
      <c r="AF13" s="22"/>
      <c r="AG13" s="22"/>
      <c r="AH13" s="31">
        <f t="shared" si="0"/>
        <v>0</v>
      </c>
      <c r="AI13" s="31">
        <f t="shared" si="1"/>
        <v>0</v>
      </c>
      <c r="AJ13" s="31">
        <f t="shared" si="2"/>
        <v>0</v>
      </c>
      <c r="AK13" s="22">
        <f>Avril!AK13-Mai[[#This Row],[Dont RTT]]+2</f>
        <v>12.93</v>
      </c>
    </row>
    <row r="14" spans="1:37" ht="30" customHeight="1">
      <c r="B14" s="8"/>
      <c r="C14" s="22"/>
      <c r="D14" s="22"/>
      <c r="E14" s="22"/>
      <c r="F14" s="22"/>
      <c r="G14" s="22"/>
      <c r="H14" s="22"/>
      <c r="I14" s="22"/>
      <c r="J14" s="22"/>
      <c r="K14" s="15"/>
      <c r="L14" s="22"/>
      <c r="M14" s="22"/>
      <c r="N14" s="22"/>
      <c r="O14" s="22"/>
      <c r="P14" s="22"/>
      <c r="Q14" s="22"/>
      <c r="R14" s="15"/>
      <c r="S14" s="22"/>
      <c r="T14" s="22"/>
      <c r="U14" s="22"/>
      <c r="V14" s="22"/>
      <c r="W14" s="22"/>
      <c r="X14" s="22"/>
      <c r="Y14" s="15"/>
      <c r="Z14" s="22"/>
      <c r="AA14" s="22"/>
      <c r="AB14" s="22"/>
      <c r="AC14" s="22"/>
      <c r="AD14" s="22"/>
      <c r="AE14" s="22"/>
      <c r="AF14" s="22"/>
      <c r="AG14" s="22"/>
      <c r="AH14" s="31">
        <f t="shared" si="0"/>
        <v>0</v>
      </c>
      <c r="AI14" s="31">
        <f t="shared" si="1"/>
        <v>0</v>
      </c>
      <c r="AJ14" s="31">
        <f t="shared" si="2"/>
        <v>0</v>
      </c>
      <c r="AK14" s="22">
        <f>Avril!AK14-Mai[[#This Row],[Dont RTT]]+2</f>
        <v>12.5</v>
      </c>
    </row>
    <row r="15" spans="1:37" ht="30" customHeight="1">
      <c r="B15" s="8"/>
      <c r="C15" s="22"/>
      <c r="D15" s="22"/>
      <c r="E15" s="22"/>
      <c r="F15" s="22"/>
      <c r="G15" s="22"/>
      <c r="H15" s="22"/>
      <c r="I15" s="22"/>
      <c r="J15" s="22"/>
      <c r="K15" s="22"/>
      <c r="L15" s="22"/>
      <c r="M15" s="15"/>
      <c r="N15" s="22"/>
      <c r="O15" s="22"/>
      <c r="P15" s="22"/>
      <c r="Q15" s="22"/>
      <c r="R15" s="22"/>
      <c r="S15" s="22"/>
      <c r="T15" s="15"/>
      <c r="U15" s="22"/>
      <c r="V15" s="22"/>
      <c r="W15" s="22"/>
      <c r="X15" s="22"/>
      <c r="Y15" s="22"/>
      <c r="Z15" s="22"/>
      <c r="AA15" s="15"/>
      <c r="AB15" s="22"/>
      <c r="AC15" s="22"/>
      <c r="AD15" s="22"/>
      <c r="AE15" s="22"/>
      <c r="AF15" s="22"/>
      <c r="AG15" s="22"/>
      <c r="AH15" s="31">
        <f t="shared" si="0"/>
        <v>0</v>
      </c>
      <c r="AI15" s="31">
        <f t="shared" si="1"/>
        <v>0</v>
      </c>
      <c r="AJ15" s="31">
        <f t="shared" si="2"/>
        <v>0</v>
      </c>
      <c r="AK15" s="22">
        <f>Avril!AK15-Mai[[#This Row],[Dont RTT]]+2</f>
        <v>15.5</v>
      </c>
    </row>
    <row r="16" spans="1:37" ht="30" customHeight="1">
      <c r="B16" s="8"/>
      <c r="C16" s="22"/>
      <c r="D16" s="22"/>
      <c r="E16" s="22"/>
      <c r="F16" s="22"/>
      <c r="G16" s="22"/>
      <c r="H16" s="22"/>
      <c r="I16" s="22"/>
      <c r="J16" s="22"/>
      <c r="K16" s="15"/>
      <c r="L16" s="22"/>
      <c r="M16" s="22"/>
      <c r="N16" s="22"/>
      <c r="O16" s="22"/>
      <c r="P16" s="22"/>
      <c r="Q16" s="22"/>
      <c r="R16" s="15"/>
      <c r="S16" s="22"/>
      <c r="T16" s="22"/>
      <c r="U16" s="22"/>
      <c r="V16" s="22"/>
      <c r="W16" s="22"/>
      <c r="X16" s="22"/>
      <c r="Y16" s="15"/>
      <c r="Z16" s="22"/>
      <c r="AA16" s="22"/>
      <c r="AB16" s="22"/>
      <c r="AC16" s="22"/>
      <c r="AD16" s="22"/>
      <c r="AE16" s="22"/>
      <c r="AF16" s="22"/>
      <c r="AG16" s="22"/>
      <c r="AH16" s="31">
        <f t="shared" si="0"/>
        <v>0</v>
      </c>
      <c r="AI16" s="31">
        <f t="shared" si="1"/>
        <v>0</v>
      </c>
      <c r="AJ16" s="31">
        <f t="shared" si="2"/>
        <v>0</v>
      </c>
      <c r="AK16" s="22">
        <f>Avril!AK16-Mai[[#This Row],[Dont RTT]]+2</f>
        <v>12.16</v>
      </c>
    </row>
    <row r="17" spans="2:37" ht="30" customHeight="1">
      <c r="B17" s="8"/>
      <c r="C17" s="22"/>
      <c r="D17" s="22"/>
      <c r="E17" s="22"/>
      <c r="F17" s="22"/>
      <c r="G17" s="22"/>
      <c r="H17" s="22"/>
      <c r="I17" s="22"/>
      <c r="J17" s="22"/>
      <c r="K17" s="22"/>
      <c r="L17" s="22"/>
      <c r="M17" s="15"/>
      <c r="N17" s="22"/>
      <c r="O17" s="22"/>
      <c r="P17" s="22"/>
      <c r="Q17" s="22"/>
      <c r="R17" s="22"/>
      <c r="S17" s="22"/>
      <c r="T17" s="15"/>
      <c r="U17" s="22"/>
      <c r="V17" s="22"/>
      <c r="W17" s="22"/>
      <c r="X17" s="22"/>
      <c r="Y17" s="22"/>
      <c r="Z17" s="22"/>
      <c r="AA17" s="15"/>
      <c r="AB17" s="22"/>
      <c r="AC17" s="22"/>
      <c r="AD17" s="22"/>
      <c r="AE17" s="22"/>
      <c r="AF17" s="22"/>
      <c r="AG17" s="22"/>
      <c r="AH17" s="31">
        <f t="shared" si="0"/>
        <v>0</v>
      </c>
      <c r="AI17" s="31">
        <f t="shared" si="1"/>
        <v>0</v>
      </c>
      <c r="AJ17" s="31">
        <f t="shared" si="2"/>
        <v>0</v>
      </c>
      <c r="AK17" s="22">
        <f>Avril!AK17-Mai[[#This Row],[Dont RTT]]+2</f>
        <v>21</v>
      </c>
    </row>
    <row r="18" spans="2:37" ht="30" customHeight="1">
      <c r="B18" s="8"/>
      <c r="C18" s="22"/>
      <c r="D18" s="22"/>
      <c r="E18" s="22"/>
      <c r="F18" s="22"/>
      <c r="G18" s="22"/>
      <c r="H18" s="22"/>
      <c r="I18" s="22"/>
      <c r="J18" s="22"/>
      <c r="K18" s="15"/>
      <c r="L18" s="22"/>
      <c r="M18" s="22"/>
      <c r="N18" s="22"/>
      <c r="O18" s="22"/>
      <c r="P18" s="22"/>
      <c r="Q18" s="22"/>
      <c r="R18" s="15"/>
      <c r="S18" s="22"/>
      <c r="T18" s="22"/>
      <c r="U18" s="22"/>
      <c r="V18" s="22"/>
      <c r="W18" s="22"/>
      <c r="X18" s="22"/>
      <c r="Y18" s="15"/>
      <c r="Z18" s="22"/>
      <c r="AA18" s="22"/>
      <c r="AB18" s="22"/>
      <c r="AC18" s="22"/>
      <c r="AD18" s="22"/>
      <c r="AE18" s="22"/>
      <c r="AF18" s="22"/>
      <c r="AG18" s="22"/>
      <c r="AH18" s="31">
        <f t="shared" si="0"/>
        <v>0</v>
      </c>
      <c r="AI18" s="31">
        <f t="shared" si="1"/>
        <v>0</v>
      </c>
      <c r="AJ18" s="31">
        <f t="shared" si="2"/>
        <v>0</v>
      </c>
      <c r="AK18" s="22">
        <f>Avril!AK18-Mai[[#This Row],[Dont RTT]]+2</f>
        <v>12.5</v>
      </c>
    </row>
    <row r="19" spans="2:37" ht="30" customHeight="1">
      <c r="B19" s="28" t="str">
        <f>NomMois&amp;" Total"</f>
        <v>Mai Total</v>
      </c>
      <c r="C19" s="33">
        <f>COUNTIF(Mai[1],CléCongé)+(COUNTIF(Mai[1],CléCongéSpécial)+COUNTIF(Mai[1],CléRTT)+(COUNTIF(Mai[1],CléDemiRtt)/2)+COUNTIF(Mai[1],CléCongéMalade)+COUNTIF(Mai[1],CléRécupération)+(COUNTIF(Mai[1],CléDemiRécupération)/2)+COUNTIF(Mai[1],CléFormation)+(COUNTIF(Mai[1],CléEnfantMalade)+(COUNTIF(Mai[1],CléDemiEnfantMalade)/2)))</f>
        <v>0</v>
      </c>
      <c r="D19" s="33">
        <f>COUNTIF(Mai[2],CléCongé)+(COUNTIF(Mai[2],CléCongéSpécial)+COUNTIF(Mai[2],CléRTT)+(COUNTIF(Mai[2],CléDemiRtt)/2)+COUNTIF(Mai[2],CléCongéMalade)+COUNTIF(Mai[2],CléRécupération)+(COUNTIF(Mai[2],CléDemiRécupération)/2)+COUNTIF(Mai[2],CléFormation)+(COUNTIF(Mai[2],CléEnfantMalade)+(COUNTIF(Mai[2],CléDemiEnfantMalade)/2)))</f>
        <v>0</v>
      </c>
      <c r="E19" s="33">
        <f>COUNTIF(Mai[3],CléCongé)+(COUNTIF(Mai[3],CléCongéSpécial)+COUNTIF(Mai[3],CléRTT)+(COUNTIF(Mai[3],CléDemiRtt)/2)+COUNTIF(Mai[3],CléCongéMalade)+COUNTIF(Mai[3],CléRécupération)+(COUNTIF(Mai[3],CléDemiRécupération)/2)+COUNTIF(Mai[3],CléFormation)+(COUNTIF(Mai[3],CléEnfantMalade)+(COUNTIF(Mai[3],CléDemiEnfantMalade)/2)))</f>
        <v>0</v>
      </c>
      <c r="F19" s="33">
        <f>COUNTIF(Mai[4],CléCongé)+(COUNTIF(Mai[4],CléCongéSpécial)+COUNTIF(Mai[4],CléRTT)+(COUNTIF(Mai[4],CléDemiRtt)/2)+COUNTIF(Mai[4],CléCongéMalade)+COUNTIF(Mai[4],CléRécupération)+(COUNTIF(Mai[4],CléDemiRécupération)/2)+COUNTIF(Mai[4],CléFormation)+(COUNTIF(Mai[4],CléEnfantMalade)+(COUNTIF(Mai[4],CléDemiEnfantMalade)/2)))</f>
        <v>0</v>
      </c>
      <c r="G19" s="33">
        <f>COUNTIF(Mai[5],CléCongé)+(COUNTIF(Mai[5],CléCongéSpécial)+COUNTIF(Mai[5],CléRTT)+(COUNTIF(Mai[5],CléDemiRtt)/2)+COUNTIF(Mai[5],CléCongéMalade)+COUNTIF(Mai[5],CléRécupération)+(COUNTIF(Mai[5],CléDemiRécupération)/2)+COUNTIF(Mai[5],CléFormation)+(COUNTIF(Mai[5],CléEnfantMalade)+(COUNTIF(Mai[5],CléDemiEnfantMalade)/2)))</f>
        <v>0</v>
      </c>
      <c r="H19" s="33">
        <f>COUNTIF(Mai[6],CléCongé)+(COUNTIF(Mai[6],CléCongéSpécial)+COUNTIF(Mai[6],CléRTT)+(COUNTIF(Mai[6],CléDemiRtt)/2)+COUNTIF(Mai[6],CléCongéMalade)+COUNTIF(Mai[6],CléRécupération)+(COUNTIF(Mai[6],CléDemiRécupération)/2)+COUNTIF(Mai[6],CléFormation)+(COUNTIF(Mai[6],CléEnfantMalade)+(COUNTIF(Mai[6],CléDemiEnfantMalade)/2)))</f>
        <v>0</v>
      </c>
      <c r="I19" s="33">
        <f>COUNTIF(Mai[7],CléCongé)+(COUNTIF(Mai[7],CléCongéSpécial)+COUNTIF(Mai[7],CléRTT)+(COUNTIF(Mai[7],CléDemiRtt)/2)+COUNTIF(Mai[7],CléCongéMalade)+COUNTIF(Mai[7],CléRécupération)+(COUNTIF(Mai[7],CléDemiRécupération)/2)+COUNTIF(Mai[7],CléFormation)+(COUNTIF(Mai[7],CléEnfantMalade)+(COUNTIF(Mai[7],CléDemiEnfantMalade)/2)))</f>
        <v>0</v>
      </c>
      <c r="J19" s="33">
        <f>COUNTIF(Mai[8],CléCongé)+(COUNTIF(Mai[8],CléCongéSpécial)+COUNTIF(Mai[8],CléRTT)+(COUNTIF(Mai[8],CléDemiRtt)/2)+COUNTIF(Mai[8],CléCongéMalade)+COUNTIF(Mai[8],CléRécupération)+(COUNTIF(Mai[8],CléDemiRécupération)/2)+COUNTIF(Mai[8],CléFormation)+(COUNTIF(Mai[8],CléEnfantMalade)+(COUNTIF(Mai[8],CléDemiEnfantMalade)/2)))</f>
        <v>0</v>
      </c>
      <c r="K19" s="33">
        <f>COUNTIF(Mai[9],CléCongé)+(COUNTIF(Mai[9],CléCongéSpécial)+COUNTIF(Mai[9],CléRTT)+(COUNTIF(Mai[9],CléDemiRtt)/2)+COUNTIF(Mai[9],CléCongéMalade)+COUNTIF(Mai[9],CléRécupération)+(COUNTIF(Mai[9],CléDemiRécupération)/2)+COUNTIF(Mai[9],CléFormation)+(COUNTIF(Mai[9],CléEnfantMalade)+(COUNTIF(Mai[9],CléDemiEnfantMalade)/2)))</f>
        <v>0</v>
      </c>
      <c r="L19" s="33">
        <f>COUNTIF(Mai[10],CléCongé)+(COUNTIF(Mai[10],CléCongéSpécial)+COUNTIF(Mai[10],CléRTT)+(COUNTIF(Mai[10],CléDemiRtt)/2)+COUNTIF(Mai[10],CléCongéMalade)+COUNTIF(Mai[10],CléRécupération)+(COUNTIF(Mai[10],CléDemiRécupération)/2)+COUNTIF(Mai[10],CléFormation)+(COUNTIF(Mai[10],CléEnfantMalade)+(COUNTIF(Mai[10],CléDemiEnfantMalade)/2)))</f>
        <v>0</v>
      </c>
      <c r="M19" s="33">
        <f>COUNTIF(Mai[11],CléCongé)+(COUNTIF(Mai[11],CléCongéSpécial)+COUNTIF(Mai[11],CléRTT)+(COUNTIF(Mai[11],CléDemiRtt)/2)+COUNTIF(Mai[11],CléCongéMalade)+COUNTIF(Mai[11],CléRécupération)+(COUNTIF(Mai[11],CléDemiRécupération)/2)+COUNTIF(Mai[11],CléFormation)+(COUNTIF(Mai[11],CléEnfantMalade)+(COUNTIF(Mai[11],CléDemiEnfantMalade)/2)))</f>
        <v>0</v>
      </c>
      <c r="N19" s="33">
        <f>COUNTIF(Mai[12],CléCongé)+(COUNTIF(Mai[12],CléCongéSpécial)+COUNTIF(Mai[12],CléRTT)+(COUNTIF(Mai[12],CléDemiRtt)/2)+COUNTIF(Mai[12],CléCongéMalade)+COUNTIF(Mai[12],CléRécupération)+(COUNTIF(Mai[12],CléDemiRécupération)/2)+COUNTIF(Mai[12],CléFormation)+(COUNTIF(Mai[12],CléEnfantMalade)+(COUNTIF(Mai[12],CléDemiEnfantMalade)/2)))</f>
        <v>0</v>
      </c>
      <c r="O19" s="33">
        <f>COUNTIF(Mai[13],CléCongé)+(COUNTIF(Mai[13],CléCongéSpécial)+COUNTIF(Mai[13],CléRTT)+(COUNTIF(Mai[13],CléDemiRtt)/2)+COUNTIF(Mai[13],CléCongéMalade)+COUNTIF(Mai[13],CléRécupération)+(COUNTIF(Mai[13],CléDemiRécupération)/2)+COUNTIF(Mai[13],CléFormation)+(COUNTIF(Mai[13],CléEnfantMalade)+(COUNTIF(Mai[13],CléDemiEnfantMalade)/2)))</f>
        <v>0</v>
      </c>
      <c r="P19" s="33">
        <f>COUNTIF(Mai[14],CléCongé)+(COUNTIF(Mai[14],CléCongéSpécial)+COUNTIF(Mai[14],CléRTT)+(COUNTIF(Mai[14],CléDemiRtt)/2)+COUNTIF(Mai[14],CléCongéMalade)+COUNTIF(Mai[14],CléRécupération)+(COUNTIF(Mai[14],CléDemiRécupération)/2)+COUNTIF(Mai[14],CléFormation)+(COUNTIF(Mai[14],CléEnfantMalade)+(COUNTIF(Mai[14],CléDemiEnfantMalade)/2)))</f>
        <v>0</v>
      </c>
      <c r="Q19" s="33">
        <f>COUNTIF(Mai[15],CléCongé)+(COUNTIF(Mai[15],CléCongéSpécial)+COUNTIF(Mai[15],CléRTT)+(COUNTIF(Mai[15],CléDemiRtt)/2)+COUNTIF(Mai[15],CléCongéMalade)+COUNTIF(Mai[15],CléRécupération)+(COUNTIF(Mai[15],CléDemiRécupération)/2)+COUNTIF(Mai[15],CléFormation)+(COUNTIF(Mai[15],CléEnfantMalade)+(COUNTIF(Mai[15],CléDemiEnfantMalade)/2)))</f>
        <v>0</v>
      </c>
      <c r="R19" s="33">
        <f>COUNTIF(Mai[16],CléCongé)+(COUNTIF(Mai[16],CléCongéSpécial)+COUNTIF(Mai[16],CléRTT)+(COUNTIF(Mai[16],CléDemiRtt)/2)+COUNTIF(Mai[16],CléCongéMalade)+COUNTIF(Mai[16],CléRécupération)+(COUNTIF(Mai[16],CléDemiRécupération)/2)+COUNTIF(Mai[16],CléFormation)+(COUNTIF(Mai[16],CléEnfantMalade)+(COUNTIF(Mai[16],CléDemiEnfantMalade)/2)))</f>
        <v>0</v>
      </c>
      <c r="S19" s="33">
        <f>COUNTIF(Mai[17],CléCongé)+(COUNTIF(Mai[17],CléCongéSpécial)+COUNTIF(Mai[17],CléRTT)+(COUNTIF(Mai[17],CléDemiRtt)/2)+COUNTIF(Mai[17],CléCongéMalade)+COUNTIF(Mai[17],CléRécupération)+(COUNTIF(Mai[17],CléDemiRécupération)/2)+COUNTIF(Mai[17],CléFormation)+(COUNTIF(Mai[17],CléEnfantMalade)+(COUNTIF(Mai[17],CléDemiEnfantMalade)/2)))</f>
        <v>0</v>
      </c>
      <c r="T19" s="33">
        <f>COUNTIF(Mai[18],CléCongé)+(COUNTIF(Mai[18],CléCongéSpécial)+COUNTIF(Mai[18],CléRTT)+(COUNTIF(Mai[18],CléDemiRtt)/2)+COUNTIF(Mai[18],CléCongéMalade)+COUNTIF(Mai[18],CléRécupération)+(COUNTIF(Mai[18],CléDemiRécupération)/2)+COUNTIF(Mai[18],CléFormation)+(COUNTIF(Mai[18],CléEnfantMalade)+(COUNTIF(Mai[18],CléDemiEnfantMalade)/2)))</f>
        <v>0</v>
      </c>
      <c r="U19" s="33">
        <f>COUNTIF(Mai[19],CléCongé)+(COUNTIF(Mai[19],CléCongéSpécial)+COUNTIF(Mai[19],CléRTT)+(COUNTIF(Mai[19],CléDemiRtt)/2)+COUNTIF(Mai[19],CléCongéMalade)+COUNTIF(Mai[19],CléRécupération)+(COUNTIF(Mai[19],CléDemiRécupération)/2)+COUNTIF(Mai[19],CléFormation)+(COUNTIF(Mai[19],CléEnfantMalade)+(COUNTIF(Mai[19],CléDemiEnfantMalade)/2)))</f>
        <v>0</v>
      </c>
      <c r="V19" s="33">
        <f>COUNTIF(Mai[20],CléCongé)+(COUNTIF(Mai[20],CléCongéSpécial)+COUNTIF(Mai[20],CléRTT)+(COUNTIF(Mai[20],CléDemiRtt)/2)+COUNTIF(Mai[20],CléCongéMalade)+COUNTIF(Mai[20],CléRécupération)+(COUNTIF(Mai[20],CléDemiRécupération)/2)+COUNTIF(Mai[20],CléFormation)+(COUNTIF(Mai[20],CléEnfantMalade)+(COUNTIF(Mai[20],CléDemiEnfantMalade)/2)))</f>
        <v>0</v>
      </c>
      <c r="W19" s="33">
        <f>COUNTIF(Mai[21],CléCongé)+(COUNTIF(Mai[21],CléCongéSpécial)+COUNTIF(Mai[21],CléRTT)+(COUNTIF(Mai[21],CléDemiRtt)/2)+COUNTIF(Mai[21],CléCongéMalade)+COUNTIF(Mai[21],CléRécupération)+(COUNTIF(Mai[21],CléDemiRécupération)/2)+COUNTIF(Mai[21],CléFormation)+(COUNTIF(Mai[21],CléEnfantMalade)+(COUNTIF(Mai[21],CléDemiEnfantMalade)/2)))</f>
        <v>0</v>
      </c>
      <c r="X19" s="33">
        <f>COUNTIF(Mai[22],CléCongé)+(COUNTIF(Mai[22],CléCongéSpécial)+COUNTIF(Mai[22],CléRTT)+(COUNTIF(Mai[22],CléDemiRtt)/2)+COUNTIF(Mai[22],CléCongéMalade)+COUNTIF(Mai[22],CléRécupération)+(COUNTIF(Mai[22],CléDemiRécupération)/2)+COUNTIF(Mai[22],CléFormation)+(COUNTIF(Mai[22],CléEnfantMalade)+(COUNTIF(Mai[22],CléDemiEnfantMalade)/2)))</f>
        <v>0</v>
      </c>
      <c r="Y19" s="33">
        <f>COUNTIF(Mai[23],CléCongé)+(COUNTIF(Mai[23],CléCongéSpécial)+COUNTIF(Mai[23],CléRTT)+(COUNTIF(Mai[23],CléDemiRtt)/2)+COUNTIF(Mai[23],CléCongéMalade)+COUNTIF(Mai[23],CléRécupération)+(COUNTIF(Mai[23],CléDemiRécupération)/2)+COUNTIF(Mai[23],CléFormation)+(COUNTIF(Mai[23],CléEnfantMalade)+(COUNTIF(Mai[23],CléDemiEnfantMalade)/2)))</f>
        <v>0</v>
      </c>
      <c r="Z19" s="33">
        <f>COUNTIF(Mai[24],CléCongé)+(COUNTIF(Mai[24],CléCongéSpécial)+COUNTIF(Mai[24],CléRTT)+(COUNTIF(Mai[24],CléDemiRtt)/2)+COUNTIF(Mai[24],CléCongéMalade)+COUNTIF(Mai[24],CléRécupération)+(COUNTIF(Mai[24],CléDemiRécupération)/2)+COUNTIF(Mai[24],CléFormation)+(COUNTIF(Mai[24],CléEnfantMalade)+(COUNTIF(Mai[24],CléDemiEnfantMalade)/2)))</f>
        <v>0</v>
      </c>
      <c r="AA19" s="33">
        <f>COUNTIF(Mai[25],CléCongé)+(COUNTIF(Mai[25],CléCongéSpécial)+COUNTIF(Mai[25],CléRTT)+(COUNTIF(Mai[25],CléDemiRtt)/2)+COUNTIF(Mai[25],CléCongéMalade)+COUNTIF(Mai[25],CléRécupération)+(COUNTIF(Mai[25],CléDemiRécupération)/2)+COUNTIF(Mai[25],CléFormation)+(COUNTIF(Mai[25],CléEnfantMalade)+(COUNTIF(Mai[25],CléDemiEnfantMalade)/2)))</f>
        <v>0</v>
      </c>
      <c r="AB19" s="33">
        <f>COUNTIF(Mai[26],CléCongé)+(COUNTIF(Mai[26],CléCongéSpécial)+COUNTIF(Mai[26],CléRTT)+(COUNTIF(Mai[26],CléDemiRtt)/2)+COUNTIF(Mai[26],CléCongéMalade)+COUNTIF(Mai[26],CléRécupération)+(COUNTIF(Mai[26],CléDemiRécupération)/2)+COUNTIF(Mai[26],CléFormation)+(COUNTIF(Mai[26],CléEnfantMalade)+(COUNTIF(Mai[26],CléDemiEnfantMalade)/2)))</f>
        <v>0</v>
      </c>
      <c r="AC19" s="33">
        <f>COUNTIF(Mai[27],CléCongé)+(COUNTIF(Mai[27],CléCongéSpécial)+COUNTIF(Mai[27],CléRTT)+(COUNTIF(Mai[27],CléDemiRtt)/2)+COUNTIF(Mai[27],CléCongéMalade)+COUNTIF(Mai[27],CléRécupération)+(COUNTIF(Mai[27],CléDemiRécupération)/2)+COUNTIF(Mai[27],CléFormation)+(COUNTIF(Mai[27],CléEnfantMalade)+(COUNTIF(Mai[27],CléDemiEnfantMalade)/2)))</f>
        <v>0</v>
      </c>
      <c r="AD19" s="33">
        <f>COUNTIF(Mai[28],CléCongé)+(COUNTIF(Mai[28],CléCongéSpécial)+COUNTIF(Mai[28],CléRTT)+(COUNTIF(Mai[28],CléDemiRtt)/2)+COUNTIF(Mai[28],CléCongéMalade)+COUNTIF(Mai[28],CléRécupération)+(COUNTIF(Mai[28],CléDemiRécupération)/2)+COUNTIF(Mai[28],CléFormation)+(COUNTIF(Mai[28],CléEnfantMalade)+(COUNTIF(Mai[28],CléDemiEnfantMalade)/2)))</f>
        <v>0</v>
      </c>
      <c r="AE19" s="33">
        <f>COUNTIF(Mai[29],CléCongé)+(COUNTIF(Mai[29],CléCongéSpécial)+COUNTIF(Mai[29],CléRTT)+(COUNTIF(Mai[29],CléDemiRtt)/2)+COUNTIF(Mai[29],CléCongéMalade)+COUNTIF(Mai[29],CléRécupération)+(COUNTIF(Mai[29],CléDemiRécupération)/2)+COUNTIF(Mai[29],CléFormation)+(COUNTIF(Mai[29],CléEnfantMalade)+(COUNTIF(Mai[29],CléDemiEnfantMalade)/2)))</f>
        <v>0</v>
      </c>
      <c r="AF19" s="33">
        <f>COUNTIF(Mai[30],CléCongé)+(COUNTIF(Mai[30],CléCongéSpécial)+COUNTIF(Mai[30],CléRTT)+(COUNTIF(Mai[30],CléDemiRtt)/2)+COUNTIF(Mai[30],CléCongéMalade)+COUNTIF(Mai[30],CléRécupération)+(COUNTIF(Mai[30],CléDemiRécupération)/2)+COUNTIF(Mai[30],CléFormation)+(COUNTIF(Mai[30],CléEnfantMalade)+(COUNTIF(Mai[30],CléDemiEnfantMalade)/2)))</f>
        <v>0</v>
      </c>
      <c r="AG19" s="33">
        <f>COUNTIF(Mai[31],CléCongé)+(COUNTIF(Mai[31],CléCongéSpécial)+COUNTIF(Mai[31],CléRTT)+(COUNTIF(Mai[31],CléDemiRtt)/2)+COUNTIF(Mai[31],CléCongéMalade)+COUNTIF(Mai[31],CléRécupération)+(COUNTIF(Mai[31],CléDemiRécupération)/2)+COUNTIF(Mai[31],CléFormation)+(COUNTIF(Mai[31],CléEnfantMalade)+(COUNTIF(Mai[31],CléDemiEnfantMalade)/2)))</f>
        <v>0</v>
      </c>
      <c r="AH19" s="26">
        <f>SUBTOTAL(109,Mai[Total absence])</f>
        <v>0</v>
      </c>
      <c r="AI19" s="26">
        <f>SUBTOTAL(109,Mai[Dont RTT])</f>
        <v>0</v>
      </c>
      <c r="AJ19" s="26">
        <f>SUBTOTAL(109,Mai[Dont MALADIE])</f>
        <v>0</v>
      </c>
      <c r="AK19" s="30"/>
    </row>
  </sheetData>
  <mergeCells count="15">
    <mergeCell ref="C5:AG5"/>
    <mergeCell ref="G2:H2"/>
    <mergeCell ref="J2:L2"/>
    <mergeCell ref="W2:Y2"/>
    <mergeCell ref="D3:E3"/>
    <mergeCell ref="G3:H3"/>
    <mergeCell ref="J3:L3"/>
    <mergeCell ref="N3:O3"/>
    <mergeCell ref="Q3:R3"/>
    <mergeCell ref="T3:U3"/>
    <mergeCell ref="W3:Y3"/>
    <mergeCell ref="D2:E2"/>
    <mergeCell ref="Q2:U2"/>
    <mergeCell ref="AA2:AC2"/>
    <mergeCell ref="AA3:AC3"/>
  </mergeCells>
  <conditionalFormatting sqref="C6:AG6">
    <cfRule type="containsText" dxfId="338" priority="135" stopIfTrue="1" operator="containsText" text="dim">
      <formula>NOT(ISERROR(SEARCH("dim",C6)))</formula>
    </cfRule>
  </conditionalFormatting>
  <conditionalFormatting sqref="AH7">
    <cfRule type="containsText" dxfId="337" priority="134" stopIfTrue="1" operator="containsText" text="dim">
      <formula>NOT(ISERROR(SEARCH("dim",AH7)))</formula>
    </cfRule>
  </conditionalFormatting>
  <conditionalFormatting sqref="AI19:AJ19">
    <cfRule type="containsText" dxfId="336" priority="133" stopIfTrue="1" operator="containsText" text="dim">
      <formula>NOT(ISERROR(SEARCH("dim",AI19)))</formula>
    </cfRule>
  </conditionalFormatting>
  <conditionalFormatting sqref="C19:AG19">
    <cfRule type="containsText" dxfId="335" priority="112" stopIfTrue="1" operator="containsText" text="dim">
      <formula>NOT(ISERROR(SEARCH("dim",C19)))</formula>
    </cfRule>
  </conditionalFormatting>
  <conditionalFormatting sqref="AL3:XFD3 A2:A3 AG2:XFD2">
    <cfRule type="containsText" dxfId="334" priority="111" stopIfTrue="1" operator="containsText" text="dim">
      <formula>NOT(ISERROR(SEARCH("dim",A2)))</formula>
    </cfRule>
  </conditionalFormatting>
  <conditionalFormatting sqref="AH8:AH18">
    <cfRule type="dataBar" priority="53">
      <dataBar>
        <cfvo type="num" val="0"/>
        <cfvo type="num" val="31"/>
        <color rgb="FF00B0F0"/>
      </dataBar>
      <extLst>
        <ext xmlns:x14="http://schemas.microsoft.com/office/spreadsheetml/2009/9/main" uri="{B025F937-C7B1-47D3-B67F-A62EFF666E3E}">
          <x14:id>{9697810A-697E-3E4B-921F-5D7A99EDADFE}</x14:id>
        </ext>
      </extLst>
    </cfRule>
    <cfRule type="containsText" dxfId="333" priority="56" stopIfTrue="1" operator="containsText" text="dim">
      <formula>NOT(ISERROR(SEARCH("dim",AH8)))</formula>
    </cfRule>
  </conditionalFormatting>
  <conditionalFormatting sqref="AI8:AI18">
    <cfRule type="dataBar" priority="54">
      <dataBar>
        <cfvo type="num" val="0"/>
        <cfvo type="num" val="31"/>
        <color rgb="FF92D050"/>
      </dataBar>
      <extLst>
        <ext xmlns:x14="http://schemas.microsoft.com/office/spreadsheetml/2009/9/main" uri="{B025F937-C7B1-47D3-B67F-A62EFF666E3E}">
          <x14:id>{9E3B2396-D1E8-404F-ACE1-F54387A2756B}</x14:id>
        </ext>
      </extLst>
    </cfRule>
  </conditionalFormatting>
  <conditionalFormatting sqref="B3:D3 F2:G3 M3:N3 Q3 S3:T3 V2:W3 I2:J3">
    <cfRule type="containsText" dxfId="332" priority="36" stopIfTrue="1" operator="containsText" text="dim">
      <formula>NOT(ISERROR(SEARCH("dim",B2)))</formula>
    </cfRule>
  </conditionalFormatting>
  <conditionalFormatting sqref="V2:W2">
    <cfRule type="containsText" dxfId="331" priority="35" stopIfTrue="1" operator="containsText" text="dim">
      <formula>NOT(ISERROR(SEARCH("dim",V2)))</formula>
    </cfRule>
  </conditionalFormatting>
  <conditionalFormatting sqref="AA2">
    <cfRule type="containsText" dxfId="330" priority="34" stopIfTrue="1" operator="containsText" text="dim">
      <formula>NOT(ISERROR(SEARCH("dim",AA2)))</formula>
    </cfRule>
  </conditionalFormatting>
  <conditionalFormatting sqref="AA2">
    <cfRule type="containsText" dxfId="329" priority="33" stopIfTrue="1" operator="containsText" text="dim">
      <formula>NOT(ISERROR(SEARCH("dim",AA2)))</formula>
    </cfRule>
  </conditionalFormatting>
  <conditionalFormatting sqref="P3">
    <cfRule type="expression" dxfId="328" priority="19" stopIfTrue="1">
      <formula>P3=CléNonTravaillé</formula>
    </cfRule>
    <cfRule type="expression" dxfId="327" priority="20" stopIfTrue="1">
      <formula>P3=CléPrésenceExceptionnelle</formula>
    </cfRule>
    <cfRule type="expression" dxfId="326" priority="21" stopIfTrue="1">
      <formula>P3=CléCongéSpécial</formula>
    </cfRule>
    <cfRule type="expression" dxfId="325" priority="22" stopIfTrue="1">
      <formula>P3=CléDemiRécupération</formula>
    </cfRule>
    <cfRule type="expression" dxfId="324" priority="23" stopIfTrue="1">
      <formula>P3=CléDemiEnfantMalade</formula>
    </cfRule>
    <cfRule type="expression" dxfId="323" priority="24" stopIfTrue="1">
      <formula>P3=CléEnfantMalade</formula>
    </cfRule>
    <cfRule type="expression" dxfId="322" priority="25" stopIfTrue="1">
      <formula>P3=CléDemiRtt</formula>
    </cfRule>
    <cfRule type="expression" priority="26" stopIfTrue="1">
      <formula>P3=""</formula>
    </cfRule>
    <cfRule type="expression" dxfId="321" priority="27" stopIfTrue="1">
      <formula>P3=CléMaladie</formula>
    </cfRule>
    <cfRule type="expression" dxfId="320" priority="28" stopIfTrue="1">
      <formula>P3=CléCongé</formula>
    </cfRule>
    <cfRule type="expression" dxfId="319" priority="29" stopIfTrue="1">
      <formula>P3=CléRécupération</formula>
    </cfRule>
    <cfRule type="expression" dxfId="318" priority="30" stopIfTrue="1">
      <formula>P3=CléFormation</formula>
    </cfRule>
    <cfRule type="expression" dxfId="317" priority="31" stopIfTrue="1">
      <formula>P3=CléRTT</formula>
    </cfRule>
    <cfRule type="expression" dxfId="316" priority="32" stopIfTrue="1">
      <formula>P3=CléTélétravail</formula>
    </cfRule>
  </conditionalFormatting>
  <conditionalFormatting sqref="AA3">
    <cfRule type="containsText" dxfId="315" priority="18" stopIfTrue="1" operator="containsText" text="dim">
      <formula>NOT(ISERROR(SEARCH("dim",AA3)))</formula>
    </cfRule>
  </conditionalFormatting>
  <conditionalFormatting sqref="AA3">
    <cfRule type="containsText" dxfId="314" priority="17" stopIfTrue="1" operator="containsText" text="dim">
      <formula>NOT(ISERROR(SEARCH("dim",AA3)))</formula>
    </cfRule>
  </conditionalFormatting>
  <conditionalFormatting sqref="C8:AG18">
    <cfRule type="expression" dxfId="313" priority="2" stopIfTrue="1">
      <formula>C8=CléAbsenceJustifiée</formula>
    </cfRule>
    <cfRule type="expression" dxfId="312" priority="3" stopIfTrue="1">
      <formula>C8=CléNonTravaillé</formula>
    </cfRule>
    <cfRule type="expression" dxfId="311" priority="4" stopIfTrue="1">
      <formula>C8=CléPrésenceExceptionnelle</formula>
    </cfRule>
    <cfRule type="expression" dxfId="310" priority="5" stopIfTrue="1">
      <formula>C8=CléCongéSpécial</formula>
    </cfRule>
    <cfRule type="expression" dxfId="309" priority="6" stopIfTrue="1">
      <formula>C8=CléDemiRécupération</formula>
    </cfRule>
    <cfRule type="expression" dxfId="308" priority="7" stopIfTrue="1">
      <formula>C8=CléDemiEnfantMalade</formula>
    </cfRule>
    <cfRule type="expression" dxfId="307" priority="8" stopIfTrue="1">
      <formula>C8=CléEnfantMalade</formula>
    </cfRule>
    <cfRule type="expression" dxfId="306" priority="9" stopIfTrue="1">
      <formula>C8=CléDemiRtt</formula>
    </cfRule>
    <cfRule type="expression" priority="10" stopIfTrue="1">
      <formula>C8=""</formula>
    </cfRule>
    <cfRule type="expression" dxfId="305" priority="11" stopIfTrue="1">
      <formula>C8=CléCongéMalade</formula>
    </cfRule>
    <cfRule type="expression" dxfId="304" priority="12" stopIfTrue="1">
      <formula>C8=CléCongé</formula>
    </cfRule>
    <cfRule type="expression" dxfId="303" priority="13" stopIfTrue="1">
      <formula>C8=CléRécupération</formula>
    </cfRule>
    <cfRule type="expression" dxfId="302" priority="14" stopIfTrue="1">
      <formula>C8=CléFormation</formula>
    </cfRule>
    <cfRule type="expression" dxfId="301" priority="15" stopIfTrue="1">
      <formula>C8=CléRTT</formula>
    </cfRule>
    <cfRule type="expression" dxfId="300" priority="16" stopIfTrue="1">
      <formula>C8=CléTélétravail</formula>
    </cfRule>
  </conditionalFormatting>
  <conditionalFormatting sqref="AJ8:AJ18">
    <cfRule type="dataBar" priority="1">
      <dataBar>
        <cfvo type="num" val="0"/>
        <cfvo type="num" val="31"/>
        <color rgb="FFFF0000"/>
      </dataBar>
      <extLst>
        <ext xmlns:x14="http://schemas.microsoft.com/office/spreadsheetml/2009/9/main" uri="{B025F937-C7B1-47D3-B67F-A62EFF666E3E}">
          <x14:id>{16521557-A7D1-44BE-8CD9-15BB7796D367}</x14:id>
        </ext>
      </extLst>
    </cfRule>
  </conditionalFormatting>
  <dataValidations count="17">
    <dataValidation allowBlank="1" showInputMessage="1" showErrorMessage="1" prompt="Les jours de la semaine dans cette ligne sont mis à jour automatiquement pour le mois en fonction de l’année dans AH4. Chaque jour du mois est une colonne dans laquelle noter l’absence et le motif d’absence d’un employé" sqref="C6" xr:uid="{A10E5777-19C4-7E42-97B8-C99A5F770C5E}"/>
    <dataValidation allowBlank="1" showInputMessage="1" showErrorMessage="1" prompt="Année mise à jour automatiquement en fonction de l’année entrée dans la feuille de calcul Janvier" sqref="AH5 AK5" xr:uid="{75397705-4BF7-1748-BE3B-B54018DF703F}"/>
    <dataValidation allowBlank="1" showInputMessage="1" showErrorMessage="1" prompt="Calcule automatiquement le nombre total de jours d’absence d’un employé durant ce mois dans cette colonne" sqref="AH7" xr:uid="{AD7AE540-5428-5A4E-934B-46F36A589115}"/>
    <dataValidation allowBlank="1" showInputMessage="1" showErrorMessage="1" prompt="Suivez les absences du mois de mai dans cette feuille de calcul" sqref="A1" xr:uid="{20C682E7-5B77-8D49-9DED-B4024E4177D7}"/>
    <dataValidation errorStyle="warning" allowBlank="1" showInputMessage="1" showErrorMessage="1" error="Sélectionnez un nom dans la liste. Sélectionnez ANNULER, appuyez sur ALT+FLÈCHE BAS, puis sur ENTRÉE pour sélectionner un nom" prompt="Entrez les noms des employés dans la feuille de calcul du Noms des employés, puis sélectionnez l’un des noms de la liste figurant dans cette colonne. Appuyez sur ALT+FLÈCHE BAS, puis sur ENTRÉE pour sélectionner un nom" sqref="B7" xr:uid="{317D2B23-8668-B74A-B6CB-3649CF5D5F4C}"/>
    <dataValidation allowBlank="1" showInputMessage="1" showErrorMessage="1" prompt="Nom du mois pour ce calendrier des absences dans cette cellule. Le total des absences pour ce mois figure dans la dernière cellule du tableau. Sélectionnez les noms des employés dans la colonne B du tableau" sqref="B5" xr:uid="{A1D13044-50E5-3D43-B98C-A8D13D3CBB31}"/>
    <dataValidation allowBlank="1" showInputMessage="1" showErrorMessage="1" prompt="Les jours du mois dans cette ligne sont générés automatiquement. Entrez l’absence et le motif d’absence d’un employé dans chaque colonne pour chaque jour du mois. Un champ vide indique qu’il n’y a pas eu d’absence" sqref="C7" xr:uid="{73CC7061-4CE9-1C4D-9BF0-F678ECE10877}"/>
    <dataValidation allowBlank="1" showInputMessage="1" showErrorMessage="1" prompt="Le Calendrier des absences des employés suit les absences exprimées en jours pour chaque mois. Il existe 13 feuilles de calcul, 12 mensuelles et la dernière pour les noms des employés. Suivez les absences du mois de janvier dans cette feuille de calcul" sqref="A2" xr:uid="{0E5D63A0-13D1-AC4C-83DE-3A26853B0366}"/>
    <dataValidation allowBlank="1" showErrorMessage="1" sqref="B1:Y1 B2:B3" xr:uid="{8C7A00A6-394F-0D4F-9A4E-51120618622F}"/>
    <dataValidation allowBlank="1" showErrorMessage="1" prompt="Entrez une étiquette pour décrire la clé personnalisée à gauche" sqref="N3" xr:uid="{8D537EAA-A823-3A46-83F8-F823C9C4BE41}"/>
    <dataValidation allowBlank="1" showErrorMessage="1" prompt="Entrez une lettre et personnalisez l’étiquette à droite pour ajouter un élément de clé" sqref="I2:I3" xr:uid="{DB146E50-9C2F-9C44-A28B-B6AD30233076}"/>
    <dataValidation allowBlank="1" showInputMessage="1" showErrorMessage="1" prompt="Entrez une étiquette pour décrire la clé personnalisée à gauche" sqref="J2:J3" xr:uid="{3B6B63CC-3A3B-A449-852A-7C3A501FDD2A}"/>
    <dataValidation allowBlank="1" showInputMessage="1" showErrorMessage="1" prompt="Entrez une lettre et personnalisez l’étiquette à droite pour ajouter un élément de clé" sqref="M3" xr:uid="{83EF9FEC-73D1-2149-BD34-74106D720180}"/>
    <dataValidation allowBlank="1" showInputMessage="1" showErrorMessage="1" prompt="La lettre « M » indique une absence pour cause de maladie" sqref="S3" xr:uid="{6864B9EB-6CA8-1148-81E8-FD09153C3A08}"/>
    <dataValidation allowBlank="1" showErrorMessage="1" prompt="La lettre « P » indique une absence pour motifs personnels" sqref="F3" xr:uid="{BF7755E7-D905-FB4B-B583-D1A62796E041}"/>
    <dataValidation allowBlank="1" showErrorMessage="1" prompt="La lettre « C » indique une absence pour cause de congé" sqref="C3" xr:uid="{52ECD499-80AD-1340-9FA2-83F52CE224BB}"/>
    <dataValidation type="list" allowBlank="1" showInputMessage="1" showErrorMessage="1" sqref="B8:B18" xr:uid="{FD2601A3-9BC2-4495-8A7F-7A608D318CFB}">
      <formula1>Nom_Employe</formula1>
    </dataValidation>
  </dataValidations>
  <pageMargins left="0.7" right="0.7" top="0.75" bottom="0.75" header="0.3" footer="0.3"/>
  <pageSetup paperSize="9" fitToHeight="0" orientation="portrait" verticalDpi="4294967293" r:id="rId1"/>
  <tableParts count="1">
    <tablePart r:id="rId2"/>
  </tableParts>
  <extLst>
    <ext xmlns:x14="http://schemas.microsoft.com/office/spreadsheetml/2009/9/main" uri="{78C0D931-6437-407d-A8EE-F0AAD7539E65}">
      <x14:conditionalFormattings>
        <x14:conditionalFormatting xmlns:xm="http://schemas.microsoft.com/office/excel/2006/main">
          <x14:cfRule type="dataBar" id="{9697810A-697E-3E4B-921F-5D7A99EDADFE}">
            <x14:dataBar minLength="0" maxLength="100">
              <x14:cfvo type="num">
                <xm:f>0</xm:f>
              </x14:cfvo>
              <x14:cfvo type="num">
                <xm:f>31</xm:f>
              </x14:cfvo>
              <x14:negativeFillColor rgb="FFFF0000"/>
              <x14:axisColor rgb="FF000000"/>
            </x14:dataBar>
          </x14:cfRule>
          <xm:sqref>AH8:AH18</xm:sqref>
        </x14:conditionalFormatting>
        <x14:conditionalFormatting xmlns:xm="http://schemas.microsoft.com/office/excel/2006/main">
          <x14:cfRule type="dataBar" id="{9E3B2396-D1E8-404F-ACE1-F54387A2756B}">
            <x14:dataBar minLength="0" maxLength="100">
              <x14:cfvo type="num">
                <xm:f>0</xm:f>
              </x14:cfvo>
              <x14:cfvo type="num">
                <xm:f>31</xm:f>
              </x14:cfvo>
              <x14:negativeFillColor rgb="FFFF0000"/>
              <x14:axisColor rgb="FF000000"/>
            </x14:dataBar>
          </x14:cfRule>
          <xm:sqref>AI8:AI18</xm:sqref>
        </x14:conditionalFormatting>
        <x14:conditionalFormatting xmlns:xm="http://schemas.microsoft.com/office/excel/2006/main">
          <x14:cfRule type="dataBar" id="{16521557-A7D1-44BE-8CD9-15BB7796D367}">
            <x14:dataBar minLength="0" maxLength="100">
              <x14:cfvo type="num">
                <xm:f>0</xm:f>
              </x14:cfvo>
              <x14:cfvo type="num">
                <xm:f>31</xm:f>
              </x14:cfvo>
              <x14:negativeFillColor rgb="FFFF0000"/>
              <x14:axisColor rgb="FF000000"/>
            </x14:dataBar>
          </x14:cfRule>
          <xm:sqref>AJ8:AJ18</xm:sqref>
        </x14:conditionalFormatting>
        <x14:conditionalFormatting xmlns:xm="http://schemas.microsoft.com/office/excel/2006/main">
          <x14:cfRule type="containsText" priority="230" stopIfTrue="1" operator="containsText" text="dim" id="{F110C0A1-67BA-3D4A-951B-F8F1BAA467F7}">
            <xm:f>NOT(ISERROR(SEARCH("dim",Avril!AK18)))</xm:f>
            <x14:dxf>
              <font>
                <color theme="9"/>
              </font>
              <fill>
                <patternFill patternType="none">
                  <bgColor auto="1"/>
                </patternFill>
              </fill>
            </x14:dxf>
          </x14:cfRule>
          <xm:sqref>AK19:AK1048576</xm:sqref>
        </x14:conditionalFormatting>
        <x14:conditionalFormatting xmlns:xm="http://schemas.microsoft.com/office/excel/2006/main">
          <x14:cfRule type="containsText" priority="595" stopIfTrue="1" operator="containsText" text="dim" id="{F110C0A1-67BA-3D4A-951B-F8F1BAA467F7}">
            <xm:f>NOT(ISERROR(SEARCH("dim",Avril!AK1)))</xm:f>
            <x14:dxf>
              <font>
                <color theme="9"/>
              </font>
              <fill>
                <patternFill patternType="none">
                  <bgColor auto="1"/>
                </patternFill>
              </fill>
            </x14:dxf>
          </x14:cfRule>
          <xm:sqref>AK7 AK1 AK4</xm:sqref>
        </x14:conditionalFormatting>
      </x14:conditionalFormatting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4B65312-5CB7-DF46-B50D-DA72320A2B61}">
  <sheetPr codeName="Feuil6">
    <tabColor theme="2"/>
  </sheetPr>
  <dimension ref="A1:AK19"/>
  <sheetViews>
    <sheetView showGridLines="0" topLeftCell="AG4" zoomScale="110" zoomScaleNormal="110" workbookViewId="0">
      <selection activeCell="AJ8" sqref="AJ8:AJ18"/>
    </sheetView>
  </sheetViews>
  <sheetFormatPr baseColWidth="10" defaultColWidth="9.140625" defaultRowHeight="30" customHeight="1"/>
  <cols>
    <col min="1" max="1" width="2.7109375" style="3" customWidth="1"/>
    <col min="2" max="2" width="25.85546875" style="3" customWidth="1"/>
    <col min="3" max="33" width="4.7109375" style="3" customWidth="1"/>
    <col min="34" max="34" width="13.42578125" style="3" customWidth="1"/>
    <col min="35" max="36" width="11.140625" customWidth="1"/>
    <col min="37" max="37" width="19.140625" customWidth="1"/>
  </cols>
  <sheetData>
    <row r="1" spans="1:37" ht="50.1" customHeight="1">
      <c r="B1" s="4" t="str">
        <f>Titre_Absence_Employé</f>
        <v>Calendrier des absences des employés</v>
      </c>
    </row>
    <row r="2" spans="1:37" ht="21.95" customHeight="1">
      <c r="A2" s="5"/>
      <c r="C2" s="48" t="s">
        <v>89</v>
      </c>
      <c r="D2" s="93" t="s">
        <v>90</v>
      </c>
      <c r="E2" s="93"/>
      <c r="F2" s="39" t="s">
        <v>72</v>
      </c>
      <c r="G2" s="88" t="s">
        <v>66</v>
      </c>
      <c r="H2" s="88"/>
      <c r="I2" s="38" t="s">
        <v>71</v>
      </c>
      <c r="J2" s="88" t="s">
        <v>74</v>
      </c>
      <c r="K2" s="88"/>
      <c r="L2" s="88"/>
      <c r="P2" s="47" t="s">
        <v>87</v>
      </c>
      <c r="Q2" s="95" t="s">
        <v>88</v>
      </c>
      <c r="R2" s="95"/>
      <c r="S2" s="95"/>
      <c r="T2" s="95"/>
      <c r="U2" s="95"/>
      <c r="V2" s="40" t="s">
        <v>70</v>
      </c>
      <c r="W2" s="88" t="s">
        <v>73</v>
      </c>
      <c r="X2" s="88"/>
      <c r="Y2" s="88"/>
      <c r="Z2" s="51" t="s">
        <v>96</v>
      </c>
      <c r="AA2" s="88" t="s">
        <v>97</v>
      </c>
      <c r="AB2" s="88"/>
      <c r="AC2" s="88"/>
    </row>
    <row r="3" spans="1:37" ht="18" customHeight="1">
      <c r="B3" s="9" t="s">
        <v>1</v>
      </c>
      <c r="C3" s="17" t="s">
        <v>4</v>
      </c>
      <c r="D3" s="89" t="s">
        <v>7</v>
      </c>
      <c r="E3" s="89"/>
      <c r="F3" s="18" t="s">
        <v>57</v>
      </c>
      <c r="G3" s="88" t="s">
        <v>57</v>
      </c>
      <c r="H3" s="88"/>
      <c r="I3" s="21" t="s">
        <v>55</v>
      </c>
      <c r="J3" s="88" t="s">
        <v>56</v>
      </c>
      <c r="K3" s="88"/>
      <c r="L3" s="88"/>
      <c r="M3" s="14" t="s">
        <v>58</v>
      </c>
      <c r="N3" s="88" t="s">
        <v>59</v>
      </c>
      <c r="O3" s="90"/>
      <c r="P3" s="54" t="s">
        <v>60</v>
      </c>
      <c r="Q3" s="91" t="s">
        <v>61</v>
      </c>
      <c r="R3" s="88"/>
      <c r="S3" s="20" t="s">
        <v>11</v>
      </c>
      <c r="T3" s="89" t="s">
        <v>17</v>
      </c>
      <c r="U3" s="89"/>
      <c r="V3" s="36" t="s">
        <v>69</v>
      </c>
      <c r="W3" s="88" t="s">
        <v>68</v>
      </c>
      <c r="X3" s="88"/>
      <c r="Y3" s="88"/>
      <c r="Z3" s="73" t="s">
        <v>100</v>
      </c>
      <c r="AA3" s="92" t="s">
        <v>101</v>
      </c>
      <c r="AB3" s="92"/>
      <c r="AC3" s="92"/>
    </row>
    <row r="4" spans="1:37" ht="15" customHeight="1">
      <c r="B4" s="4"/>
    </row>
    <row r="5" spans="1:37" ht="30" customHeight="1">
      <c r="B5" s="19" t="s">
        <v>47</v>
      </c>
      <c r="C5" s="87" t="s">
        <v>5</v>
      </c>
      <c r="D5" s="87"/>
      <c r="E5" s="87"/>
      <c r="F5" s="87"/>
      <c r="G5" s="87"/>
      <c r="H5" s="87"/>
      <c r="I5" s="87"/>
      <c r="J5" s="87"/>
      <c r="K5" s="87"/>
      <c r="L5" s="87"/>
      <c r="M5" s="87"/>
      <c r="N5" s="87"/>
      <c r="O5" s="87"/>
      <c r="P5" s="87"/>
      <c r="Q5" s="87"/>
      <c r="R5" s="87"/>
      <c r="S5" s="87"/>
      <c r="T5" s="87"/>
      <c r="U5" s="87"/>
      <c r="V5" s="87"/>
      <c r="W5" s="87"/>
      <c r="X5" s="87"/>
      <c r="Y5" s="87"/>
      <c r="Z5" s="87"/>
      <c r="AA5" s="87"/>
      <c r="AB5" s="87"/>
      <c r="AC5" s="87"/>
      <c r="AD5" s="87"/>
      <c r="AE5" s="87"/>
      <c r="AF5" s="87"/>
      <c r="AG5" s="87"/>
      <c r="AH5" s="23"/>
      <c r="AI5" s="23"/>
      <c r="AJ5" s="23"/>
      <c r="AK5" s="68">
        <f>AnnéeCalendrier</f>
        <v>2021</v>
      </c>
    </row>
    <row r="6" spans="1:37" ht="15" customHeight="1">
      <c r="B6" s="13"/>
      <c r="C6" s="55" t="str">
        <f>TEXT(WEEKDAY(DATE(AnnéeCalendrier,6,1),1),"jjj")</f>
        <v>mar</v>
      </c>
      <c r="D6" s="55" t="str">
        <f>TEXT(WEEKDAY(DATE(AnnéeCalendrier,6,2),1),"jjj")</f>
        <v>mer</v>
      </c>
      <c r="E6" s="55" t="str">
        <f>TEXT(WEEKDAY(DATE(AnnéeCalendrier,6,3),1),"jjj")</f>
        <v>jeu</v>
      </c>
      <c r="F6" s="55" t="str">
        <f>TEXT(WEEKDAY(DATE(AnnéeCalendrier,6,4),1),"jjj")</f>
        <v>ven</v>
      </c>
      <c r="G6" s="55" t="str">
        <f>TEXT(WEEKDAY(DATE(AnnéeCalendrier,6,5),1),"jjj")</f>
        <v>sam</v>
      </c>
      <c r="H6" s="55" t="str">
        <f>TEXT(WEEKDAY(DATE(AnnéeCalendrier,6,6),1),"jjj")</f>
        <v>dim</v>
      </c>
      <c r="I6" s="55" t="str">
        <f>TEXT(WEEKDAY(DATE(AnnéeCalendrier,6,7),1),"jjj")</f>
        <v>lun</v>
      </c>
      <c r="J6" s="55" t="str">
        <f>TEXT(WEEKDAY(DATE(AnnéeCalendrier,6,8),1),"jjj")</f>
        <v>mar</v>
      </c>
      <c r="K6" s="55" t="str">
        <f>TEXT(WEEKDAY(DATE(AnnéeCalendrier,6,9),1),"jjj")</f>
        <v>mer</v>
      </c>
      <c r="L6" s="55" t="str">
        <f>TEXT(WEEKDAY(DATE(AnnéeCalendrier,6,10),1),"jjj")</f>
        <v>jeu</v>
      </c>
      <c r="M6" s="55" t="str">
        <f>TEXT(WEEKDAY(DATE(AnnéeCalendrier,6,11),1),"jjj")</f>
        <v>ven</v>
      </c>
      <c r="N6" s="55" t="str">
        <f>TEXT(WEEKDAY(DATE(AnnéeCalendrier,6,12),1),"jjj")</f>
        <v>sam</v>
      </c>
      <c r="O6" s="55" t="str">
        <f>TEXT(WEEKDAY(DATE(AnnéeCalendrier,6,13),1),"jjj")</f>
        <v>dim</v>
      </c>
      <c r="P6" s="55" t="str">
        <f>TEXT(WEEKDAY(DATE(AnnéeCalendrier,6,14),1),"jjj")</f>
        <v>lun</v>
      </c>
      <c r="Q6" s="55" t="str">
        <f>TEXT(WEEKDAY(DATE(AnnéeCalendrier,6,15),1),"jjj")</f>
        <v>mar</v>
      </c>
      <c r="R6" s="55" t="str">
        <f>TEXT(WEEKDAY(DATE(AnnéeCalendrier,6,16),1),"jjj")</f>
        <v>mer</v>
      </c>
      <c r="S6" s="55" t="str">
        <f>TEXT(WEEKDAY(DATE(AnnéeCalendrier,6,17),1),"jjj")</f>
        <v>jeu</v>
      </c>
      <c r="T6" s="55" t="str">
        <f>TEXT(WEEKDAY(DATE(AnnéeCalendrier,6,18),1),"jjj")</f>
        <v>ven</v>
      </c>
      <c r="U6" s="55" t="str">
        <f>TEXT(WEEKDAY(DATE(AnnéeCalendrier,6,19),1),"jjj")</f>
        <v>sam</v>
      </c>
      <c r="V6" s="55" t="str">
        <f>TEXT(WEEKDAY(DATE(AnnéeCalendrier,6,20),1),"jjj")</f>
        <v>dim</v>
      </c>
      <c r="W6" s="55" t="str">
        <f>TEXT(WEEKDAY(DATE(AnnéeCalendrier,6,21),1),"jjj")</f>
        <v>lun</v>
      </c>
      <c r="X6" s="55" t="str">
        <f>TEXT(WEEKDAY(DATE(AnnéeCalendrier,6,22),1),"jjj")</f>
        <v>mar</v>
      </c>
      <c r="Y6" s="55" t="str">
        <f>TEXT(WEEKDAY(DATE(AnnéeCalendrier,6,23),1),"jjj")</f>
        <v>mer</v>
      </c>
      <c r="Z6" s="55" t="str">
        <f>TEXT(WEEKDAY(DATE(AnnéeCalendrier,6,24),1),"jjj")</f>
        <v>jeu</v>
      </c>
      <c r="AA6" s="55" t="str">
        <f>TEXT(WEEKDAY(DATE(AnnéeCalendrier,6,25),1),"jjj")</f>
        <v>ven</v>
      </c>
      <c r="AB6" s="55" t="str">
        <f>TEXT(WEEKDAY(DATE(AnnéeCalendrier,6,26),1),"jjj")</f>
        <v>sam</v>
      </c>
      <c r="AC6" s="55" t="str">
        <f>TEXT(WEEKDAY(DATE(AnnéeCalendrier,6,27),1),"jjj")</f>
        <v>dim</v>
      </c>
      <c r="AD6" s="55" t="str">
        <f>TEXT(WEEKDAY(DATE(AnnéeCalendrier,6,28),1),"jjj")</f>
        <v>lun</v>
      </c>
      <c r="AE6" s="55" t="str">
        <f>TEXT(WEEKDAY(DATE(AnnéeCalendrier,6,29),1),"jjj")</f>
        <v>mar</v>
      </c>
      <c r="AF6" s="55" t="str">
        <f>TEXT(WEEKDAY(DATE(AnnéeCalendrier,6,30),1),"jjj")</f>
        <v>mer</v>
      </c>
      <c r="AG6" s="55"/>
      <c r="AH6" s="10"/>
      <c r="AI6" s="10"/>
      <c r="AJ6" s="10"/>
      <c r="AK6" s="70"/>
    </row>
    <row r="7" spans="1:37" ht="35.1" customHeight="1">
      <c r="B7" s="11" t="s">
        <v>3</v>
      </c>
      <c r="C7" s="12" t="s">
        <v>6</v>
      </c>
      <c r="D7" s="12" t="s">
        <v>8</v>
      </c>
      <c r="E7" s="12" t="s">
        <v>9</v>
      </c>
      <c r="F7" s="12" t="s">
        <v>10</v>
      </c>
      <c r="G7" s="12" t="s">
        <v>12</v>
      </c>
      <c r="H7" s="12" t="s">
        <v>13</v>
      </c>
      <c r="I7" s="12" t="s">
        <v>14</v>
      </c>
      <c r="J7" s="12" t="s">
        <v>15</v>
      </c>
      <c r="K7" s="12" t="s">
        <v>16</v>
      </c>
      <c r="L7" s="12" t="s">
        <v>18</v>
      </c>
      <c r="M7" s="12" t="s">
        <v>19</v>
      </c>
      <c r="N7" s="12" t="s">
        <v>20</v>
      </c>
      <c r="O7" s="12" t="s">
        <v>21</v>
      </c>
      <c r="P7" s="12" t="s">
        <v>22</v>
      </c>
      <c r="Q7" s="12" t="s">
        <v>23</v>
      </c>
      <c r="R7" s="12" t="s">
        <v>24</v>
      </c>
      <c r="S7" s="12" t="s">
        <v>25</v>
      </c>
      <c r="T7" s="12" t="s">
        <v>26</v>
      </c>
      <c r="U7" s="12" t="s">
        <v>27</v>
      </c>
      <c r="V7" s="12" t="s">
        <v>28</v>
      </c>
      <c r="W7" s="12" t="s">
        <v>29</v>
      </c>
      <c r="X7" s="12" t="s">
        <v>30</v>
      </c>
      <c r="Y7" s="12" t="s">
        <v>31</v>
      </c>
      <c r="Z7" s="12" t="s">
        <v>32</v>
      </c>
      <c r="AA7" s="12" t="s">
        <v>33</v>
      </c>
      <c r="AB7" s="12" t="s">
        <v>34</v>
      </c>
      <c r="AC7" s="12" t="s">
        <v>35</v>
      </c>
      <c r="AD7" s="12" t="s">
        <v>36</v>
      </c>
      <c r="AE7" s="12" t="s">
        <v>37</v>
      </c>
      <c r="AF7" s="12" t="s">
        <v>38</v>
      </c>
      <c r="AG7" s="12" t="s">
        <v>42</v>
      </c>
      <c r="AH7" s="24" t="s">
        <v>67</v>
      </c>
      <c r="AI7" s="25" t="s">
        <v>78</v>
      </c>
      <c r="AJ7" s="25" t="s">
        <v>98</v>
      </c>
      <c r="AK7" s="32" t="s">
        <v>85</v>
      </c>
    </row>
    <row r="8" spans="1:37" ht="30" customHeight="1">
      <c r="B8" s="8"/>
      <c r="C8" s="15"/>
      <c r="D8" s="15"/>
      <c r="E8" s="15"/>
      <c r="F8" s="15"/>
      <c r="G8" s="15"/>
      <c r="H8" s="15"/>
      <c r="I8" s="15"/>
      <c r="J8" s="15"/>
      <c r="K8" s="15"/>
      <c r="L8" s="15"/>
      <c r="M8" s="15"/>
      <c r="N8" s="15"/>
      <c r="O8" s="15"/>
      <c r="P8" s="15"/>
      <c r="Q8" s="15"/>
      <c r="R8" s="15"/>
      <c r="S8" s="15"/>
      <c r="T8" s="15"/>
      <c r="U8" s="15"/>
      <c r="V8" s="15"/>
      <c r="W8" s="15"/>
      <c r="X8" s="15"/>
      <c r="Y8" s="15"/>
      <c r="Z8" s="15"/>
      <c r="AA8" s="15"/>
      <c r="AB8" s="15"/>
      <c r="AC8" s="15"/>
      <c r="AD8" s="15"/>
      <c r="AE8" s="15"/>
      <c r="AF8" s="15"/>
      <c r="AG8" s="15"/>
      <c r="AH8" s="31">
        <f t="shared" ref="AH8:AH18" si="0">(COUNTIF(C8:AG8,CléCongé)+(COUNTIF(C8:AG8,CléEnfantMalade)+COUNTIF(C8:AG8,CléRTT)+COUNTIF(C8:AG8,CléCongéMalade)+COUNTIF(C8:AG8,CléRécupération)+COUNTIF(C8:AG8,CléFormation)+COUNTIF(C8:AG8,CléTélétravail-1)+COUNTIF(C8:AG8,CléCongéSpécial)+COUNTIF(C8:AG8,CléPrésenceExceptionnelle-1)+COUNTIF(C8:AG8,CléDemiRtt)/2)+COUNTIF(C8:AG8,CléDemiRécupération)/2)+COUNTIF(C8:AG8,CléDemiEnfantMalade)/2</f>
        <v>0</v>
      </c>
      <c r="AI8" s="31">
        <f t="shared" ref="AI8:AI18" si="1">COUNTIF(C8:AG8,CléRTT)+COUNTIF(C8:AG8,CléDemiRtt)/2</f>
        <v>0</v>
      </c>
      <c r="AJ8" s="31">
        <f>COUNTIF(C8:AG8,$S$3)</f>
        <v>0</v>
      </c>
      <c r="AK8" s="22"/>
    </row>
    <row r="9" spans="1:37" ht="30" customHeight="1">
      <c r="B9" s="8"/>
      <c r="C9" s="15"/>
      <c r="D9" s="15"/>
      <c r="E9" s="15"/>
      <c r="F9" s="15"/>
      <c r="G9" s="15"/>
      <c r="H9" s="15"/>
      <c r="I9" s="15"/>
      <c r="J9" s="15"/>
      <c r="K9" s="15"/>
      <c r="L9" s="15"/>
      <c r="M9" s="15"/>
      <c r="N9" s="15"/>
      <c r="O9" s="15"/>
      <c r="P9" s="15"/>
      <c r="Q9" s="15"/>
      <c r="R9" s="15"/>
      <c r="S9" s="15"/>
      <c r="T9" s="15"/>
      <c r="U9" s="15"/>
      <c r="V9" s="15"/>
      <c r="W9" s="15"/>
      <c r="X9" s="15"/>
      <c r="Y9" s="15"/>
      <c r="Z9" s="15"/>
      <c r="AA9" s="15"/>
      <c r="AB9" s="15"/>
      <c r="AC9" s="15"/>
      <c r="AD9" s="15"/>
      <c r="AE9" s="15"/>
      <c r="AF9" s="15"/>
      <c r="AG9" s="15"/>
      <c r="AH9" s="31">
        <f t="shared" si="0"/>
        <v>0</v>
      </c>
      <c r="AI9" s="31">
        <f t="shared" si="1"/>
        <v>0</v>
      </c>
      <c r="AJ9" s="31">
        <f t="shared" ref="AJ9:AJ18" si="2">COUNTIF(C9:AG9,$S$3)</f>
        <v>0</v>
      </c>
      <c r="AK9" s="22">
        <f>Mai!AK9-Juin[[#This Row],[Dont RTT]]+2</f>
        <v>15</v>
      </c>
    </row>
    <row r="10" spans="1:37" ht="30" customHeight="1">
      <c r="B10" s="8"/>
      <c r="C10" s="15"/>
      <c r="D10" s="15"/>
      <c r="E10" s="15"/>
      <c r="F10" s="15"/>
      <c r="G10" s="15"/>
      <c r="H10" s="15"/>
      <c r="I10" s="15"/>
      <c r="J10" s="15"/>
      <c r="K10" s="15"/>
      <c r="L10" s="15"/>
      <c r="M10" s="15"/>
      <c r="N10" s="15"/>
      <c r="O10" s="15"/>
      <c r="P10" s="15"/>
      <c r="Q10" s="15"/>
      <c r="R10" s="15"/>
      <c r="S10" s="15"/>
      <c r="T10" s="15"/>
      <c r="U10" s="15"/>
      <c r="V10" s="15"/>
      <c r="W10" s="15"/>
      <c r="X10" s="15"/>
      <c r="Y10" s="15"/>
      <c r="Z10" s="15"/>
      <c r="AA10" s="15"/>
      <c r="AB10" s="15"/>
      <c r="AC10" s="15"/>
      <c r="AD10" s="15"/>
      <c r="AE10" s="15"/>
      <c r="AF10" s="15"/>
      <c r="AG10" s="15"/>
      <c r="AH10" s="31">
        <f t="shared" si="0"/>
        <v>0</v>
      </c>
      <c r="AI10" s="31">
        <f t="shared" si="1"/>
        <v>0</v>
      </c>
      <c r="AJ10" s="31">
        <f t="shared" si="2"/>
        <v>0</v>
      </c>
      <c r="AK10" s="22">
        <f>Mai!AK10-Juin[[#This Row],[Dont RTT]]+2</f>
        <v>23</v>
      </c>
    </row>
    <row r="11" spans="1:37" ht="30" customHeight="1">
      <c r="B11" s="8"/>
      <c r="C11" s="15"/>
      <c r="D11" s="15"/>
      <c r="E11" s="15"/>
      <c r="F11" s="15"/>
      <c r="G11" s="15"/>
      <c r="H11" s="15"/>
      <c r="I11" s="15"/>
      <c r="J11" s="15"/>
      <c r="K11" s="15"/>
      <c r="L11" s="15"/>
      <c r="M11" s="15"/>
      <c r="N11" s="15"/>
      <c r="O11" s="15"/>
      <c r="P11" s="15"/>
      <c r="Q11" s="15"/>
      <c r="R11" s="15"/>
      <c r="S11" s="15"/>
      <c r="T11" s="15"/>
      <c r="U11" s="15"/>
      <c r="V11" s="15"/>
      <c r="W11" s="15"/>
      <c r="X11" s="15"/>
      <c r="Y11" s="15"/>
      <c r="Z11" s="15"/>
      <c r="AA11" s="15"/>
      <c r="AB11" s="15"/>
      <c r="AC11" s="15"/>
      <c r="AD11" s="15"/>
      <c r="AE11" s="15"/>
      <c r="AF11" s="15"/>
      <c r="AG11" s="15"/>
      <c r="AH11" s="31">
        <f t="shared" si="0"/>
        <v>0</v>
      </c>
      <c r="AI11" s="31">
        <f t="shared" si="1"/>
        <v>0</v>
      </c>
      <c r="AJ11" s="31">
        <f t="shared" si="2"/>
        <v>0</v>
      </c>
      <c r="AK11" s="22"/>
    </row>
    <row r="12" spans="1:37" ht="30" customHeight="1">
      <c r="B12" s="8"/>
      <c r="C12" s="15"/>
      <c r="D12" s="15"/>
      <c r="E12" s="15"/>
      <c r="F12" s="15"/>
      <c r="G12" s="15"/>
      <c r="H12" s="15"/>
      <c r="I12" s="15"/>
      <c r="J12" s="15"/>
      <c r="K12" s="15"/>
      <c r="L12" s="15"/>
      <c r="M12" s="15"/>
      <c r="N12" s="15"/>
      <c r="O12" s="15"/>
      <c r="P12" s="15"/>
      <c r="Q12" s="15"/>
      <c r="R12" s="15"/>
      <c r="S12" s="15"/>
      <c r="T12" s="15"/>
      <c r="U12" s="15"/>
      <c r="V12" s="15"/>
      <c r="W12" s="15"/>
      <c r="X12" s="15"/>
      <c r="Y12" s="15"/>
      <c r="Z12" s="15"/>
      <c r="AA12" s="15"/>
      <c r="AB12" s="15"/>
      <c r="AC12" s="15"/>
      <c r="AD12" s="15"/>
      <c r="AE12" s="15"/>
      <c r="AF12" s="15"/>
      <c r="AG12" s="15"/>
      <c r="AH12" s="31">
        <f t="shared" si="0"/>
        <v>0</v>
      </c>
      <c r="AI12" s="31">
        <f t="shared" si="1"/>
        <v>0</v>
      </c>
      <c r="AJ12" s="31">
        <f t="shared" si="2"/>
        <v>0</v>
      </c>
      <c r="AK12" s="22"/>
    </row>
    <row r="13" spans="1:37" ht="30" customHeight="1">
      <c r="B13" s="8"/>
      <c r="C13" s="22"/>
      <c r="D13" s="22"/>
      <c r="E13" s="22"/>
      <c r="F13" s="22"/>
      <c r="G13" s="22"/>
      <c r="H13" s="22"/>
      <c r="I13" s="22"/>
      <c r="J13" s="22"/>
      <c r="K13" s="15"/>
      <c r="L13" s="22"/>
      <c r="M13" s="22"/>
      <c r="N13" s="22"/>
      <c r="O13" s="22"/>
      <c r="P13" s="22"/>
      <c r="Q13" s="22"/>
      <c r="R13" s="15"/>
      <c r="S13" s="22"/>
      <c r="T13" s="22"/>
      <c r="U13" s="22"/>
      <c r="V13" s="22"/>
      <c r="W13" s="22"/>
      <c r="X13" s="22"/>
      <c r="Y13" s="15"/>
      <c r="Z13" s="22"/>
      <c r="AA13" s="22"/>
      <c r="AB13" s="22"/>
      <c r="AC13" s="22"/>
      <c r="AD13" s="22"/>
      <c r="AE13" s="22"/>
      <c r="AF13" s="22"/>
      <c r="AG13" s="22"/>
      <c r="AH13" s="31">
        <f t="shared" si="0"/>
        <v>0</v>
      </c>
      <c r="AI13" s="31">
        <f t="shared" si="1"/>
        <v>0</v>
      </c>
      <c r="AJ13" s="31">
        <f t="shared" si="2"/>
        <v>0</v>
      </c>
      <c r="AK13" s="22">
        <f>Mai!AK13-Juin[[#This Row],[Dont RTT]]+2</f>
        <v>14.93</v>
      </c>
    </row>
    <row r="14" spans="1:37" ht="30" customHeight="1">
      <c r="B14" s="8"/>
      <c r="C14" s="22"/>
      <c r="D14" s="22"/>
      <c r="E14" s="22"/>
      <c r="F14" s="22"/>
      <c r="G14" s="22"/>
      <c r="H14" s="22"/>
      <c r="I14" s="22"/>
      <c r="J14" s="22"/>
      <c r="K14" s="15"/>
      <c r="L14" s="22"/>
      <c r="M14" s="22"/>
      <c r="N14" s="22"/>
      <c r="O14" s="22"/>
      <c r="P14" s="22"/>
      <c r="Q14" s="22"/>
      <c r="R14" s="15"/>
      <c r="S14" s="22"/>
      <c r="T14" s="22"/>
      <c r="U14" s="22"/>
      <c r="V14" s="22"/>
      <c r="W14" s="22"/>
      <c r="X14" s="22"/>
      <c r="Y14" s="15"/>
      <c r="Z14" s="22"/>
      <c r="AA14" s="22"/>
      <c r="AB14" s="22"/>
      <c r="AC14" s="22"/>
      <c r="AD14" s="22"/>
      <c r="AE14" s="22"/>
      <c r="AF14" s="22"/>
      <c r="AG14" s="22"/>
      <c r="AH14" s="31">
        <f t="shared" si="0"/>
        <v>0</v>
      </c>
      <c r="AI14" s="31">
        <f t="shared" si="1"/>
        <v>0</v>
      </c>
      <c r="AJ14" s="31">
        <f t="shared" si="2"/>
        <v>0</v>
      </c>
      <c r="AK14" s="22">
        <f>Mai!AK14-Juin[[#This Row],[Dont RTT]]+2</f>
        <v>14.5</v>
      </c>
    </row>
    <row r="15" spans="1:37" ht="30" customHeight="1">
      <c r="B15" s="8"/>
      <c r="C15" s="22"/>
      <c r="D15" s="22"/>
      <c r="E15" s="22"/>
      <c r="F15" s="22"/>
      <c r="G15" s="22"/>
      <c r="H15" s="22"/>
      <c r="I15" s="22"/>
      <c r="J15" s="22"/>
      <c r="K15" s="22"/>
      <c r="L15" s="22"/>
      <c r="M15" s="15"/>
      <c r="N15" s="22"/>
      <c r="O15" s="22"/>
      <c r="P15" s="22"/>
      <c r="Q15" s="22"/>
      <c r="R15" s="22"/>
      <c r="S15" s="22"/>
      <c r="T15" s="15"/>
      <c r="U15" s="22"/>
      <c r="V15" s="22"/>
      <c r="W15" s="22"/>
      <c r="X15" s="22"/>
      <c r="Y15" s="22"/>
      <c r="Z15" s="22"/>
      <c r="AA15" s="15"/>
      <c r="AB15" s="22"/>
      <c r="AC15" s="22"/>
      <c r="AD15" s="22"/>
      <c r="AE15" s="22"/>
      <c r="AF15" s="22"/>
      <c r="AG15" s="22"/>
      <c r="AH15" s="31">
        <f t="shared" si="0"/>
        <v>0</v>
      </c>
      <c r="AI15" s="31">
        <f t="shared" si="1"/>
        <v>0</v>
      </c>
      <c r="AJ15" s="31">
        <f t="shared" si="2"/>
        <v>0</v>
      </c>
      <c r="AK15" s="22">
        <f>Mai!AK15-Juin[[#This Row],[Dont RTT]]+2</f>
        <v>17.5</v>
      </c>
    </row>
    <row r="16" spans="1:37" ht="30" customHeight="1">
      <c r="B16" s="8"/>
      <c r="C16" s="22"/>
      <c r="D16" s="22"/>
      <c r="E16" s="22"/>
      <c r="F16" s="22"/>
      <c r="G16" s="22"/>
      <c r="H16" s="22"/>
      <c r="I16" s="22"/>
      <c r="J16" s="22"/>
      <c r="K16" s="15"/>
      <c r="L16" s="22"/>
      <c r="M16" s="22"/>
      <c r="N16" s="22"/>
      <c r="O16" s="22"/>
      <c r="P16" s="22"/>
      <c r="Q16" s="22"/>
      <c r="R16" s="15"/>
      <c r="S16" s="22"/>
      <c r="T16" s="22"/>
      <c r="U16" s="22"/>
      <c r="V16" s="22"/>
      <c r="W16" s="22"/>
      <c r="X16" s="22"/>
      <c r="Y16" s="15"/>
      <c r="Z16" s="22"/>
      <c r="AA16" s="22"/>
      <c r="AB16" s="22"/>
      <c r="AC16" s="22"/>
      <c r="AD16" s="22"/>
      <c r="AE16" s="22"/>
      <c r="AF16" s="22"/>
      <c r="AG16" s="22"/>
      <c r="AH16" s="31">
        <f t="shared" si="0"/>
        <v>0</v>
      </c>
      <c r="AI16" s="31">
        <f t="shared" si="1"/>
        <v>0</v>
      </c>
      <c r="AJ16" s="31">
        <f t="shared" si="2"/>
        <v>0</v>
      </c>
      <c r="AK16" s="22">
        <f>Mai!AK16-Juin[[#This Row],[Dont RTT]]+2</f>
        <v>14.16</v>
      </c>
    </row>
    <row r="17" spans="2:37" ht="30" customHeight="1">
      <c r="B17" s="8"/>
      <c r="C17" s="22"/>
      <c r="D17" s="22"/>
      <c r="E17" s="22"/>
      <c r="F17" s="22"/>
      <c r="G17" s="22"/>
      <c r="H17" s="22"/>
      <c r="I17" s="22"/>
      <c r="J17" s="22"/>
      <c r="K17" s="22"/>
      <c r="L17" s="22"/>
      <c r="M17" s="15"/>
      <c r="N17" s="22"/>
      <c r="O17" s="22"/>
      <c r="P17" s="22"/>
      <c r="Q17" s="22"/>
      <c r="R17" s="22"/>
      <c r="S17" s="22"/>
      <c r="T17" s="15"/>
      <c r="U17" s="22"/>
      <c r="V17" s="22"/>
      <c r="W17" s="22"/>
      <c r="X17" s="22"/>
      <c r="Y17" s="22"/>
      <c r="Z17" s="22"/>
      <c r="AA17" s="15"/>
      <c r="AB17" s="22"/>
      <c r="AC17" s="22"/>
      <c r="AD17" s="22"/>
      <c r="AE17" s="22"/>
      <c r="AF17" s="22"/>
      <c r="AG17" s="22"/>
      <c r="AH17" s="31">
        <f t="shared" si="0"/>
        <v>0</v>
      </c>
      <c r="AI17" s="31">
        <f t="shared" si="1"/>
        <v>0</v>
      </c>
      <c r="AJ17" s="31">
        <f t="shared" si="2"/>
        <v>0</v>
      </c>
      <c r="AK17" s="22">
        <f>Mai!AK17-Juin[[#This Row],[Dont RTT]]+2</f>
        <v>23</v>
      </c>
    </row>
    <row r="18" spans="2:37" ht="30" customHeight="1">
      <c r="B18" s="8"/>
      <c r="C18" s="22"/>
      <c r="D18" s="22"/>
      <c r="E18" s="22"/>
      <c r="F18" s="22"/>
      <c r="G18" s="22"/>
      <c r="H18" s="22"/>
      <c r="I18" s="22"/>
      <c r="J18" s="22"/>
      <c r="K18" s="15"/>
      <c r="L18" s="22"/>
      <c r="M18" s="22"/>
      <c r="N18" s="22"/>
      <c r="O18" s="22"/>
      <c r="P18" s="22"/>
      <c r="Q18" s="22"/>
      <c r="R18" s="15"/>
      <c r="S18" s="22"/>
      <c r="T18" s="22"/>
      <c r="U18" s="22"/>
      <c r="V18" s="22"/>
      <c r="W18" s="22"/>
      <c r="X18" s="22"/>
      <c r="Y18" s="15"/>
      <c r="Z18" s="22"/>
      <c r="AA18" s="22"/>
      <c r="AB18" s="22"/>
      <c r="AC18" s="22"/>
      <c r="AD18" s="22"/>
      <c r="AE18" s="22"/>
      <c r="AF18" s="22"/>
      <c r="AG18" s="22"/>
      <c r="AH18" s="31">
        <f t="shared" si="0"/>
        <v>0</v>
      </c>
      <c r="AI18" s="31">
        <f t="shared" si="1"/>
        <v>0</v>
      </c>
      <c r="AJ18" s="31">
        <f t="shared" si="2"/>
        <v>0</v>
      </c>
      <c r="AK18" s="22">
        <f>Mai!AK18-Juin[[#This Row],[Dont RTT]]+2</f>
        <v>14.5</v>
      </c>
    </row>
    <row r="19" spans="2:37" ht="30" customHeight="1">
      <c r="B19" s="28" t="str">
        <f>NomMois&amp;" Total"</f>
        <v>Juin Total</v>
      </c>
      <c r="C19" s="33">
        <f t="shared" ref="C19" si="3">(COUNTIF(C8:C18,"C")+(COUNTIF(C8:C18,"CS")+COUNTIF(C8:C18,"RTT")+(COUNTIF(C8:C18,"DRTT")/2)+COUNTIF(C8:C18,"M")+COUNTIF(C8:C18,"Rec")+(COUNTIF(C8:C18,"Drec")/2)+COUNTIF(C8:C18,"F")+(COUNTIF(C8:C18,"EM")+(COUNTIF(C8:C18,"DEM")/2))))</f>
        <v>0</v>
      </c>
      <c r="D19" s="33">
        <f>(COUNTIF(D8:D18,"C")+(COUNTIF(D8:D18,"CS")+COUNTIF(D8:D18,"RTT")+(COUNTIF(D8:D18,"DRTT")/2)+COUNTIF(D8:D18,"M")+COUNTIF(D8:D18,"Rec")+(COUNTIF(D8:D18,"Drec")/2)+COUNTIF(D8:D18,"F")+(COUNTIF(D8:D18,"EM")+(COUNTIF(D8:D18,"DEM")/2))))</f>
        <v>0</v>
      </c>
      <c r="E19" s="33">
        <f t="shared" ref="E19:AG19" si="4">(COUNTIF(E8:E18,"C")+(COUNTIF(E8:E18,"CS")+COUNTIF(E8:E18,"RTT")+(COUNTIF(E8:E18,"DRTT")/2)+COUNTIF(E8:E18,"M")+COUNTIF(E8:E18,"Rec")+(COUNTIF(E8:E18,"Drec")/2)+COUNTIF(E8:E18,"F")+(COUNTIF(E8:E18,"EM")+(COUNTIF(E8:E18,"DEM")/2))))</f>
        <v>0</v>
      </c>
      <c r="F19" s="33">
        <f>(COUNTIF(F8:F18,"C")+(COUNTIF(F8:F18,"CS")+COUNTIF(F8:F18,"RTT")+(COUNTIF(F8:F18,"DRTT")/2)+COUNTIF(F8:F18,"M")+COUNTIF(F8:F18,"Rec")+(COUNTIF(F8:F18,"Drec")/2)+COUNTIF(F8:F18,"F")+(COUNTIF(F8:F18,"EM")+(COUNTIF(F8:F18,"DEM")/2))))</f>
        <v>0</v>
      </c>
      <c r="G19" s="33">
        <f t="shared" si="4"/>
        <v>0</v>
      </c>
      <c r="H19" s="33">
        <f t="shared" si="4"/>
        <v>0</v>
      </c>
      <c r="I19" s="33">
        <f t="shared" si="4"/>
        <v>0</v>
      </c>
      <c r="J19" s="33">
        <f t="shared" si="4"/>
        <v>0</v>
      </c>
      <c r="K19" s="33">
        <f t="shared" si="4"/>
        <v>0</v>
      </c>
      <c r="L19" s="33">
        <f t="shared" si="4"/>
        <v>0</v>
      </c>
      <c r="M19" s="33">
        <f t="shared" si="4"/>
        <v>0</v>
      </c>
      <c r="N19" s="33">
        <f t="shared" si="4"/>
        <v>0</v>
      </c>
      <c r="O19" s="33">
        <f t="shared" si="4"/>
        <v>0</v>
      </c>
      <c r="P19" s="33">
        <f t="shared" si="4"/>
        <v>0</v>
      </c>
      <c r="Q19" s="33">
        <f t="shared" si="4"/>
        <v>0</v>
      </c>
      <c r="R19" s="33">
        <f t="shared" si="4"/>
        <v>0</v>
      </c>
      <c r="S19" s="33">
        <f t="shared" si="4"/>
        <v>0</v>
      </c>
      <c r="T19" s="33">
        <f t="shared" si="4"/>
        <v>0</v>
      </c>
      <c r="U19" s="33">
        <f t="shared" si="4"/>
        <v>0</v>
      </c>
      <c r="V19" s="33">
        <f t="shared" si="4"/>
        <v>0</v>
      </c>
      <c r="W19" s="33">
        <f t="shared" si="4"/>
        <v>0</v>
      </c>
      <c r="X19" s="33">
        <f t="shared" si="4"/>
        <v>0</v>
      </c>
      <c r="Y19" s="33">
        <f t="shared" si="4"/>
        <v>0</v>
      </c>
      <c r="Z19" s="33">
        <f t="shared" si="4"/>
        <v>0</v>
      </c>
      <c r="AA19" s="33">
        <f t="shared" si="4"/>
        <v>0</v>
      </c>
      <c r="AB19" s="33">
        <f t="shared" si="4"/>
        <v>0</v>
      </c>
      <c r="AC19" s="33">
        <f t="shared" si="4"/>
        <v>0</v>
      </c>
      <c r="AD19" s="33">
        <f t="shared" si="4"/>
        <v>0</v>
      </c>
      <c r="AE19" s="33">
        <f t="shared" si="4"/>
        <v>0</v>
      </c>
      <c r="AF19" s="33">
        <f t="shared" si="4"/>
        <v>0</v>
      </c>
      <c r="AG19" s="33">
        <f t="shared" si="4"/>
        <v>0</v>
      </c>
      <c r="AH19" s="26">
        <f>SUBTOTAL(109,Juin[Total absence])</f>
        <v>0</v>
      </c>
      <c r="AI19" s="26">
        <f>SUBTOTAL(109,Juin[Dont RTT])</f>
        <v>0</v>
      </c>
      <c r="AJ19" s="26">
        <f>SUBTOTAL(109,Juin[Dont MALADIE])</f>
        <v>0</v>
      </c>
      <c r="AK19" s="30"/>
    </row>
  </sheetData>
  <mergeCells count="15">
    <mergeCell ref="C5:AG5"/>
    <mergeCell ref="G2:H2"/>
    <mergeCell ref="J2:L2"/>
    <mergeCell ref="W2:Y2"/>
    <mergeCell ref="D3:E3"/>
    <mergeCell ref="G3:H3"/>
    <mergeCell ref="J3:L3"/>
    <mergeCell ref="N3:O3"/>
    <mergeCell ref="Q3:R3"/>
    <mergeCell ref="T3:U3"/>
    <mergeCell ref="W3:Y3"/>
    <mergeCell ref="D2:E2"/>
    <mergeCell ref="Q2:U2"/>
    <mergeCell ref="AA2:AC2"/>
    <mergeCell ref="AA3:AC3"/>
  </mergeCells>
  <conditionalFormatting sqref="C6:AF6">
    <cfRule type="containsText" dxfId="297" priority="135" stopIfTrue="1" operator="containsText" text="dim">
      <formula>NOT(ISERROR(SEARCH("dim",C6)))</formula>
    </cfRule>
  </conditionalFormatting>
  <conditionalFormatting sqref="AH7">
    <cfRule type="containsText" dxfId="296" priority="134" stopIfTrue="1" operator="containsText" text="dim">
      <formula>NOT(ISERROR(SEARCH("dim",AH7)))</formula>
    </cfRule>
  </conditionalFormatting>
  <conditionalFormatting sqref="C19:AG19">
    <cfRule type="containsText" dxfId="295" priority="114" stopIfTrue="1" operator="containsText" text="dim">
      <formula>NOT(ISERROR(SEARCH("dim",C19)))</formula>
    </cfRule>
  </conditionalFormatting>
  <conditionalFormatting sqref="AL3:XFD3 A2:A3 AG2:XFD2">
    <cfRule type="containsText" dxfId="294" priority="112" stopIfTrue="1" operator="containsText" text="dim">
      <formula>NOT(ISERROR(SEARCH("dim",A2)))</formula>
    </cfRule>
  </conditionalFormatting>
  <conditionalFormatting sqref="AI19:AJ19">
    <cfRule type="containsText" dxfId="293" priority="89" stopIfTrue="1" operator="containsText" text="dim">
      <formula>NOT(ISERROR(SEARCH("dim",AI19)))</formula>
    </cfRule>
  </conditionalFormatting>
  <conditionalFormatting sqref="AH8:AH18">
    <cfRule type="dataBar" priority="53">
      <dataBar>
        <cfvo type="num" val="0"/>
        <cfvo type="num" val="31"/>
        <color rgb="FF00B0F0"/>
      </dataBar>
      <extLst>
        <ext xmlns:x14="http://schemas.microsoft.com/office/spreadsheetml/2009/9/main" uri="{B025F937-C7B1-47D3-B67F-A62EFF666E3E}">
          <x14:id>{54604054-9397-9644-83AC-EAE5170DEC3C}</x14:id>
        </ext>
      </extLst>
    </cfRule>
    <cfRule type="containsText" dxfId="292" priority="56" stopIfTrue="1" operator="containsText" text="dim">
      <formula>NOT(ISERROR(SEARCH("dim",AH8)))</formula>
    </cfRule>
  </conditionalFormatting>
  <conditionalFormatting sqref="AI8:AI18">
    <cfRule type="dataBar" priority="54">
      <dataBar>
        <cfvo type="num" val="0"/>
        <cfvo type="num" val="31"/>
        <color rgb="FF92D050"/>
      </dataBar>
      <extLst>
        <ext xmlns:x14="http://schemas.microsoft.com/office/spreadsheetml/2009/9/main" uri="{B025F937-C7B1-47D3-B67F-A62EFF666E3E}">
          <x14:id>{52416F6A-C168-1440-A239-2FCB283E0AD6}</x14:id>
        </ext>
      </extLst>
    </cfRule>
  </conditionalFormatting>
  <conditionalFormatting sqref="B3:D3 F2:G3 M3:N3 Q3 S3:T3 V2:W3 I2:J3">
    <cfRule type="containsText" dxfId="291" priority="36" stopIfTrue="1" operator="containsText" text="dim">
      <formula>NOT(ISERROR(SEARCH("dim",B2)))</formula>
    </cfRule>
  </conditionalFormatting>
  <conditionalFormatting sqref="V2:W2">
    <cfRule type="containsText" dxfId="290" priority="35" stopIfTrue="1" operator="containsText" text="dim">
      <formula>NOT(ISERROR(SEARCH("dim",V2)))</formula>
    </cfRule>
  </conditionalFormatting>
  <conditionalFormatting sqref="AA2">
    <cfRule type="containsText" dxfId="289" priority="34" stopIfTrue="1" operator="containsText" text="dim">
      <formula>NOT(ISERROR(SEARCH("dim",AA2)))</formula>
    </cfRule>
  </conditionalFormatting>
  <conditionalFormatting sqref="AA2">
    <cfRule type="containsText" dxfId="288" priority="33" stopIfTrue="1" operator="containsText" text="dim">
      <formula>NOT(ISERROR(SEARCH("dim",AA2)))</formula>
    </cfRule>
  </conditionalFormatting>
  <conditionalFormatting sqref="P3">
    <cfRule type="expression" dxfId="287" priority="19" stopIfTrue="1">
      <formula>P3=CléNonTravaillé</formula>
    </cfRule>
    <cfRule type="expression" dxfId="286" priority="20" stopIfTrue="1">
      <formula>P3=CléPrésenceExceptionnelle</formula>
    </cfRule>
    <cfRule type="expression" dxfId="285" priority="21" stopIfTrue="1">
      <formula>P3=CléCongéSpécial</formula>
    </cfRule>
    <cfRule type="expression" dxfId="284" priority="22" stopIfTrue="1">
      <formula>P3=CléDemiRécupération</formula>
    </cfRule>
    <cfRule type="expression" dxfId="283" priority="23" stopIfTrue="1">
      <formula>P3=CléDemiEnfantMalade</formula>
    </cfRule>
    <cfRule type="expression" dxfId="282" priority="24" stopIfTrue="1">
      <formula>P3=CléEnfantMalade</formula>
    </cfRule>
    <cfRule type="expression" dxfId="281" priority="25" stopIfTrue="1">
      <formula>P3=CléDemiRtt</formula>
    </cfRule>
    <cfRule type="expression" priority="26" stopIfTrue="1">
      <formula>P3=""</formula>
    </cfRule>
    <cfRule type="expression" dxfId="280" priority="27" stopIfTrue="1">
      <formula>P3=CléMaladie</formula>
    </cfRule>
    <cfRule type="expression" dxfId="279" priority="28" stopIfTrue="1">
      <formula>P3=CléCongé</formula>
    </cfRule>
    <cfRule type="expression" dxfId="278" priority="29" stopIfTrue="1">
      <formula>P3=CléRécupération</formula>
    </cfRule>
    <cfRule type="expression" dxfId="277" priority="30" stopIfTrue="1">
      <formula>P3=CléFormation</formula>
    </cfRule>
    <cfRule type="expression" dxfId="276" priority="31" stopIfTrue="1">
      <formula>P3=CléRTT</formula>
    </cfRule>
    <cfRule type="expression" dxfId="275" priority="32" stopIfTrue="1">
      <formula>P3=CléTélétravail</formula>
    </cfRule>
  </conditionalFormatting>
  <conditionalFormatting sqref="AA3">
    <cfRule type="containsText" dxfId="274" priority="18" stopIfTrue="1" operator="containsText" text="dim">
      <formula>NOT(ISERROR(SEARCH("dim",AA3)))</formula>
    </cfRule>
  </conditionalFormatting>
  <conditionalFormatting sqref="AA3">
    <cfRule type="containsText" dxfId="273" priority="17" stopIfTrue="1" operator="containsText" text="dim">
      <formula>NOT(ISERROR(SEARCH("dim",AA3)))</formula>
    </cfRule>
  </conditionalFormatting>
  <conditionalFormatting sqref="C8:AG18">
    <cfRule type="expression" dxfId="272" priority="2" stopIfTrue="1">
      <formula>C8=CléAbsenceJustifiée</formula>
    </cfRule>
    <cfRule type="expression" dxfId="271" priority="3" stopIfTrue="1">
      <formula>C8=CléNonTravaillé</formula>
    </cfRule>
    <cfRule type="expression" dxfId="270" priority="4" stopIfTrue="1">
      <formula>C8=CléPrésenceExceptionnelle</formula>
    </cfRule>
    <cfRule type="expression" dxfId="269" priority="5" stopIfTrue="1">
      <formula>C8=CléCongéSpécial</formula>
    </cfRule>
    <cfRule type="expression" dxfId="268" priority="6" stopIfTrue="1">
      <formula>C8=CléDemiRécupération</formula>
    </cfRule>
    <cfRule type="expression" dxfId="267" priority="7" stopIfTrue="1">
      <formula>C8=CléDemiEnfantMalade</formula>
    </cfRule>
    <cfRule type="expression" dxfId="266" priority="8" stopIfTrue="1">
      <formula>C8=CléEnfantMalade</formula>
    </cfRule>
    <cfRule type="expression" dxfId="265" priority="9" stopIfTrue="1">
      <formula>C8=CléDemiRtt</formula>
    </cfRule>
    <cfRule type="expression" priority="10" stopIfTrue="1">
      <formula>C8=""</formula>
    </cfRule>
    <cfRule type="expression" dxfId="264" priority="11" stopIfTrue="1">
      <formula>C8=CléCongéMalade</formula>
    </cfRule>
    <cfRule type="expression" dxfId="263" priority="12" stopIfTrue="1">
      <formula>C8=CléCongé</formula>
    </cfRule>
    <cfRule type="expression" dxfId="262" priority="13" stopIfTrue="1">
      <formula>C8=CléRécupération</formula>
    </cfRule>
    <cfRule type="expression" dxfId="261" priority="14" stopIfTrue="1">
      <formula>C8=CléFormation</formula>
    </cfRule>
    <cfRule type="expression" dxfId="260" priority="15" stopIfTrue="1">
      <formula>C8=CléRTT</formula>
    </cfRule>
    <cfRule type="expression" dxfId="259" priority="16" stopIfTrue="1">
      <formula>C8=CléTélétravail</formula>
    </cfRule>
  </conditionalFormatting>
  <conditionalFormatting sqref="AJ8:AJ18">
    <cfRule type="dataBar" priority="1">
      <dataBar>
        <cfvo type="num" val="0"/>
        <cfvo type="num" val="31"/>
        <color rgb="FFFF0000"/>
      </dataBar>
      <extLst>
        <ext xmlns:x14="http://schemas.microsoft.com/office/spreadsheetml/2009/9/main" uri="{B025F937-C7B1-47D3-B67F-A62EFF666E3E}">
          <x14:id>{1FA3C661-4AC3-4245-AAA8-2611C814E343}</x14:id>
        </ext>
      </extLst>
    </cfRule>
  </conditionalFormatting>
  <dataValidations count="14">
    <dataValidation allowBlank="1" showInputMessage="1" showErrorMessage="1" prompt="Les jours du mois dans cette ligne sont générés automatiquement. Entrez l’absence et le motif d’absence d’un employé dans chaque colonne pour chaque jour du mois. Un champ vide indique qu’il n’y a pas eu d’absence" sqref="C7" xr:uid="{DE21164B-CC8E-0A4F-AADB-C423F28C6F4F}"/>
    <dataValidation errorStyle="warning" allowBlank="1" showInputMessage="1" showErrorMessage="1" error="Sélectionnez un nom dans la liste. Sélectionnez ANNULER, appuyez sur ALT+FLÈCHE BAS, puis sur ENTRÉE pour sélectionner un nom" prompt="Entrez les noms des employés dans la feuille de calcul du Noms des employés, puis sélectionnez l’un des noms de la liste figurant dans cette colonne. Appuyez sur ALT+FLÈCHE BAS, puis sur ENTRÉE pour sélectionner un nom" sqref="B7" xr:uid="{76E4BFFD-78E5-9543-BDC0-A34E9EF9C7E0}"/>
    <dataValidation allowBlank="1" showInputMessage="1" showErrorMessage="1" prompt="Suivez les absences du mois de juin dans cette feuille de calcul" sqref="A1" xr:uid="{C7821271-BEB3-A648-B567-23C153DCFDD4}"/>
    <dataValidation allowBlank="1" showInputMessage="1" showErrorMessage="1" prompt="Calcule automatiquement le nombre total de jours d’absence d’un employé durant ce mois dans cette colonne" sqref="AH7" xr:uid="{46B2F1A8-2E25-4142-BFE0-EF528DDBEE03}"/>
    <dataValidation allowBlank="1" showInputMessage="1" showErrorMessage="1" prompt="Le Calendrier des absences des employés suit les absences exprimées en jours pour chaque mois. Il existe 13 feuilles de calcul, 12 mensuelles et la dernière pour les noms des employés. Suivez les absences du mois de janvier dans cette feuille de calcul" sqref="A2" xr:uid="{4586A70E-C5AE-EA41-B730-820914CE652B}"/>
    <dataValidation allowBlank="1" showErrorMessage="1" sqref="B2:B6 C4:AH6 AD1:AH1 B1:Y1" xr:uid="{FBE99686-406D-7342-B80D-C85ED4C7FA0A}"/>
    <dataValidation allowBlank="1" showErrorMessage="1" prompt="Entrez une étiquette pour décrire la clé personnalisée à gauche" sqref="N3" xr:uid="{18593C1B-299C-8F46-ABE8-EF7F5BC09B05}"/>
    <dataValidation allowBlank="1" showErrorMessage="1" prompt="Entrez une lettre et personnalisez l’étiquette à droite pour ajouter un élément de clé" sqref="I2:I3" xr:uid="{49C4750F-C504-564F-985F-B049C712C7A1}"/>
    <dataValidation allowBlank="1" showInputMessage="1" showErrorMessage="1" prompt="Entrez une étiquette pour décrire la clé personnalisée à gauche" sqref="J2:J3" xr:uid="{A725C2A8-0FAD-CD40-AADE-B1C88C968B47}"/>
    <dataValidation allowBlank="1" showInputMessage="1" showErrorMessage="1" prompt="Entrez une lettre et personnalisez l’étiquette à droite pour ajouter un élément de clé" sqref="M3" xr:uid="{E35E74DF-3E30-5A4B-A7D1-97CBDE1D834A}"/>
    <dataValidation allowBlank="1" showInputMessage="1" showErrorMessage="1" prompt="La lettre « M » indique une absence pour cause de maladie" sqref="S3" xr:uid="{62F6974D-4BBD-824E-82B3-5563621AF48D}"/>
    <dataValidation allowBlank="1" showErrorMessage="1" prompt="La lettre « P » indique une absence pour motifs personnels" sqref="F3" xr:uid="{FA33B147-0056-5947-BE90-09ED03092422}"/>
    <dataValidation allowBlank="1" showErrorMessage="1" prompt="La lettre « C » indique une absence pour cause de congé" sqref="C3" xr:uid="{E348C5A8-AD1A-5944-A2A8-3B9ED3DD117D}"/>
    <dataValidation type="list" allowBlank="1" showInputMessage="1" showErrorMessage="1" sqref="B8:B18" xr:uid="{8461D793-8807-4042-81CC-B660210CA826}">
      <formula1>Nom_Employe</formula1>
    </dataValidation>
  </dataValidations>
  <pageMargins left="0.7" right="0.7" top="0.75" bottom="0.75" header="0.3" footer="0.3"/>
  <pageSetup paperSize="9" fitToHeight="0" orientation="portrait" verticalDpi="4294967293" r:id="rId1"/>
  <tableParts count="1">
    <tablePart r:id="rId2"/>
  </tableParts>
  <extLst>
    <ext xmlns:x14="http://schemas.microsoft.com/office/spreadsheetml/2009/9/main" uri="{78C0D931-6437-407d-A8EE-F0AAD7539E65}">
      <x14:conditionalFormattings>
        <x14:conditionalFormatting xmlns:xm="http://schemas.microsoft.com/office/excel/2006/main">
          <x14:cfRule type="dataBar" id="{54604054-9397-9644-83AC-EAE5170DEC3C}">
            <x14:dataBar minLength="0" maxLength="100">
              <x14:cfvo type="num">
                <xm:f>0</xm:f>
              </x14:cfvo>
              <x14:cfvo type="num">
                <xm:f>31</xm:f>
              </x14:cfvo>
              <x14:negativeFillColor rgb="FFFF0000"/>
              <x14:axisColor rgb="FF000000"/>
            </x14:dataBar>
          </x14:cfRule>
          <xm:sqref>AH8:AH18</xm:sqref>
        </x14:conditionalFormatting>
        <x14:conditionalFormatting xmlns:xm="http://schemas.microsoft.com/office/excel/2006/main">
          <x14:cfRule type="dataBar" id="{52416F6A-C168-1440-A239-2FCB283E0AD6}">
            <x14:dataBar minLength="0" maxLength="100">
              <x14:cfvo type="num">
                <xm:f>0</xm:f>
              </x14:cfvo>
              <x14:cfvo type="num">
                <xm:f>31</xm:f>
              </x14:cfvo>
              <x14:negativeFillColor rgb="FFFF0000"/>
              <x14:axisColor rgb="FF000000"/>
            </x14:dataBar>
          </x14:cfRule>
          <xm:sqref>AI8:AI18</xm:sqref>
        </x14:conditionalFormatting>
        <x14:conditionalFormatting xmlns:xm="http://schemas.microsoft.com/office/excel/2006/main">
          <x14:cfRule type="dataBar" id="{1FA3C661-4AC3-4245-AAA8-2611C814E343}">
            <x14:dataBar minLength="0" maxLength="100">
              <x14:cfvo type="num">
                <xm:f>0</xm:f>
              </x14:cfvo>
              <x14:cfvo type="num">
                <xm:f>31</xm:f>
              </x14:cfvo>
              <x14:negativeFillColor rgb="FFFF0000"/>
              <x14:axisColor rgb="FF000000"/>
            </x14:dataBar>
          </x14:cfRule>
          <xm:sqref>AJ8:AJ18</xm:sqref>
        </x14:conditionalFormatting>
        <x14:conditionalFormatting xmlns:xm="http://schemas.microsoft.com/office/excel/2006/main">
          <x14:cfRule type="containsText" priority="188" stopIfTrue="1" operator="containsText" text="dim" id="{2A258A5D-0A9C-BD4F-A33D-D6DD39333A38}">
            <xm:f>NOT(ISERROR(SEARCH("dim",Avril!AK18)))</xm:f>
            <x14:dxf>
              <font>
                <color theme="9"/>
              </font>
              <fill>
                <patternFill patternType="none">
                  <bgColor auto="1"/>
                </patternFill>
              </fill>
            </x14:dxf>
          </x14:cfRule>
          <xm:sqref>AK19:AK1048576</xm:sqref>
        </x14:conditionalFormatting>
        <x14:conditionalFormatting xmlns:xm="http://schemas.microsoft.com/office/excel/2006/main">
          <x14:cfRule type="containsText" priority="598" stopIfTrue="1" operator="containsText" text="dim" id="{2A258A5D-0A9C-BD4F-A33D-D6DD39333A38}">
            <xm:f>NOT(ISERROR(SEARCH("dim",Avril!AK1)))</xm:f>
            <x14:dxf>
              <font>
                <color theme="9"/>
              </font>
              <fill>
                <patternFill patternType="none">
                  <bgColor auto="1"/>
                </patternFill>
              </fill>
            </x14:dxf>
          </x14:cfRule>
          <xm:sqref>AK7 AK1 AK4</xm:sqref>
        </x14:conditionalFormatting>
      </x14:conditionalFormatting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9B30BD0-F0F2-C241-A1DB-AE8486F544C7}">
  <sheetPr codeName="Feuil7">
    <tabColor theme="1"/>
  </sheetPr>
  <dimension ref="A1:AK19"/>
  <sheetViews>
    <sheetView showGridLines="0" topLeftCell="J7" zoomScale="110" zoomScaleNormal="110" workbookViewId="0">
      <selection activeCell="AJ8" sqref="AJ8:AJ18"/>
    </sheetView>
  </sheetViews>
  <sheetFormatPr baseColWidth="10" defaultColWidth="9.140625" defaultRowHeight="30" customHeight="1"/>
  <cols>
    <col min="1" max="1" width="2.7109375" style="3" customWidth="1"/>
    <col min="2" max="2" width="26" style="3" customWidth="1"/>
    <col min="3" max="33" width="4.7109375" style="3" customWidth="1"/>
    <col min="34" max="34" width="13.42578125" style="3" customWidth="1"/>
    <col min="35" max="36" width="11.140625" customWidth="1"/>
    <col min="37" max="37" width="19" bestFit="1" customWidth="1"/>
  </cols>
  <sheetData>
    <row r="1" spans="1:37" ht="50.1" customHeight="1">
      <c r="B1" s="4" t="str">
        <f>Titre_Absence_Employé</f>
        <v>Calendrier des absences des employés</v>
      </c>
    </row>
    <row r="2" spans="1:37" ht="21.95" customHeight="1">
      <c r="A2" s="5"/>
      <c r="C2" s="48" t="s">
        <v>89</v>
      </c>
      <c r="D2" s="93" t="s">
        <v>90</v>
      </c>
      <c r="E2" s="93"/>
      <c r="F2" s="39" t="s">
        <v>72</v>
      </c>
      <c r="G2" s="88" t="s">
        <v>66</v>
      </c>
      <c r="H2" s="88"/>
      <c r="I2" s="38" t="s">
        <v>71</v>
      </c>
      <c r="J2" s="88" t="s">
        <v>74</v>
      </c>
      <c r="K2" s="88"/>
      <c r="L2" s="88"/>
      <c r="P2" s="47" t="s">
        <v>87</v>
      </c>
      <c r="Q2" s="95" t="s">
        <v>88</v>
      </c>
      <c r="R2" s="95"/>
      <c r="S2" s="95"/>
      <c r="T2" s="95"/>
      <c r="U2" s="95"/>
      <c r="V2" s="40" t="s">
        <v>70</v>
      </c>
      <c r="W2" s="88" t="s">
        <v>73</v>
      </c>
      <c r="X2" s="88"/>
      <c r="Y2" s="88"/>
      <c r="Z2" s="51" t="s">
        <v>96</v>
      </c>
      <c r="AA2" s="88" t="s">
        <v>97</v>
      </c>
      <c r="AB2" s="88"/>
      <c r="AC2" s="88"/>
    </row>
    <row r="3" spans="1:37" ht="18" customHeight="1">
      <c r="B3" s="9" t="s">
        <v>1</v>
      </c>
      <c r="C3" s="17" t="s">
        <v>4</v>
      </c>
      <c r="D3" s="89" t="s">
        <v>7</v>
      </c>
      <c r="E3" s="89"/>
      <c r="F3" s="18" t="s">
        <v>57</v>
      </c>
      <c r="G3" s="88" t="s">
        <v>57</v>
      </c>
      <c r="H3" s="88"/>
      <c r="I3" s="21" t="s">
        <v>55</v>
      </c>
      <c r="J3" s="88" t="s">
        <v>56</v>
      </c>
      <c r="K3" s="88"/>
      <c r="L3" s="88"/>
      <c r="M3" s="14" t="s">
        <v>58</v>
      </c>
      <c r="N3" s="88" t="s">
        <v>59</v>
      </c>
      <c r="O3" s="90"/>
      <c r="P3" s="54" t="s">
        <v>60</v>
      </c>
      <c r="Q3" s="91" t="s">
        <v>61</v>
      </c>
      <c r="R3" s="88"/>
      <c r="S3" s="20" t="s">
        <v>11</v>
      </c>
      <c r="T3" s="89" t="s">
        <v>17</v>
      </c>
      <c r="U3" s="89"/>
      <c r="V3" s="36" t="s">
        <v>69</v>
      </c>
      <c r="W3" s="88" t="s">
        <v>68</v>
      </c>
      <c r="X3" s="88"/>
      <c r="Y3" s="88"/>
      <c r="Z3" s="73" t="s">
        <v>100</v>
      </c>
      <c r="AA3" s="92" t="s">
        <v>101</v>
      </c>
      <c r="AB3" s="92"/>
      <c r="AC3" s="92"/>
    </row>
    <row r="4" spans="1:37" ht="15" customHeight="1">
      <c r="B4" s="4"/>
    </row>
    <row r="5" spans="1:37" ht="30" customHeight="1">
      <c r="B5" s="19" t="s">
        <v>48</v>
      </c>
      <c r="C5" s="87" t="s">
        <v>5</v>
      </c>
      <c r="D5" s="87"/>
      <c r="E5" s="87"/>
      <c r="F5" s="87"/>
      <c r="G5" s="87"/>
      <c r="H5" s="87"/>
      <c r="I5" s="87"/>
      <c r="J5" s="87"/>
      <c r="K5" s="87"/>
      <c r="L5" s="87"/>
      <c r="M5" s="87"/>
      <c r="N5" s="87"/>
      <c r="O5" s="87"/>
      <c r="P5" s="87"/>
      <c r="Q5" s="87"/>
      <c r="R5" s="87"/>
      <c r="S5" s="87"/>
      <c r="T5" s="87"/>
      <c r="U5" s="87"/>
      <c r="V5" s="87"/>
      <c r="W5" s="87"/>
      <c r="X5" s="87"/>
      <c r="Y5" s="87"/>
      <c r="Z5" s="87"/>
      <c r="AA5" s="87"/>
      <c r="AB5" s="87"/>
      <c r="AC5" s="87"/>
      <c r="AD5" s="87"/>
      <c r="AE5" s="87"/>
      <c r="AF5" s="87"/>
      <c r="AG5" s="87"/>
      <c r="AH5" s="23"/>
      <c r="AI5" s="23"/>
      <c r="AJ5" s="23"/>
      <c r="AK5" s="68">
        <f>AnnéeCalendrier</f>
        <v>2021</v>
      </c>
    </row>
    <row r="6" spans="1:37" ht="15" customHeight="1">
      <c r="B6" s="13"/>
      <c r="C6" s="55" t="str">
        <f>TEXT(WEEKDAY(DATE(AnnéeCalendrier,7,1),1),"jjj")</f>
        <v>jeu</v>
      </c>
      <c r="D6" s="55" t="str">
        <f>TEXT(WEEKDAY(DATE(AnnéeCalendrier,7,2),1),"jjj")</f>
        <v>ven</v>
      </c>
      <c r="E6" s="55" t="str">
        <f>TEXT(WEEKDAY(DATE(AnnéeCalendrier,7,3),1),"jjj")</f>
        <v>sam</v>
      </c>
      <c r="F6" s="55" t="str">
        <f>TEXT(WEEKDAY(DATE(AnnéeCalendrier,7,4),1),"jjj")</f>
        <v>dim</v>
      </c>
      <c r="G6" s="55" t="str">
        <f>TEXT(WEEKDAY(DATE(AnnéeCalendrier,7,5),1),"jjj")</f>
        <v>lun</v>
      </c>
      <c r="H6" s="55" t="str">
        <f>TEXT(WEEKDAY(DATE(AnnéeCalendrier,7,6),1),"jjj")</f>
        <v>mar</v>
      </c>
      <c r="I6" s="55" t="str">
        <f>TEXT(WEEKDAY(DATE(AnnéeCalendrier,7,7),1),"jjj")</f>
        <v>mer</v>
      </c>
      <c r="J6" s="55" t="str">
        <f>TEXT(WEEKDAY(DATE(AnnéeCalendrier,7,8),1),"jjj")</f>
        <v>jeu</v>
      </c>
      <c r="K6" s="55" t="str">
        <f>TEXT(WEEKDAY(DATE(AnnéeCalendrier,7,9),1),"jjj")</f>
        <v>ven</v>
      </c>
      <c r="L6" s="55" t="str">
        <f>TEXT(WEEKDAY(DATE(AnnéeCalendrier,7,10),1),"jjj")</f>
        <v>sam</v>
      </c>
      <c r="M6" s="55" t="str">
        <f>TEXT(WEEKDAY(DATE(AnnéeCalendrier,7,11),1),"jjj")</f>
        <v>dim</v>
      </c>
      <c r="N6" s="55" t="str">
        <f>TEXT(WEEKDAY(DATE(AnnéeCalendrier,7,12),1),"jjj")</f>
        <v>lun</v>
      </c>
      <c r="O6" s="55" t="str">
        <f>TEXT(WEEKDAY(DATE(AnnéeCalendrier,7,13),1),"jjj")</f>
        <v>mar</v>
      </c>
      <c r="P6" s="55" t="str">
        <f>TEXT(WEEKDAY(DATE(AnnéeCalendrier,7,14),1),"jjj")</f>
        <v>mer</v>
      </c>
      <c r="Q6" s="55" t="str">
        <f>TEXT(WEEKDAY(DATE(AnnéeCalendrier,7,15),1),"jjj")</f>
        <v>jeu</v>
      </c>
      <c r="R6" s="55" t="str">
        <f>TEXT(WEEKDAY(DATE(AnnéeCalendrier,7,16),1),"jjj")</f>
        <v>ven</v>
      </c>
      <c r="S6" s="55" t="str">
        <f>TEXT(WEEKDAY(DATE(AnnéeCalendrier,7,17),1),"jjj")</f>
        <v>sam</v>
      </c>
      <c r="T6" s="55" t="str">
        <f>TEXT(WEEKDAY(DATE(AnnéeCalendrier,7,18),1),"jjj")</f>
        <v>dim</v>
      </c>
      <c r="U6" s="55" t="str">
        <f>TEXT(WEEKDAY(DATE(AnnéeCalendrier,7,19),1),"jjj")</f>
        <v>lun</v>
      </c>
      <c r="V6" s="55" t="str">
        <f>TEXT(WEEKDAY(DATE(AnnéeCalendrier,7,20),1),"jjj")</f>
        <v>mar</v>
      </c>
      <c r="W6" s="55" t="str">
        <f>TEXT(WEEKDAY(DATE(AnnéeCalendrier,7,21),1),"jjj")</f>
        <v>mer</v>
      </c>
      <c r="X6" s="55" t="str">
        <f>TEXT(WEEKDAY(DATE(AnnéeCalendrier,7,22),1),"jjj")</f>
        <v>jeu</v>
      </c>
      <c r="Y6" s="55" t="str">
        <f>TEXT(WEEKDAY(DATE(AnnéeCalendrier,7,23),1),"jjj")</f>
        <v>ven</v>
      </c>
      <c r="Z6" s="55" t="str">
        <f>TEXT(WEEKDAY(DATE(AnnéeCalendrier,7,24),1),"jjj")</f>
        <v>sam</v>
      </c>
      <c r="AA6" s="55" t="str">
        <f>TEXT(WEEKDAY(DATE(AnnéeCalendrier,7,25),1),"jjj")</f>
        <v>dim</v>
      </c>
      <c r="AB6" s="55" t="str">
        <f>TEXT(WEEKDAY(DATE(AnnéeCalendrier,7,26),1),"jjj")</f>
        <v>lun</v>
      </c>
      <c r="AC6" s="55" t="str">
        <f>TEXT(WEEKDAY(DATE(AnnéeCalendrier,7,27),1),"jjj")</f>
        <v>mar</v>
      </c>
      <c r="AD6" s="55" t="str">
        <f>TEXT(WEEKDAY(DATE(AnnéeCalendrier,7,28),1),"jjj")</f>
        <v>mer</v>
      </c>
      <c r="AE6" s="55" t="str">
        <f>TEXT(WEEKDAY(DATE(AnnéeCalendrier,7,29),1),"jjj")</f>
        <v>jeu</v>
      </c>
      <c r="AF6" s="55" t="str">
        <f>TEXT(WEEKDAY(DATE(AnnéeCalendrier,7,30),1),"jjj")</f>
        <v>ven</v>
      </c>
      <c r="AG6" s="55" t="str">
        <f>TEXT(WEEKDAY(DATE(AnnéeCalendrier,7,31),1),"jjj")</f>
        <v>sam</v>
      </c>
      <c r="AH6" s="10"/>
      <c r="AI6" s="10"/>
      <c r="AJ6" s="10"/>
      <c r="AK6" s="10"/>
    </row>
    <row r="7" spans="1:37" ht="35.1" customHeight="1">
      <c r="B7" s="11" t="s">
        <v>3</v>
      </c>
      <c r="C7" s="12" t="s">
        <v>6</v>
      </c>
      <c r="D7" s="12" t="s">
        <v>8</v>
      </c>
      <c r="E7" s="12" t="s">
        <v>9</v>
      </c>
      <c r="F7" s="12" t="s">
        <v>10</v>
      </c>
      <c r="G7" s="12" t="s">
        <v>12</v>
      </c>
      <c r="H7" s="12" t="s">
        <v>13</v>
      </c>
      <c r="I7" s="12" t="s">
        <v>14</v>
      </c>
      <c r="J7" s="12" t="s">
        <v>15</v>
      </c>
      <c r="K7" s="12" t="s">
        <v>16</v>
      </c>
      <c r="L7" s="12" t="s">
        <v>18</v>
      </c>
      <c r="M7" s="12" t="s">
        <v>19</v>
      </c>
      <c r="N7" s="12" t="s">
        <v>20</v>
      </c>
      <c r="O7" s="12" t="s">
        <v>21</v>
      </c>
      <c r="P7" s="49" t="s">
        <v>22</v>
      </c>
      <c r="Q7" s="12" t="s">
        <v>23</v>
      </c>
      <c r="R7" s="12" t="s">
        <v>24</v>
      </c>
      <c r="S7" s="12" t="s">
        <v>25</v>
      </c>
      <c r="T7" s="12" t="s">
        <v>26</v>
      </c>
      <c r="U7" s="12" t="s">
        <v>27</v>
      </c>
      <c r="V7" s="12" t="s">
        <v>28</v>
      </c>
      <c r="W7" s="12" t="s">
        <v>29</v>
      </c>
      <c r="X7" s="12" t="s">
        <v>30</v>
      </c>
      <c r="Y7" s="12" t="s">
        <v>31</v>
      </c>
      <c r="Z7" s="12" t="s">
        <v>32</v>
      </c>
      <c r="AA7" s="12" t="s">
        <v>33</v>
      </c>
      <c r="AB7" s="12" t="s">
        <v>34</v>
      </c>
      <c r="AC7" s="12" t="s">
        <v>35</v>
      </c>
      <c r="AD7" s="12" t="s">
        <v>36</v>
      </c>
      <c r="AE7" s="12" t="s">
        <v>37</v>
      </c>
      <c r="AF7" s="12" t="s">
        <v>38</v>
      </c>
      <c r="AG7" s="12" t="s">
        <v>39</v>
      </c>
      <c r="AH7" s="24" t="s">
        <v>67</v>
      </c>
      <c r="AI7" s="25" t="s">
        <v>78</v>
      </c>
      <c r="AJ7" s="25" t="s">
        <v>98</v>
      </c>
      <c r="AK7" s="32" t="s">
        <v>79</v>
      </c>
    </row>
    <row r="8" spans="1:37" ht="30" customHeight="1">
      <c r="B8" s="8"/>
      <c r="C8" s="15"/>
      <c r="D8" s="15"/>
      <c r="E8" s="15"/>
      <c r="F8" s="15"/>
      <c r="G8" s="15"/>
      <c r="H8" s="15"/>
      <c r="I8" s="15"/>
      <c r="J8" s="15"/>
      <c r="K8" s="15"/>
      <c r="L8" s="15"/>
      <c r="M8" s="15"/>
      <c r="N8" s="15"/>
      <c r="O8" s="15"/>
      <c r="P8" s="15"/>
      <c r="Q8" s="15"/>
      <c r="R8" s="15"/>
      <c r="S8" s="15"/>
      <c r="T8" s="15"/>
      <c r="U8" s="15"/>
      <c r="V8" s="15"/>
      <c r="W8" s="15"/>
      <c r="X8" s="15"/>
      <c r="Y8" s="15"/>
      <c r="Z8" s="15"/>
      <c r="AA8" s="15"/>
      <c r="AB8" s="15"/>
      <c r="AC8" s="15"/>
      <c r="AD8" s="15"/>
      <c r="AE8" s="15"/>
      <c r="AF8" s="15"/>
      <c r="AG8" s="15"/>
      <c r="AH8" s="31">
        <f t="shared" ref="AH8:AH18" si="0">(COUNTIF(C8:AG8,CléCongé)+(COUNTIF(C8:AG8,CléEnfantMalade)+COUNTIF(C8:AG8,CléRTT)+COUNTIF(C8:AG8,CléCongéMalade)+COUNTIF(C8:AG8,CléRécupération)+COUNTIF(C8:AG8,CléFormation)+COUNTIF(C8:AG8,CléTélétravail-1)+COUNTIF(C8:AG8,CléCongéSpécial)+COUNTIF(C8:AG8,CléPrésenceExceptionnelle-1)+COUNTIF(C8:AG8,CléDemiRtt)/2)+COUNTIF(C8:AG8,CléDemiRécupération)/2)+COUNTIF(C8:AG8,CléDemiEnfantMalade)/2</f>
        <v>0</v>
      </c>
      <c r="AI8" s="31">
        <f t="shared" ref="AI8:AI18" si="1">COUNTIF(C8:AG8,CléRTT)+COUNTIF(C8:AG8,CléDemiRtt)/2</f>
        <v>0</v>
      </c>
      <c r="AJ8" s="31">
        <f>COUNTIF(C8:AG8,$S$3)</f>
        <v>0</v>
      </c>
      <c r="AK8" s="22"/>
    </row>
    <row r="9" spans="1:37" ht="30" customHeight="1">
      <c r="B9" s="8"/>
      <c r="C9" s="15"/>
      <c r="D9" s="15"/>
      <c r="E9" s="15"/>
      <c r="F9" s="15"/>
      <c r="G9" s="15"/>
      <c r="H9" s="15"/>
      <c r="I9" s="15"/>
      <c r="J9" s="15"/>
      <c r="K9" s="15"/>
      <c r="L9" s="15"/>
      <c r="M9" s="15"/>
      <c r="N9" s="15"/>
      <c r="O9" s="15"/>
      <c r="P9" s="15"/>
      <c r="Q9" s="15"/>
      <c r="R9" s="15"/>
      <c r="S9" s="15"/>
      <c r="T9" s="15"/>
      <c r="U9" s="15"/>
      <c r="V9" s="15"/>
      <c r="W9" s="15"/>
      <c r="X9" s="15"/>
      <c r="Y9" s="15"/>
      <c r="Z9" s="15"/>
      <c r="AA9" s="15"/>
      <c r="AB9" s="15"/>
      <c r="AC9" s="15"/>
      <c r="AD9" s="15"/>
      <c r="AE9" s="15"/>
      <c r="AF9" s="15"/>
      <c r="AG9" s="15"/>
      <c r="AH9" s="31">
        <f t="shared" si="0"/>
        <v>0</v>
      </c>
      <c r="AI9" s="31">
        <f t="shared" si="1"/>
        <v>0</v>
      </c>
      <c r="AJ9" s="31">
        <f t="shared" ref="AJ9:AJ18" si="2">COUNTIF(C9:AG9,$S$3)</f>
        <v>0</v>
      </c>
      <c r="AK9" s="22">
        <f>Juin!AK9-Juillet[[#This Row],[Dont RTT]]+2</f>
        <v>17</v>
      </c>
    </row>
    <row r="10" spans="1:37" ht="30" customHeight="1">
      <c r="B10" s="8"/>
      <c r="C10" s="15"/>
      <c r="D10" s="15"/>
      <c r="E10" s="15"/>
      <c r="F10" s="15"/>
      <c r="G10" s="15"/>
      <c r="H10" s="15"/>
      <c r="I10" s="15"/>
      <c r="J10" s="15"/>
      <c r="K10" s="15"/>
      <c r="L10" s="15"/>
      <c r="M10" s="15"/>
      <c r="N10" s="15"/>
      <c r="O10" s="15"/>
      <c r="P10" s="15"/>
      <c r="Q10" s="15"/>
      <c r="R10" s="15"/>
      <c r="S10" s="15"/>
      <c r="T10" s="15"/>
      <c r="U10" s="15"/>
      <c r="V10" s="15"/>
      <c r="W10" s="15"/>
      <c r="X10" s="15"/>
      <c r="Y10" s="15"/>
      <c r="Z10" s="15"/>
      <c r="AA10" s="15"/>
      <c r="AB10" s="15"/>
      <c r="AC10" s="15"/>
      <c r="AD10" s="15"/>
      <c r="AE10" s="15"/>
      <c r="AF10" s="15"/>
      <c r="AG10" s="15"/>
      <c r="AH10" s="31">
        <f t="shared" si="0"/>
        <v>0</v>
      </c>
      <c r="AI10" s="31">
        <f t="shared" si="1"/>
        <v>0</v>
      </c>
      <c r="AJ10" s="31">
        <f t="shared" si="2"/>
        <v>0</v>
      </c>
      <c r="AK10" s="22">
        <f>Juin!AK10-Juillet[[#This Row],[Dont RTT]]+2</f>
        <v>25</v>
      </c>
    </row>
    <row r="11" spans="1:37" ht="30" customHeight="1">
      <c r="B11" s="8"/>
      <c r="C11" s="15"/>
      <c r="D11" s="15"/>
      <c r="E11" s="15"/>
      <c r="F11" s="15"/>
      <c r="G11" s="15"/>
      <c r="H11" s="15"/>
      <c r="I11" s="15"/>
      <c r="J11" s="15"/>
      <c r="K11" s="15"/>
      <c r="L11" s="15"/>
      <c r="M11" s="15"/>
      <c r="N11" s="15"/>
      <c r="O11" s="15"/>
      <c r="P11" s="15"/>
      <c r="Q11" s="15"/>
      <c r="R11" s="15"/>
      <c r="S11" s="15"/>
      <c r="T11" s="15"/>
      <c r="U11" s="15"/>
      <c r="V11" s="15"/>
      <c r="W11" s="15"/>
      <c r="X11" s="15"/>
      <c r="Y11" s="15"/>
      <c r="Z11" s="15"/>
      <c r="AA11" s="15"/>
      <c r="AB11" s="15"/>
      <c r="AC11" s="15"/>
      <c r="AD11" s="15"/>
      <c r="AE11" s="15"/>
      <c r="AF11" s="15"/>
      <c r="AG11" s="15"/>
      <c r="AH11" s="31">
        <f t="shared" si="0"/>
        <v>0</v>
      </c>
      <c r="AI11" s="31">
        <f t="shared" si="1"/>
        <v>0</v>
      </c>
      <c r="AJ11" s="31">
        <f t="shared" si="2"/>
        <v>0</v>
      </c>
      <c r="AK11" s="22"/>
    </row>
    <row r="12" spans="1:37" ht="30" customHeight="1">
      <c r="B12" s="8"/>
      <c r="C12" s="15"/>
      <c r="D12" s="15"/>
      <c r="E12" s="15"/>
      <c r="F12" s="15"/>
      <c r="G12" s="15"/>
      <c r="H12" s="15"/>
      <c r="I12" s="15"/>
      <c r="J12" s="15"/>
      <c r="K12" s="15"/>
      <c r="L12" s="15"/>
      <c r="M12" s="15"/>
      <c r="N12" s="15"/>
      <c r="O12" s="15"/>
      <c r="P12" s="15"/>
      <c r="Q12" s="15"/>
      <c r="R12" s="15"/>
      <c r="S12" s="15"/>
      <c r="T12" s="15"/>
      <c r="U12" s="15"/>
      <c r="V12" s="15"/>
      <c r="W12" s="15"/>
      <c r="X12" s="15"/>
      <c r="Y12" s="15"/>
      <c r="Z12" s="15"/>
      <c r="AA12" s="15"/>
      <c r="AB12" s="15"/>
      <c r="AC12" s="15"/>
      <c r="AD12" s="15"/>
      <c r="AE12" s="15"/>
      <c r="AF12" s="15"/>
      <c r="AG12" s="15"/>
      <c r="AH12" s="31">
        <f t="shared" si="0"/>
        <v>0</v>
      </c>
      <c r="AI12" s="31">
        <f t="shared" si="1"/>
        <v>0</v>
      </c>
      <c r="AJ12" s="31">
        <f t="shared" si="2"/>
        <v>0</v>
      </c>
      <c r="AK12" s="22"/>
    </row>
    <row r="13" spans="1:37" ht="30" customHeight="1">
      <c r="B13" s="8"/>
      <c r="C13" s="22"/>
      <c r="D13" s="22"/>
      <c r="E13" s="22"/>
      <c r="F13" s="22"/>
      <c r="G13" s="22"/>
      <c r="H13" s="22"/>
      <c r="I13" s="22"/>
      <c r="J13" s="22"/>
      <c r="K13" s="15"/>
      <c r="L13" s="22"/>
      <c r="M13" s="22"/>
      <c r="N13" s="22"/>
      <c r="O13" s="22"/>
      <c r="P13" s="22"/>
      <c r="Q13" s="22"/>
      <c r="R13" s="15"/>
      <c r="S13" s="22"/>
      <c r="T13" s="22"/>
      <c r="U13" s="22"/>
      <c r="V13" s="22"/>
      <c r="W13" s="22"/>
      <c r="X13" s="22"/>
      <c r="Y13" s="15"/>
      <c r="Z13" s="22"/>
      <c r="AA13" s="22"/>
      <c r="AB13" s="22"/>
      <c r="AC13" s="22"/>
      <c r="AD13" s="22"/>
      <c r="AE13" s="22"/>
      <c r="AF13" s="22"/>
      <c r="AG13" s="22"/>
      <c r="AH13" s="31">
        <f t="shared" si="0"/>
        <v>0</v>
      </c>
      <c r="AI13" s="31">
        <f t="shared" si="1"/>
        <v>0</v>
      </c>
      <c r="AJ13" s="31">
        <f t="shared" si="2"/>
        <v>0</v>
      </c>
      <c r="AK13" s="22">
        <f>Juin!AK13-Juillet[[#This Row],[Dont RTT]]+2</f>
        <v>16.93</v>
      </c>
    </row>
    <row r="14" spans="1:37" ht="30" customHeight="1">
      <c r="B14" s="8"/>
      <c r="C14" s="22"/>
      <c r="D14" s="22"/>
      <c r="E14" s="22"/>
      <c r="F14" s="22"/>
      <c r="G14" s="22"/>
      <c r="H14" s="22"/>
      <c r="I14" s="22"/>
      <c r="J14" s="22"/>
      <c r="K14" s="15"/>
      <c r="L14" s="22"/>
      <c r="M14" s="22"/>
      <c r="N14" s="22"/>
      <c r="O14" s="22"/>
      <c r="P14" s="22"/>
      <c r="Q14" s="22"/>
      <c r="R14" s="15"/>
      <c r="S14" s="22"/>
      <c r="T14" s="22"/>
      <c r="U14" s="22"/>
      <c r="V14" s="22"/>
      <c r="W14" s="22"/>
      <c r="X14" s="22"/>
      <c r="Y14" s="15"/>
      <c r="Z14" s="22"/>
      <c r="AA14" s="22"/>
      <c r="AB14" s="22"/>
      <c r="AC14" s="22"/>
      <c r="AD14" s="22"/>
      <c r="AE14" s="22"/>
      <c r="AF14" s="22"/>
      <c r="AG14" s="22"/>
      <c r="AH14" s="31">
        <f t="shared" si="0"/>
        <v>0</v>
      </c>
      <c r="AI14" s="31">
        <f t="shared" si="1"/>
        <v>0</v>
      </c>
      <c r="AJ14" s="31">
        <f t="shared" si="2"/>
        <v>0</v>
      </c>
      <c r="AK14" s="22">
        <f>Juin!AK14-Juillet[[#This Row],[Dont RTT]]+2</f>
        <v>16.5</v>
      </c>
    </row>
    <row r="15" spans="1:37" ht="30" customHeight="1">
      <c r="B15" s="8"/>
      <c r="C15" s="22"/>
      <c r="D15" s="22"/>
      <c r="E15" s="22"/>
      <c r="F15" s="22"/>
      <c r="G15" s="22"/>
      <c r="H15" s="22"/>
      <c r="I15" s="22"/>
      <c r="J15" s="22"/>
      <c r="K15" s="22"/>
      <c r="L15" s="22"/>
      <c r="M15" s="15"/>
      <c r="N15" s="22"/>
      <c r="O15" s="22"/>
      <c r="P15" s="22"/>
      <c r="Q15" s="22"/>
      <c r="R15" s="22"/>
      <c r="S15" s="22"/>
      <c r="T15" s="15"/>
      <c r="U15" s="22"/>
      <c r="V15" s="22"/>
      <c r="W15" s="22"/>
      <c r="X15" s="22"/>
      <c r="Y15" s="22"/>
      <c r="Z15" s="22"/>
      <c r="AA15" s="15"/>
      <c r="AB15" s="22"/>
      <c r="AC15" s="22"/>
      <c r="AD15" s="22"/>
      <c r="AE15" s="22"/>
      <c r="AF15" s="22"/>
      <c r="AG15" s="22"/>
      <c r="AH15" s="31">
        <f t="shared" si="0"/>
        <v>0</v>
      </c>
      <c r="AI15" s="31">
        <f t="shared" si="1"/>
        <v>0</v>
      </c>
      <c r="AJ15" s="31">
        <f t="shared" si="2"/>
        <v>0</v>
      </c>
      <c r="AK15" s="22">
        <f>Juin!AK15-Juillet[[#This Row],[Dont RTT]]+2</f>
        <v>19.5</v>
      </c>
    </row>
    <row r="16" spans="1:37" ht="30" customHeight="1">
      <c r="B16" s="8"/>
      <c r="C16" s="22"/>
      <c r="D16" s="22"/>
      <c r="E16" s="22"/>
      <c r="F16" s="22"/>
      <c r="G16" s="22"/>
      <c r="H16" s="22"/>
      <c r="I16" s="22"/>
      <c r="J16" s="22"/>
      <c r="K16" s="15"/>
      <c r="L16" s="22"/>
      <c r="M16" s="22"/>
      <c r="N16" s="22"/>
      <c r="O16" s="22"/>
      <c r="P16" s="22"/>
      <c r="Q16" s="22"/>
      <c r="R16" s="15"/>
      <c r="S16" s="22"/>
      <c r="T16" s="22"/>
      <c r="U16" s="22"/>
      <c r="V16" s="22"/>
      <c r="W16" s="22"/>
      <c r="X16" s="22"/>
      <c r="Y16" s="15"/>
      <c r="Z16" s="22"/>
      <c r="AA16" s="22"/>
      <c r="AB16" s="22"/>
      <c r="AC16" s="22"/>
      <c r="AD16" s="22"/>
      <c r="AE16" s="22"/>
      <c r="AF16" s="22"/>
      <c r="AG16" s="22"/>
      <c r="AH16" s="31">
        <f t="shared" si="0"/>
        <v>0</v>
      </c>
      <c r="AI16" s="31">
        <f t="shared" si="1"/>
        <v>0</v>
      </c>
      <c r="AJ16" s="31">
        <f t="shared" si="2"/>
        <v>0</v>
      </c>
      <c r="AK16" s="22">
        <f>Juin!AK16-Juillet[[#This Row],[Dont RTT]]+2</f>
        <v>16.16</v>
      </c>
    </row>
    <row r="17" spans="2:37" ht="30" customHeight="1">
      <c r="B17" s="8"/>
      <c r="C17" s="22"/>
      <c r="D17" s="22"/>
      <c r="E17" s="22"/>
      <c r="F17" s="22"/>
      <c r="G17" s="22"/>
      <c r="H17" s="22"/>
      <c r="I17" s="22"/>
      <c r="J17" s="22"/>
      <c r="K17" s="22"/>
      <c r="L17" s="22"/>
      <c r="M17" s="15"/>
      <c r="N17" s="22"/>
      <c r="O17" s="22"/>
      <c r="P17" s="22"/>
      <c r="Q17" s="22"/>
      <c r="R17" s="22"/>
      <c r="S17" s="22"/>
      <c r="T17" s="15"/>
      <c r="U17" s="22"/>
      <c r="V17" s="22"/>
      <c r="W17" s="22"/>
      <c r="X17" s="22"/>
      <c r="Y17" s="22"/>
      <c r="Z17" s="22"/>
      <c r="AA17" s="15"/>
      <c r="AB17" s="22"/>
      <c r="AC17" s="22"/>
      <c r="AD17" s="22"/>
      <c r="AE17" s="22"/>
      <c r="AF17" s="22"/>
      <c r="AG17" s="22"/>
      <c r="AH17" s="31">
        <f t="shared" si="0"/>
        <v>0</v>
      </c>
      <c r="AI17" s="31">
        <f t="shared" si="1"/>
        <v>0</v>
      </c>
      <c r="AJ17" s="31">
        <f t="shared" si="2"/>
        <v>0</v>
      </c>
      <c r="AK17" s="22">
        <f>Juin!AK17-Juillet[[#This Row],[Dont RTT]]+2</f>
        <v>25</v>
      </c>
    </row>
    <row r="18" spans="2:37" ht="30" customHeight="1">
      <c r="B18" s="8"/>
      <c r="C18" s="22"/>
      <c r="D18" s="22"/>
      <c r="E18" s="22"/>
      <c r="F18" s="22"/>
      <c r="G18" s="22"/>
      <c r="H18" s="22"/>
      <c r="I18" s="22"/>
      <c r="J18" s="22"/>
      <c r="K18" s="15"/>
      <c r="L18" s="22"/>
      <c r="M18" s="22"/>
      <c r="N18" s="22"/>
      <c r="O18" s="22"/>
      <c r="P18" s="22"/>
      <c r="Q18" s="22"/>
      <c r="R18" s="15"/>
      <c r="S18" s="22"/>
      <c r="T18" s="22"/>
      <c r="U18" s="22"/>
      <c r="V18" s="22"/>
      <c r="W18" s="22"/>
      <c r="X18" s="22"/>
      <c r="Y18" s="15"/>
      <c r="Z18" s="22"/>
      <c r="AA18" s="22"/>
      <c r="AB18" s="22"/>
      <c r="AC18" s="22"/>
      <c r="AD18" s="22"/>
      <c r="AE18" s="22"/>
      <c r="AF18" s="22"/>
      <c r="AG18" s="22"/>
      <c r="AH18" s="31">
        <f t="shared" si="0"/>
        <v>0</v>
      </c>
      <c r="AI18" s="31">
        <f t="shared" si="1"/>
        <v>0</v>
      </c>
      <c r="AJ18" s="31">
        <f t="shared" si="2"/>
        <v>0</v>
      </c>
      <c r="AK18" s="22">
        <f>Juin!AK18-Juillet[[#This Row],[Dont RTT]]+2</f>
        <v>16.5</v>
      </c>
    </row>
    <row r="19" spans="2:37" ht="30" customHeight="1">
      <c r="B19" s="28" t="str">
        <f>NomMois&amp;" Total"</f>
        <v>Juillet Total</v>
      </c>
      <c r="C19" s="33">
        <f>COUNTIF(Juillet[1],CléCongé)+(COUNTIF(Juillet[1],CléCongéSpécial)+COUNTIF(Juillet[1],CléRTT)+(COUNTIF(Juillet[1],CléDemiRtt)/2)+COUNTIF(Juillet[1],CléCongéMalade)+COUNTIF(Juillet[1],CléRécupération)+(COUNTIF(Juillet[1],CléDemiRécupération)/2)+COUNTIF(Juillet[1],CléFormation)+(COUNTIF(Juillet[1],CléEnfantMalade)+(COUNTIF(Juillet[1],CléDemiEnfantMalade)/2)))</f>
        <v>0</v>
      </c>
      <c r="D19" s="33">
        <f>COUNTIF(Juillet[2],CléCongé)+(COUNTIF(Juillet[2],CléCongéSpécial)+COUNTIF(Juillet[2],CléRTT)+(COUNTIF(Juillet[2],CléDemiRtt)/2)+COUNTIF(Juillet[2],CléCongéMalade)+COUNTIF(Juillet[2],CléRécupération)+(COUNTIF(Juillet[2],CléDemiRécupération)/2)+COUNTIF(Juillet[2],CléFormation)+(COUNTIF(Juillet[2],CléEnfantMalade)+(COUNTIF(Juillet[2],CléDemiEnfantMalade)/2)))</f>
        <v>0</v>
      </c>
      <c r="E19" s="33">
        <f>COUNTIF(Juillet[3],CléCongé)+(COUNTIF(Juillet[3],CléCongéSpécial)+COUNTIF(Juillet[3],CléRTT)+(COUNTIF(Juillet[3],CléDemiRtt)/2)+COUNTIF(Juillet[3],CléCongéMalade)+COUNTIF(Juillet[3],CléRécupération)+(COUNTIF(Juillet[3],CléDemiRécupération)/2)+COUNTIF(Juillet[3],CléFormation)+(COUNTIF(Juillet[3],CléEnfantMalade)+(COUNTIF(Juillet[3],CléDemiEnfantMalade)/2)))</f>
        <v>0</v>
      </c>
      <c r="F19" s="33">
        <f>COUNTIF(Juillet[4],CléCongé)+(COUNTIF(Juillet[4],CléCongéSpécial)+COUNTIF(Juillet[4],CléRTT)+(COUNTIF(Juillet[4],CléDemiRtt)/2)+COUNTIF(Juillet[4],CléCongéMalade)+COUNTIF(Juillet[4],CléRécupération)+(COUNTIF(Juillet[4],CléDemiRécupération)/2)+COUNTIF(Juillet[4],CléFormation)+(COUNTIF(Juillet[4],CléEnfantMalade)+(COUNTIF(Juillet[4],CléDemiEnfantMalade)/2)))</f>
        <v>0</v>
      </c>
      <c r="G19" s="33">
        <f>COUNTIF(Juillet[5],CléCongé)+(COUNTIF(Juillet[5],CléCongéSpécial)+COUNTIF(Juillet[5],CléRTT)+(COUNTIF(Juillet[5],CléDemiRtt)/2)+COUNTIF(Juillet[5],CléCongéMalade)+COUNTIF(Juillet[5],CléRécupération)+(COUNTIF(Juillet[5],CléDemiRécupération)/2)+COUNTIF(Juillet[5],CléFormation)+(COUNTIF(Juillet[5],CléEnfantMalade)+(COUNTIF(Juillet[5],CléDemiEnfantMalade)/2)))</f>
        <v>0</v>
      </c>
      <c r="H19" s="33">
        <f>COUNTIF(Juillet[6],CléCongé)+(COUNTIF(Juillet[6],CléCongéSpécial)+COUNTIF(Juillet[6],CléRTT)+(COUNTIF(Juillet[6],CléDemiRtt)/2)+COUNTIF(Juillet[6],CléCongéMalade)+COUNTIF(Juillet[6],CléRécupération)+(COUNTIF(Juillet[6],CléDemiRécupération)/2)+COUNTIF(Juillet[6],CléFormation)+(COUNTIF(Juillet[6],CléEnfantMalade)+(COUNTIF(Juillet[6],CléDemiEnfantMalade)/2)))</f>
        <v>0</v>
      </c>
      <c r="I19" s="33">
        <f>COUNTIF(Juillet[7],CléCongé)+(COUNTIF(Juillet[7],CléCongéSpécial)+COUNTIF(Juillet[7],CléRTT)+(COUNTIF(Juillet[7],CléDemiRtt)/2)+COUNTIF(Juillet[7],CléCongéMalade)+COUNTIF(Juillet[7],CléRécupération)+(COUNTIF(Juillet[7],CléDemiRécupération)/2)+COUNTIF(Juillet[7],CléFormation)+(COUNTIF(Juillet[7],CléEnfantMalade)+(COUNTIF(Juillet[7],CléDemiEnfantMalade)/2)))</f>
        <v>0</v>
      </c>
      <c r="J19" s="33">
        <f>COUNTIF(Juillet[8],CléCongé)+(COUNTIF(Juillet[8],CléCongéSpécial)+COUNTIF(Juillet[8],CléRTT)+(COUNTIF(Juillet[8],CléDemiRtt)/2)+COUNTIF(Juillet[8],CléCongéMalade)+COUNTIF(Juillet[8],CléRécupération)+(COUNTIF(Juillet[8],CléDemiRécupération)/2)+COUNTIF(Juillet[8],CléFormation)+(COUNTIF(Juillet[8],CléEnfantMalade)+(COUNTIF(Juillet[8],CléDemiEnfantMalade)/2)))</f>
        <v>0</v>
      </c>
      <c r="K19" s="33">
        <f>COUNTIF(Juillet[9],CléCongé)+(COUNTIF(Juillet[9],CléCongéSpécial)+COUNTIF(Juillet[9],CléRTT)+(COUNTIF(Juillet[9],CléDemiRtt)/2)+COUNTIF(Juillet[9],CléCongéMalade)+COUNTIF(Juillet[9],CléRécupération)+(COUNTIF(Juillet[9],CléDemiRécupération)/2)+COUNTIF(Juillet[9],CléFormation)+(COUNTIF(Juillet[9],CléEnfantMalade)+(COUNTIF(Juillet[9],CléDemiEnfantMalade)/2)))</f>
        <v>0</v>
      </c>
      <c r="L19" s="33">
        <f>COUNTIF(Juillet[10],CléCongé)+(COUNTIF(Juillet[10],CléCongéSpécial)+COUNTIF(Juillet[10],CléRTT)+(COUNTIF(Juillet[10],CléDemiRtt)/2)+COUNTIF(Juillet[10],CléCongéMalade)+COUNTIF(Juillet[10],CléRécupération)+(COUNTIF(Juillet[10],CléDemiRécupération)/2)+COUNTIF(Juillet[10],CléFormation)+(COUNTIF(Juillet[10],CléEnfantMalade)+(COUNTIF(Juillet[10],CléDemiEnfantMalade)/2)))</f>
        <v>0</v>
      </c>
      <c r="M19" s="33">
        <f>COUNTIF(Juillet[11],CléCongé)+(COUNTIF(Juillet[11],CléCongéSpécial)+COUNTIF(Juillet[11],CléRTT)+(COUNTIF(Juillet[11],CléDemiRtt)/2)+COUNTIF(Juillet[11],CléCongéMalade)+COUNTIF(Juillet[11],CléRécupération)+(COUNTIF(Juillet[11],CléDemiRécupération)/2)+COUNTIF(Juillet[11],CléFormation)+(COUNTIF(Juillet[11],CléEnfantMalade)+(COUNTIF(Juillet[11],CléDemiEnfantMalade)/2)))</f>
        <v>0</v>
      </c>
      <c r="N19" s="33">
        <f>COUNTIF(Juillet[12],CléCongé)+(COUNTIF(Juillet[12],CléCongéSpécial)+COUNTIF(Juillet[12],CléRTT)+(COUNTIF(Juillet[12],CléDemiRtt)/2)+COUNTIF(Juillet[12],CléCongéMalade)+COUNTIF(Juillet[12],CléRécupération)+(COUNTIF(Juillet[12],CléDemiRécupération)/2)+COUNTIF(Juillet[12],CléFormation)+(COUNTIF(Juillet[12],CléEnfantMalade)+(COUNTIF(Juillet[12],CléDemiEnfantMalade)/2)))</f>
        <v>0</v>
      </c>
      <c r="O19" s="33">
        <f>COUNTIF(Juillet[13],CléCongé)+(COUNTIF(Juillet[13],CléCongéSpécial)+COUNTIF(Juillet[13],CléRTT)+(COUNTIF(Juillet[13],CléDemiRtt)/2)+COUNTIF(Juillet[13],CléCongéMalade)+COUNTIF(Juillet[13],CléRécupération)+(COUNTIF(Juillet[13],CléDemiRécupération)/2)+COUNTIF(Juillet[13],CléFormation)+(COUNTIF(Juillet[13],CléEnfantMalade)+(COUNTIF(Juillet[13],CléDemiEnfantMalade)/2)))</f>
        <v>0</v>
      </c>
      <c r="P19" s="33">
        <f>COUNTIF(Juillet[14],CléCongé)+(COUNTIF(Juillet[14],CléCongéSpécial)+COUNTIF(Juillet[14],CléRTT)+(COUNTIF(Juillet[14],CléDemiRtt)/2)+COUNTIF(Juillet[14],CléCongéMalade)+COUNTIF(Juillet[14],CléRécupération)+(COUNTIF(Juillet[14],CléDemiRécupération)/2)+COUNTIF(Juillet[14],CléFormation)+(COUNTIF(Juillet[14],CléEnfantMalade)+(COUNTIF(Juillet[14],CléDemiEnfantMalade)/2)))</f>
        <v>0</v>
      </c>
      <c r="Q19" s="33">
        <f>COUNTIF(Juillet[15],CléCongé)+(COUNTIF(Juillet[15],CléCongéSpécial)+COUNTIF(Juillet[15],CléRTT)+(COUNTIF(Juillet[15],CléDemiRtt)/2)+COUNTIF(Juillet[15],CléCongéMalade)+COUNTIF(Juillet[15],CléRécupération)+(COUNTIF(Juillet[15],CléDemiRécupération)/2)+COUNTIF(Juillet[15],CléFormation)+(COUNTIF(Juillet[15],CléEnfantMalade)+(COUNTIF(Juillet[15],CléDemiEnfantMalade)/2)))</f>
        <v>0</v>
      </c>
      <c r="R19" s="33">
        <f>COUNTIF(Juillet[16],CléCongé)+(COUNTIF(Juillet[16],CléCongéSpécial)+COUNTIF(Juillet[16],CléRTT)+(COUNTIF(Juillet[16],CléDemiRtt)/2)+COUNTIF(Juillet[16],CléCongéMalade)+COUNTIF(Juillet[16],CléRécupération)+(COUNTIF(Juillet[16],CléDemiRécupération)/2)+COUNTIF(Juillet[16],CléFormation)+(COUNTIF(Juillet[16],CléEnfantMalade)+(COUNTIF(Juillet[16],CléDemiEnfantMalade)/2)))</f>
        <v>0</v>
      </c>
      <c r="S19" s="33">
        <f>COUNTIF(Juillet[17],CléCongé)+(COUNTIF(Juillet[17],CléCongéSpécial)+COUNTIF(Juillet[17],CléRTT)+(COUNTIF(Juillet[17],CléDemiRtt)/2)+COUNTIF(Juillet[17],CléCongéMalade)+COUNTIF(Juillet[17],CléRécupération)+(COUNTIF(Juillet[17],CléDemiRécupération)/2)+COUNTIF(Juillet[17],CléFormation)+(COUNTIF(Juillet[17],CléEnfantMalade)+(COUNTIF(Juillet[17],CléDemiEnfantMalade)/2)))</f>
        <v>0</v>
      </c>
      <c r="T19" s="33">
        <f>COUNTIF(Juillet[18],CléCongé)+(COUNTIF(Juillet[18],CléCongéSpécial)+COUNTIF(Juillet[18],CléRTT)+(COUNTIF(Juillet[18],CléDemiRtt)/2)+COUNTIF(Juillet[18],CléCongéMalade)+COUNTIF(Juillet[18],CléRécupération)+(COUNTIF(Juillet[18],CléDemiRécupération)/2)+COUNTIF(Juillet[18],CléFormation)+(COUNTIF(Juillet[18],CléEnfantMalade)+(COUNTIF(Juillet[18],CléDemiEnfantMalade)/2)))</f>
        <v>0</v>
      </c>
      <c r="U19" s="33">
        <f>COUNTIF(Juillet[19],CléCongé)+(COUNTIF(Juillet[19],CléCongéSpécial)+COUNTIF(Juillet[19],CléRTT)+(COUNTIF(Juillet[19],CléDemiRtt)/2)+COUNTIF(Juillet[19],CléCongéMalade)+COUNTIF(Juillet[19],CléRécupération)+(COUNTIF(Juillet[19],CléDemiRécupération)/2)+COUNTIF(Juillet[19],CléFormation)+(COUNTIF(Juillet[19],CléEnfantMalade)+(COUNTIF(Juillet[19],CléDemiEnfantMalade)/2)))</f>
        <v>0</v>
      </c>
      <c r="V19" s="33">
        <f>COUNTIF(Juillet[20],CléCongé)+(COUNTIF(Juillet[20],CléCongéSpécial)+COUNTIF(Juillet[20],CléRTT)+(COUNTIF(Juillet[20],CléDemiRtt)/2)+COUNTIF(Juillet[20],CléCongéMalade)+COUNTIF(Juillet[20],CléRécupération)+(COUNTIF(Juillet[20],CléDemiRécupération)/2)+COUNTIF(Juillet[20],CléFormation)+(COUNTIF(Juillet[20],CléEnfantMalade)+(COUNTIF(Juillet[20],CléDemiEnfantMalade)/2)))</f>
        <v>0</v>
      </c>
      <c r="W19" s="33">
        <f>COUNTIF(Juillet[21],CléCongé)+(COUNTIF(Juillet[21],CléCongéSpécial)+COUNTIF(Juillet[21],CléRTT)+(COUNTIF(Juillet[21],CléDemiRtt)/2)+COUNTIF(Juillet[21],CléCongéMalade)+COUNTIF(Juillet[21],CléRécupération)+(COUNTIF(Juillet[21],CléDemiRécupération)/2)+COUNTIF(Juillet[21],CléFormation)+(COUNTIF(Juillet[21],CléEnfantMalade)+(COUNTIF(Juillet[21],CléDemiEnfantMalade)/2)))</f>
        <v>0</v>
      </c>
      <c r="X19" s="33">
        <f>COUNTIF(Juillet[22],CléCongé)+(COUNTIF(Juillet[22],CléCongéSpécial)+COUNTIF(Juillet[22],CléRTT)+(COUNTIF(Juillet[22],CléDemiRtt)/2)+COUNTIF(Juillet[22],CléCongéMalade)+COUNTIF(Juillet[22],CléRécupération)+(COUNTIF(Juillet[22],CléDemiRécupération)/2)+COUNTIF(Juillet[22],CléFormation)+(COUNTIF(Juillet[22],CléEnfantMalade)+(COUNTIF(Juillet[22],CléDemiEnfantMalade)/2)))</f>
        <v>0</v>
      </c>
      <c r="Y19" s="33">
        <f>COUNTIF(Juillet[23],CléCongé)+(COUNTIF(Juillet[23],CléCongéSpécial)+COUNTIF(Juillet[23],CléRTT)+(COUNTIF(Juillet[23],CléDemiRtt)/2)+COUNTIF(Juillet[23],CléCongéMalade)+COUNTIF(Juillet[23],CléRécupération)+(COUNTIF(Juillet[23],CléDemiRécupération)/2)+COUNTIF(Juillet[23],CléFormation)+(COUNTIF(Juillet[23],CléEnfantMalade)+(COUNTIF(Juillet[23],CléDemiEnfantMalade)/2)))</f>
        <v>0</v>
      </c>
      <c r="Z19" s="33">
        <f>COUNTIF(Juillet[24],CléCongé)+(COUNTIF(Juillet[24],CléCongéSpécial)+COUNTIF(Juillet[24],CléRTT)+(COUNTIF(Juillet[24],CléDemiRtt)/2)+COUNTIF(Juillet[24],CléCongéMalade)+COUNTIF(Juillet[24],CléRécupération)+(COUNTIF(Juillet[24],CléDemiRécupération)/2)+COUNTIF(Juillet[24],CléFormation)+(COUNTIF(Juillet[24],CléEnfantMalade)+(COUNTIF(Juillet[24],CléDemiEnfantMalade)/2)))</f>
        <v>0</v>
      </c>
      <c r="AA19" s="33">
        <f>COUNTIF(Juillet[25],CléCongé)+(COUNTIF(Juillet[25],CléCongéSpécial)+COUNTIF(Juillet[25],CléRTT)+(COUNTIF(Juillet[25],CléDemiRtt)/2)+COUNTIF(Juillet[25],CléCongéMalade)+COUNTIF(Juillet[25],CléRécupération)+(COUNTIF(Juillet[25],CléDemiRécupération)/2)+COUNTIF(Juillet[25],CléFormation)+(COUNTIF(Juillet[25],CléEnfantMalade)+(COUNTIF(Juillet[25],CléDemiEnfantMalade)/2)))</f>
        <v>0</v>
      </c>
      <c r="AB19" s="33">
        <f>COUNTIF(Juillet[26],CléCongé)+(COUNTIF(Juillet[26],CléCongéSpécial)+COUNTIF(Juillet[26],CléRTT)+(COUNTIF(Juillet[26],CléDemiRtt)/2)+COUNTIF(Juillet[26],CléCongéMalade)+COUNTIF(Juillet[26],CléRécupération)+(COUNTIF(Juillet[26],CléDemiRécupération)/2)+COUNTIF(Juillet[26],CléFormation)+(COUNTIF(Juillet[26],CléEnfantMalade)+(COUNTIF(Juillet[26],CléDemiEnfantMalade)/2)))</f>
        <v>0</v>
      </c>
      <c r="AC19" s="33">
        <f>COUNTIF(Juillet[27],CléCongé)+(COUNTIF(Juillet[27],CléCongéSpécial)+COUNTIF(Juillet[27],CléRTT)+(COUNTIF(Juillet[27],CléDemiRtt)/2)+COUNTIF(Juillet[27],CléCongéMalade)+COUNTIF(Juillet[27],CléRécupération)+(COUNTIF(Juillet[27],CléDemiRécupération)/2)+COUNTIF(Juillet[27],CléFormation)+(COUNTIF(Juillet[27],CléEnfantMalade)+(COUNTIF(Juillet[27],CléDemiEnfantMalade)/2)))</f>
        <v>0</v>
      </c>
      <c r="AD19" s="33">
        <f>COUNTIF(Juillet[28],CléCongé)+(COUNTIF(Juillet[28],CléCongéSpécial)+COUNTIF(Juillet[28],CléRTT)+(COUNTIF(Juillet[28],CléDemiRtt)/2)+COUNTIF(Juillet[28],CléCongéMalade)+COUNTIF(Juillet[28],CléRécupération)+(COUNTIF(Juillet[28],CléDemiRécupération)/2)+COUNTIF(Juillet[28],CléFormation)+(COUNTIF(Juillet[28],CléEnfantMalade)+(COUNTIF(Juillet[28],CléDemiEnfantMalade)/2)))</f>
        <v>0</v>
      </c>
      <c r="AE19" s="33">
        <f>COUNTIF(Juillet[29],CléCongé)+(COUNTIF(Juillet[29],CléCongéSpécial)+COUNTIF(Juillet[29],CléRTT)+(COUNTIF(Juillet[29],CléDemiRtt)/2)+COUNTIF(Juillet[29],CléCongéMalade)+COUNTIF(Juillet[29],CléRécupération)+(COUNTIF(Juillet[29],CléDemiRécupération)/2)+COUNTIF(Juillet[29],CléFormation)+(COUNTIF(Juillet[29],CléEnfantMalade)+(COUNTIF(Juillet[29],CléDemiEnfantMalade)/2)))</f>
        <v>0</v>
      </c>
      <c r="AF19" s="33">
        <f>COUNTIF(Juillet[30],CléCongé)+(COUNTIF(Juillet[30],CléCongéSpécial)+COUNTIF(Juillet[30],CléRTT)+(COUNTIF(Juillet[30],CléDemiRtt)/2)+COUNTIF(Juillet[30],CléCongéMalade)+COUNTIF(Juillet[30],CléRécupération)+(COUNTIF(Juillet[30],CléDemiRécupération)/2)+COUNTIF(Juillet[30],CléFormation)+(COUNTIF(Juillet[30],CléEnfantMalade)+(COUNTIF(Juillet[30],CléDemiEnfantMalade)/2)))</f>
        <v>0</v>
      </c>
      <c r="AG19" s="33">
        <f>COUNTIF(Juillet[31],CléCongé)+(COUNTIF(Juillet[31],CléCongéSpécial)+COUNTIF(Juillet[31],CléRTT)+(COUNTIF(Juillet[31],CléDemiRtt)/2)+COUNTIF(Juillet[31],CléCongéMalade)+COUNTIF(Juillet[31],CléRécupération)+(COUNTIF(Juillet[31],CléDemiRécupération)/2)+COUNTIF(Juillet[31],CléFormation)+(COUNTIF(Juillet[31],CléEnfantMalade)+(COUNTIF(Juillet[31],CléDemiEnfantMalade)/2)))</f>
        <v>0</v>
      </c>
      <c r="AH19" s="26">
        <f>SUBTOTAL(109,Juillet[Total absence])</f>
        <v>0</v>
      </c>
      <c r="AI19" s="26">
        <f>SUBTOTAL(109,Juillet[Dont RTT])</f>
        <v>0</v>
      </c>
      <c r="AJ19" s="26">
        <f>SUBTOTAL(109,Juillet[Dont MALADIE])</f>
        <v>0</v>
      </c>
      <c r="AK19" s="41"/>
    </row>
  </sheetData>
  <mergeCells count="15">
    <mergeCell ref="C5:AG5"/>
    <mergeCell ref="G2:H2"/>
    <mergeCell ref="J2:L2"/>
    <mergeCell ref="W2:Y2"/>
    <mergeCell ref="D3:E3"/>
    <mergeCell ref="G3:H3"/>
    <mergeCell ref="J3:L3"/>
    <mergeCell ref="N3:O3"/>
    <mergeCell ref="Q3:R3"/>
    <mergeCell ref="T3:U3"/>
    <mergeCell ref="W3:Y3"/>
    <mergeCell ref="D2:E2"/>
    <mergeCell ref="Q2:U2"/>
    <mergeCell ref="AA2:AC2"/>
    <mergeCell ref="AA3:AC3"/>
  </mergeCells>
  <conditionalFormatting sqref="C6:AG6">
    <cfRule type="containsText" dxfId="256" priority="136" stopIfTrue="1" operator="containsText" text="dim">
      <formula>NOT(ISERROR(SEARCH("dim",C6)))</formula>
    </cfRule>
  </conditionalFormatting>
  <conditionalFormatting sqref="AH7">
    <cfRule type="containsText" dxfId="255" priority="135" stopIfTrue="1" operator="containsText" text="dim">
      <formula>NOT(ISERROR(SEARCH("dim",AH7)))</formula>
    </cfRule>
  </conditionalFormatting>
  <conditionalFormatting sqref="C19:AG19">
    <cfRule type="containsText" dxfId="254" priority="115" stopIfTrue="1" operator="containsText" text="dim">
      <formula>NOT(ISERROR(SEARCH("dim",C19)))</formula>
    </cfRule>
  </conditionalFormatting>
  <conditionalFormatting sqref="AL3:XFD3 A2:A3 AG2:XFD2">
    <cfRule type="containsText" dxfId="253" priority="113" stopIfTrue="1" operator="containsText" text="dim">
      <formula>NOT(ISERROR(SEARCH("dim",A2)))</formula>
    </cfRule>
  </conditionalFormatting>
  <conditionalFormatting sqref="AH8:AH18">
    <cfRule type="dataBar" priority="54">
      <dataBar>
        <cfvo type="num" val="0"/>
        <cfvo type="num" val="31"/>
        <color rgb="FF00B0F0"/>
      </dataBar>
      <extLst>
        <ext xmlns:x14="http://schemas.microsoft.com/office/spreadsheetml/2009/9/main" uri="{B025F937-C7B1-47D3-B67F-A62EFF666E3E}">
          <x14:id>{2E735621-44A4-BB48-8DEF-914BA57FDD72}</x14:id>
        </ext>
      </extLst>
    </cfRule>
    <cfRule type="containsText" dxfId="252" priority="57" stopIfTrue="1" operator="containsText" text="dim">
      <formula>NOT(ISERROR(SEARCH("dim",AH8)))</formula>
    </cfRule>
  </conditionalFormatting>
  <conditionalFormatting sqref="AI8:AI18">
    <cfRule type="dataBar" priority="55">
      <dataBar>
        <cfvo type="num" val="0"/>
        <cfvo type="num" val="31"/>
        <color rgb="FF92D050"/>
      </dataBar>
      <extLst>
        <ext xmlns:x14="http://schemas.microsoft.com/office/spreadsheetml/2009/9/main" uri="{B025F937-C7B1-47D3-B67F-A62EFF666E3E}">
          <x14:id>{2A6C340E-12A6-E14B-ABFC-CF681A939FFD}</x14:id>
        </ext>
      </extLst>
    </cfRule>
  </conditionalFormatting>
  <conditionalFormatting sqref="B3:D3 F2:G3 M3:N3 Q3 S3:T3 V2:W3 I2:J3">
    <cfRule type="containsText" dxfId="251" priority="36" stopIfTrue="1" operator="containsText" text="dim">
      <formula>NOT(ISERROR(SEARCH("dim",B2)))</formula>
    </cfRule>
  </conditionalFormatting>
  <conditionalFormatting sqref="V2:W2">
    <cfRule type="containsText" dxfId="250" priority="35" stopIfTrue="1" operator="containsText" text="dim">
      <formula>NOT(ISERROR(SEARCH("dim",V2)))</formula>
    </cfRule>
  </conditionalFormatting>
  <conditionalFormatting sqref="AA2">
    <cfRule type="containsText" dxfId="249" priority="34" stopIfTrue="1" operator="containsText" text="dim">
      <formula>NOT(ISERROR(SEARCH("dim",AA2)))</formula>
    </cfRule>
  </conditionalFormatting>
  <conditionalFormatting sqref="AA2">
    <cfRule type="containsText" dxfId="248" priority="33" stopIfTrue="1" operator="containsText" text="dim">
      <formula>NOT(ISERROR(SEARCH("dim",AA2)))</formula>
    </cfRule>
  </conditionalFormatting>
  <conditionalFormatting sqref="P3">
    <cfRule type="expression" dxfId="247" priority="19" stopIfTrue="1">
      <formula>P3=CléNonTravaillé</formula>
    </cfRule>
    <cfRule type="expression" dxfId="246" priority="20" stopIfTrue="1">
      <formula>P3=CléPrésenceExceptionnelle</formula>
    </cfRule>
    <cfRule type="expression" dxfId="245" priority="21" stopIfTrue="1">
      <formula>P3=CléCongéSpécial</formula>
    </cfRule>
    <cfRule type="expression" dxfId="244" priority="22" stopIfTrue="1">
      <formula>P3=CléDemiRécupération</formula>
    </cfRule>
    <cfRule type="expression" dxfId="243" priority="23" stopIfTrue="1">
      <formula>P3=CléDemiEnfantMalade</formula>
    </cfRule>
    <cfRule type="expression" dxfId="242" priority="24" stopIfTrue="1">
      <formula>P3=CléEnfantMalade</formula>
    </cfRule>
    <cfRule type="expression" dxfId="241" priority="25" stopIfTrue="1">
      <formula>P3=CléDemiRtt</formula>
    </cfRule>
    <cfRule type="expression" priority="26" stopIfTrue="1">
      <formula>P3=""</formula>
    </cfRule>
    <cfRule type="expression" dxfId="240" priority="27" stopIfTrue="1">
      <formula>P3=CléMaladie</formula>
    </cfRule>
    <cfRule type="expression" dxfId="239" priority="28" stopIfTrue="1">
      <formula>P3=CléCongé</formula>
    </cfRule>
    <cfRule type="expression" dxfId="238" priority="29" stopIfTrue="1">
      <formula>P3=CléRécupération</formula>
    </cfRule>
    <cfRule type="expression" dxfId="237" priority="30" stopIfTrue="1">
      <formula>P3=CléFormation</formula>
    </cfRule>
    <cfRule type="expression" dxfId="236" priority="31" stopIfTrue="1">
      <formula>P3=CléRTT</formula>
    </cfRule>
    <cfRule type="expression" dxfId="235" priority="32" stopIfTrue="1">
      <formula>P3=CléTélétravail</formula>
    </cfRule>
  </conditionalFormatting>
  <conditionalFormatting sqref="AA3">
    <cfRule type="containsText" dxfId="234" priority="18" stopIfTrue="1" operator="containsText" text="dim">
      <formula>NOT(ISERROR(SEARCH("dim",AA3)))</formula>
    </cfRule>
  </conditionalFormatting>
  <conditionalFormatting sqref="AA3">
    <cfRule type="containsText" dxfId="233" priority="17" stopIfTrue="1" operator="containsText" text="dim">
      <formula>NOT(ISERROR(SEARCH("dim",AA3)))</formula>
    </cfRule>
  </conditionalFormatting>
  <conditionalFormatting sqref="C8:AG18">
    <cfRule type="expression" dxfId="232" priority="2" stopIfTrue="1">
      <formula>C8=CléAbsenceJustifiée</formula>
    </cfRule>
    <cfRule type="expression" dxfId="231" priority="3" stopIfTrue="1">
      <formula>C8=CléNonTravaillé</formula>
    </cfRule>
    <cfRule type="expression" dxfId="230" priority="4" stopIfTrue="1">
      <formula>C8=CléPrésenceExceptionnelle</formula>
    </cfRule>
    <cfRule type="expression" dxfId="229" priority="5" stopIfTrue="1">
      <formula>C8=CléCongéSpécial</formula>
    </cfRule>
    <cfRule type="expression" dxfId="228" priority="6" stopIfTrue="1">
      <formula>C8=CléDemiRécupération</formula>
    </cfRule>
    <cfRule type="expression" dxfId="227" priority="7" stopIfTrue="1">
      <formula>C8=CléDemiEnfantMalade</formula>
    </cfRule>
    <cfRule type="expression" dxfId="226" priority="8" stopIfTrue="1">
      <formula>C8=CléEnfantMalade</formula>
    </cfRule>
    <cfRule type="expression" dxfId="225" priority="9" stopIfTrue="1">
      <formula>C8=CléDemiRtt</formula>
    </cfRule>
    <cfRule type="expression" priority="10" stopIfTrue="1">
      <formula>C8=""</formula>
    </cfRule>
    <cfRule type="expression" dxfId="224" priority="11" stopIfTrue="1">
      <formula>C8=CléCongéMalade</formula>
    </cfRule>
    <cfRule type="expression" dxfId="223" priority="12" stopIfTrue="1">
      <formula>C8=CléCongé</formula>
    </cfRule>
    <cfRule type="expression" dxfId="222" priority="13" stopIfTrue="1">
      <formula>C8=CléRécupération</formula>
    </cfRule>
    <cfRule type="expression" dxfId="221" priority="14" stopIfTrue="1">
      <formula>C8=CléFormation</formula>
    </cfRule>
    <cfRule type="expression" dxfId="220" priority="15" stopIfTrue="1">
      <formula>C8=CléRTT</formula>
    </cfRule>
    <cfRule type="expression" dxfId="219" priority="16" stopIfTrue="1">
      <formula>C8=CléTélétravail</formula>
    </cfRule>
  </conditionalFormatting>
  <conditionalFormatting sqref="AJ8:AJ18">
    <cfRule type="dataBar" priority="1">
      <dataBar>
        <cfvo type="num" val="0"/>
        <cfvo type="num" val="31"/>
        <color rgb="FFFF0000"/>
      </dataBar>
      <extLst>
        <ext xmlns:x14="http://schemas.microsoft.com/office/spreadsheetml/2009/9/main" uri="{B025F937-C7B1-47D3-B67F-A62EFF666E3E}">
          <x14:id>{E38CDFCA-4492-4578-982E-947E8A9CCD4A}</x14:id>
        </ext>
      </extLst>
    </cfRule>
  </conditionalFormatting>
  <dataValidations count="17">
    <dataValidation allowBlank="1" showInputMessage="1" showErrorMessage="1" prompt="Les jours de la semaine dans cette ligne sont mis à jour automatiquement pour le mois en fonction de l’année dans AH4. Chaque jour du mois est une colonne dans laquelle noter l’absence et le motif d’absence d’un employé" sqref="C6" xr:uid="{63613924-DE8B-6C42-9855-41DB04B7870B}"/>
    <dataValidation allowBlank="1" showInputMessage="1" showErrorMessage="1" prompt="Année mise à jour automatiquement en fonction de l’année entrée dans la feuille de calcul Janvier" sqref="AH5" xr:uid="{7C83C222-D391-4B40-8F50-47C2BDB9C522}"/>
    <dataValidation allowBlank="1" showInputMessage="1" showErrorMessage="1" prompt="Calcule automatiquement le nombre total de jours d’absence d’un employé durant ce mois dans cette colonne" sqref="AH7" xr:uid="{108B7C77-C0D6-0E46-9785-06A2E20E29FB}"/>
    <dataValidation allowBlank="1" showInputMessage="1" showErrorMessage="1" prompt="Suivez les absences du mois de juillet dans cette feuille de calcul" sqref="A1" xr:uid="{0F1BB49D-C98F-B24C-93B1-607E23D0E0FC}"/>
    <dataValidation errorStyle="warning" allowBlank="1" showInputMessage="1" showErrorMessage="1" error="Sélectionnez un nom dans la liste. Sélectionnez ANNULER, appuyez sur ALT+FLÈCHE BAS, puis sur ENTRÉE pour sélectionner un nom" prompt="Entrez les noms des employés dans la feuille de calcul du Noms des employés, puis sélectionnez l’un des noms de la liste figurant dans cette colonne. Appuyez sur ALT+FLÈCHE BAS, puis sur ENTRÉE pour sélectionner un nom" sqref="B7" xr:uid="{A5E443D2-FDC6-EE41-B0C2-84D6E1C44ADC}"/>
    <dataValidation allowBlank="1" showInputMessage="1" showErrorMessage="1" prompt="Nom du mois pour ce calendrier des absences dans cette cellule. Le total des absences pour ce mois figure dans la dernière cellule du tableau. Sélectionnez les noms des employés dans la colonne B du tableau" sqref="B5" xr:uid="{2F8DC9F3-8C92-A142-8F97-06232BC47E12}"/>
    <dataValidation allowBlank="1" showInputMessage="1" showErrorMessage="1" prompt="Les jours du mois dans cette ligne sont générés automatiquement. Entrez l’absence et le motif d’absence d’un employé dans chaque colonne pour chaque jour du mois. Un champ vide indique qu’il n’y a pas eu d’absence" sqref="C7" xr:uid="{DDE63753-6B39-F842-8F05-3938C86464EE}"/>
    <dataValidation allowBlank="1" showInputMessage="1" showErrorMessage="1" prompt="Le Calendrier des absences des employés suit les absences exprimées en jours pour chaque mois. Il existe 13 feuilles de calcul, 12 mensuelles et la dernière pour les noms des employés. Suivez les absences du mois de janvier dans cette feuille de calcul" sqref="A2" xr:uid="{D2380D19-95C8-004D-90F9-E53FFD5A4692}"/>
    <dataValidation allowBlank="1" showErrorMessage="1" sqref="B2:B3 B1:Y1" xr:uid="{C19D9715-7C8C-4840-A534-FDFF8D377866}"/>
    <dataValidation allowBlank="1" showErrorMessage="1" prompt="Entrez une étiquette pour décrire la clé personnalisée à gauche" sqref="N3" xr:uid="{F94B4426-EFE0-EE42-B995-FC3922063EF4}"/>
    <dataValidation allowBlank="1" showErrorMessage="1" prompt="Entrez une lettre et personnalisez l’étiquette à droite pour ajouter un élément de clé" sqref="I2:I3" xr:uid="{B8EBE9DB-8A7F-7843-A667-F988518DC2C5}"/>
    <dataValidation allowBlank="1" showInputMessage="1" showErrorMessage="1" prompt="Entrez une étiquette pour décrire la clé personnalisée à gauche" sqref="J2:J3" xr:uid="{236B7885-FDEA-AB41-BAAE-1952AD16E328}"/>
    <dataValidation allowBlank="1" showInputMessage="1" showErrorMessage="1" prompt="Entrez une lettre et personnalisez l’étiquette à droite pour ajouter un élément de clé" sqref="M3" xr:uid="{C42D8FEA-AAEE-FC4D-ACE7-3F0A70F05BE7}"/>
    <dataValidation allowBlank="1" showInputMessage="1" showErrorMessage="1" prompt="La lettre « M » indique une absence pour cause de maladie" sqref="S3" xr:uid="{6BE246D1-04EB-1149-A164-9AA0A2638C4C}"/>
    <dataValidation allowBlank="1" showErrorMessage="1" prompt="La lettre « P » indique une absence pour motifs personnels" sqref="F3" xr:uid="{4081B12F-6D9C-544A-81D8-9AD29B26CC53}"/>
    <dataValidation allowBlank="1" showErrorMessage="1" prompt="La lettre « C » indique une absence pour cause de congé" sqref="C3" xr:uid="{5BB5E604-0F0A-E349-B353-6C793A15CD7C}"/>
    <dataValidation type="list" allowBlank="1" showInputMessage="1" showErrorMessage="1" sqref="B8:B18" xr:uid="{C4A05A7C-8AD6-4C41-A894-7782C4EA2717}">
      <formula1>Nom_Employe</formula1>
    </dataValidation>
  </dataValidations>
  <pageMargins left="0.7" right="0.7" top="0.75" bottom="0.75" header="0.3" footer="0.3"/>
  <pageSetup paperSize="9" fitToHeight="0" orientation="portrait" verticalDpi="4294967293" r:id="rId1"/>
  <tableParts count="1">
    <tablePart r:id="rId2"/>
  </tableParts>
  <extLst>
    <ext xmlns:x14="http://schemas.microsoft.com/office/spreadsheetml/2009/9/main" uri="{78C0D931-6437-407d-A8EE-F0AAD7539E65}">
      <x14:conditionalFormattings>
        <x14:conditionalFormatting xmlns:xm="http://schemas.microsoft.com/office/excel/2006/main">
          <x14:cfRule type="dataBar" id="{2E735621-44A4-BB48-8DEF-914BA57FDD72}">
            <x14:dataBar minLength="0" maxLength="100">
              <x14:cfvo type="num">
                <xm:f>0</xm:f>
              </x14:cfvo>
              <x14:cfvo type="num">
                <xm:f>31</xm:f>
              </x14:cfvo>
              <x14:negativeFillColor rgb="FFFF0000"/>
              <x14:axisColor rgb="FF000000"/>
            </x14:dataBar>
          </x14:cfRule>
          <xm:sqref>AH8:AH18</xm:sqref>
        </x14:conditionalFormatting>
        <x14:conditionalFormatting xmlns:xm="http://schemas.microsoft.com/office/excel/2006/main">
          <x14:cfRule type="dataBar" id="{2A6C340E-12A6-E14B-ABFC-CF681A939FFD}">
            <x14:dataBar minLength="0" maxLength="100">
              <x14:cfvo type="num">
                <xm:f>0</xm:f>
              </x14:cfvo>
              <x14:cfvo type="num">
                <xm:f>31</xm:f>
              </x14:cfvo>
              <x14:negativeFillColor rgb="FFFF0000"/>
              <x14:axisColor rgb="FF000000"/>
            </x14:dataBar>
          </x14:cfRule>
          <xm:sqref>AI8:AI18</xm:sqref>
        </x14:conditionalFormatting>
        <x14:conditionalFormatting xmlns:xm="http://schemas.microsoft.com/office/excel/2006/main">
          <x14:cfRule type="dataBar" id="{E38CDFCA-4492-4578-982E-947E8A9CCD4A}">
            <x14:dataBar minLength="0" maxLength="100">
              <x14:cfvo type="num">
                <xm:f>0</xm:f>
              </x14:cfvo>
              <x14:cfvo type="num">
                <xm:f>31</xm:f>
              </x14:cfvo>
              <x14:negativeFillColor rgb="FFFF0000"/>
              <x14:axisColor rgb="FF000000"/>
            </x14:dataBar>
          </x14:cfRule>
          <xm:sqref>AJ8:AJ18</xm:sqref>
        </x14:conditionalFormatting>
        <x14:conditionalFormatting xmlns:xm="http://schemas.microsoft.com/office/excel/2006/main">
          <x14:cfRule type="containsText" priority="165" stopIfTrue="1" operator="containsText" text="dim" id="{12D51DEC-8727-894B-A505-6AC52C69404B}">
            <xm:f>NOT(ISERROR(SEARCH("dim",Avril!AK17)))</xm:f>
            <x14:dxf>
              <font>
                <color theme="9"/>
              </font>
              <fill>
                <patternFill patternType="none">
                  <bgColor auto="1"/>
                </patternFill>
              </fill>
            </x14:dxf>
          </x14:cfRule>
          <xm:sqref>AK19:AK1048576</xm:sqref>
        </x14:conditionalFormatting>
        <x14:conditionalFormatting xmlns:xm="http://schemas.microsoft.com/office/excel/2006/main">
          <x14:cfRule type="containsText" priority="90" stopIfTrue="1" operator="containsText" text="dim" id="{968D20C4-6906-D84F-8CCB-57EE16113673}">
            <xm:f>NOT(ISERROR(SEARCH("dim",Juin!AI19)))</xm:f>
            <x14:dxf>
              <font>
                <color theme="9"/>
              </font>
              <fill>
                <patternFill patternType="none">
                  <bgColor auto="1"/>
                </patternFill>
              </fill>
            </x14:dxf>
          </x14:cfRule>
          <xm:sqref>AI19:AJ19</xm:sqref>
        </x14:conditionalFormatting>
        <x14:conditionalFormatting xmlns:xm="http://schemas.microsoft.com/office/excel/2006/main">
          <x14:cfRule type="containsText" priority="465" stopIfTrue="1" operator="containsText" text="dim" id="{12D51DEC-8727-894B-A505-6AC52C69404B}">
            <xm:f>NOT(ISERROR(SEARCH("dim",Avril!AK1)))</xm:f>
            <x14:dxf>
              <font>
                <color theme="9"/>
              </font>
              <fill>
                <patternFill patternType="none">
                  <bgColor auto="1"/>
                </patternFill>
              </fill>
            </x14:dxf>
          </x14:cfRule>
          <xm:sqref>AK1 AK4 AK7</xm:sqref>
        </x14:conditionalFormatting>
      </x14:conditionalFormatting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9C5DFFE-6BEA-444B-A5FA-33147DE478F5}">
  <sheetPr codeName="Feuil8">
    <tabColor theme="2" tint="-0.749992370372631"/>
  </sheetPr>
  <dimension ref="A1:AK19"/>
  <sheetViews>
    <sheetView showGridLines="0" topLeftCell="F10" zoomScale="110" zoomScaleNormal="110" workbookViewId="0">
      <selection activeCell="AJ8" sqref="AJ8:AJ18"/>
    </sheetView>
  </sheetViews>
  <sheetFormatPr baseColWidth="10" defaultColWidth="9.140625" defaultRowHeight="30" customHeight="1"/>
  <cols>
    <col min="1" max="1" width="2.7109375" style="3" customWidth="1"/>
    <col min="2" max="2" width="25.85546875" style="3" customWidth="1"/>
    <col min="3" max="33" width="4.7109375" style="3" customWidth="1"/>
    <col min="34" max="34" width="13.42578125" style="3" customWidth="1"/>
    <col min="35" max="36" width="11.140625" customWidth="1"/>
    <col min="37" max="37" width="20.140625" customWidth="1"/>
  </cols>
  <sheetData>
    <row r="1" spans="1:37" ht="50.1" customHeight="1">
      <c r="B1" s="4" t="str">
        <f>Titre_Absence_Employé</f>
        <v>Calendrier des absences des employés</v>
      </c>
    </row>
    <row r="2" spans="1:37" ht="21.95" customHeight="1">
      <c r="A2" s="5"/>
      <c r="C2" s="48" t="s">
        <v>89</v>
      </c>
      <c r="D2" s="93" t="s">
        <v>90</v>
      </c>
      <c r="E2" s="93"/>
      <c r="F2" s="39" t="s">
        <v>72</v>
      </c>
      <c r="G2" s="88" t="s">
        <v>66</v>
      </c>
      <c r="H2" s="88"/>
      <c r="I2" s="38" t="s">
        <v>71</v>
      </c>
      <c r="J2" s="88" t="s">
        <v>74</v>
      </c>
      <c r="K2" s="88"/>
      <c r="L2" s="88"/>
      <c r="P2" s="47" t="s">
        <v>87</v>
      </c>
      <c r="Q2" s="95" t="s">
        <v>88</v>
      </c>
      <c r="R2" s="95"/>
      <c r="S2" s="95"/>
      <c r="T2" s="95"/>
      <c r="U2" s="95"/>
      <c r="V2" s="40" t="s">
        <v>70</v>
      </c>
      <c r="W2" s="88" t="s">
        <v>73</v>
      </c>
      <c r="X2" s="88"/>
      <c r="Y2" s="88"/>
      <c r="Z2" s="51" t="s">
        <v>96</v>
      </c>
      <c r="AA2" s="88" t="s">
        <v>97</v>
      </c>
      <c r="AB2" s="88"/>
      <c r="AC2" s="88"/>
    </row>
    <row r="3" spans="1:37" ht="18" customHeight="1">
      <c r="B3" s="9" t="s">
        <v>1</v>
      </c>
      <c r="C3" s="17" t="s">
        <v>4</v>
      </c>
      <c r="D3" s="89" t="s">
        <v>7</v>
      </c>
      <c r="E3" s="89"/>
      <c r="F3" s="18" t="s">
        <v>57</v>
      </c>
      <c r="G3" s="88" t="s">
        <v>57</v>
      </c>
      <c r="H3" s="88"/>
      <c r="I3" s="21" t="s">
        <v>55</v>
      </c>
      <c r="J3" s="88" t="s">
        <v>56</v>
      </c>
      <c r="K3" s="88"/>
      <c r="L3" s="88"/>
      <c r="M3" s="14" t="s">
        <v>58</v>
      </c>
      <c r="N3" s="88" t="s">
        <v>59</v>
      </c>
      <c r="O3" s="90"/>
      <c r="P3" s="54" t="s">
        <v>60</v>
      </c>
      <c r="Q3" s="91" t="s">
        <v>61</v>
      </c>
      <c r="R3" s="88"/>
      <c r="S3" s="20" t="s">
        <v>11</v>
      </c>
      <c r="T3" s="89" t="s">
        <v>17</v>
      </c>
      <c r="U3" s="89"/>
      <c r="V3" s="36" t="s">
        <v>69</v>
      </c>
      <c r="W3" s="88" t="s">
        <v>68</v>
      </c>
      <c r="X3" s="88"/>
      <c r="Y3" s="88"/>
      <c r="Z3" s="73" t="s">
        <v>100</v>
      </c>
      <c r="AA3" s="92" t="s">
        <v>101</v>
      </c>
      <c r="AB3" s="92"/>
      <c r="AC3" s="92"/>
    </row>
    <row r="4" spans="1:37" ht="15" customHeight="1">
      <c r="B4" s="4"/>
    </row>
    <row r="5" spans="1:37" ht="30" customHeight="1">
      <c r="B5" s="19" t="s">
        <v>49</v>
      </c>
      <c r="C5" s="87" t="s">
        <v>5</v>
      </c>
      <c r="D5" s="87"/>
      <c r="E5" s="87"/>
      <c r="F5" s="87"/>
      <c r="G5" s="87"/>
      <c r="H5" s="87"/>
      <c r="I5" s="87"/>
      <c r="J5" s="87"/>
      <c r="K5" s="87"/>
      <c r="L5" s="87"/>
      <c r="M5" s="87"/>
      <c r="N5" s="87"/>
      <c r="O5" s="87"/>
      <c r="P5" s="87"/>
      <c r="Q5" s="87"/>
      <c r="R5" s="87"/>
      <c r="S5" s="87"/>
      <c r="T5" s="87"/>
      <c r="U5" s="87"/>
      <c r="V5" s="87"/>
      <c r="W5" s="87"/>
      <c r="X5" s="87"/>
      <c r="Y5" s="87"/>
      <c r="Z5" s="87"/>
      <c r="AA5" s="87"/>
      <c r="AB5" s="87"/>
      <c r="AC5" s="87"/>
      <c r="AD5" s="87"/>
      <c r="AE5" s="87"/>
      <c r="AF5" s="87"/>
      <c r="AG5" s="87"/>
      <c r="AH5" s="23"/>
      <c r="AI5" s="23"/>
      <c r="AJ5" s="23"/>
      <c r="AK5" s="68">
        <f>AnnéeCalendrier</f>
        <v>2021</v>
      </c>
    </row>
    <row r="6" spans="1:37" ht="15" customHeight="1">
      <c r="B6" s="13"/>
      <c r="C6" s="55" t="str">
        <f>TEXT(WEEKDAY(DATE(AnnéeCalendrier,8,1),1),"jjj")</f>
        <v>dim</v>
      </c>
      <c r="D6" s="55" t="str">
        <f>TEXT(WEEKDAY(DATE(AnnéeCalendrier,8,2),1),"jjj")</f>
        <v>lun</v>
      </c>
      <c r="E6" s="55" t="str">
        <f>TEXT(WEEKDAY(DATE(AnnéeCalendrier,8,3),1),"jjj")</f>
        <v>mar</v>
      </c>
      <c r="F6" s="55" t="str">
        <f>TEXT(WEEKDAY(DATE(AnnéeCalendrier,8,4),1),"jjj")</f>
        <v>mer</v>
      </c>
      <c r="G6" s="55" t="str">
        <f>TEXT(WEEKDAY(DATE(AnnéeCalendrier,8,5),1),"jjj")</f>
        <v>jeu</v>
      </c>
      <c r="H6" s="55" t="str">
        <f>TEXT(WEEKDAY(DATE(AnnéeCalendrier,8,6),1),"jjj")</f>
        <v>ven</v>
      </c>
      <c r="I6" s="55" t="str">
        <f>TEXT(WEEKDAY(DATE(AnnéeCalendrier,8,7),1),"jjj")</f>
        <v>sam</v>
      </c>
      <c r="J6" s="55" t="str">
        <f>TEXT(WEEKDAY(DATE(AnnéeCalendrier,8,8),1),"jjj")</f>
        <v>dim</v>
      </c>
      <c r="K6" s="55" t="str">
        <f>TEXT(WEEKDAY(DATE(AnnéeCalendrier,8,9),1),"jjj")</f>
        <v>lun</v>
      </c>
      <c r="L6" s="55" t="str">
        <f>TEXT(WEEKDAY(DATE(AnnéeCalendrier,8,10),1),"jjj")</f>
        <v>mar</v>
      </c>
      <c r="M6" s="55" t="str">
        <f>TEXT(WEEKDAY(DATE(AnnéeCalendrier,8,11),1),"jjj")</f>
        <v>mer</v>
      </c>
      <c r="N6" s="55" t="str">
        <f>TEXT(WEEKDAY(DATE(AnnéeCalendrier,8,12),1),"jjj")</f>
        <v>jeu</v>
      </c>
      <c r="O6" s="55" t="str">
        <f>TEXT(WEEKDAY(DATE(AnnéeCalendrier,8,13),1),"jjj")</f>
        <v>ven</v>
      </c>
      <c r="P6" s="55" t="str">
        <f>TEXT(WEEKDAY(DATE(AnnéeCalendrier,8,14),1),"jjj")</f>
        <v>sam</v>
      </c>
      <c r="Q6" s="55" t="str">
        <f>TEXT(WEEKDAY(DATE(AnnéeCalendrier,8,15),1),"jjj")</f>
        <v>dim</v>
      </c>
      <c r="R6" s="55" t="str">
        <f>TEXT(WEEKDAY(DATE(AnnéeCalendrier,8,16),1),"jjj")</f>
        <v>lun</v>
      </c>
      <c r="S6" s="55" t="str">
        <f>TEXT(WEEKDAY(DATE(AnnéeCalendrier,8,17),1),"jjj")</f>
        <v>mar</v>
      </c>
      <c r="T6" s="55" t="str">
        <f>TEXT(WEEKDAY(DATE(AnnéeCalendrier,8,18),1),"jjj")</f>
        <v>mer</v>
      </c>
      <c r="U6" s="55" t="str">
        <f>TEXT(WEEKDAY(DATE(AnnéeCalendrier,8,19),1),"jjj")</f>
        <v>jeu</v>
      </c>
      <c r="V6" s="55" t="str">
        <f>TEXT(WEEKDAY(DATE(AnnéeCalendrier,8,20),1),"jjj")</f>
        <v>ven</v>
      </c>
      <c r="W6" s="55" t="str">
        <f>TEXT(WEEKDAY(DATE(AnnéeCalendrier,8,21),1),"jjj")</f>
        <v>sam</v>
      </c>
      <c r="X6" s="55" t="str">
        <f>TEXT(WEEKDAY(DATE(AnnéeCalendrier,8,22),1),"jjj")</f>
        <v>dim</v>
      </c>
      <c r="Y6" s="55" t="str">
        <f>TEXT(WEEKDAY(DATE(AnnéeCalendrier,8,23),1),"jjj")</f>
        <v>lun</v>
      </c>
      <c r="Z6" s="55" t="str">
        <f>TEXT(WEEKDAY(DATE(AnnéeCalendrier,8,24),1),"jjj")</f>
        <v>mar</v>
      </c>
      <c r="AA6" s="55" t="str">
        <f>TEXT(WEEKDAY(DATE(AnnéeCalendrier,8,25),1),"jjj")</f>
        <v>mer</v>
      </c>
      <c r="AB6" s="55" t="str">
        <f>TEXT(WEEKDAY(DATE(AnnéeCalendrier,8,26),1),"jjj")</f>
        <v>jeu</v>
      </c>
      <c r="AC6" s="55" t="str">
        <f>TEXT(WEEKDAY(DATE(AnnéeCalendrier,8,27),1),"jjj")</f>
        <v>ven</v>
      </c>
      <c r="AD6" s="55" t="str">
        <f>TEXT(WEEKDAY(DATE(AnnéeCalendrier,8,28),1),"jjj")</f>
        <v>sam</v>
      </c>
      <c r="AE6" s="55" t="str">
        <f>TEXT(WEEKDAY(DATE(AnnéeCalendrier,8,29),1),"jjj")</f>
        <v>dim</v>
      </c>
      <c r="AF6" s="55" t="str">
        <f>TEXT(WEEKDAY(DATE(AnnéeCalendrier,8,30),1),"jjj")</f>
        <v>lun</v>
      </c>
      <c r="AG6" s="55" t="str">
        <f>TEXT(WEEKDAY(DATE(AnnéeCalendrier,8,31),1),"jjj")</f>
        <v>mar</v>
      </c>
      <c r="AH6" s="10"/>
      <c r="AI6" s="10"/>
      <c r="AJ6" s="10"/>
      <c r="AK6" s="10"/>
    </row>
    <row r="7" spans="1:37" ht="35.1" customHeight="1">
      <c r="B7" s="11" t="s">
        <v>3</v>
      </c>
      <c r="C7" s="12" t="s">
        <v>6</v>
      </c>
      <c r="D7" s="12" t="s">
        <v>8</v>
      </c>
      <c r="E7" s="12" t="s">
        <v>9</v>
      </c>
      <c r="F7" s="12" t="s">
        <v>10</v>
      </c>
      <c r="G7" s="12" t="s">
        <v>12</v>
      </c>
      <c r="H7" s="12" t="s">
        <v>13</v>
      </c>
      <c r="I7" s="12" t="s">
        <v>14</v>
      </c>
      <c r="J7" s="12" t="s">
        <v>15</v>
      </c>
      <c r="K7" s="12" t="s">
        <v>16</v>
      </c>
      <c r="L7" s="12" t="s">
        <v>18</v>
      </c>
      <c r="M7" s="12" t="s">
        <v>19</v>
      </c>
      <c r="N7" s="12" t="s">
        <v>20</v>
      </c>
      <c r="O7" s="12" t="s">
        <v>21</v>
      </c>
      <c r="P7" s="12" t="s">
        <v>22</v>
      </c>
      <c r="Q7" s="12" t="s">
        <v>23</v>
      </c>
      <c r="R7" s="12" t="s">
        <v>24</v>
      </c>
      <c r="S7" s="12" t="s">
        <v>25</v>
      </c>
      <c r="T7" s="12" t="s">
        <v>26</v>
      </c>
      <c r="U7" s="12" t="s">
        <v>27</v>
      </c>
      <c r="V7" s="12" t="s">
        <v>28</v>
      </c>
      <c r="W7" s="12" t="s">
        <v>29</v>
      </c>
      <c r="X7" s="12" t="s">
        <v>30</v>
      </c>
      <c r="Y7" s="12" t="s">
        <v>31</v>
      </c>
      <c r="Z7" s="12" t="s">
        <v>32</v>
      </c>
      <c r="AA7" s="12" t="s">
        <v>33</v>
      </c>
      <c r="AB7" s="12" t="s">
        <v>34</v>
      </c>
      <c r="AC7" s="12" t="s">
        <v>35</v>
      </c>
      <c r="AD7" s="12" t="s">
        <v>36</v>
      </c>
      <c r="AE7" s="12" t="s">
        <v>37</v>
      </c>
      <c r="AF7" s="12" t="s">
        <v>38</v>
      </c>
      <c r="AG7" s="12" t="s">
        <v>39</v>
      </c>
      <c r="AH7" s="24" t="s">
        <v>67</v>
      </c>
      <c r="AI7" s="25" t="s">
        <v>78</v>
      </c>
      <c r="AJ7" s="25" t="s">
        <v>98</v>
      </c>
      <c r="AK7" s="32" t="s">
        <v>84</v>
      </c>
    </row>
    <row r="8" spans="1:37" ht="30" customHeight="1">
      <c r="B8" s="8"/>
      <c r="C8" s="15"/>
      <c r="D8" s="15"/>
      <c r="E8" s="15"/>
      <c r="F8" s="15"/>
      <c r="G8" s="15"/>
      <c r="H8" s="15"/>
      <c r="I8" s="15"/>
      <c r="J8" s="15"/>
      <c r="K8" s="15"/>
      <c r="L8" s="15"/>
      <c r="M8" s="15"/>
      <c r="N8" s="15"/>
      <c r="O8" s="15"/>
      <c r="P8" s="15"/>
      <c r="Q8" s="15"/>
      <c r="R8" s="15"/>
      <c r="S8" s="15"/>
      <c r="T8" s="15"/>
      <c r="U8" s="15"/>
      <c r="V8" s="15"/>
      <c r="W8" s="15"/>
      <c r="X8" s="15"/>
      <c r="Y8" s="15"/>
      <c r="Z8" s="15"/>
      <c r="AA8" s="15"/>
      <c r="AB8" s="15"/>
      <c r="AC8" s="15"/>
      <c r="AD8" s="15"/>
      <c r="AE8" s="15"/>
      <c r="AF8" s="15"/>
      <c r="AG8" s="15"/>
      <c r="AH8" s="31">
        <f t="shared" ref="AH8:AH18" si="0">(COUNTIF(C8:AG8,CléCongé)+(COUNTIF(C8:AG8,CléEnfantMalade)+COUNTIF(C8:AG8,CléRTT)+COUNTIF(C8:AG8,CléCongéMalade)+COUNTIF(C8:AG8,CléRécupération)+COUNTIF(C8:AG8,CléFormation)+COUNTIF(C8:AG8,CléTélétravail-1)+COUNTIF(C8:AG8,CléCongéSpécial)+COUNTIF(C8:AG8,CléPrésenceExceptionnelle-1)+COUNTIF(C8:AG8,CléDemiRtt)/2)+COUNTIF(C8:AG8,CléDemiRécupération)/2)+COUNTIF(C8:AG8,CléDemiEnfantMalade)/2</f>
        <v>0</v>
      </c>
      <c r="AI8" s="31">
        <f t="shared" ref="AI8:AI18" si="1">COUNTIF(C8:AG8,CléRTT)+COUNTIF(C8:AG8,CléDemiRtt)/2</f>
        <v>0</v>
      </c>
      <c r="AJ8" s="31">
        <f>COUNTIF(C8:AG8,$S$3)</f>
        <v>0</v>
      </c>
      <c r="AK8" s="22"/>
    </row>
    <row r="9" spans="1:37" ht="30" customHeight="1">
      <c r="B9" s="8"/>
      <c r="C9" s="15"/>
      <c r="D9" s="15"/>
      <c r="E9" s="15"/>
      <c r="F9" s="15"/>
      <c r="G9" s="15"/>
      <c r="H9" s="15"/>
      <c r="I9" s="15"/>
      <c r="J9" s="15"/>
      <c r="K9" s="15"/>
      <c r="L9" s="15"/>
      <c r="M9" s="15"/>
      <c r="N9" s="15"/>
      <c r="O9" s="15"/>
      <c r="P9" s="15"/>
      <c r="Q9" s="15"/>
      <c r="R9" s="15"/>
      <c r="S9" s="15"/>
      <c r="T9" s="15"/>
      <c r="U9" s="15"/>
      <c r="V9" s="15"/>
      <c r="W9" s="15"/>
      <c r="X9" s="15"/>
      <c r="Y9" s="15"/>
      <c r="Z9" s="15"/>
      <c r="AA9" s="15"/>
      <c r="AB9" s="15"/>
      <c r="AC9" s="15"/>
      <c r="AD9" s="15"/>
      <c r="AE9" s="15"/>
      <c r="AF9" s="15"/>
      <c r="AG9" s="15"/>
      <c r="AH9" s="31">
        <f t="shared" si="0"/>
        <v>0</v>
      </c>
      <c r="AI9" s="31">
        <f t="shared" si="1"/>
        <v>0</v>
      </c>
      <c r="AJ9" s="31">
        <f t="shared" ref="AJ9:AJ18" si="2">COUNTIF(C9:AG9,$S$3)</f>
        <v>0</v>
      </c>
      <c r="AK9" s="22">
        <f>Juillet!AK9-Août[[#This Row],[Dont RTT]]+2</f>
        <v>19</v>
      </c>
    </row>
    <row r="10" spans="1:37" ht="30" customHeight="1">
      <c r="B10" s="8"/>
      <c r="C10" s="15"/>
      <c r="D10" s="15"/>
      <c r="E10" s="15"/>
      <c r="F10" s="15"/>
      <c r="G10" s="15"/>
      <c r="H10" s="15"/>
      <c r="I10" s="15"/>
      <c r="J10" s="15"/>
      <c r="K10" s="15"/>
      <c r="L10" s="15"/>
      <c r="M10" s="15"/>
      <c r="N10" s="15"/>
      <c r="O10" s="15"/>
      <c r="P10" s="15"/>
      <c r="Q10" s="15"/>
      <c r="R10" s="15"/>
      <c r="S10" s="15"/>
      <c r="T10" s="15"/>
      <c r="U10" s="15"/>
      <c r="V10" s="15"/>
      <c r="W10" s="15"/>
      <c r="X10" s="15"/>
      <c r="Y10" s="15"/>
      <c r="Z10" s="15"/>
      <c r="AA10" s="15"/>
      <c r="AB10" s="15"/>
      <c r="AC10" s="15"/>
      <c r="AD10" s="15"/>
      <c r="AE10" s="15"/>
      <c r="AF10" s="15"/>
      <c r="AG10" s="15"/>
      <c r="AH10" s="31">
        <f t="shared" si="0"/>
        <v>0</v>
      </c>
      <c r="AI10" s="31">
        <f t="shared" si="1"/>
        <v>0</v>
      </c>
      <c r="AJ10" s="31">
        <f t="shared" si="2"/>
        <v>0</v>
      </c>
      <c r="AK10" s="22">
        <f>Juillet!AK10-Août[[#This Row],[Dont RTT]]+2</f>
        <v>27</v>
      </c>
    </row>
    <row r="11" spans="1:37" ht="30" customHeight="1">
      <c r="B11" s="8"/>
      <c r="C11" s="15"/>
      <c r="D11" s="15"/>
      <c r="E11" s="15"/>
      <c r="F11" s="15"/>
      <c r="G11" s="15"/>
      <c r="H11" s="15"/>
      <c r="I11" s="15"/>
      <c r="J11" s="15"/>
      <c r="K11" s="15"/>
      <c r="L11" s="15"/>
      <c r="M11" s="15"/>
      <c r="N11" s="15"/>
      <c r="O11" s="15"/>
      <c r="P11" s="15"/>
      <c r="Q11" s="15"/>
      <c r="R11" s="15"/>
      <c r="S11" s="15"/>
      <c r="T11" s="15"/>
      <c r="U11" s="15"/>
      <c r="V11" s="15"/>
      <c r="W11" s="15"/>
      <c r="X11" s="15"/>
      <c r="Y11" s="15"/>
      <c r="Z11" s="15"/>
      <c r="AA11" s="15"/>
      <c r="AB11" s="15"/>
      <c r="AC11" s="15"/>
      <c r="AD11" s="15"/>
      <c r="AE11" s="15"/>
      <c r="AF11" s="15"/>
      <c r="AG11" s="15"/>
      <c r="AH11" s="31">
        <f t="shared" si="0"/>
        <v>0</v>
      </c>
      <c r="AI11" s="31">
        <f t="shared" si="1"/>
        <v>0</v>
      </c>
      <c r="AJ11" s="31">
        <f t="shared" si="2"/>
        <v>0</v>
      </c>
      <c r="AK11" s="22"/>
    </row>
    <row r="12" spans="1:37" ht="30" customHeight="1">
      <c r="B12" s="8"/>
      <c r="C12" s="15"/>
      <c r="D12" s="15"/>
      <c r="E12" s="15"/>
      <c r="F12" s="15"/>
      <c r="G12" s="15"/>
      <c r="H12" s="15"/>
      <c r="I12" s="15"/>
      <c r="J12" s="15"/>
      <c r="K12" s="15"/>
      <c r="L12" s="15"/>
      <c r="M12" s="15"/>
      <c r="N12" s="15"/>
      <c r="O12" s="15"/>
      <c r="P12" s="15"/>
      <c r="Q12" s="15"/>
      <c r="R12" s="15"/>
      <c r="S12" s="15"/>
      <c r="T12" s="15"/>
      <c r="U12" s="15"/>
      <c r="V12" s="15"/>
      <c r="W12" s="15"/>
      <c r="X12" s="15"/>
      <c r="Y12" s="15"/>
      <c r="Z12" s="15"/>
      <c r="AA12" s="15"/>
      <c r="AB12" s="15"/>
      <c r="AC12" s="15"/>
      <c r="AD12" s="15"/>
      <c r="AE12" s="15"/>
      <c r="AF12" s="15"/>
      <c r="AG12" s="15"/>
      <c r="AH12" s="31">
        <f t="shared" si="0"/>
        <v>0</v>
      </c>
      <c r="AI12" s="31">
        <f t="shared" si="1"/>
        <v>0</v>
      </c>
      <c r="AJ12" s="31">
        <f t="shared" si="2"/>
        <v>0</v>
      </c>
      <c r="AK12" s="22"/>
    </row>
    <row r="13" spans="1:37" ht="30" customHeight="1">
      <c r="B13" s="8"/>
      <c r="C13" s="22"/>
      <c r="D13" s="22"/>
      <c r="E13" s="22"/>
      <c r="F13" s="22"/>
      <c r="G13" s="22"/>
      <c r="H13" s="22"/>
      <c r="I13" s="22"/>
      <c r="J13" s="22"/>
      <c r="K13" s="15"/>
      <c r="L13" s="22"/>
      <c r="M13" s="22"/>
      <c r="N13" s="22"/>
      <c r="O13" s="22"/>
      <c r="P13" s="22"/>
      <c r="Q13" s="22"/>
      <c r="R13" s="15"/>
      <c r="S13" s="22"/>
      <c r="T13" s="22"/>
      <c r="U13" s="22"/>
      <c r="V13" s="22"/>
      <c r="W13" s="22"/>
      <c r="X13" s="22"/>
      <c r="Y13" s="15"/>
      <c r="Z13" s="22"/>
      <c r="AA13" s="22"/>
      <c r="AB13" s="22"/>
      <c r="AC13" s="22"/>
      <c r="AD13" s="22"/>
      <c r="AE13" s="22"/>
      <c r="AF13" s="22"/>
      <c r="AG13" s="22"/>
      <c r="AH13" s="31">
        <f t="shared" si="0"/>
        <v>0</v>
      </c>
      <c r="AI13" s="31">
        <f t="shared" si="1"/>
        <v>0</v>
      </c>
      <c r="AJ13" s="31">
        <f t="shared" si="2"/>
        <v>0</v>
      </c>
      <c r="AK13" s="22">
        <f>Juillet!AK13-Août[[#This Row],[Dont RTT]]+2</f>
        <v>18.93</v>
      </c>
    </row>
    <row r="14" spans="1:37" ht="30" customHeight="1">
      <c r="B14" s="8"/>
      <c r="C14" s="22"/>
      <c r="D14" s="22"/>
      <c r="E14" s="22"/>
      <c r="F14" s="22"/>
      <c r="G14" s="22"/>
      <c r="H14" s="22"/>
      <c r="I14" s="22"/>
      <c r="J14" s="22"/>
      <c r="K14" s="15"/>
      <c r="L14" s="22"/>
      <c r="M14" s="22"/>
      <c r="N14" s="22"/>
      <c r="O14" s="22"/>
      <c r="P14" s="22"/>
      <c r="Q14" s="22"/>
      <c r="R14" s="15"/>
      <c r="S14" s="22"/>
      <c r="T14" s="22"/>
      <c r="U14" s="22"/>
      <c r="V14" s="22"/>
      <c r="W14" s="22"/>
      <c r="X14" s="22"/>
      <c r="Y14" s="15"/>
      <c r="Z14" s="22"/>
      <c r="AA14" s="22"/>
      <c r="AB14" s="22"/>
      <c r="AC14" s="22"/>
      <c r="AD14" s="22"/>
      <c r="AE14" s="22"/>
      <c r="AF14" s="22"/>
      <c r="AG14" s="22"/>
      <c r="AH14" s="31">
        <f t="shared" si="0"/>
        <v>0</v>
      </c>
      <c r="AI14" s="31">
        <f t="shared" si="1"/>
        <v>0</v>
      </c>
      <c r="AJ14" s="31">
        <f t="shared" si="2"/>
        <v>0</v>
      </c>
      <c r="AK14" s="22">
        <f>Juillet!AK14-Août[[#This Row],[Dont RTT]]+2</f>
        <v>18.5</v>
      </c>
    </row>
    <row r="15" spans="1:37" ht="30" customHeight="1">
      <c r="B15" s="8"/>
      <c r="C15" s="22"/>
      <c r="D15" s="22"/>
      <c r="E15" s="22"/>
      <c r="F15" s="22"/>
      <c r="G15" s="22"/>
      <c r="H15" s="22"/>
      <c r="I15" s="22"/>
      <c r="J15" s="22"/>
      <c r="K15" s="22"/>
      <c r="L15" s="22"/>
      <c r="M15" s="15"/>
      <c r="N15" s="22"/>
      <c r="O15" s="22"/>
      <c r="P15" s="22"/>
      <c r="Q15" s="22"/>
      <c r="R15" s="22"/>
      <c r="S15" s="22"/>
      <c r="T15" s="15"/>
      <c r="U15" s="22"/>
      <c r="V15" s="22"/>
      <c r="W15" s="22"/>
      <c r="X15" s="22"/>
      <c r="Y15" s="22"/>
      <c r="Z15" s="22"/>
      <c r="AA15" s="15"/>
      <c r="AB15" s="22"/>
      <c r="AC15" s="22"/>
      <c r="AD15" s="22"/>
      <c r="AE15" s="22"/>
      <c r="AF15" s="22"/>
      <c r="AG15" s="22"/>
      <c r="AH15" s="31">
        <f t="shared" si="0"/>
        <v>0</v>
      </c>
      <c r="AI15" s="31">
        <f t="shared" si="1"/>
        <v>0</v>
      </c>
      <c r="AJ15" s="31">
        <f t="shared" si="2"/>
        <v>0</v>
      </c>
      <c r="AK15" s="22">
        <f>Juillet!AK15-Août[[#This Row],[Dont RTT]]+2</f>
        <v>21.5</v>
      </c>
    </row>
    <row r="16" spans="1:37" ht="30" customHeight="1">
      <c r="B16" s="8"/>
      <c r="C16" s="22"/>
      <c r="D16" s="22"/>
      <c r="E16" s="22"/>
      <c r="F16" s="22"/>
      <c r="G16" s="22"/>
      <c r="H16" s="22"/>
      <c r="I16" s="22"/>
      <c r="J16" s="22"/>
      <c r="K16" s="15"/>
      <c r="L16" s="22"/>
      <c r="M16" s="22"/>
      <c r="N16" s="22"/>
      <c r="O16" s="22"/>
      <c r="P16" s="22"/>
      <c r="Q16" s="22"/>
      <c r="R16" s="15"/>
      <c r="S16" s="22"/>
      <c r="T16" s="22"/>
      <c r="U16" s="22"/>
      <c r="V16" s="22"/>
      <c r="W16" s="22"/>
      <c r="X16" s="22"/>
      <c r="Y16" s="15"/>
      <c r="Z16" s="22"/>
      <c r="AA16" s="22"/>
      <c r="AB16" s="22"/>
      <c r="AC16" s="22"/>
      <c r="AD16" s="22"/>
      <c r="AE16" s="22"/>
      <c r="AF16" s="22"/>
      <c r="AG16" s="22"/>
      <c r="AH16" s="31">
        <f t="shared" si="0"/>
        <v>0</v>
      </c>
      <c r="AI16" s="31">
        <f t="shared" si="1"/>
        <v>0</v>
      </c>
      <c r="AJ16" s="31">
        <f t="shared" si="2"/>
        <v>0</v>
      </c>
      <c r="AK16" s="22">
        <f>Juillet!AK16-Août[[#This Row],[Dont RTT]]+2</f>
        <v>18.16</v>
      </c>
    </row>
    <row r="17" spans="2:37" ht="30" customHeight="1">
      <c r="B17" s="8"/>
      <c r="C17" s="22"/>
      <c r="D17" s="22"/>
      <c r="E17" s="22"/>
      <c r="F17" s="22"/>
      <c r="G17" s="22"/>
      <c r="H17" s="22"/>
      <c r="I17" s="22"/>
      <c r="J17" s="22"/>
      <c r="K17" s="22"/>
      <c r="L17" s="22"/>
      <c r="M17" s="15"/>
      <c r="N17" s="22"/>
      <c r="O17" s="22"/>
      <c r="P17" s="22"/>
      <c r="Q17" s="22"/>
      <c r="R17" s="22"/>
      <c r="S17" s="22"/>
      <c r="T17" s="15"/>
      <c r="U17" s="22"/>
      <c r="V17" s="22"/>
      <c r="W17" s="22"/>
      <c r="X17" s="22"/>
      <c r="Y17" s="22"/>
      <c r="Z17" s="22"/>
      <c r="AA17" s="15"/>
      <c r="AB17" s="22"/>
      <c r="AC17" s="22"/>
      <c r="AD17" s="22"/>
      <c r="AE17" s="22"/>
      <c r="AF17" s="22"/>
      <c r="AG17" s="22"/>
      <c r="AH17" s="31">
        <f t="shared" si="0"/>
        <v>0</v>
      </c>
      <c r="AI17" s="31">
        <f t="shared" si="1"/>
        <v>0</v>
      </c>
      <c r="AJ17" s="31">
        <f t="shared" si="2"/>
        <v>0</v>
      </c>
      <c r="AK17" s="22">
        <f>Juillet!AK17-Août[[#This Row],[Dont RTT]]+2</f>
        <v>27</v>
      </c>
    </row>
    <row r="18" spans="2:37" ht="30" customHeight="1">
      <c r="B18" s="8"/>
      <c r="C18" s="22"/>
      <c r="D18" s="22"/>
      <c r="E18" s="22"/>
      <c r="F18" s="22"/>
      <c r="G18" s="22"/>
      <c r="H18" s="22"/>
      <c r="I18" s="22"/>
      <c r="J18" s="22"/>
      <c r="K18" s="15"/>
      <c r="L18" s="22"/>
      <c r="M18" s="22"/>
      <c r="N18" s="22"/>
      <c r="O18" s="22"/>
      <c r="P18" s="22"/>
      <c r="Q18" s="22"/>
      <c r="R18" s="15"/>
      <c r="S18" s="22"/>
      <c r="T18" s="22"/>
      <c r="U18" s="22"/>
      <c r="V18" s="22"/>
      <c r="W18" s="22"/>
      <c r="X18" s="22"/>
      <c r="Y18" s="15"/>
      <c r="Z18" s="22"/>
      <c r="AA18" s="22"/>
      <c r="AB18" s="22"/>
      <c r="AC18" s="22"/>
      <c r="AD18" s="22"/>
      <c r="AE18" s="22"/>
      <c r="AF18" s="22"/>
      <c r="AG18" s="22"/>
      <c r="AH18" s="31">
        <f t="shared" si="0"/>
        <v>0</v>
      </c>
      <c r="AI18" s="31">
        <f t="shared" si="1"/>
        <v>0</v>
      </c>
      <c r="AJ18" s="31">
        <f t="shared" si="2"/>
        <v>0</v>
      </c>
      <c r="AK18" s="22">
        <f>Juillet!AK18-Août[[#This Row],[Dont RTT]]+2</f>
        <v>18.5</v>
      </c>
    </row>
    <row r="19" spans="2:37" ht="30" customHeight="1">
      <c r="B19" s="28" t="str">
        <f>NomMois&amp;" Total"</f>
        <v>Août Total</v>
      </c>
      <c r="C19" s="33">
        <f>COUNTIF(Août[1],CléCongé)+(COUNTIF(Août[1],CléCongéSpécial)+COUNTIF(Août[1],CléRTT)+(COUNTIF(Août[1],CléDemiRtt)/2)+COUNTIF(Août[1],CléCongéMalade)+COUNTIF(Août[1],CléRécupération)+(COUNTIF(Août[1],CléDemiRécupération)/2)+COUNTIF(Août[1],CléFormation)+(COUNTIF(Août[1],CléEnfantMalade)+(COUNTIF(Août[1],CléDemiEnfantMalade)/2)))</f>
        <v>0</v>
      </c>
      <c r="D19" s="33">
        <f>COUNTIF(Août[2],CléCongé)+(COUNTIF(Août[2],CléCongéSpécial)+COUNTIF(Août[2],CléRTT)+(COUNTIF(Août[2],CléDemiRtt)/2)+COUNTIF(Août[2],CléCongéMalade)+COUNTIF(Août[2],CléRécupération)+(COUNTIF(Août[2],CléDemiRécupération)/2)+COUNTIF(Août[2],CléFormation)+(COUNTIF(Août[2],CléEnfantMalade)+(COUNTIF(Août[2],CléDemiEnfantMalade)/2)))</f>
        <v>0</v>
      </c>
      <c r="E19" s="33">
        <f>COUNTIF(Août[3],CléCongé)+(COUNTIF(Août[3],CléCongéSpécial)+COUNTIF(Août[3],CléRTT)+(COUNTIF(Août[3],CléDemiRtt)/2)+COUNTIF(Août[3],CléCongéMalade)+COUNTIF(Août[3],CléRécupération)+(COUNTIF(Août[3],CléDemiRécupération)/2)+COUNTIF(Août[3],CléFormation)+(COUNTIF(Août[3],CléEnfantMalade)+(COUNTIF(Août[3],CléDemiEnfantMalade)/2)))</f>
        <v>0</v>
      </c>
      <c r="F19" s="33">
        <f>COUNTIF(Août[4],CléCongé)+(COUNTIF(Août[4],CléCongéSpécial)+COUNTIF(Août[4],CléRTT)+(COUNTIF(Août[4],CléDemiRtt)/2)+COUNTIF(Août[4],CléCongéMalade)+COUNTIF(Août[4],CléRécupération)+(COUNTIF(Août[4],CléDemiRécupération)/2)+COUNTIF(Août[4],CléFormation)+(COUNTIF(Août[4],CléEnfantMalade)+(COUNTIF(Août[4],CléDemiEnfantMalade)/2)))</f>
        <v>0</v>
      </c>
      <c r="G19" s="33">
        <f>COUNTIF(Août[5],CléCongé)+(COUNTIF(Août[5],CléCongéSpécial)+COUNTIF(Août[5],CléRTT)+(COUNTIF(Août[5],CléDemiRtt)/2)+COUNTIF(Août[5],CléCongéMalade)+COUNTIF(Août[5],CléRécupération)+(COUNTIF(Août[5],CléDemiRécupération)/2)+COUNTIF(Août[5],CléFormation)+(COUNTIF(Août[5],CléEnfantMalade)+(COUNTIF(Août[5],CléDemiEnfantMalade)/2)))</f>
        <v>0</v>
      </c>
      <c r="H19" s="33">
        <f>COUNTIF(Août[6],CléCongé)+(COUNTIF(Août[6],CléCongéSpécial)+COUNTIF(Août[6],CléRTT)+(COUNTIF(Août[6],CléDemiRtt)/2)+COUNTIF(Août[6],CléCongéMalade)+COUNTIF(Août[6],CléRécupération)+(COUNTIF(Août[6],CléDemiRécupération)/2)+COUNTIF(Août[6],CléFormation)+(COUNTIF(Août[6],CléEnfantMalade)+(COUNTIF(Août[6],CléDemiEnfantMalade)/2)))</f>
        <v>0</v>
      </c>
      <c r="I19" s="33">
        <f>COUNTIF(Août[7],CléCongé)+(COUNTIF(Août[7],CléCongéSpécial)+COUNTIF(Août[7],CléRTT)+(COUNTIF(Août[7],CléDemiRtt)/2)+COUNTIF(Août[7],CléCongéMalade)+COUNTIF(Août[7],CléRécupération)+(COUNTIF(Août[7],CléDemiRécupération)/2)+COUNTIF(Août[7],CléFormation)+(COUNTIF(Août[7],CléEnfantMalade)+(COUNTIF(Août[7],CléDemiEnfantMalade)/2)))</f>
        <v>0</v>
      </c>
      <c r="J19" s="33">
        <f>COUNTIF(Août[8],CléCongé)+(COUNTIF(Août[8],CléCongéSpécial)+COUNTIF(Août[8],CléRTT)+(COUNTIF(Août[8],CléDemiRtt)/2)+COUNTIF(Août[8],CléCongéMalade)+COUNTIF(Août[8],CléRécupération)+(COUNTIF(Août[8],CléDemiRécupération)/2)+COUNTIF(Août[8],CléFormation)+(COUNTIF(Août[8],CléEnfantMalade)+(COUNTIF(Août[8],CléDemiEnfantMalade)/2)))</f>
        <v>0</v>
      </c>
      <c r="K19" s="33">
        <f>COUNTIF(Août[9],CléCongé)+(COUNTIF(Août[9],CléCongéSpécial)+COUNTIF(Août[9],CléRTT)+(COUNTIF(Août[9],CléDemiRtt)/2)+COUNTIF(Août[9],CléCongéMalade)+COUNTIF(Août[9],CléRécupération)+(COUNTIF(Août[9],CléDemiRécupération)/2)+COUNTIF(Août[9],CléFormation)+(COUNTIF(Août[9],CléEnfantMalade)+(COUNTIF(Août[9],CléDemiEnfantMalade)/2)))</f>
        <v>0</v>
      </c>
      <c r="L19" s="33">
        <f>COUNTIF(Août[10],CléCongé)+(COUNTIF(Août[10],CléCongéSpécial)+COUNTIF(Août[10],CléRTT)+(COUNTIF(Août[10],CléDemiRtt)/2)+COUNTIF(Août[10],CléCongéMalade)+COUNTIF(Août[10],CléRécupération)+(COUNTIF(Août[10],CléDemiRécupération)/2)+COUNTIF(Août[10],CléFormation)+(COUNTIF(Août[10],CléEnfantMalade)+(COUNTIF(Août[10],CléDemiEnfantMalade)/2)))</f>
        <v>0</v>
      </c>
      <c r="M19" s="33">
        <f>COUNTIF(Août[11],CléCongé)+(COUNTIF(Août[11],CléCongéSpécial)+COUNTIF(Août[11],CléRTT)+(COUNTIF(Août[11],CléDemiRtt)/2)+COUNTIF(Août[11],CléCongéMalade)+COUNTIF(Août[11],CléRécupération)+(COUNTIF(Août[11],CléDemiRécupération)/2)+COUNTIF(Août[11],CléFormation)+(COUNTIF(Août[11],CléEnfantMalade)+(COUNTIF(Août[11],CléDemiEnfantMalade)/2)))</f>
        <v>0</v>
      </c>
      <c r="N19" s="33">
        <f>COUNTIF(Août[12],CléCongé)+(COUNTIF(Août[12],CléCongéSpécial)+COUNTIF(Août[12],CléRTT)+(COUNTIF(Août[12],CléDemiRtt)/2)+COUNTIF(Août[12],CléCongéMalade)+COUNTIF(Août[12],CléRécupération)+(COUNTIF(Août[12],CléDemiRécupération)/2)+COUNTIF(Août[12],CléFormation)+(COUNTIF(Août[12],CléEnfantMalade)+(COUNTIF(Août[12],CléDemiEnfantMalade)/2)))</f>
        <v>0</v>
      </c>
      <c r="O19" s="33">
        <f>COUNTIF(Août[13],CléCongé)+(COUNTIF(Août[13],CléCongéSpécial)+COUNTIF(Août[13],CléRTT)+(COUNTIF(Août[13],CléDemiRtt)/2)+COUNTIF(Août[13],CléCongéMalade)+COUNTIF(Août[13],CléRécupération)+(COUNTIF(Août[13],CléDemiRécupération)/2)+COUNTIF(Août[13],CléFormation)+(COUNTIF(Août[13],CléEnfantMalade)+(COUNTIF(Août[13],CléDemiEnfantMalade)/2)))</f>
        <v>0</v>
      </c>
      <c r="P19" s="33">
        <f>COUNTIF(Août[14],CléCongé)+(COUNTIF(Août[14],CléCongéSpécial)+COUNTIF(Août[14],CléRTT)+(COUNTIF(Août[14],CléDemiRtt)/2)+COUNTIF(Août[14],CléCongéMalade)+COUNTIF(Août[14],CléRécupération)+(COUNTIF(Août[14],CléDemiRécupération)/2)+COUNTIF(Août[14],CléFormation)+(COUNTIF(Août[14],CléEnfantMalade)+(COUNTIF(Août[14],CléDemiEnfantMalade)/2)))</f>
        <v>0</v>
      </c>
      <c r="Q19" s="33">
        <f>COUNTIF(Août[15],CléCongé)+(COUNTIF(Août[15],CléCongéSpécial)+COUNTIF(Août[15],CléRTT)+(COUNTIF(Août[15],CléDemiRtt)/2)+COUNTIF(Août[15],CléCongéMalade)+COUNTIF(Août[15],CléRécupération)+(COUNTIF(Août[15],CléDemiRécupération)/2)+COUNTIF(Août[15],CléFormation)+(COUNTIF(Août[15],CléEnfantMalade)+(COUNTIF(Août[15],CléDemiEnfantMalade)/2)))</f>
        <v>0</v>
      </c>
      <c r="R19" s="33">
        <f>COUNTIF(Août[16],CléCongé)+(COUNTIF(Août[16],CléCongéSpécial)+COUNTIF(Août[16],CléRTT)+(COUNTIF(Août[16],CléDemiRtt)/2)+COUNTIF(Août[16],CléCongéMalade)+COUNTIF(Août[16],CléRécupération)+(COUNTIF(Août[16],CléDemiRécupération)/2)+COUNTIF(Août[16],CléFormation)+(COUNTIF(Août[16],CléEnfantMalade)+(COUNTIF(Août[16],CléDemiEnfantMalade)/2)))</f>
        <v>0</v>
      </c>
      <c r="S19" s="33">
        <f>COUNTIF(Août[17],CléCongé)+(COUNTIF(Août[17],CléCongéSpécial)+COUNTIF(Août[17],CléRTT)+(COUNTIF(Août[17],CléDemiRtt)/2)+COUNTIF(Août[17],CléCongéMalade)+COUNTIF(Août[17],CléRécupération)+(COUNTIF(Août[17],CléDemiRécupération)/2)+COUNTIF(Août[17],CléFormation)+(COUNTIF(Août[17],CléEnfantMalade)+(COUNTIF(Août[17],CléDemiEnfantMalade)/2)))</f>
        <v>0</v>
      </c>
      <c r="T19" s="33">
        <f>COUNTIF(Août[18],CléCongé)+(COUNTIF(Août[18],CléCongéSpécial)+COUNTIF(Août[18],CléRTT)+(COUNTIF(Août[18],CléDemiRtt)/2)+COUNTIF(Août[18],CléCongéMalade)+COUNTIF(Août[18],CléRécupération)+(COUNTIF(Août[18],CléDemiRécupération)/2)+COUNTIF(Août[18],CléFormation)+(COUNTIF(Août[18],CléEnfantMalade)+(COUNTIF(Août[18],CléDemiEnfantMalade)/2)))</f>
        <v>0</v>
      </c>
      <c r="U19" s="33">
        <f>COUNTIF(Août[19],CléCongé)+(COUNTIF(Août[19],CléCongéSpécial)+COUNTIF(Août[19],CléRTT)+(COUNTIF(Août[19],CléDemiRtt)/2)+COUNTIF(Août[19],CléCongéMalade)+COUNTIF(Août[19],CléRécupération)+(COUNTIF(Août[19],CléDemiRécupération)/2)+COUNTIF(Août[19],CléFormation)+(COUNTIF(Août[19],CléEnfantMalade)+(COUNTIF(Août[19],CléDemiEnfantMalade)/2)))</f>
        <v>0</v>
      </c>
      <c r="V19" s="33">
        <f>COUNTIF(Août[20],CléCongé)+(COUNTIF(Août[20],CléCongéSpécial)+COUNTIF(Août[20],CléRTT)+(COUNTIF(Août[20],CléDemiRtt)/2)+COUNTIF(Août[20],CléCongéMalade)+COUNTIF(Août[20],CléRécupération)+(COUNTIF(Août[20],CléDemiRécupération)/2)+COUNTIF(Août[20],CléFormation)+(COUNTIF(Août[20],CléEnfantMalade)+(COUNTIF(Août[20],CléDemiEnfantMalade)/2)))</f>
        <v>0</v>
      </c>
      <c r="W19" s="33">
        <f>COUNTIF(Août[21],CléCongé)+(COUNTIF(Août[21],CléCongéSpécial)+COUNTIF(Août[21],CléRTT)+(COUNTIF(Août[21],CléDemiRtt)/2)+COUNTIF(Août[21],CléCongéMalade)+COUNTIF(Août[21],CléRécupération)+(COUNTIF(Août[21],CléDemiRécupération)/2)+COUNTIF(Août[21],CléFormation)+(COUNTIF(Août[21],CléEnfantMalade)+(COUNTIF(Août[21],CléDemiEnfantMalade)/2)))</f>
        <v>0</v>
      </c>
      <c r="X19" s="33">
        <f>COUNTIF(Août[22],CléCongé)+(COUNTIF(Août[22],CléCongéSpécial)+COUNTIF(Août[22],CléRTT)+(COUNTIF(Août[22],CléDemiRtt)/2)+COUNTIF(Août[22],CléCongéMalade)+COUNTIF(Août[22],CléRécupération)+(COUNTIF(Août[22],CléDemiRécupération)/2)+COUNTIF(Août[22],CléFormation)+(COUNTIF(Août[22],CléEnfantMalade)+(COUNTIF(Août[22],CléDemiEnfantMalade)/2)))</f>
        <v>0</v>
      </c>
      <c r="Y19" s="33">
        <f>COUNTIF(Août[23],CléCongé)+(COUNTIF(Août[23],CléCongéSpécial)+COUNTIF(Août[23],CléRTT)+(COUNTIF(Août[23],CléDemiRtt)/2)+COUNTIF(Août[23],CléCongéMalade)+COUNTIF(Août[23],CléRécupération)+(COUNTIF(Août[23],CléDemiRécupération)/2)+COUNTIF(Août[23],CléFormation)+(COUNTIF(Août[23],CléEnfantMalade)+(COUNTIF(Août[23],CléDemiEnfantMalade)/2)))</f>
        <v>0</v>
      </c>
      <c r="Z19" s="33">
        <f>COUNTIF(Août[24],CléCongé)+(COUNTIF(Août[24],CléCongéSpécial)+COUNTIF(Août[24],CléRTT)+(COUNTIF(Août[24],CléDemiRtt)/2)+COUNTIF(Août[24],CléCongéMalade)+COUNTIF(Août[24],CléRécupération)+(COUNTIF(Août[24],CléDemiRécupération)/2)+COUNTIF(Août[24],CléFormation)+(COUNTIF(Août[24],CléEnfantMalade)+(COUNTIF(Août[24],CléDemiEnfantMalade)/2)))</f>
        <v>0</v>
      </c>
      <c r="AA19" s="33">
        <f>COUNTIF(Août[25],CléCongé)+(COUNTIF(Août[25],CléCongéSpécial)+COUNTIF(Août[25],CléRTT)+(COUNTIF(Août[25],CléDemiRtt)/2)+COUNTIF(Août[25],CléCongéMalade)+COUNTIF(Août[25],CléRécupération)+(COUNTIF(Août[25],CléDemiRécupération)/2)+COUNTIF(Août[25],CléFormation)+(COUNTIF(Août[25],CléEnfantMalade)+(COUNTIF(Août[25],CléDemiEnfantMalade)/2)))</f>
        <v>0</v>
      </c>
      <c r="AB19" s="33">
        <f>COUNTIF(Août[26],CléCongé)+(COUNTIF(Août[26],CléCongéSpécial)+COUNTIF(Août[26],CléRTT)+(COUNTIF(Août[26],CléDemiRtt)/2)+COUNTIF(Août[26],CléCongéMalade)+COUNTIF(Août[26],CléRécupération)+(COUNTIF(Août[26],CléDemiRécupération)/2)+COUNTIF(Août[26],CléFormation)+(COUNTIF(Août[26],CléEnfantMalade)+(COUNTIF(Août[26],CléDemiEnfantMalade)/2)))</f>
        <v>0</v>
      </c>
      <c r="AC19" s="33">
        <f>COUNTIF(Août[27],CléCongé)+(COUNTIF(Août[27],CléCongéSpécial)+COUNTIF(Août[27],CléRTT)+(COUNTIF(Août[27],CléDemiRtt)/2)+COUNTIF(Août[27],CléCongéMalade)+COUNTIF(Août[27],CléRécupération)+(COUNTIF(Août[27],CléDemiRécupération)/2)+COUNTIF(Août[27],CléFormation)+(COUNTIF(Août[27],CléEnfantMalade)+(COUNTIF(Août[27],CléDemiEnfantMalade)/2)))</f>
        <v>0</v>
      </c>
      <c r="AD19" s="33">
        <f>COUNTIF(Août[28],CléCongé)+(COUNTIF(Août[28],CléCongéSpécial)+COUNTIF(Août[28],CléRTT)+(COUNTIF(Août[28],CléDemiRtt)/2)+COUNTIF(Août[28],CléCongéMalade)+COUNTIF(Août[28],CléRécupération)+(COUNTIF(Août[28],CléDemiRécupération)/2)+COUNTIF(Août[28],CléFormation)+(COUNTIF(Août[28],CléEnfantMalade)+(COUNTIF(Août[28],CléDemiEnfantMalade)/2)))</f>
        <v>0</v>
      </c>
      <c r="AE19" s="33">
        <f>COUNTIF(Août[29],CléCongé)+(COUNTIF(Août[29],CléCongéSpécial)+COUNTIF(Août[29],CléRTT)+(COUNTIF(Août[29],CléDemiRtt)/2)+COUNTIF(Août[29],CléCongéMalade)+COUNTIF(Août[29],CléRécupération)+(COUNTIF(Août[29],CléDemiRécupération)/2)+COUNTIF(Août[29],CléFormation)+(COUNTIF(Août[29],CléEnfantMalade)+(COUNTIF(Août[29],CléDemiEnfantMalade)/2)))</f>
        <v>0</v>
      </c>
      <c r="AF19" s="33">
        <f>COUNTIF(Août[30],CléCongé)+(COUNTIF(Août[30],CléCongéSpécial)+COUNTIF(Août[30],CléRTT)+(COUNTIF(Août[30],CléDemiRtt)/2)+COUNTIF(Août[30],CléCongéMalade)+COUNTIF(Août[30],CléRécupération)+(COUNTIF(Août[30],CléDemiRécupération)/2)+COUNTIF(Août[30],CléFormation)+(COUNTIF(Août[30],CléEnfantMalade)+(COUNTIF(Août[30],CléDemiEnfantMalade)/2)))</f>
        <v>0</v>
      </c>
      <c r="AG19" s="33">
        <f>COUNTIF(Août[31],CléCongé)+(COUNTIF(Août[31],CléCongéSpécial)+COUNTIF(Août[31],CléRTT)+(COUNTIF(Août[31],CléDemiRtt)/2)+COUNTIF(Août[31],CléCongéMalade)+COUNTIF(Août[31],CléRécupération)+(COUNTIF(Août[31],CléDemiRécupération)/2)+COUNTIF(Août[31],CléFormation)+(COUNTIF(Août[31],CléEnfantMalade)+(COUNTIF(Août[31],CléDemiEnfantMalade)/2)))</f>
        <v>0</v>
      </c>
      <c r="AH19" s="27">
        <f>SUBTOTAL(109,Août[Total absence])</f>
        <v>0</v>
      </c>
      <c r="AI19" s="27">
        <f>SUBTOTAL(109,Août[Dont RTT])</f>
        <v>0</v>
      </c>
      <c r="AJ19" s="53">
        <f>SUBTOTAL(109,Août[Dont MALADIE])</f>
        <v>0</v>
      </c>
      <c r="AK19" s="33"/>
    </row>
  </sheetData>
  <mergeCells count="15">
    <mergeCell ref="C5:AG5"/>
    <mergeCell ref="G2:H2"/>
    <mergeCell ref="J2:L2"/>
    <mergeCell ref="W2:Y2"/>
    <mergeCell ref="D3:E3"/>
    <mergeCell ref="G3:H3"/>
    <mergeCell ref="J3:L3"/>
    <mergeCell ref="N3:O3"/>
    <mergeCell ref="Q3:R3"/>
    <mergeCell ref="T3:U3"/>
    <mergeCell ref="W3:Y3"/>
    <mergeCell ref="D2:E2"/>
    <mergeCell ref="Q2:U2"/>
    <mergeCell ref="AA2:AC2"/>
    <mergeCell ref="AA3:AC3"/>
  </mergeCells>
  <conditionalFormatting sqref="C6:AG6">
    <cfRule type="containsText" dxfId="215" priority="136" stopIfTrue="1" operator="containsText" text="dim">
      <formula>NOT(ISERROR(SEARCH("dim",C6)))</formula>
    </cfRule>
  </conditionalFormatting>
  <conditionalFormatting sqref="AH7">
    <cfRule type="containsText" dxfId="214" priority="135" stopIfTrue="1" operator="containsText" text="dim">
      <formula>NOT(ISERROR(SEARCH("dim",AH7)))</formula>
    </cfRule>
  </conditionalFormatting>
  <conditionalFormatting sqref="C19:AG19">
    <cfRule type="containsText" dxfId="213" priority="115" stopIfTrue="1" operator="containsText" text="dim">
      <formula>NOT(ISERROR(SEARCH("dim",C19)))</formula>
    </cfRule>
  </conditionalFormatting>
  <conditionalFormatting sqref="AL3:XFD3 A2:A3 AG2:XFD2">
    <cfRule type="containsText" dxfId="212" priority="113" stopIfTrue="1" operator="containsText" text="dim">
      <formula>NOT(ISERROR(SEARCH("dim",A2)))</formula>
    </cfRule>
  </conditionalFormatting>
  <conditionalFormatting sqref="AJ19:AK19">
    <cfRule type="containsText" dxfId="211" priority="90" stopIfTrue="1" operator="containsText" text="dim">
      <formula>NOT(ISERROR(SEARCH("dim",AJ19)))</formula>
    </cfRule>
  </conditionalFormatting>
  <conditionalFormatting sqref="AH8:AH18">
    <cfRule type="dataBar" priority="54">
      <dataBar>
        <cfvo type="num" val="0"/>
        <cfvo type="num" val="31"/>
        <color rgb="FF00B0F0"/>
      </dataBar>
      <extLst>
        <ext xmlns:x14="http://schemas.microsoft.com/office/spreadsheetml/2009/9/main" uri="{B025F937-C7B1-47D3-B67F-A62EFF666E3E}">
          <x14:id>{6FF73F68-ACD9-6145-AA4E-F0A805A9B98D}</x14:id>
        </ext>
      </extLst>
    </cfRule>
    <cfRule type="containsText" dxfId="210" priority="57" stopIfTrue="1" operator="containsText" text="dim">
      <formula>NOT(ISERROR(SEARCH("dim",AH8)))</formula>
    </cfRule>
  </conditionalFormatting>
  <conditionalFormatting sqref="AI8:AI18">
    <cfRule type="dataBar" priority="55">
      <dataBar>
        <cfvo type="num" val="0"/>
        <cfvo type="num" val="31"/>
        <color rgb="FF92D050"/>
      </dataBar>
      <extLst>
        <ext xmlns:x14="http://schemas.microsoft.com/office/spreadsheetml/2009/9/main" uri="{B025F937-C7B1-47D3-B67F-A62EFF666E3E}">
          <x14:id>{D2BB18A1-1124-2C43-941E-2304014B4141}</x14:id>
        </ext>
      </extLst>
    </cfRule>
  </conditionalFormatting>
  <conditionalFormatting sqref="B3:D3 F2:G3 M3:N3 Q3 S3:T3 V2:W3 I2:J3">
    <cfRule type="containsText" dxfId="209" priority="36" stopIfTrue="1" operator="containsText" text="dim">
      <formula>NOT(ISERROR(SEARCH("dim",B2)))</formula>
    </cfRule>
  </conditionalFormatting>
  <conditionalFormatting sqref="V2:W2">
    <cfRule type="containsText" dxfId="208" priority="35" stopIfTrue="1" operator="containsText" text="dim">
      <formula>NOT(ISERROR(SEARCH("dim",V2)))</formula>
    </cfRule>
  </conditionalFormatting>
  <conditionalFormatting sqref="AA2">
    <cfRule type="containsText" dxfId="207" priority="34" stopIfTrue="1" operator="containsText" text="dim">
      <formula>NOT(ISERROR(SEARCH("dim",AA2)))</formula>
    </cfRule>
  </conditionalFormatting>
  <conditionalFormatting sqref="AA2">
    <cfRule type="containsText" dxfId="206" priority="33" stopIfTrue="1" operator="containsText" text="dim">
      <formula>NOT(ISERROR(SEARCH("dim",AA2)))</formula>
    </cfRule>
  </conditionalFormatting>
  <conditionalFormatting sqref="P3">
    <cfRule type="expression" dxfId="205" priority="19" stopIfTrue="1">
      <formula>P3=CléNonTravaillé</formula>
    </cfRule>
    <cfRule type="expression" dxfId="204" priority="20" stopIfTrue="1">
      <formula>P3=CléPrésenceExceptionnelle</formula>
    </cfRule>
    <cfRule type="expression" dxfId="203" priority="21" stopIfTrue="1">
      <formula>P3=CléCongéSpécial</formula>
    </cfRule>
    <cfRule type="expression" dxfId="202" priority="22" stopIfTrue="1">
      <formula>P3=CléDemiRécupération</formula>
    </cfRule>
    <cfRule type="expression" dxfId="201" priority="23" stopIfTrue="1">
      <formula>P3=CléDemiEnfantMalade</formula>
    </cfRule>
    <cfRule type="expression" dxfId="200" priority="24" stopIfTrue="1">
      <formula>P3=CléEnfantMalade</formula>
    </cfRule>
    <cfRule type="expression" dxfId="199" priority="25" stopIfTrue="1">
      <formula>P3=CléDemiRtt</formula>
    </cfRule>
    <cfRule type="expression" priority="26" stopIfTrue="1">
      <formula>P3=""</formula>
    </cfRule>
    <cfRule type="expression" dxfId="198" priority="27" stopIfTrue="1">
      <formula>P3=CléMaladie</formula>
    </cfRule>
    <cfRule type="expression" dxfId="197" priority="28" stopIfTrue="1">
      <formula>P3=CléCongé</formula>
    </cfRule>
    <cfRule type="expression" dxfId="196" priority="29" stopIfTrue="1">
      <formula>P3=CléRécupération</formula>
    </cfRule>
    <cfRule type="expression" dxfId="195" priority="30" stopIfTrue="1">
      <formula>P3=CléFormation</formula>
    </cfRule>
    <cfRule type="expression" dxfId="194" priority="31" stopIfTrue="1">
      <formula>P3=CléRTT</formula>
    </cfRule>
    <cfRule type="expression" dxfId="193" priority="32" stopIfTrue="1">
      <formula>P3=CléTélétravail</formula>
    </cfRule>
  </conditionalFormatting>
  <conditionalFormatting sqref="AA3">
    <cfRule type="containsText" dxfId="192" priority="18" stopIfTrue="1" operator="containsText" text="dim">
      <formula>NOT(ISERROR(SEARCH("dim",AA3)))</formula>
    </cfRule>
  </conditionalFormatting>
  <conditionalFormatting sqref="AA3">
    <cfRule type="containsText" dxfId="191" priority="17" stopIfTrue="1" operator="containsText" text="dim">
      <formula>NOT(ISERROR(SEARCH("dim",AA3)))</formula>
    </cfRule>
  </conditionalFormatting>
  <conditionalFormatting sqref="C8:AG18">
    <cfRule type="expression" dxfId="190" priority="2" stopIfTrue="1">
      <formula>C8=CléAbsenceJustifiée</formula>
    </cfRule>
    <cfRule type="expression" dxfId="189" priority="3" stopIfTrue="1">
      <formula>C8=CléNonTravaillé</formula>
    </cfRule>
    <cfRule type="expression" dxfId="188" priority="4" stopIfTrue="1">
      <formula>C8=CléPrésenceExceptionnelle</formula>
    </cfRule>
    <cfRule type="expression" dxfId="187" priority="5" stopIfTrue="1">
      <formula>C8=CléCongéSpécial</formula>
    </cfRule>
    <cfRule type="expression" dxfId="186" priority="6" stopIfTrue="1">
      <formula>C8=CléDemiRécupération</formula>
    </cfRule>
    <cfRule type="expression" dxfId="185" priority="7" stopIfTrue="1">
      <formula>C8=CléDemiEnfantMalade</formula>
    </cfRule>
    <cfRule type="expression" dxfId="184" priority="8" stopIfTrue="1">
      <formula>C8=CléEnfantMalade</formula>
    </cfRule>
    <cfRule type="expression" dxfId="183" priority="9" stopIfTrue="1">
      <formula>C8=CléDemiRtt</formula>
    </cfRule>
    <cfRule type="expression" priority="10" stopIfTrue="1">
      <formula>C8=""</formula>
    </cfRule>
    <cfRule type="expression" dxfId="182" priority="11" stopIfTrue="1">
      <formula>C8=CléCongéMalade</formula>
    </cfRule>
    <cfRule type="expression" dxfId="181" priority="12" stopIfTrue="1">
      <formula>C8=CléCongé</formula>
    </cfRule>
    <cfRule type="expression" dxfId="180" priority="13" stopIfTrue="1">
      <formula>C8=CléRécupération</formula>
    </cfRule>
    <cfRule type="expression" dxfId="179" priority="14" stopIfTrue="1">
      <formula>C8=CléFormation</formula>
    </cfRule>
    <cfRule type="expression" dxfId="178" priority="15" stopIfTrue="1">
      <formula>C8=CléRTT</formula>
    </cfRule>
    <cfRule type="expression" dxfId="177" priority="16" stopIfTrue="1">
      <formula>C8=CléTélétravail</formula>
    </cfRule>
  </conditionalFormatting>
  <conditionalFormatting sqref="AJ8:AJ18">
    <cfRule type="dataBar" priority="1">
      <dataBar>
        <cfvo type="num" val="0"/>
        <cfvo type="num" val="31"/>
        <color rgb="FFFF0000"/>
      </dataBar>
      <extLst>
        <ext xmlns:x14="http://schemas.microsoft.com/office/spreadsheetml/2009/9/main" uri="{B025F937-C7B1-47D3-B67F-A62EFF666E3E}">
          <x14:id>{F8F6C590-0ADE-4D39-8076-BDDE274C8D06}</x14:id>
        </ext>
      </extLst>
    </cfRule>
  </conditionalFormatting>
  <dataValidations count="17">
    <dataValidation allowBlank="1" showInputMessage="1" showErrorMessage="1" prompt="Les jours du mois dans cette ligne sont générés automatiquement. Entrez l’absence et le motif d’absence d’un employé dans chaque colonne pour chaque jour du mois. Un champ vide indique qu’il n’y a pas eu d’absence" sqref="C7" xr:uid="{7FADA9E7-E7CD-A541-9001-34AF11A3E58C}"/>
    <dataValidation allowBlank="1" showInputMessage="1" showErrorMessage="1" prompt="Nom du mois pour ce calendrier des absences dans cette cellule. Le total des absences pour ce mois figure dans la dernière cellule du tableau. Sélectionnez les noms des employés dans la colonne B du tableau" sqref="B5" xr:uid="{2CF1C88C-FE91-B04F-B83F-480536B901F2}"/>
    <dataValidation errorStyle="warning" allowBlank="1" showInputMessage="1" showErrorMessage="1" error="Sélectionnez un nom dans la liste. Sélectionnez ANNULER, appuyez sur ALT+FLÈCHE BAS, puis sur ENTRÉE pour sélectionner un nom" prompt="Entrez les noms des employés dans la feuille de calcul du Noms des employés, puis sélectionnez l’un des noms de la liste figurant dans cette colonne. Appuyez sur ALT+FLÈCHE BAS, puis sur ENTRÉE pour sélectionner un nom" sqref="B7" xr:uid="{DDEC9286-54A0-864B-BD98-248B9590439D}"/>
    <dataValidation allowBlank="1" showInputMessage="1" showErrorMessage="1" prompt="Suivez les absences du mois d’août dans cette feuille de calcul" sqref="A1" xr:uid="{47106520-16CD-1F44-9E81-B3E3064ADCBE}"/>
    <dataValidation allowBlank="1" showInputMessage="1" showErrorMessage="1" prompt="Calcule automatiquement le nombre total de jours d’absence d’un employé durant ce mois dans cette colonne" sqref="AH7" xr:uid="{BE7383DB-E2EA-CF4B-9B87-B69706DF02C9}"/>
    <dataValidation allowBlank="1" showInputMessage="1" showErrorMessage="1" prompt="Année mise à jour automatiquement en fonction de l’année entrée dans la feuille de calcul Janvier" sqref="AH5" xr:uid="{5847B389-4C60-084A-9772-C32A30336F46}"/>
    <dataValidation allowBlank="1" showInputMessage="1" showErrorMessage="1" prompt="Les jours de la semaine dans cette ligne sont mis à jour automatiquement pour le mois en fonction de l’année dans AH4. Chaque jour du mois est une colonne dans laquelle noter l’absence et le motif d’absence d’un employé" sqref="C6" xr:uid="{8A693272-C63E-4945-899C-47A8EC4465E3}"/>
    <dataValidation allowBlank="1" showInputMessage="1" showErrorMessage="1" prompt="Le Calendrier des absences des employés suit les absences exprimées en jours pour chaque mois. Il existe 13 feuilles de calcul, 12 mensuelles et la dernière pour les noms des employés. Suivez les absences du mois de janvier dans cette feuille de calcul" sqref="A2" xr:uid="{C1D5BAAF-84FB-714B-8A25-6F9EEBFA792A}"/>
    <dataValidation allowBlank="1" showErrorMessage="1" sqref="B2:B3 B1:Y1" xr:uid="{DC449E6A-DB80-CB45-955F-8537DEA1BB92}"/>
    <dataValidation allowBlank="1" showErrorMessage="1" prompt="Entrez une étiquette pour décrire la clé personnalisée à gauche" sqref="N3" xr:uid="{BAF1C45E-7778-CC4D-9CA1-559CB0419AE9}"/>
    <dataValidation allowBlank="1" showErrorMessage="1" prompt="Entrez une lettre et personnalisez l’étiquette à droite pour ajouter un élément de clé" sqref="I2:I3" xr:uid="{E6F02B48-6011-4E47-B126-4982C6EC619A}"/>
    <dataValidation allowBlank="1" showInputMessage="1" showErrorMessage="1" prompt="Entrez une étiquette pour décrire la clé personnalisée à gauche" sqref="J2:J3" xr:uid="{F08C8918-30F1-1B48-9A93-C39BBA619919}"/>
    <dataValidation allowBlank="1" showInputMessage="1" showErrorMessage="1" prompt="Entrez une lettre et personnalisez l’étiquette à droite pour ajouter un élément de clé" sqref="M3" xr:uid="{158CBFD9-A2BF-AB48-80CC-282A7D0AB339}"/>
    <dataValidation allowBlank="1" showInputMessage="1" showErrorMessage="1" prompt="La lettre « M » indique une absence pour cause de maladie" sqref="S3" xr:uid="{0518120B-5FD1-5346-937D-6578A725C4B6}"/>
    <dataValidation allowBlank="1" showErrorMessage="1" prompt="La lettre « P » indique une absence pour motifs personnels" sqref="F3" xr:uid="{93742802-681A-924E-9C3E-883C860F0870}"/>
    <dataValidation allowBlank="1" showErrorMessage="1" prompt="La lettre « C » indique une absence pour cause de congé" sqref="C3" xr:uid="{F393A11D-E818-FF4B-B695-8EF7663657CF}"/>
    <dataValidation type="list" allowBlank="1" showInputMessage="1" showErrorMessage="1" sqref="B8:B18" xr:uid="{077F6EF7-32B6-465D-86E5-D168D62879E0}">
      <formula1>Nom_Employe</formula1>
    </dataValidation>
  </dataValidations>
  <pageMargins left="0.7" right="0.7" top="0.75" bottom="0.75" header="0.3" footer="0.3"/>
  <pageSetup paperSize="9" fitToHeight="0" orientation="portrait" verticalDpi="4294967293" r:id="rId1"/>
  <tableParts count="1">
    <tablePart r:id="rId2"/>
  </tableParts>
  <extLst>
    <ext xmlns:x14="http://schemas.microsoft.com/office/spreadsheetml/2009/9/main" uri="{78C0D931-6437-407d-A8EE-F0AAD7539E65}">
      <x14:conditionalFormattings>
        <x14:conditionalFormatting xmlns:xm="http://schemas.microsoft.com/office/excel/2006/main">
          <x14:cfRule type="dataBar" id="{6FF73F68-ACD9-6145-AA4E-F0A805A9B98D}">
            <x14:dataBar minLength="0" maxLength="100">
              <x14:cfvo type="num">
                <xm:f>0</xm:f>
              </x14:cfvo>
              <x14:cfvo type="num">
                <xm:f>31</xm:f>
              </x14:cfvo>
              <x14:negativeFillColor rgb="FFFF0000"/>
              <x14:axisColor rgb="FF000000"/>
            </x14:dataBar>
          </x14:cfRule>
          <xm:sqref>AH8:AH18</xm:sqref>
        </x14:conditionalFormatting>
        <x14:conditionalFormatting xmlns:xm="http://schemas.microsoft.com/office/excel/2006/main">
          <x14:cfRule type="dataBar" id="{D2BB18A1-1124-2C43-941E-2304014B4141}">
            <x14:dataBar minLength="0" maxLength="100">
              <x14:cfvo type="num">
                <xm:f>0</xm:f>
              </x14:cfvo>
              <x14:cfvo type="num">
                <xm:f>31</xm:f>
              </x14:cfvo>
              <x14:negativeFillColor rgb="FFFF0000"/>
              <x14:axisColor rgb="FF000000"/>
            </x14:dataBar>
          </x14:cfRule>
          <xm:sqref>AI8:AI18</xm:sqref>
        </x14:conditionalFormatting>
        <x14:conditionalFormatting xmlns:xm="http://schemas.microsoft.com/office/excel/2006/main">
          <x14:cfRule type="dataBar" id="{F8F6C590-0ADE-4D39-8076-BDDE274C8D06}">
            <x14:dataBar minLength="0" maxLength="100">
              <x14:cfvo type="num">
                <xm:f>0</xm:f>
              </x14:cfvo>
              <x14:cfvo type="num">
                <xm:f>31</xm:f>
              </x14:cfvo>
              <x14:negativeFillColor rgb="FFFF0000"/>
              <x14:axisColor rgb="FF000000"/>
            </x14:dataBar>
          </x14:cfRule>
          <xm:sqref>AJ8:AJ18</xm:sqref>
        </x14:conditionalFormatting>
        <x14:conditionalFormatting xmlns:xm="http://schemas.microsoft.com/office/excel/2006/main">
          <x14:cfRule type="containsText" priority="152" stopIfTrue="1" operator="containsText" text="dim" id="{6D9C846A-116C-8E4F-85DC-C394BEA81404}">
            <xm:f>NOT(ISERROR(SEARCH("dim",Avril!AK18)))</xm:f>
            <x14:dxf>
              <font>
                <color theme="9"/>
              </font>
              <fill>
                <patternFill patternType="none">
                  <bgColor auto="1"/>
                </patternFill>
              </fill>
            </x14:dxf>
          </x14:cfRule>
          <xm:sqref>AK20:AK1048576</xm:sqref>
        </x14:conditionalFormatting>
        <x14:conditionalFormatting xmlns:xm="http://schemas.microsoft.com/office/excel/2006/main">
          <x14:cfRule type="containsText" priority="477" stopIfTrue="1" operator="containsText" text="dim" id="{6D9C846A-116C-8E4F-85DC-C394BEA81404}">
            <xm:f>NOT(ISERROR(SEARCH("dim",Avril!AK1)))</xm:f>
            <x14:dxf>
              <font>
                <color theme="9"/>
              </font>
              <fill>
                <patternFill patternType="none">
                  <bgColor auto="1"/>
                </patternFill>
              </fill>
            </x14:dxf>
          </x14:cfRule>
          <xm:sqref>AK7 AK1 AK4</xm:sqref>
        </x14:conditionalFormatting>
      </x14:conditionalFormatting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8DD357E-FA92-4244-A9F5-847541AA84A0}">
  <sheetPr codeName="Feuil9">
    <tabColor theme="2" tint="-0.499984740745262"/>
  </sheetPr>
  <dimension ref="A1:AK19"/>
  <sheetViews>
    <sheetView showGridLines="0" zoomScale="110" zoomScaleNormal="110" workbookViewId="0">
      <selection activeCell="B5" sqref="B5"/>
    </sheetView>
  </sheetViews>
  <sheetFormatPr baseColWidth="10" defaultColWidth="9.140625" defaultRowHeight="30" customHeight="1"/>
  <cols>
    <col min="1" max="1" width="2.7109375" style="3" customWidth="1"/>
    <col min="2" max="2" width="25.85546875" style="3" customWidth="1"/>
    <col min="3" max="33" width="4.7109375" style="3" customWidth="1"/>
    <col min="34" max="34" width="13.42578125" style="3" customWidth="1"/>
    <col min="35" max="35" width="11.7109375" customWidth="1"/>
    <col min="36" max="36" width="13" customWidth="1"/>
    <col min="37" max="37" width="19.140625" customWidth="1"/>
  </cols>
  <sheetData>
    <row r="1" spans="1:37" ht="50.1" customHeight="1">
      <c r="B1" s="4" t="str">
        <f>Titre_Absence_Employé</f>
        <v>Calendrier des absences des employés</v>
      </c>
    </row>
    <row r="2" spans="1:37" ht="21.95" customHeight="1">
      <c r="A2" s="5"/>
      <c r="C2" s="48" t="s">
        <v>89</v>
      </c>
      <c r="D2" s="93" t="s">
        <v>90</v>
      </c>
      <c r="E2" s="93"/>
      <c r="F2" s="39" t="s">
        <v>72</v>
      </c>
      <c r="G2" s="88" t="s">
        <v>66</v>
      </c>
      <c r="H2" s="88"/>
      <c r="I2" s="38" t="s">
        <v>71</v>
      </c>
      <c r="J2" s="88" t="s">
        <v>74</v>
      </c>
      <c r="K2" s="88"/>
      <c r="L2" s="88"/>
      <c r="P2" s="47" t="s">
        <v>87</v>
      </c>
      <c r="Q2" s="95" t="s">
        <v>88</v>
      </c>
      <c r="R2" s="95"/>
      <c r="S2" s="95"/>
      <c r="T2" s="95"/>
      <c r="U2" s="95"/>
      <c r="V2" s="40" t="s">
        <v>70</v>
      </c>
      <c r="W2" s="88" t="s">
        <v>73</v>
      </c>
      <c r="X2" s="88"/>
      <c r="Y2" s="88"/>
      <c r="Z2" s="51" t="s">
        <v>96</v>
      </c>
      <c r="AA2" s="88" t="s">
        <v>97</v>
      </c>
      <c r="AB2" s="88"/>
      <c r="AC2" s="88"/>
    </row>
    <row r="3" spans="1:37" ht="18" customHeight="1">
      <c r="B3" s="9" t="s">
        <v>1</v>
      </c>
      <c r="C3" s="17" t="s">
        <v>4</v>
      </c>
      <c r="D3" s="89" t="s">
        <v>7</v>
      </c>
      <c r="E3" s="89"/>
      <c r="F3" s="18" t="s">
        <v>57</v>
      </c>
      <c r="G3" s="88" t="s">
        <v>57</v>
      </c>
      <c r="H3" s="88"/>
      <c r="I3" s="21" t="s">
        <v>55</v>
      </c>
      <c r="J3" s="88" t="s">
        <v>56</v>
      </c>
      <c r="K3" s="88"/>
      <c r="L3" s="88"/>
      <c r="M3" s="14" t="s">
        <v>58</v>
      </c>
      <c r="N3" s="88" t="s">
        <v>59</v>
      </c>
      <c r="O3" s="90"/>
      <c r="P3" s="54" t="s">
        <v>60</v>
      </c>
      <c r="Q3" s="91" t="s">
        <v>61</v>
      </c>
      <c r="R3" s="88"/>
      <c r="S3" s="20" t="s">
        <v>11</v>
      </c>
      <c r="T3" s="89" t="s">
        <v>17</v>
      </c>
      <c r="U3" s="89"/>
      <c r="V3" s="36" t="s">
        <v>69</v>
      </c>
      <c r="W3" s="88" t="s">
        <v>68</v>
      </c>
      <c r="X3" s="88"/>
      <c r="Y3" s="88"/>
      <c r="Z3" s="73" t="s">
        <v>100</v>
      </c>
      <c r="AA3" s="92" t="s">
        <v>101</v>
      </c>
      <c r="AB3" s="92"/>
      <c r="AC3" s="92"/>
    </row>
    <row r="4" spans="1:37" ht="15" customHeight="1">
      <c r="B4" s="4"/>
    </row>
    <row r="5" spans="1:37" ht="30" customHeight="1">
      <c r="B5" s="19" t="s">
        <v>50</v>
      </c>
      <c r="C5" s="87" t="s">
        <v>5</v>
      </c>
      <c r="D5" s="87"/>
      <c r="E5" s="87"/>
      <c r="F5" s="87"/>
      <c r="G5" s="87"/>
      <c r="H5" s="87"/>
      <c r="I5" s="87"/>
      <c r="J5" s="87"/>
      <c r="K5" s="87"/>
      <c r="L5" s="87"/>
      <c r="M5" s="87"/>
      <c r="N5" s="87"/>
      <c r="O5" s="87"/>
      <c r="P5" s="87"/>
      <c r="Q5" s="87"/>
      <c r="R5" s="87"/>
      <c r="S5" s="87"/>
      <c r="T5" s="87"/>
      <c r="U5" s="87"/>
      <c r="V5" s="87"/>
      <c r="W5" s="87"/>
      <c r="X5" s="87"/>
      <c r="Y5" s="87"/>
      <c r="Z5" s="87"/>
      <c r="AA5" s="87"/>
      <c r="AB5" s="87"/>
      <c r="AC5" s="87"/>
      <c r="AD5" s="87"/>
      <c r="AE5" s="87"/>
      <c r="AF5" s="87"/>
      <c r="AG5" s="87"/>
      <c r="AH5" s="23"/>
      <c r="AI5" s="23"/>
      <c r="AJ5" s="23"/>
      <c r="AK5" s="68">
        <f>AnnéeCalendrier</f>
        <v>2021</v>
      </c>
    </row>
    <row r="6" spans="1:37" ht="15" customHeight="1">
      <c r="B6" s="13"/>
      <c r="C6" s="55" t="str">
        <f>TEXT(WEEKDAY(DATE(AnnéeCalendrier,9,1),1),"jjj")</f>
        <v>mer</v>
      </c>
      <c r="D6" s="55" t="str">
        <f>TEXT(WEEKDAY(DATE(AnnéeCalendrier,9,2),1),"jjj")</f>
        <v>jeu</v>
      </c>
      <c r="E6" s="55" t="str">
        <f>TEXT(WEEKDAY(DATE(AnnéeCalendrier,9,3),1),"jjj")</f>
        <v>ven</v>
      </c>
      <c r="F6" s="55" t="str">
        <f>TEXT(WEEKDAY(DATE(AnnéeCalendrier,9,4),1),"jjj")</f>
        <v>sam</v>
      </c>
      <c r="G6" s="55" t="str">
        <f>TEXT(WEEKDAY(DATE(AnnéeCalendrier,9,5),1),"jjj")</f>
        <v>dim</v>
      </c>
      <c r="H6" s="55" t="str">
        <f>TEXT(WEEKDAY(DATE(AnnéeCalendrier,9,6),1),"jjj")</f>
        <v>lun</v>
      </c>
      <c r="I6" s="55" t="str">
        <f>TEXT(WEEKDAY(DATE(AnnéeCalendrier,9,7),1),"jjj")</f>
        <v>mar</v>
      </c>
      <c r="J6" s="55" t="str">
        <f>TEXT(WEEKDAY(DATE(AnnéeCalendrier,9,8),1),"jjj")</f>
        <v>mer</v>
      </c>
      <c r="K6" s="55" t="str">
        <f>TEXT(WEEKDAY(DATE(AnnéeCalendrier,9,9),1),"jjj")</f>
        <v>jeu</v>
      </c>
      <c r="L6" s="55" t="str">
        <f>TEXT(WEEKDAY(DATE(AnnéeCalendrier,9,10),1),"jjj")</f>
        <v>ven</v>
      </c>
      <c r="M6" s="55" t="str">
        <f>TEXT(WEEKDAY(DATE(AnnéeCalendrier,9,11),1),"jjj")</f>
        <v>sam</v>
      </c>
      <c r="N6" s="55" t="str">
        <f>TEXT(WEEKDAY(DATE(AnnéeCalendrier,9,12),1),"jjj")</f>
        <v>dim</v>
      </c>
      <c r="O6" s="55" t="str">
        <f>TEXT(WEEKDAY(DATE(AnnéeCalendrier,9,13),1),"jjj")</f>
        <v>lun</v>
      </c>
      <c r="P6" s="55" t="str">
        <f>TEXT(WEEKDAY(DATE(AnnéeCalendrier,9,14),1),"jjj")</f>
        <v>mar</v>
      </c>
      <c r="Q6" s="55" t="str">
        <f>TEXT(WEEKDAY(DATE(AnnéeCalendrier,9,15),1),"jjj")</f>
        <v>mer</v>
      </c>
      <c r="R6" s="55" t="str">
        <f>TEXT(WEEKDAY(DATE(AnnéeCalendrier,9,16),1),"jjj")</f>
        <v>jeu</v>
      </c>
      <c r="S6" s="55" t="str">
        <f>TEXT(WEEKDAY(DATE(AnnéeCalendrier,9,17),1),"jjj")</f>
        <v>ven</v>
      </c>
      <c r="T6" s="55" t="str">
        <f>TEXT(WEEKDAY(DATE(AnnéeCalendrier,9,18),1),"jjj")</f>
        <v>sam</v>
      </c>
      <c r="U6" s="55" t="str">
        <f>TEXT(WEEKDAY(DATE(AnnéeCalendrier,9,19),1),"jjj")</f>
        <v>dim</v>
      </c>
      <c r="V6" s="55" t="str">
        <f>TEXT(WEEKDAY(DATE(AnnéeCalendrier,9,20),1),"jjj")</f>
        <v>lun</v>
      </c>
      <c r="W6" s="55" t="str">
        <f>TEXT(WEEKDAY(DATE(AnnéeCalendrier,9,21),1),"jjj")</f>
        <v>mar</v>
      </c>
      <c r="X6" s="55" t="str">
        <f>TEXT(WEEKDAY(DATE(AnnéeCalendrier,9,22),1),"jjj")</f>
        <v>mer</v>
      </c>
      <c r="Y6" s="55" t="str">
        <f>TEXT(WEEKDAY(DATE(AnnéeCalendrier,9,23),1),"jjj")</f>
        <v>jeu</v>
      </c>
      <c r="Z6" s="55" t="str">
        <f>TEXT(WEEKDAY(DATE(AnnéeCalendrier,9,24),1),"jjj")</f>
        <v>ven</v>
      </c>
      <c r="AA6" s="55" t="str">
        <f>TEXT(WEEKDAY(DATE(AnnéeCalendrier,9,25),1),"jjj")</f>
        <v>sam</v>
      </c>
      <c r="AB6" s="55" t="str">
        <f>TEXT(WEEKDAY(DATE(AnnéeCalendrier,9,26),1),"jjj")</f>
        <v>dim</v>
      </c>
      <c r="AC6" s="55" t="str">
        <f>TEXT(WEEKDAY(DATE(AnnéeCalendrier,9,27),1),"jjj")</f>
        <v>lun</v>
      </c>
      <c r="AD6" s="55" t="str">
        <f>TEXT(WEEKDAY(DATE(AnnéeCalendrier,9,28),1),"jjj")</f>
        <v>mar</v>
      </c>
      <c r="AE6" s="55" t="str">
        <f>TEXT(WEEKDAY(DATE(AnnéeCalendrier,9,29),1),"jjj")</f>
        <v>mer</v>
      </c>
      <c r="AF6" s="55" t="str">
        <f>TEXT(WEEKDAY(DATE(AnnéeCalendrier,9,30),1),"jjj")</f>
        <v>jeu</v>
      </c>
      <c r="AG6" s="55"/>
      <c r="AH6" s="10"/>
      <c r="AI6" s="10"/>
      <c r="AJ6" s="10"/>
      <c r="AK6" s="10"/>
    </row>
    <row r="7" spans="1:37" ht="33.950000000000003" customHeight="1">
      <c r="B7" s="11" t="s">
        <v>3</v>
      </c>
      <c r="C7" s="12" t="s">
        <v>6</v>
      </c>
      <c r="D7" s="12" t="s">
        <v>8</v>
      </c>
      <c r="E7" s="12" t="s">
        <v>9</v>
      </c>
      <c r="F7" s="12" t="s">
        <v>10</v>
      </c>
      <c r="G7" s="12" t="s">
        <v>12</v>
      </c>
      <c r="H7" s="12" t="s">
        <v>13</v>
      </c>
      <c r="I7" s="12" t="s">
        <v>14</v>
      </c>
      <c r="J7" s="12" t="s">
        <v>15</v>
      </c>
      <c r="K7" s="12" t="s">
        <v>16</v>
      </c>
      <c r="L7" s="12" t="s">
        <v>18</v>
      </c>
      <c r="M7" s="12" t="s">
        <v>19</v>
      </c>
      <c r="N7" s="12" t="s">
        <v>20</v>
      </c>
      <c r="O7" s="12" t="s">
        <v>21</v>
      </c>
      <c r="P7" s="12" t="s">
        <v>22</v>
      </c>
      <c r="Q7" s="12" t="s">
        <v>23</v>
      </c>
      <c r="R7" s="12" t="s">
        <v>24</v>
      </c>
      <c r="S7" s="12" t="s">
        <v>25</v>
      </c>
      <c r="T7" s="12" t="s">
        <v>26</v>
      </c>
      <c r="U7" s="12" t="s">
        <v>27</v>
      </c>
      <c r="V7" s="12" t="s">
        <v>28</v>
      </c>
      <c r="W7" s="12" t="s">
        <v>29</v>
      </c>
      <c r="X7" s="12" t="s">
        <v>30</v>
      </c>
      <c r="Y7" s="12" t="s">
        <v>31</v>
      </c>
      <c r="Z7" s="12" t="s">
        <v>32</v>
      </c>
      <c r="AA7" s="12" t="s">
        <v>33</v>
      </c>
      <c r="AB7" s="12" t="s">
        <v>34</v>
      </c>
      <c r="AC7" s="12" t="s">
        <v>35</v>
      </c>
      <c r="AD7" s="12" t="s">
        <v>36</v>
      </c>
      <c r="AE7" s="12" t="s">
        <v>37</v>
      </c>
      <c r="AF7" s="12" t="s">
        <v>38</v>
      </c>
      <c r="AG7" s="12" t="s">
        <v>42</v>
      </c>
      <c r="AH7" s="24" t="s">
        <v>67</v>
      </c>
      <c r="AI7" s="25" t="s">
        <v>78</v>
      </c>
      <c r="AJ7" s="25" t="s">
        <v>98</v>
      </c>
      <c r="AK7" s="32" t="s">
        <v>83</v>
      </c>
    </row>
    <row r="8" spans="1:37" ht="30" customHeight="1">
      <c r="B8" s="8"/>
      <c r="C8" s="15"/>
      <c r="D8" s="15"/>
      <c r="E8" s="15"/>
      <c r="F8" s="15"/>
      <c r="G8" s="15"/>
      <c r="H8" s="15"/>
      <c r="I8" s="15"/>
      <c r="J8" s="15"/>
      <c r="K8" s="15"/>
      <c r="L8" s="15"/>
      <c r="M8" s="15"/>
      <c r="N8" s="15"/>
      <c r="O8" s="15"/>
      <c r="P8" s="15"/>
      <c r="Q8" s="15"/>
      <c r="R8" s="15"/>
      <c r="S8" s="15"/>
      <c r="T8" s="15"/>
      <c r="U8" s="15"/>
      <c r="V8" s="15"/>
      <c r="W8" s="15"/>
      <c r="X8" s="15"/>
      <c r="Y8" s="15"/>
      <c r="Z8" s="15"/>
      <c r="AA8" s="15"/>
      <c r="AB8" s="15"/>
      <c r="AC8" s="15"/>
      <c r="AD8" s="15"/>
      <c r="AE8" s="15"/>
      <c r="AF8" s="15"/>
      <c r="AG8" s="15"/>
      <c r="AH8" s="31">
        <f t="shared" ref="AH8:AH18" si="0">(COUNTIF(C8:AG8,CléCongé)+(COUNTIF(C8:AG8,CléEnfantMalade)+COUNTIF(C8:AG8,CléRTT)+COUNTIF(C8:AG8,CléCongéMalade)+COUNTIF(C8:AG8,CléRécupération)+COUNTIF(C8:AG8,CléFormation)+COUNTIF(C8:AG8,CléTélétravail-1)+COUNTIF(C8:AG8,CléCongéSpécial)+COUNTIF(C8:AG8,CléPrésenceExceptionnelle-1)+COUNTIF(C8:AG8,CléDemiRtt)/2)+COUNTIF(C8:AG8,CléDemiRécupération)/2)+COUNTIF(C8:AG8,CléDemiEnfantMalade)/2</f>
        <v>0</v>
      </c>
      <c r="AI8" s="31">
        <f t="shared" ref="AI8:AI18" si="1">COUNTIF(C8:AG8,CléRTT)+COUNTIF(C8:AG8,CléDemiRtt)/2</f>
        <v>0</v>
      </c>
      <c r="AJ8" s="31">
        <f>COUNTIF(C8:AG8,$S$3)</f>
        <v>0</v>
      </c>
      <c r="AK8" s="22"/>
    </row>
    <row r="9" spans="1:37" ht="30" customHeight="1">
      <c r="B9" s="8"/>
      <c r="C9" s="15"/>
      <c r="D9" s="15"/>
      <c r="E9" s="15"/>
      <c r="F9" s="15"/>
      <c r="G9" s="15"/>
      <c r="H9" s="15"/>
      <c r="I9" s="15"/>
      <c r="J9" s="15"/>
      <c r="K9" s="15"/>
      <c r="L9" s="15"/>
      <c r="M9" s="15"/>
      <c r="N9" s="15"/>
      <c r="O9" s="15"/>
      <c r="P9" s="15"/>
      <c r="Q9" s="15"/>
      <c r="R9" s="15"/>
      <c r="S9" s="15"/>
      <c r="T9" s="15"/>
      <c r="U9" s="15"/>
      <c r="V9" s="15"/>
      <c r="W9" s="15"/>
      <c r="X9" s="15"/>
      <c r="Y9" s="15"/>
      <c r="Z9" s="15"/>
      <c r="AA9" s="15"/>
      <c r="AB9" s="15"/>
      <c r="AC9" s="15"/>
      <c r="AD9" s="15"/>
      <c r="AE9" s="15"/>
      <c r="AF9" s="15"/>
      <c r="AG9" s="15"/>
      <c r="AH9" s="31">
        <f t="shared" si="0"/>
        <v>0</v>
      </c>
      <c r="AI9" s="31">
        <f t="shared" si="1"/>
        <v>0</v>
      </c>
      <c r="AJ9" s="31">
        <f t="shared" ref="AJ9:AJ18" si="2">COUNTIF(C9:AG9,$S$3)</f>
        <v>0</v>
      </c>
      <c r="AK9" s="22">
        <f>Aout!AK9-Septembre[[#This Row],[Dont RTT]]+2</f>
        <v>21</v>
      </c>
    </row>
    <row r="10" spans="1:37" ht="30" customHeight="1">
      <c r="B10" s="8"/>
      <c r="C10" s="15"/>
      <c r="D10" s="15"/>
      <c r="E10" s="15"/>
      <c r="F10" s="15"/>
      <c r="G10" s="15"/>
      <c r="H10" s="15"/>
      <c r="I10" s="15"/>
      <c r="J10" s="15"/>
      <c r="K10" s="15"/>
      <c r="L10" s="15"/>
      <c r="M10" s="15"/>
      <c r="N10" s="15"/>
      <c r="O10" s="15"/>
      <c r="P10" s="15"/>
      <c r="Q10" s="15"/>
      <c r="R10" s="15"/>
      <c r="S10" s="15"/>
      <c r="T10" s="15"/>
      <c r="U10" s="15"/>
      <c r="V10" s="15"/>
      <c r="W10" s="15"/>
      <c r="X10" s="15"/>
      <c r="Y10" s="15"/>
      <c r="Z10" s="15"/>
      <c r="AA10" s="15"/>
      <c r="AB10" s="15"/>
      <c r="AC10" s="15"/>
      <c r="AD10" s="15"/>
      <c r="AE10" s="15"/>
      <c r="AF10" s="15"/>
      <c r="AG10" s="15"/>
      <c r="AH10" s="31">
        <f t="shared" si="0"/>
        <v>0</v>
      </c>
      <c r="AI10" s="31">
        <f t="shared" si="1"/>
        <v>0</v>
      </c>
      <c r="AJ10" s="31">
        <f t="shared" si="2"/>
        <v>0</v>
      </c>
      <c r="AK10" s="22">
        <f>Aout!AK10-Septembre[[#This Row],[Dont RTT]]+2</f>
        <v>29</v>
      </c>
    </row>
    <row r="11" spans="1:37" ht="30" customHeight="1">
      <c r="B11" s="8"/>
      <c r="C11" s="15"/>
      <c r="D11" s="15"/>
      <c r="E11" s="15"/>
      <c r="F11" s="15"/>
      <c r="G11" s="15"/>
      <c r="H11" s="15"/>
      <c r="I11" s="15"/>
      <c r="J11" s="15"/>
      <c r="K11" s="15"/>
      <c r="L11" s="15"/>
      <c r="M11" s="15"/>
      <c r="N11" s="15"/>
      <c r="O11" s="15"/>
      <c r="P11" s="15"/>
      <c r="Q11" s="15"/>
      <c r="R11" s="15"/>
      <c r="S11" s="15"/>
      <c r="T11" s="15"/>
      <c r="U11" s="15"/>
      <c r="V11" s="15"/>
      <c r="W11" s="15"/>
      <c r="X11" s="15"/>
      <c r="Y11" s="15"/>
      <c r="Z11" s="15"/>
      <c r="AA11" s="15"/>
      <c r="AB11" s="15"/>
      <c r="AC11" s="15"/>
      <c r="AD11" s="15"/>
      <c r="AE11" s="15"/>
      <c r="AF11" s="15"/>
      <c r="AG11" s="15"/>
      <c r="AH11" s="31">
        <f t="shared" si="0"/>
        <v>0</v>
      </c>
      <c r="AI11" s="31">
        <f t="shared" si="1"/>
        <v>0</v>
      </c>
      <c r="AJ11" s="31">
        <f t="shared" si="2"/>
        <v>0</v>
      </c>
      <c r="AK11" s="22"/>
    </row>
    <row r="12" spans="1:37" ht="30" customHeight="1">
      <c r="B12" s="8"/>
      <c r="C12" s="15"/>
      <c r="D12" s="15"/>
      <c r="E12" s="15"/>
      <c r="F12" s="15"/>
      <c r="G12" s="15"/>
      <c r="H12" s="15"/>
      <c r="I12" s="15"/>
      <c r="J12" s="15"/>
      <c r="K12" s="15"/>
      <c r="L12" s="15"/>
      <c r="M12" s="15"/>
      <c r="N12" s="15"/>
      <c r="O12" s="15"/>
      <c r="P12" s="15"/>
      <c r="Q12" s="15"/>
      <c r="R12" s="15"/>
      <c r="S12" s="15"/>
      <c r="T12" s="15"/>
      <c r="U12" s="15"/>
      <c r="V12" s="15"/>
      <c r="W12" s="15"/>
      <c r="X12" s="15"/>
      <c r="Y12" s="15"/>
      <c r="Z12" s="15"/>
      <c r="AA12" s="15"/>
      <c r="AB12" s="15"/>
      <c r="AC12" s="15"/>
      <c r="AD12" s="15"/>
      <c r="AE12" s="15"/>
      <c r="AF12" s="15"/>
      <c r="AG12" s="15"/>
      <c r="AH12" s="31">
        <f t="shared" si="0"/>
        <v>0</v>
      </c>
      <c r="AI12" s="31">
        <f t="shared" si="1"/>
        <v>0</v>
      </c>
      <c r="AJ12" s="31">
        <f t="shared" si="2"/>
        <v>0</v>
      </c>
      <c r="AK12" s="22"/>
    </row>
    <row r="13" spans="1:37" ht="30" customHeight="1">
      <c r="B13" s="8"/>
      <c r="C13" s="22"/>
      <c r="D13" s="22"/>
      <c r="E13" s="22"/>
      <c r="F13" s="22"/>
      <c r="G13" s="22"/>
      <c r="H13" s="22"/>
      <c r="I13" s="22"/>
      <c r="J13" s="22"/>
      <c r="K13" s="15"/>
      <c r="L13" s="22"/>
      <c r="M13" s="22"/>
      <c r="N13" s="22"/>
      <c r="O13" s="22"/>
      <c r="P13" s="22"/>
      <c r="Q13" s="22"/>
      <c r="R13" s="15"/>
      <c r="S13" s="22"/>
      <c r="T13" s="22"/>
      <c r="U13" s="22"/>
      <c r="V13" s="22"/>
      <c r="W13" s="22"/>
      <c r="X13" s="22"/>
      <c r="Y13" s="15"/>
      <c r="Z13" s="22"/>
      <c r="AA13" s="22"/>
      <c r="AB13" s="22"/>
      <c r="AC13" s="22"/>
      <c r="AD13" s="22"/>
      <c r="AE13" s="22"/>
      <c r="AF13" s="22"/>
      <c r="AG13" s="22"/>
      <c r="AH13" s="31">
        <f t="shared" si="0"/>
        <v>0</v>
      </c>
      <c r="AI13" s="31">
        <f t="shared" si="1"/>
        <v>0</v>
      </c>
      <c r="AJ13" s="31">
        <f t="shared" si="2"/>
        <v>0</v>
      </c>
      <c r="AK13" s="22">
        <f>Aout!AK13-Septembre[[#This Row],[Dont RTT]]+2</f>
        <v>20.93</v>
      </c>
    </row>
    <row r="14" spans="1:37" ht="30" customHeight="1">
      <c r="B14" s="8"/>
      <c r="C14" s="22"/>
      <c r="D14" s="22"/>
      <c r="E14" s="22"/>
      <c r="F14" s="22"/>
      <c r="G14" s="22"/>
      <c r="H14" s="22"/>
      <c r="I14" s="22"/>
      <c r="J14" s="22"/>
      <c r="K14" s="15"/>
      <c r="L14" s="22"/>
      <c r="M14" s="22"/>
      <c r="N14" s="22"/>
      <c r="O14" s="22"/>
      <c r="P14" s="22"/>
      <c r="Q14" s="22"/>
      <c r="R14" s="15"/>
      <c r="S14" s="22"/>
      <c r="T14" s="22"/>
      <c r="U14" s="22"/>
      <c r="V14" s="22"/>
      <c r="W14" s="22"/>
      <c r="X14" s="22"/>
      <c r="Y14" s="15"/>
      <c r="Z14" s="22"/>
      <c r="AA14" s="22"/>
      <c r="AB14" s="22"/>
      <c r="AC14" s="22"/>
      <c r="AD14" s="22"/>
      <c r="AE14" s="22"/>
      <c r="AF14" s="22"/>
      <c r="AG14" s="22"/>
      <c r="AH14" s="31">
        <f t="shared" si="0"/>
        <v>0</v>
      </c>
      <c r="AI14" s="31">
        <f t="shared" si="1"/>
        <v>0</v>
      </c>
      <c r="AJ14" s="31">
        <f t="shared" si="2"/>
        <v>0</v>
      </c>
      <c r="AK14" s="22">
        <f>Aout!AK14-Septembre[[#This Row],[Dont RTT]]+2</f>
        <v>20.5</v>
      </c>
    </row>
    <row r="15" spans="1:37" ht="30" customHeight="1">
      <c r="B15" s="8"/>
      <c r="C15" s="22"/>
      <c r="D15" s="22"/>
      <c r="E15" s="22"/>
      <c r="F15" s="22"/>
      <c r="G15" s="22"/>
      <c r="H15" s="22"/>
      <c r="I15" s="22"/>
      <c r="J15" s="22"/>
      <c r="K15" s="22"/>
      <c r="L15" s="22"/>
      <c r="M15" s="15"/>
      <c r="N15" s="22"/>
      <c r="O15" s="22"/>
      <c r="P15" s="22"/>
      <c r="Q15" s="22"/>
      <c r="R15" s="22"/>
      <c r="S15" s="22"/>
      <c r="T15" s="15"/>
      <c r="U15" s="22"/>
      <c r="V15" s="22"/>
      <c r="W15" s="22"/>
      <c r="X15" s="22"/>
      <c r="Y15" s="22"/>
      <c r="Z15" s="22"/>
      <c r="AA15" s="15"/>
      <c r="AB15" s="22"/>
      <c r="AC15" s="22"/>
      <c r="AD15" s="22"/>
      <c r="AE15" s="22"/>
      <c r="AF15" s="22"/>
      <c r="AG15" s="22"/>
      <c r="AH15" s="31">
        <f t="shared" si="0"/>
        <v>0</v>
      </c>
      <c r="AI15" s="31">
        <f t="shared" si="1"/>
        <v>0</v>
      </c>
      <c r="AJ15" s="31">
        <f t="shared" si="2"/>
        <v>0</v>
      </c>
      <c r="AK15" s="22">
        <f>Aout!AK15-Septembre[[#This Row],[Dont RTT]]+2</f>
        <v>23.5</v>
      </c>
    </row>
    <row r="16" spans="1:37" ht="30" customHeight="1">
      <c r="B16" s="8"/>
      <c r="C16" s="22"/>
      <c r="D16" s="22"/>
      <c r="E16" s="22"/>
      <c r="F16" s="22"/>
      <c r="G16" s="22"/>
      <c r="H16" s="22"/>
      <c r="I16" s="22"/>
      <c r="J16" s="22"/>
      <c r="K16" s="15"/>
      <c r="L16" s="22"/>
      <c r="M16" s="22"/>
      <c r="N16" s="22"/>
      <c r="O16" s="22"/>
      <c r="P16" s="22"/>
      <c r="Q16" s="22"/>
      <c r="R16" s="15"/>
      <c r="S16" s="22"/>
      <c r="T16" s="22"/>
      <c r="U16" s="22"/>
      <c r="V16" s="22"/>
      <c r="W16" s="22"/>
      <c r="X16" s="22"/>
      <c r="Y16" s="15"/>
      <c r="Z16" s="22"/>
      <c r="AA16" s="22"/>
      <c r="AB16" s="22"/>
      <c r="AC16" s="22"/>
      <c r="AD16" s="22"/>
      <c r="AE16" s="22"/>
      <c r="AF16" s="22"/>
      <c r="AG16" s="22"/>
      <c r="AH16" s="31">
        <f t="shared" si="0"/>
        <v>0</v>
      </c>
      <c r="AI16" s="31">
        <f t="shared" si="1"/>
        <v>0</v>
      </c>
      <c r="AJ16" s="31">
        <f t="shared" si="2"/>
        <v>0</v>
      </c>
      <c r="AK16" s="22">
        <f>Aout!AK16-Septembre[[#This Row],[Dont RTT]]+2</f>
        <v>20.16</v>
      </c>
    </row>
    <row r="17" spans="2:37" ht="30" customHeight="1">
      <c r="B17" s="8"/>
      <c r="C17" s="22"/>
      <c r="D17" s="22"/>
      <c r="E17" s="22"/>
      <c r="F17" s="22"/>
      <c r="G17" s="22"/>
      <c r="H17" s="22"/>
      <c r="I17" s="22"/>
      <c r="J17" s="22"/>
      <c r="K17" s="22"/>
      <c r="L17" s="22"/>
      <c r="M17" s="15"/>
      <c r="N17" s="22"/>
      <c r="O17" s="22"/>
      <c r="P17" s="22"/>
      <c r="Q17" s="22"/>
      <c r="R17" s="22"/>
      <c r="S17" s="22"/>
      <c r="T17" s="15"/>
      <c r="U17" s="22"/>
      <c r="V17" s="22"/>
      <c r="W17" s="22"/>
      <c r="X17" s="22"/>
      <c r="Y17" s="22"/>
      <c r="Z17" s="22"/>
      <c r="AA17" s="15"/>
      <c r="AB17" s="22"/>
      <c r="AC17" s="22"/>
      <c r="AD17" s="22"/>
      <c r="AE17" s="22"/>
      <c r="AF17" s="22"/>
      <c r="AG17" s="22"/>
      <c r="AH17" s="31">
        <f t="shared" si="0"/>
        <v>0</v>
      </c>
      <c r="AI17" s="31">
        <f t="shared" si="1"/>
        <v>0</v>
      </c>
      <c r="AJ17" s="31">
        <f t="shared" si="2"/>
        <v>0</v>
      </c>
      <c r="AK17" s="22">
        <f>Aout!AK17-Septembre[[#This Row],[Dont RTT]]+2</f>
        <v>29</v>
      </c>
    </row>
    <row r="18" spans="2:37" ht="30" customHeight="1">
      <c r="B18" s="8"/>
      <c r="C18" s="22"/>
      <c r="D18" s="22"/>
      <c r="E18" s="22"/>
      <c r="F18" s="22"/>
      <c r="G18" s="22"/>
      <c r="H18" s="22"/>
      <c r="I18" s="22"/>
      <c r="J18" s="22"/>
      <c r="K18" s="15"/>
      <c r="L18" s="22"/>
      <c r="M18" s="22"/>
      <c r="N18" s="22"/>
      <c r="O18" s="22"/>
      <c r="P18" s="22"/>
      <c r="Q18" s="22"/>
      <c r="R18" s="15"/>
      <c r="S18" s="22"/>
      <c r="T18" s="22"/>
      <c r="U18" s="22"/>
      <c r="V18" s="22"/>
      <c r="W18" s="22"/>
      <c r="X18" s="22"/>
      <c r="Y18" s="15"/>
      <c r="Z18" s="22"/>
      <c r="AA18" s="22"/>
      <c r="AB18" s="22"/>
      <c r="AC18" s="22"/>
      <c r="AD18" s="22"/>
      <c r="AE18" s="22"/>
      <c r="AF18" s="22"/>
      <c r="AG18" s="22"/>
      <c r="AH18" s="31">
        <f t="shared" si="0"/>
        <v>0</v>
      </c>
      <c r="AI18" s="31">
        <f t="shared" si="1"/>
        <v>0</v>
      </c>
      <c r="AJ18" s="31">
        <f t="shared" si="2"/>
        <v>0</v>
      </c>
      <c r="AK18" s="22">
        <f>Aout!AK18-Septembre[[#This Row],[Dont RTT]]+2</f>
        <v>20.5</v>
      </c>
    </row>
    <row r="19" spans="2:37" ht="30" customHeight="1">
      <c r="B19" s="28" t="str">
        <f>NomMois&amp;" Total"</f>
        <v>Septembre Total</v>
      </c>
      <c r="C19" s="33">
        <f>COUNTIF(Septembre[1],CléCongé)+(COUNTIF(Septembre[1],CléCongéSpécial)+COUNTIF(Septembre[1],CléRTT)+(COUNTIF(Septembre[1],CléDemiRtt)/2)+COUNTIF(Septembre[1],CléCongéMalade)+COUNTIF(Septembre[1],CléRécupération)+(COUNTIF(Septembre[1],CléDemiRécupération)/2)+COUNTIF(Septembre[1],CléFormation)+(COUNTIF(Septembre[1],CléEnfantMalade)+(COUNTIF(Septembre[1],CléDemiEnfantMalade)/2)))</f>
        <v>0</v>
      </c>
      <c r="D19" s="33">
        <f>COUNTIF(Septembre[2],CléCongé)+(COUNTIF(Septembre[2],CléCongéSpécial)+COUNTIF(Septembre[2],CléRTT)+(COUNTIF(Septembre[2],CléDemiRtt)/2)+COUNTIF(Septembre[2],CléCongéMalade)+COUNTIF(Septembre[2],CléRécupération)+(COUNTIF(Septembre[2],CléDemiRécupération)/2)+COUNTIF(Septembre[2],CléFormation)+(COUNTIF(Septembre[2],CléEnfantMalade)+(COUNTIF(Septembre[2],CléDemiEnfantMalade)/2)))</f>
        <v>0</v>
      </c>
      <c r="E19" s="33">
        <f>COUNTIF(Septembre[3],CléCongé)+(COUNTIF(Septembre[3],CléCongéSpécial)+COUNTIF(Septembre[3],CléRTT)+(COUNTIF(Septembre[3],CléDemiRtt)/2)+COUNTIF(Septembre[3],CléCongéMalade)+COUNTIF(Septembre[3],CléRécupération)+(COUNTIF(Septembre[3],CléDemiRécupération)/2)+COUNTIF(Septembre[3],CléFormation)+(COUNTIF(Septembre[3],CléEnfantMalade)+(COUNTIF(Septembre[3],CléDemiEnfantMalade)/2)))</f>
        <v>0</v>
      </c>
      <c r="F19" s="33">
        <f>COUNTIF(Septembre[4],CléCongé)+(COUNTIF(Septembre[4],CléCongéSpécial)+COUNTIF(Septembre[4],CléRTT)+(COUNTIF(Septembre[4],CléDemiRtt)/2)+COUNTIF(Septembre[4],CléCongéMalade)+COUNTIF(Septembre[4],CléRécupération)+(COUNTIF(Septembre[4],CléDemiRécupération)/2)+COUNTIF(Septembre[4],CléFormation)+(COUNTIF(Septembre[4],CléEnfantMalade)+(COUNTIF(Septembre[4],CléDemiEnfantMalade)/2)))</f>
        <v>0</v>
      </c>
      <c r="G19" s="33">
        <f>COUNTIF(Septembre[5],CléCongé)+(COUNTIF(Septembre[5],CléCongéSpécial)+COUNTIF(Septembre[5],CléRTT)+(COUNTIF(Septembre[5],CléDemiRtt)/2)+COUNTIF(Septembre[5],CléCongéMalade)+COUNTIF(Septembre[5],CléRécupération)+(COUNTIF(Septembre[5],CléDemiRécupération)/2)+COUNTIF(Septembre[5],CléFormation)+(COUNTIF(Septembre[5],CléEnfantMalade)+(COUNTIF(Septembre[5],CléDemiEnfantMalade)/2)))</f>
        <v>0</v>
      </c>
      <c r="H19" s="33">
        <f>COUNTIF(Septembre[6],CléCongé)+(COUNTIF(Septembre[6],CléCongéSpécial)+COUNTIF(Septembre[6],CléRTT)+(COUNTIF(Septembre[6],CléDemiRtt)/2)+COUNTIF(Septembre[6],CléCongéMalade)+COUNTIF(Septembre[6],CléRécupération)+(COUNTIF(Septembre[6],CléDemiRécupération)/2)+COUNTIF(Septembre[6],CléFormation)+(COUNTIF(Septembre[6],CléEnfantMalade)+(COUNTIF(Septembre[6],CléDemiEnfantMalade)/2)))</f>
        <v>0</v>
      </c>
      <c r="I19" s="33">
        <f>COUNTIF(Septembre[7],CléCongé)+(COUNTIF(Septembre[7],CléCongéSpécial)+COUNTIF(Septembre[7],CléRTT)+(COUNTIF(Septembre[7],CléDemiRtt)/2)+COUNTIF(Septembre[7],CléCongéMalade)+COUNTIF(Septembre[7],CléRécupération)+(COUNTIF(Septembre[7],CléDemiRécupération)/2)+COUNTIF(Septembre[7],CléFormation)+(COUNTIF(Septembre[7],CléEnfantMalade)+(COUNTIF(Septembre[7],CléDemiEnfantMalade)/2)))</f>
        <v>0</v>
      </c>
      <c r="J19" s="33">
        <f>COUNTIF(Septembre[8],CléCongé)+(COUNTIF(Septembre[8],CléCongéSpécial)+COUNTIF(Septembre[8],CléRTT)+(COUNTIF(Septembre[8],CléDemiRtt)/2)+COUNTIF(Septembre[8],CléCongéMalade)+COUNTIF(Septembre[8],CléRécupération)+(COUNTIF(Septembre[8],CléDemiRécupération)/2)+COUNTIF(Septembre[8],CléFormation)+(COUNTIF(Septembre[8],CléEnfantMalade)+(COUNTIF(Septembre[8],CléDemiEnfantMalade)/2)))</f>
        <v>0</v>
      </c>
      <c r="K19" s="33">
        <f>COUNTIF(Septembre[9],CléCongé)+(COUNTIF(Septembre[9],CléCongéSpécial)+COUNTIF(Septembre[9],CléRTT)+(COUNTIF(Septembre[9],CléDemiRtt)/2)+COUNTIF(Septembre[9],CléCongéMalade)+COUNTIF(Septembre[9],CléRécupération)+(COUNTIF(Septembre[9],CléDemiRécupération)/2)+COUNTIF(Septembre[9],CléFormation)+(COUNTIF(Septembre[9],CléEnfantMalade)+(COUNTIF(Septembre[9],CléDemiEnfantMalade)/2)))</f>
        <v>0</v>
      </c>
      <c r="L19" s="33">
        <f>COUNTIF(Septembre[10],CléCongé)+(COUNTIF(Septembre[10],CléCongéSpécial)+COUNTIF(Septembre[10],CléRTT)+(COUNTIF(Septembre[10],CléDemiRtt)/2)+COUNTIF(Septembre[10],CléCongéMalade)+COUNTIF(Septembre[10],CléRécupération)+(COUNTIF(Septembre[10],CléDemiRécupération)/2)+COUNTIF(Septembre[10],CléFormation)+(COUNTIF(Septembre[10],CléEnfantMalade)+(COUNTIF(Septembre[10],CléDemiEnfantMalade)/2)))</f>
        <v>0</v>
      </c>
      <c r="M19" s="33">
        <f>COUNTIF(Septembre[11],CléCongé)+(COUNTIF(Septembre[11],CléCongéSpécial)+COUNTIF(Septembre[11],CléRTT)+(COUNTIF(Septembre[11],CléDemiRtt)/2)+COUNTIF(Septembre[11],CléCongéMalade)+COUNTIF(Septembre[11],CléRécupération)+(COUNTIF(Septembre[11],CléDemiRécupération)/2)+COUNTIF(Septembre[11],CléFormation)+(COUNTIF(Septembre[11],CléEnfantMalade)+(COUNTIF(Septembre[11],CléDemiEnfantMalade)/2)))</f>
        <v>0</v>
      </c>
      <c r="N19" s="33">
        <f>COUNTIF(Septembre[12],CléCongé)+(COUNTIF(Septembre[12],CléCongéSpécial)+COUNTIF(Septembre[12],CléRTT)+(COUNTIF(Septembre[12],CléDemiRtt)/2)+COUNTIF(Septembre[12],CléCongéMalade)+COUNTIF(Septembre[12],CléRécupération)+(COUNTIF(Septembre[12],CléDemiRécupération)/2)+COUNTIF(Septembre[12],CléFormation)+(COUNTIF(Septembre[12],CléEnfantMalade)+(COUNTIF(Septembre[12],CléDemiEnfantMalade)/2)))</f>
        <v>0</v>
      </c>
      <c r="O19" s="33">
        <f>COUNTIF(Septembre[13],CléCongé)+(COUNTIF(Septembre[13],CléCongéSpécial)+COUNTIF(Septembre[13],CléRTT)+(COUNTIF(Septembre[13],CléDemiRtt)/2)+COUNTIF(Septembre[13],CléCongéMalade)+COUNTIF(Septembre[13],CléRécupération)+(COUNTIF(Septembre[13],CléDemiRécupération)/2)+COUNTIF(Septembre[13],CléFormation)+(COUNTIF(Septembre[13],CléEnfantMalade)+(COUNTIF(Septembre[13],CléDemiEnfantMalade)/2)))</f>
        <v>0</v>
      </c>
      <c r="P19" s="33">
        <f>COUNTIF(Septembre[14],CléCongé)+(COUNTIF(Septembre[14],CléCongéSpécial)+COUNTIF(Septembre[14],CléRTT)+(COUNTIF(Septembre[14],CléDemiRtt)/2)+COUNTIF(Septembre[14],CléCongéMalade)+COUNTIF(Septembre[14],CléRécupération)+(COUNTIF(Septembre[14],CléDemiRécupération)/2)+COUNTIF(Septembre[14],CléFormation)+(COUNTIF(Septembre[14],CléEnfantMalade)+(COUNTIF(Septembre[14],CléDemiEnfantMalade)/2)))</f>
        <v>0</v>
      </c>
      <c r="Q19" s="33">
        <f>COUNTIF(Septembre[15],CléCongé)+(COUNTIF(Septembre[15],CléCongéSpécial)+COUNTIF(Septembre[15],CléRTT)+(COUNTIF(Septembre[15],CléDemiRtt)/2)+COUNTIF(Septembre[15],CléCongéMalade)+COUNTIF(Septembre[15],CléRécupération)+(COUNTIF(Septembre[15],CléDemiRécupération)/2)+COUNTIF(Septembre[15],CléFormation)+(COUNTIF(Septembre[15],CléEnfantMalade)+(COUNTIF(Septembre[15],CléDemiEnfantMalade)/2)))</f>
        <v>0</v>
      </c>
      <c r="R19" s="33">
        <f>COUNTIF(Septembre[16],CléCongé)+(COUNTIF(Septembre[16],CléCongéSpécial)+COUNTIF(Septembre[16],CléRTT)+(COUNTIF(Septembre[16],CléDemiRtt)/2)+COUNTIF(Septembre[16],CléCongéMalade)+COUNTIF(Septembre[16],CléRécupération)+(COUNTIF(Septembre[16],CléDemiRécupération)/2)+COUNTIF(Septembre[16],CléFormation)+(COUNTIF(Septembre[16],CléEnfantMalade)+(COUNTIF(Septembre[16],CléDemiEnfantMalade)/2)))</f>
        <v>0</v>
      </c>
      <c r="S19" s="33">
        <f>COUNTIF(Septembre[17],CléCongé)+(COUNTIF(Septembre[17],CléCongéSpécial)+COUNTIF(Septembre[17],CléRTT)+(COUNTIF(Septembre[17],CléDemiRtt)/2)+COUNTIF(Septembre[17],CléCongéMalade)+COUNTIF(Septembre[17],CléRécupération)+(COUNTIF(Septembre[17],CléDemiRécupération)/2)+COUNTIF(Septembre[17],CléFormation)+(COUNTIF(Septembre[17],CléEnfantMalade)+(COUNTIF(Septembre[17],CléDemiEnfantMalade)/2)))</f>
        <v>0</v>
      </c>
      <c r="T19" s="33">
        <f>COUNTIF(Septembre[18],CléCongé)+(COUNTIF(Septembre[18],CléCongéSpécial)+COUNTIF(Septembre[18],CléRTT)+(COUNTIF(Septembre[18],CléDemiRtt)/2)+COUNTIF(Septembre[18],CléCongéMalade)+COUNTIF(Septembre[18],CléRécupération)+(COUNTIF(Septembre[18],CléDemiRécupération)/2)+COUNTIF(Septembre[18],CléFormation)+(COUNTIF(Septembre[18],CléEnfantMalade)+(COUNTIF(Septembre[18],CléDemiEnfantMalade)/2)))</f>
        <v>0</v>
      </c>
      <c r="U19" s="33">
        <f>COUNTIF(Septembre[19],CléCongé)+(COUNTIF(Septembre[19],CléCongéSpécial)+COUNTIF(Septembre[19],CléRTT)+(COUNTIF(Septembre[19],CléDemiRtt)/2)+COUNTIF(Septembre[19],CléCongéMalade)+COUNTIF(Septembre[19],CléRécupération)+(COUNTIF(Septembre[19],CléDemiRécupération)/2)+COUNTIF(Septembre[19],CléFormation)+(COUNTIF(Septembre[19],CléEnfantMalade)+(COUNTIF(Septembre[19],CléDemiEnfantMalade)/2)))</f>
        <v>0</v>
      </c>
      <c r="V19" s="33">
        <f>COUNTIF(Septembre[20],CléCongé)+(COUNTIF(Septembre[20],CléCongéSpécial)+COUNTIF(Septembre[20],CléRTT)+(COUNTIF(Septembre[20],CléDemiRtt)/2)+COUNTIF(Septembre[20],CléCongéMalade)+COUNTIF(Septembre[20],CléRécupération)+(COUNTIF(Septembre[20],CléDemiRécupération)/2)+COUNTIF(Septembre[20],CléFormation)+(COUNTIF(Septembre[20],CléEnfantMalade)+(COUNTIF(Septembre[20],CléDemiEnfantMalade)/2)))</f>
        <v>0</v>
      </c>
      <c r="W19" s="33">
        <f>COUNTIF(Septembre[21],CléCongé)+(COUNTIF(Septembre[21],CléCongéSpécial)+COUNTIF(Septembre[21],CléRTT)+(COUNTIF(Septembre[21],CléDemiRtt)/2)+COUNTIF(Septembre[21],CléCongéMalade)+COUNTIF(Septembre[21],CléRécupération)+(COUNTIF(Septembre[21],CléDemiRécupération)/2)+COUNTIF(Septembre[21],CléFormation)+(COUNTIF(Septembre[21],CléEnfantMalade)+(COUNTIF(Septembre[21],CléDemiEnfantMalade)/2)))</f>
        <v>0</v>
      </c>
      <c r="X19" s="33">
        <f>COUNTIF(Septembre[22],CléCongé)+(COUNTIF(Septembre[22],CléCongéSpécial)+COUNTIF(Septembre[22],CléRTT)+(COUNTIF(Septembre[22],CléDemiRtt)/2)+COUNTIF(Septembre[22],CléCongéMalade)+COUNTIF(Septembre[22],CléRécupération)+(COUNTIF(Septembre[22],CléDemiRécupération)/2)+COUNTIF(Septembre[22],CléFormation)+(COUNTIF(Septembre[22],CléEnfantMalade)+(COUNTIF(Septembre[22],CléDemiEnfantMalade)/2)))</f>
        <v>0</v>
      </c>
      <c r="Y19" s="33">
        <f>COUNTIF(Septembre[23],CléCongé)+(COUNTIF(Septembre[23],CléCongéSpécial)+COUNTIF(Septembre[23],CléRTT)+(COUNTIF(Septembre[23],CléDemiRtt)/2)+COUNTIF(Septembre[23],CléCongéMalade)+COUNTIF(Septembre[23],CléRécupération)+(COUNTIF(Septembre[23],CléDemiRécupération)/2)+COUNTIF(Septembre[23],CléFormation)+(COUNTIF(Septembre[23],CléEnfantMalade)+(COUNTIF(Septembre[23],CléDemiEnfantMalade)/2)))</f>
        <v>0</v>
      </c>
      <c r="Z19" s="33">
        <f>COUNTIF(Septembre[24],CléCongé)+(COUNTIF(Septembre[24],CléCongéSpécial)+COUNTIF(Septembre[24],CléRTT)+(COUNTIF(Septembre[24],CléDemiRtt)/2)+COUNTIF(Septembre[24],CléCongéMalade)+COUNTIF(Septembre[24],CléRécupération)+(COUNTIF(Septembre[24],CléDemiRécupération)/2)+COUNTIF(Septembre[24],CléFormation)+(COUNTIF(Septembre[24],CléEnfantMalade)+(COUNTIF(Septembre[24],CléDemiEnfantMalade)/2)))</f>
        <v>0</v>
      </c>
      <c r="AA19" s="33">
        <f>COUNTIF(Septembre[25],CléCongé)+(COUNTIF(Septembre[25],CléCongéSpécial)+COUNTIF(Septembre[25],CléRTT)+(COUNTIF(Septembre[25],CléDemiRtt)/2)+COUNTIF(Septembre[25],CléCongéMalade)+COUNTIF(Septembre[25],CléRécupération)+(COUNTIF(Septembre[25],CléDemiRécupération)/2)+COUNTIF(Septembre[25],CléFormation)+(COUNTIF(Septembre[25],CléEnfantMalade)+(COUNTIF(Septembre[25],CléDemiEnfantMalade)/2)))</f>
        <v>0</v>
      </c>
      <c r="AB19" s="33">
        <f>COUNTIF(Septembre[26],CléCongé)+(COUNTIF(Septembre[26],CléCongéSpécial)+COUNTIF(Septembre[26],CléRTT)+(COUNTIF(Septembre[26],CléDemiRtt)/2)+COUNTIF(Septembre[26],CléCongéMalade)+COUNTIF(Septembre[26],CléRécupération)+(COUNTIF(Septembre[26],CléDemiRécupération)/2)+COUNTIF(Septembre[26],CléFormation)+(COUNTIF(Septembre[26],CléEnfantMalade)+(COUNTIF(Septembre[26],CléDemiEnfantMalade)/2)))</f>
        <v>0</v>
      </c>
      <c r="AC19" s="33">
        <f>COUNTIF(Septembre[27],CléCongé)+(COUNTIF(Septembre[27],CléCongéSpécial)+COUNTIF(Septembre[27],CléRTT)+(COUNTIF(Septembre[27],CléDemiRtt)/2)+COUNTIF(Septembre[27],CléCongéMalade)+COUNTIF(Septembre[27],CléRécupération)+(COUNTIF(Septembre[27],CléDemiRécupération)/2)+COUNTIF(Septembre[27],CléFormation)+(COUNTIF(Septembre[27],CléEnfantMalade)+(COUNTIF(Septembre[27],CléDemiEnfantMalade)/2)))</f>
        <v>0</v>
      </c>
      <c r="AD19" s="33">
        <f>COUNTIF(Septembre[28],CléCongé)+(COUNTIF(Septembre[28],CléCongéSpécial)+COUNTIF(Septembre[28],CléRTT)+(COUNTIF(Septembre[28],CléDemiRtt)/2)+COUNTIF(Septembre[28],CléCongéMalade)+COUNTIF(Septembre[28],CléRécupération)+(COUNTIF(Septembre[28],CléDemiRécupération)/2)+COUNTIF(Septembre[28],CléFormation)+(COUNTIF(Septembre[28],CléEnfantMalade)+(COUNTIF(Septembre[28],CléDemiEnfantMalade)/2)))</f>
        <v>0</v>
      </c>
      <c r="AE19" s="33">
        <f>COUNTIF(Septembre[29],CléCongé)+(COUNTIF(Septembre[29],CléCongéSpécial)+COUNTIF(Septembre[29],CléRTT)+(COUNTIF(Septembre[29],CléDemiRtt)/2)+COUNTIF(Septembre[29],CléCongéMalade)+COUNTIF(Septembre[29],CléRécupération)+(COUNTIF(Septembre[29],CléDemiRécupération)/2)+COUNTIF(Septembre[29],CléFormation)+(COUNTIF(Septembre[29],CléEnfantMalade)+(COUNTIF(Septembre[29],CléDemiEnfantMalade)/2)))</f>
        <v>0</v>
      </c>
      <c r="AF19" s="33">
        <f>COUNTIF(Septembre[30],CléCongé)+(COUNTIF(Septembre[30],CléCongéSpécial)+COUNTIF(Septembre[30],CléRTT)+(COUNTIF(Septembre[30],CléDemiRtt)/2)+COUNTIF(Septembre[30],CléCongéMalade)+COUNTIF(Septembre[30],CléRécupération)+(COUNTIF(Septembre[30],CléDemiRécupération)/2)+COUNTIF(Septembre[30],CléFormation)+(COUNTIF(Septembre[30],CléEnfantMalade)+(COUNTIF(Septembre[30],CléDemiEnfantMalade)/2)))</f>
        <v>0</v>
      </c>
      <c r="AG19" s="33">
        <f>COUNTIF(Septembre[[ ]],CléCongé)+(COUNTIF(Septembre[[ ]],CléCongéSpécial)+COUNTIF(Septembre[[ ]],CléRTT)+(COUNTIF(Septembre[[ ]],CléDemiRtt)/2)+COUNTIF(Septembre[[ ]],CléCongéMalade)+COUNTIF(Septembre[[ ]],CléRécupération)+(COUNTIF(Septembre[[ ]],CléDemiRécupération)/2)+COUNTIF(Septembre[[ ]],CléFormation)+(COUNTIF(Septembre[[ ]],CléEnfantMalade)+(COUNTIF(Septembre[[ ]],CléDemiEnfantMalade)/2)))</f>
        <v>0</v>
      </c>
      <c r="AH19" s="27">
        <f>SUBTOTAL(109,Septembre[Total absence])</f>
        <v>0</v>
      </c>
      <c r="AI19" s="27">
        <f>SUBTOTAL(109,Septembre[Dont RTT])</f>
        <v>0</v>
      </c>
      <c r="AJ19" s="53">
        <f>SUBTOTAL(109,Septembre[Dont MALADIE])</f>
        <v>0</v>
      </c>
      <c r="AK19" s="41"/>
    </row>
  </sheetData>
  <mergeCells count="15">
    <mergeCell ref="C5:AG5"/>
    <mergeCell ref="G2:H2"/>
    <mergeCell ref="J2:L2"/>
    <mergeCell ref="W2:Y2"/>
    <mergeCell ref="D3:E3"/>
    <mergeCell ref="G3:H3"/>
    <mergeCell ref="J3:L3"/>
    <mergeCell ref="N3:O3"/>
    <mergeCell ref="Q3:R3"/>
    <mergeCell ref="T3:U3"/>
    <mergeCell ref="W3:Y3"/>
    <mergeCell ref="D2:E2"/>
    <mergeCell ref="Q2:U2"/>
    <mergeCell ref="AA2:AC2"/>
    <mergeCell ref="AA3:AC3"/>
  </mergeCells>
  <conditionalFormatting sqref="C6:AF6">
    <cfRule type="containsText" dxfId="174" priority="136" stopIfTrue="1" operator="containsText" text="dim">
      <formula>NOT(ISERROR(SEARCH("dim",C6)))</formula>
    </cfRule>
  </conditionalFormatting>
  <conditionalFormatting sqref="AH7">
    <cfRule type="containsText" dxfId="173" priority="135" stopIfTrue="1" operator="containsText" text="dim">
      <formula>NOT(ISERROR(SEARCH("dim",AH7)))</formula>
    </cfRule>
  </conditionalFormatting>
  <conditionalFormatting sqref="C19:AG19">
    <cfRule type="containsText" dxfId="172" priority="115" stopIfTrue="1" operator="containsText" text="dim">
      <formula>NOT(ISERROR(SEARCH("dim",C19)))</formula>
    </cfRule>
  </conditionalFormatting>
  <conditionalFormatting sqref="AL3:XFD3 A2:A3 AG2:XFD2">
    <cfRule type="containsText" dxfId="171" priority="113" stopIfTrue="1" operator="containsText" text="dim">
      <formula>NOT(ISERROR(SEARCH("dim",A2)))</formula>
    </cfRule>
  </conditionalFormatting>
  <conditionalFormatting sqref="AH8:AH18">
    <cfRule type="dataBar" priority="53">
      <dataBar>
        <cfvo type="num" val="0"/>
        <cfvo type="num" val="31"/>
        <color rgb="FF00B0F0"/>
      </dataBar>
      <extLst>
        <ext xmlns:x14="http://schemas.microsoft.com/office/spreadsheetml/2009/9/main" uri="{B025F937-C7B1-47D3-B67F-A62EFF666E3E}">
          <x14:id>{5ADB184A-9C2E-1F46-8527-539973699570}</x14:id>
        </ext>
      </extLst>
    </cfRule>
    <cfRule type="containsText" dxfId="170" priority="56" stopIfTrue="1" operator="containsText" text="dim">
      <formula>NOT(ISERROR(SEARCH("dim",AH8)))</formula>
    </cfRule>
  </conditionalFormatting>
  <conditionalFormatting sqref="AI8:AI18">
    <cfRule type="dataBar" priority="54">
      <dataBar>
        <cfvo type="num" val="0"/>
        <cfvo type="num" val="31"/>
        <color rgb="FF92D050"/>
      </dataBar>
      <extLst>
        <ext xmlns:x14="http://schemas.microsoft.com/office/spreadsheetml/2009/9/main" uri="{B025F937-C7B1-47D3-B67F-A62EFF666E3E}">
          <x14:id>{80FD76CC-F1B9-8447-8564-5F029DBF1CC5}</x14:id>
        </ext>
      </extLst>
    </cfRule>
  </conditionalFormatting>
  <conditionalFormatting sqref="B3:D3 F2:G3 M3:N3 Q3 S3:T3 V2:W3 I2:J3">
    <cfRule type="containsText" dxfId="169" priority="36" stopIfTrue="1" operator="containsText" text="dim">
      <formula>NOT(ISERROR(SEARCH("dim",B2)))</formula>
    </cfRule>
  </conditionalFormatting>
  <conditionalFormatting sqref="V2:W2">
    <cfRule type="containsText" dxfId="168" priority="35" stopIfTrue="1" operator="containsText" text="dim">
      <formula>NOT(ISERROR(SEARCH("dim",V2)))</formula>
    </cfRule>
  </conditionalFormatting>
  <conditionalFormatting sqref="AA2">
    <cfRule type="containsText" dxfId="167" priority="34" stopIfTrue="1" operator="containsText" text="dim">
      <formula>NOT(ISERROR(SEARCH("dim",AA2)))</formula>
    </cfRule>
  </conditionalFormatting>
  <conditionalFormatting sqref="AA2">
    <cfRule type="containsText" dxfId="166" priority="33" stopIfTrue="1" operator="containsText" text="dim">
      <formula>NOT(ISERROR(SEARCH("dim",AA2)))</formula>
    </cfRule>
  </conditionalFormatting>
  <conditionalFormatting sqref="P3">
    <cfRule type="expression" dxfId="165" priority="19" stopIfTrue="1">
      <formula>P3=CléNonTravaillé</formula>
    </cfRule>
    <cfRule type="expression" dxfId="164" priority="20" stopIfTrue="1">
      <formula>P3=CléPrésenceExceptionnelle</formula>
    </cfRule>
    <cfRule type="expression" dxfId="163" priority="21" stopIfTrue="1">
      <formula>P3=CléCongéSpécial</formula>
    </cfRule>
    <cfRule type="expression" dxfId="162" priority="22" stopIfTrue="1">
      <formula>P3=CléDemiRécupération</formula>
    </cfRule>
    <cfRule type="expression" dxfId="161" priority="23" stopIfTrue="1">
      <formula>P3=CléDemiEnfantMalade</formula>
    </cfRule>
    <cfRule type="expression" dxfId="160" priority="24" stopIfTrue="1">
      <formula>P3=CléEnfantMalade</formula>
    </cfRule>
    <cfRule type="expression" dxfId="159" priority="25" stopIfTrue="1">
      <formula>P3=CléDemiRtt</formula>
    </cfRule>
    <cfRule type="expression" priority="26" stopIfTrue="1">
      <formula>P3=""</formula>
    </cfRule>
    <cfRule type="expression" dxfId="158" priority="27" stopIfTrue="1">
      <formula>P3=CléMaladie</formula>
    </cfRule>
    <cfRule type="expression" dxfId="157" priority="28" stopIfTrue="1">
      <formula>P3=CléCongé</formula>
    </cfRule>
    <cfRule type="expression" dxfId="156" priority="29" stopIfTrue="1">
      <formula>P3=CléRécupération</formula>
    </cfRule>
    <cfRule type="expression" dxfId="155" priority="30" stopIfTrue="1">
      <formula>P3=CléFormation</formula>
    </cfRule>
    <cfRule type="expression" dxfId="154" priority="31" stopIfTrue="1">
      <formula>P3=CléRTT</formula>
    </cfRule>
    <cfRule type="expression" dxfId="153" priority="32" stopIfTrue="1">
      <formula>P3=CléTélétravail</formula>
    </cfRule>
  </conditionalFormatting>
  <conditionalFormatting sqref="AA3">
    <cfRule type="containsText" dxfId="152" priority="18" stopIfTrue="1" operator="containsText" text="dim">
      <formula>NOT(ISERROR(SEARCH("dim",AA3)))</formula>
    </cfRule>
  </conditionalFormatting>
  <conditionalFormatting sqref="AA3">
    <cfRule type="containsText" dxfId="151" priority="17" stopIfTrue="1" operator="containsText" text="dim">
      <formula>NOT(ISERROR(SEARCH("dim",AA3)))</formula>
    </cfRule>
  </conditionalFormatting>
  <conditionalFormatting sqref="C8:AG18">
    <cfRule type="expression" dxfId="150" priority="2" stopIfTrue="1">
      <formula>C8=CléAbsenceJustifiée</formula>
    </cfRule>
    <cfRule type="expression" dxfId="149" priority="3" stopIfTrue="1">
      <formula>C8=CléNonTravaillé</formula>
    </cfRule>
    <cfRule type="expression" dxfId="148" priority="4" stopIfTrue="1">
      <formula>C8=CléPrésenceExceptionnelle</formula>
    </cfRule>
    <cfRule type="expression" dxfId="147" priority="5" stopIfTrue="1">
      <formula>C8=CléCongéSpécial</formula>
    </cfRule>
    <cfRule type="expression" dxfId="146" priority="6" stopIfTrue="1">
      <formula>C8=CléDemiRécupération</formula>
    </cfRule>
    <cfRule type="expression" dxfId="145" priority="7" stopIfTrue="1">
      <formula>C8=CléDemiEnfantMalade</formula>
    </cfRule>
    <cfRule type="expression" dxfId="144" priority="8" stopIfTrue="1">
      <formula>C8=CléEnfantMalade</formula>
    </cfRule>
    <cfRule type="expression" dxfId="143" priority="9" stopIfTrue="1">
      <formula>C8=CléDemiRtt</formula>
    </cfRule>
    <cfRule type="expression" priority="10" stopIfTrue="1">
      <formula>C8=""</formula>
    </cfRule>
    <cfRule type="expression" dxfId="142" priority="11" stopIfTrue="1">
      <formula>C8=CléCongéMalade</formula>
    </cfRule>
    <cfRule type="expression" dxfId="141" priority="12" stopIfTrue="1">
      <formula>C8=CléCongé</formula>
    </cfRule>
    <cfRule type="expression" dxfId="140" priority="13" stopIfTrue="1">
      <formula>C8=CléRécupération</formula>
    </cfRule>
    <cfRule type="expression" dxfId="139" priority="14" stopIfTrue="1">
      <formula>C8=CléFormation</formula>
    </cfRule>
    <cfRule type="expression" dxfId="138" priority="15" stopIfTrue="1">
      <formula>C8=CléRTT</formula>
    </cfRule>
    <cfRule type="expression" dxfId="137" priority="16" stopIfTrue="1">
      <formula>C8=CléTélétravail</formula>
    </cfRule>
  </conditionalFormatting>
  <conditionalFormatting sqref="AJ8:AJ18">
    <cfRule type="dataBar" priority="1">
      <dataBar>
        <cfvo type="num" val="0"/>
        <cfvo type="num" val="31"/>
        <color rgb="FFFF0000"/>
      </dataBar>
      <extLst>
        <ext xmlns:x14="http://schemas.microsoft.com/office/spreadsheetml/2009/9/main" uri="{B025F937-C7B1-47D3-B67F-A62EFF666E3E}">
          <x14:id>{036D4A2C-74BF-47B4-B04C-7CD0089A4346}</x14:id>
        </ext>
      </extLst>
    </cfRule>
  </conditionalFormatting>
  <dataValidations count="17">
    <dataValidation allowBlank="1" showInputMessage="1" showErrorMessage="1" prompt="Les jours de la semaine dans cette ligne sont mis à jour automatiquement pour le mois en fonction de l’année dans AH4. Chaque jour du mois est une colonne dans laquelle noter l’absence et le motif d’absence d’un employé" sqref="C6" xr:uid="{7E14F6FC-4E37-7648-A594-0DCB61B9658E}"/>
    <dataValidation allowBlank="1" showInputMessage="1" showErrorMessage="1" prompt="Année mise à jour automatiquement en fonction de l’année entrée dans la feuille de calcul Janvier" sqref="AH5" xr:uid="{2CC35B3D-5F20-6F48-B087-614EB8607BD6}"/>
    <dataValidation allowBlank="1" showInputMessage="1" showErrorMessage="1" prompt="Calcule automatiquement le nombre total de jours d’absence d’un employé durant ce mois dans cette colonne" sqref="AH7" xr:uid="{62B7D210-EC4C-234D-AC3A-66748D200AA2}"/>
    <dataValidation allowBlank="1" showInputMessage="1" showErrorMessage="1" prompt="Suivez les absences du mois de septembre dans cette feuille de calcul" sqref="A1" xr:uid="{264081C0-A7C4-0646-9153-5BE49A98E3A6}"/>
    <dataValidation errorStyle="warning" allowBlank="1" showInputMessage="1" showErrorMessage="1" error="Sélectionnez un nom dans la liste. Sélectionnez ANNULER, appuyez sur ALT+FLÈCHE BAS, puis sur ENTRÉE pour sélectionner un nom" prompt="Entrez les noms des employés dans la feuille de calcul du Noms des employés, puis sélectionnez l’un des noms de la liste figurant dans cette colonne. Appuyez sur ALT+FLÈCHE BAS, puis sur ENTRÉE pour sélectionner un nom" sqref="B7" xr:uid="{66280752-5A29-7A4D-ABA4-9E282B386065}"/>
    <dataValidation allowBlank="1" showInputMessage="1" showErrorMessage="1" prompt="Nom du mois pour ce calendrier des absences dans cette cellule. Le total des absences pour ce mois figure dans la dernière cellule du tableau. Sélectionnez les noms des employés dans la colonne B du tableau" sqref="B5" xr:uid="{97BC5A8C-5D72-F149-B9E3-3285C6733C3E}"/>
    <dataValidation allowBlank="1" showInputMessage="1" showErrorMessage="1" prompt="Les jours du mois dans cette ligne sont générés automatiquement. Entrez l’absence et le motif d’absence d’un employé dans chaque colonne pour chaque jour du mois. Un champ vide indique qu’il n’y a pas eu d’absence" sqref="C7" xr:uid="{9F73E622-E073-CD4E-9BD1-5A43CF9A6BCB}"/>
    <dataValidation allowBlank="1" showInputMessage="1" showErrorMessage="1" prompt="Le Calendrier des absences des employés suit les absences exprimées en jours pour chaque mois. Il existe 13 feuilles de calcul, 12 mensuelles et la dernière pour les noms des employés. Suivez les absences du mois de janvier dans cette feuille de calcul" sqref="A2" xr:uid="{D79B8CC9-0919-2646-920E-1BDE9E0587D2}"/>
    <dataValidation allowBlank="1" showErrorMessage="1" sqref="B4:AJ4 AD1:AJ1 B2:B3 B1:Y1" xr:uid="{3827FEA2-1355-6D4C-AF2E-976FA6C0CD36}"/>
    <dataValidation allowBlank="1" showErrorMessage="1" prompt="Entrez une étiquette pour décrire la clé personnalisée à gauche" sqref="N3" xr:uid="{05652064-F00A-0A40-92FF-06CB7B48FDB6}"/>
    <dataValidation allowBlank="1" showErrorMessage="1" prompt="Entrez une lettre et personnalisez l’étiquette à droite pour ajouter un élément de clé" sqref="I2:I3" xr:uid="{8AF9FF17-45D6-3047-A143-A090175C67BF}"/>
    <dataValidation allowBlank="1" showInputMessage="1" showErrorMessage="1" prompt="Entrez une étiquette pour décrire la clé personnalisée à gauche" sqref="J2:J3" xr:uid="{3B88E179-5EBA-B044-A3A9-1A8088781F6A}"/>
    <dataValidation allowBlank="1" showInputMessage="1" showErrorMessage="1" prompt="Entrez une lettre et personnalisez l’étiquette à droite pour ajouter un élément de clé" sqref="M3" xr:uid="{60769337-3883-544A-AC66-9EB8B3794628}"/>
    <dataValidation allowBlank="1" showInputMessage="1" showErrorMessage="1" prompt="La lettre « M » indique une absence pour cause de maladie" sqref="S3" xr:uid="{44E94F1C-BCDC-F74B-8BE1-2C188468CF8C}"/>
    <dataValidation allowBlank="1" showErrorMessage="1" prompt="La lettre « P » indique une absence pour motifs personnels" sqref="F3" xr:uid="{8241F17F-0D25-A043-B57C-3A9A49739838}"/>
    <dataValidation allowBlank="1" showErrorMessage="1" prompt="La lettre « C » indique une absence pour cause de congé" sqref="C3" xr:uid="{6B7D47FC-8937-194E-A8DB-F0E9DC2AC100}"/>
    <dataValidation type="list" allowBlank="1" showInputMessage="1" showErrorMessage="1" sqref="B8:B18" xr:uid="{C8AFFAA5-090A-48D6-BD92-318AB584467F}">
      <formula1>Nom_Employe</formula1>
    </dataValidation>
  </dataValidations>
  <pageMargins left="0.7" right="0.7" top="0.75" bottom="0.75" header="0.3" footer="0.3"/>
  <pageSetup paperSize="9" fitToHeight="0" orientation="portrait" verticalDpi="4294967293" r:id="rId1"/>
  <tableParts count="1">
    <tablePart r:id="rId2"/>
  </tableParts>
  <extLst>
    <ext xmlns:x14="http://schemas.microsoft.com/office/spreadsheetml/2009/9/main" uri="{78C0D931-6437-407d-A8EE-F0AAD7539E65}">
      <x14:conditionalFormattings>
        <x14:conditionalFormatting xmlns:xm="http://schemas.microsoft.com/office/excel/2006/main">
          <x14:cfRule type="dataBar" id="{5ADB184A-9C2E-1F46-8527-539973699570}">
            <x14:dataBar minLength="0" maxLength="100">
              <x14:cfvo type="num">
                <xm:f>0</xm:f>
              </x14:cfvo>
              <x14:cfvo type="num">
                <xm:f>31</xm:f>
              </x14:cfvo>
              <x14:negativeFillColor rgb="FFFF0000"/>
              <x14:axisColor rgb="FF000000"/>
            </x14:dataBar>
          </x14:cfRule>
          <xm:sqref>AH8:AH18</xm:sqref>
        </x14:conditionalFormatting>
        <x14:conditionalFormatting xmlns:xm="http://schemas.microsoft.com/office/excel/2006/main">
          <x14:cfRule type="dataBar" id="{80FD76CC-F1B9-8447-8564-5F029DBF1CC5}">
            <x14:dataBar minLength="0" maxLength="100">
              <x14:cfvo type="num">
                <xm:f>0</xm:f>
              </x14:cfvo>
              <x14:cfvo type="num">
                <xm:f>31</xm:f>
              </x14:cfvo>
              <x14:negativeFillColor rgb="FFFF0000"/>
              <x14:axisColor rgb="FF000000"/>
            </x14:dataBar>
          </x14:cfRule>
          <xm:sqref>AI8:AI18</xm:sqref>
        </x14:conditionalFormatting>
        <x14:conditionalFormatting xmlns:xm="http://schemas.microsoft.com/office/excel/2006/main">
          <x14:cfRule type="dataBar" id="{036D4A2C-74BF-47B4-B04C-7CD0089A4346}">
            <x14:dataBar minLength="0" maxLength="100">
              <x14:cfvo type="num">
                <xm:f>0</xm:f>
              </x14:cfvo>
              <x14:cfvo type="num">
                <xm:f>31</xm:f>
              </x14:cfvo>
              <x14:negativeFillColor rgb="FFFF0000"/>
              <x14:axisColor rgb="FF000000"/>
            </x14:dataBar>
          </x14:cfRule>
          <xm:sqref>AJ8:AJ18</xm:sqref>
        </x14:conditionalFormatting>
        <x14:conditionalFormatting xmlns:xm="http://schemas.microsoft.com/office/excel/2006/main">
          <x14:cfRule type="containsText" priority="152" stopIfTrue="1" operator="containsText" text="dim" id="{ABC52282-978D-4643-9D91-F39EF56EBE23}">
            <xm:f>NOT(ISERROR(SEARCH("dim",Avril!AK18)))</xm:f>
            <x14:dxf>
              <font>
                <color theme="9"/>
              </font>
              <fill>
                <patternFill patternType="none">
                  <bgColor auto="1"/>
                </patternFill>
              </fill>
            </x14:dxf>
          </x14:cfRule>
          <xm:sqref>AK19:AK1048576</xm:sqref>
        </x14:conditionalFormatting>
        <x14:conditionalFormatting xmlns:xm="http://schemas.microsoft.com/office/excel/2006/main">
          <x14:cfRule type="containsText" priority="89" stopIfTrue="1" operator="containsText" text="dim" id="{1E0332C0-4ACB-B548-B144-11E833885B22}">
            <xm:f>NOT(ISERROR(SEARCH("dim",Aout!AJ19)))</xm:f>
            <x14:dxf>
              <font>
                <color theme="0" tint="-0.24994659260841701"/>
              </font>
              <fill>
                <patternFill patternType="none">
                  <bgColor auto="1"/>
                </patternFill>
              </fill>
            </x14:dxf>
          </x14:cfRule>
          <xm:sqref>AJ19</xm:sqref>
        </x14:conditionalFormatting>
        <x14:conditionalFormatting xmlns:xm="http://schemas.microsoft.com/office/excel/2006/main">
          <x14:cfRule type="containsText" priority="607" stopIfTrue="1" operator="containsText" text="dim" id="{ABC52282-978D-4643-9D91-F39EF56EBE23}">
            <xm:f>NOT(ISERROR(SEARCH("dim",Avril!AK1)))</xm:f>
            <x14:dxf>
              <font>
                <color theme="9"/>
              </font>
              <fill>
                <patternFill patternType="none">
                  <bgColor auto="1"/>
                </patternFill>
              </fill>
            </x14:dxf>
          </x14:cfRule>
          <xm:sqref>AK7 AK1 AK4</xm:sqref>
        </x14:conditionalFormatting>
      </x14:conditionalFormatting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C880150-2180-3346-9740-CF30AA3A6C09}">
  <sheetPr codeName="Feuil10">
    <tabColor theme="2" tint="-0.249977111117893"/>
  </sheetPr>
  <dimension ref="A1:AL22"/>
  <sheetViews>
    <sheetView showGridLines="0" topLeftCell="C3" zoomScaleNormal="100" workbookViewId="0">
      <selection activeCell="AJ8" sqref="AJ8:AJ18"/>
    </sheetView>
  </sheetViews>
  <sheetFormatPr baseColWidth="10" defaultColWidth="9.140625" defaultRowHeight="30" customHeight="1"/>
  <cols>
    <col min="1" max="1" width="2.7109375" style="3" customWidth="1"/>
    <col min="2" max="2" width="19.7109375" style="3" customWidth="1"/>
    <col min="3" max="33" width="4.7109375" style="3" customWidth="1"/>
    <col min="34" max="34" width="11.85546875" style="3" customWidth="1"/>
    <col min="35" max="36" width="11.85546875" customWidth="1"/>
    <col min="37" max="37" width="18.85546875" customWidth="1"/>
    <col min="38" max="38" width="41.85546875" customWidth="1"/>
  </cols>
  <sheetData>
    <row r="1" spans="1:38" ht="50.1" customHeight="1">
      <c r="B1" s="4" t="str">
        <f>Titre_Absence_Employé</f>
        <v>Calendrier des absences des employés</v>
      </c>
    </row>
    <row r="2" spans="1:38" ht="21.95" customHeight="1">
      <c r="A2" s="5"/>
      <c r="C2" s="48" t="s">
        <v>89</v>
      </c>
      <c r="D2" s="93" t="s">
        <v>90</v>
      </c>
      <c r="E2" s="93"/>
      <c r="F2" s="39" t="s">
        <v>72</v>
      </c>
      <c r="G2" s="88" t="s">
        <v>66</v>
      </c>
      <c r="H2" s="88"/>
      <c r="I2" s="38" t="s">
        <v>71</v>
      </c>
      <c r="J2" s="88" t="s">
        <v>74</v>
      </c>
      <c r="K2" s="88"/>
      <c r="L2" s="88"/>
      <c r="P2" s="47" t="s">
        <v>87</v>
      </c>
      <c r="Q2" s="95" t="s">
        <v>88</v>
      </c>
      <c r="R2" s="95"/>
      <c r="S2" s="95"/>
      <c r="T2" s="95"/>
      <c r="U2" s="95"/>
      <c r="V2" s="40" t="s">
        <v>70</v>
      </c>
      <c r="W2" s="88" t="s">
        <v>73</v>
      </c>
      <c r="X2" s="88"/>
      <c r="Y2" s="88"/>
      <c r="Z2" s="51" t="s">
        <v>96</v>
      </c>
      <c r="AA2" s="88" t="s">
        <v>97</v>
      </c>
      <c r="AB2" s="88"/>
      <c r="AC2" s="88"/>
    </row>
    <row r="3" spans="1:38" ht="18" customHeight="1">
      <c r="B3" s="9" t="s">
        <v>1</v>
      </c>
      <c r="C3" s="17" t="s">
        <v>4</v>
      </c>
      <c r="D3" s="89" t="s">
        <v>7</v>
      </c>
      <c r="E3" s="89"/>
      <c r="F3" s="18" t="s">
        <v>57</v>
      </c>
      <c r="G3" s="88" t="s">
        <v>57</v>
      </c>
      <c r="H3" s="88"/>
      <c r="I3" s="21" t="s">
        <v>55</v>
      </c>
      <c r="J3" s="88" t="s">
        <v>56</v>
      </c>
      <c r="K3" s="88"/>
      <c r="L3" s="88"/>
      <c r="M3" s="14" t="s">
        <v>58</v>
      </c>
      <c r="N3" s="88" t="s">
        <v>59</v>
      </c>
      <c r="O3" s="90"/>
      <c r="P3" s="54" t="s">
        <v>60</v>
      </c>
      <c r="Q3" s="91" t="s">
        <v>61</v>
      </c>
      <c r="R3" s="88"/>
      <c r="S3" s="20" t="s">
        <v>11</v>
      </c>
      <c r="T3" s="89" t="s">
        <v>17</v>
      </c>
      <c r="U3" s="89"/>
      <c r="V3" s="36" t="s">
        <v>69</v>
      </c>
      <c r="W3" s="88" t="s">
        <v>68</v>
      </c>
      <c r="X3" s="88"/>
      <c r="Y3" s="88"/>
      <c r="Z3" s="73" t="s">
        <v>100</v>
      </c>
      <c r="AA3" s="92" t="s">
        <v>101</v>
      </c>
      <c r="AB3" s="92"/>
      <c r="AC3" s="92"/>
    </row>
    <row r="4" spans="1:38" ht="15" customHeight="1">
      <c r="B4" s="4"/>
    </row>
    <row r="5" spans="1:38" ht="30" customHeight="1">
      <c r="B5" s="19" t="s">
        <v>51</v>
      </c>
      <c r="C5" s="87" t="s">
        <v>5</v>
      </c>
      <c r="D5" s="87"/>
      <c r="E5" s="87"/>
      <c r="F5" s="87"/>
      <c r="G5" s="87"/>
      <c r="H5" s="87"/>
      <c r="I5" s="87"/>
      <c r="J5" s="87"/>
      <c r="K5" s="87"/>
      <c r="L5" s="87"/>
      <c r="M5" s="87"/>
      <c r="N5" s="87"/>
      <c r="O5" s="87"/>
      <c r="P5" s="87"/>
      <c r="Q5" s="87"/>
      <c r="R5" s="87"/>
      <c r="S5" s="87"/>
      <c r="T5" s="87"/>
      <c r="U5" s="87"/>
      <c r="V5" s="87"/>
      <c r="W5" s="87"/>
      <c r="X5" s="87"/>
      <c r="Y5" s="87"/>
      <c r="Z5" s="87"/>
      <c r="AA5" s="87"/>
      <c r="AB5" s="87"/>
      <c r="AC5" s="87"/>
      <c r="AD5" s="87"/>
      <c r="AE5" s="87"/>
      <c r="AF5" s="87"/>
      <c r="AG5" s="87"/>
      <c r="AH5" s="23"/>
      <c r="AI5" s="23"/>
      <c r="AJ5" s="23"/>
      <c r="AK5" s="68">
        <f>AnnéeCalendrier</f>
        <v>2021</v>
      </c>
      <c r="AL5" s="23"/>
    </row>
    <row r="6" spans="1:38" ht="15" customHeight="1">
      <c r="B6" s="13"/>
      <c r="C6" s="2" t="str">
        <f>TEXT(WEEKDAY(DATE(AnnéeCalendrier,10,1),1),"jjj")</f>
        <v>ven</v>
      </c>
      <c r="D6" s="2" t="str">
        <f>TEXT(WEEKDAY(DATE(AnnéeCalendrier,10,2),1),"jjj")</f>
        <v>sam</v>
      </c>
      <c r="E6" s="2" t="str">
        <f>TEXT(WEEKDAY(DATE(AnnéeCalendrier,10,3),1),"jjj")</f>
        <v>dim</v>
      </c>
      <c r="F6" s="2" t="str">
        <f>TEXT(WEEKDAY(DATE(AnnéeCalendrier,10,4),1),"jjj")</f>
        <v>lun</v>
      </c>
      <c r="G6" s="2" t="str">
        <f>TEXT(WEEKDAY(DATE(AnnéeCalendrier,10,5),1),"jjj")</f>
        <v>mar</v>
      </c>
      <c r="H6" s="2" t="str">
        <f>TEXT(WEEKDAY(DATE(AnnéeCalendrier,10,6),1),"jjj")</f>
        <v>mer</v>
      </c>
      <c r="I6" s="2" t="str">
        <f>TEXT(WEEKDAY(DATE(AnnéeCalendrier,10,7),1),"jjj")</f>
        <v>jeu</v>
      </c>
      <c r="J6" s="2" t="str">
        <f>TEXT(WEEKDAY(DATE(AnnéeCalendrier,10,8),1),"jjj")</f>
        <v>ven</v>
      </c>
      <c r="K6" s="2" t="str">
        <f>TEXT(WEEKDAY(DATE(AnnéeCalendrier,10,9),1),"jjj")</f>
        <v>sam</v>
      </c>
      <c r="L6" s="2" t="str">
        <f>TEXT(WEEKDAY(DATE(AnnéeCalendrier,10,10),1),"jjj")</f>
        <v>dim</v>
      </c>
      <c r="M6" s="2" t="str">
        <f>TEXT(WEEKDAY(DATE(AnnéeCalendrier,10,11),1),"jjj")</f>
        <v>lun</v>
      </c>
      <c r="N6" s="2" t="str">
        <f>TEXT(WEEKDAY(DATE(AnnéeCalendrier,10,12),1),"jjj")</f>
        <v>mar</v>
      </c>
      <c r="O6" s="2" t="str">
        <f>TEXT(WEEKDAY(DATE(AnnéeCalendrier,10,13),1),"jjj")</f>
        <v>mer</v>
      </c>
      <c r="P6" s="2" t="str">
        <f>TEXT(WEEKDAY(DATE(AnnéeCalendrier,10,14),1),"jjj")</f>
        <v>jeu</v>
      </c>
      <c r="Q6" s="2" t="str">
        <f>TEXT(WEEKDAY(DATE(AnnéeCalendrier,10,15),1),"jjj")</f>
        <v>ven</v>
      </c>
      <c r="R6" s="2" t="str">
        <f>TEXT(WEEKDAY(DATE(AnnéeCalendrier,10,16),1),"jjj")</f>
        <v>sam</v>
      </c>
      <c r="S6" s="2" t="str">
        <f>TEXT(WEEKDAY(DATE(AnnéeCalendrier,10,17),1),"jjj")</f>
        <v>dim</v>
      </c>
      <c r="T6" s="2" t="str">
        <f>TEXT(WEEKDAY(DATE(AnnéeCalendrier,10,18),1),"jjj")</f>
        <v>lun</v>
      </c>
      <c r="U6" s="2" t="str">
        <f>TEXT(WEEKDAY(DATE(AnnéeCalendrier,10,19),1),"jjj")</f>
        <v>mar</v>
      </c>
      <c r="V6" s="2" t="str">
        <f>TEXT(WEEKDAY(DATE(AnnéeCalendrier,10,20),1),"jjj")</f>
        <v>mer</v>
      </c>
      <c r="W6" s="2" t="str">
        <f>TEXT(WEEKDAY(DATE(AnnéeCalendrier,10,21),1),"jjj")</f>
        <v>jeu</v>
      </c>
      <c r="X6" s="2" t="str">
        <f>TEXT(WEEKDAY(DATE(AnnéeCalendrier,10,22),1),"jjj")</f>
        <v>ven</v>
      </c>
      <c r="Y6" s="2" t="str">
        <f>TEXT(WEEKDAY(DATE(AnnéeCalendrier,10,23),1),"jjj")</f>
        <v>sam</v>
      </c>
      <c r="Z6" s="2" t="str">
        <f>TEXT(WEEKDAY(DATE(AnnéeCalendrier,10,24),1),"jjj")</f>
        <v>dim</v>
      </c>
      <c r="AA6" s="2" t="str">
        <f>TEXT(WEEKDAY(DATE(AnnéeCalendrier,10,25),1),"jjj")</f>
        <v>lun</v>
      </c>
      <c r="AB6" s="2" t="str">
        <f>TEXT(WEEKDAY(DATE(AnnéeCalendrier,10,26),1),"jjj")</f>
        <v>mar</v>
      </c>
      <c r="AC6" s="2" t="str">
        <f>TEXT(WEEKDAY(DATE(AnnéeCalendrier,10,27),1),"jjj")</f>
        <v>mer</v>
      </c>
      <c r="AD6" s="2" t="str">
        <f>TEXT(WEEKDAY(DATE(AnnéeCalendrier,10,28),1),"jjj")</f>
        <v>jeu</v>
      </c>
      <c r="AE6" s="2" t="str">
        <f>TEXT(WEEKDAY(DATE(AnnéeCalendrier,10,29),1),"jjj")</f>
        <v>ven</v>
      </c>
      <c r="AF6" s="2" t="str">
        <f>TEXT(WEEKDAY(DATE(AnnéeCalendrier,10,30),1),"jjj")</f>
        <v>sam</v>
      </c>
      <c r="AG6" s="2" t="str">
        <f>TEXT(WEEKDAY(DATE(AnnéeCalendrier,10,31),1),"jjj")</f>
        <v>dim</v>
      </c>
      <c r="AH6" s="10"/>
      <c r="AI6" s="10"/>
      <c r="AJ6" s="10"/>
      <c r="AK6" s="10"/>
      <c r="AL6" s="10"/>
    </row>
    <row r="7" spans="1:38" ht="35.1" customHeight="1">
      <c r="B7" s="11" t="s">
        <v>3</v>
      </c>
      <c r="C7" s="12" t="s">
        <v>6</v>
      </c>
      <c r="D7" s="12" t="s">
        <v>8</v>
      </c>
      <c r="E7" s="12" t="s">
        <v>9</v>
      </c>
      <c r="F7" s="12" t="s">
        <v>10</v>
      </c>
      <c r="G7" s="12" t="s">
        <v>12</v>
      </c>
      <c r="H7" s="12" t="s">
        <v>13</v>
      </c>
      <c r="I7" s="12" t="s">
        <v>14</v>
      </c>
      <c r="J7" s="12" t="s">
        <v>15</v>
      </c>
      <c r="K7" s="12" t="s">
        <v>16</v>
      </c>
      <c r="L7" s="12" t="s">
        <v>18</v>
      </c>
      <c r="M7" s="12" t="s">
        <v>19</v>
      </c>
      <c r="N7" s="12" t="s">
        <v>20</v>
      </c>
      <c r="O7" s="12" t="s">
        <v>21</v>
      </c>
      <c r="P7" s="12" t="s">
        <v>22</v>
      </c>
      <c r="Q7" s="12" t="s">
        <v>23</v>
      </c>
      <c r="R7" s="12" t="s">
        <v>24</v>
      </c>
      <c r="S7" s="12" t="s">
        <v>25</v>
      </c>
      <c r="T7" s="12" t="s">
        <v>26</v>
      </c>
      <c r="U7" s="12" t="s">
        <v>27</v>
      </c>
      <c r="V7" s="12" t="s">
        <v>28</v>
      </c>
      <c r="W7" s="12" t="s">
        <v>29</v>
      </c>
      <c r="X7" s="12" t="s">
        <v>30</v>
      </c>
      <c r="Y7" s="12" t="s">
        <v>31</v>
      </c>
      <c r="Z7" s="12" t="s">
        <v>32</v>
      </c>
      <c r="AA7" s="12" t="s">
        <v>33</v>
      </c>
      <c r="AB7" s="12" t="s">
        <v>34</v>
      </c>
      <c r="AC7" s="12" t="s">
        <v>35</v>
      </c>
      <c r="AD7" s="12" t="s">
        <v>36</v>
      </c>
      <c r="AE7" s="12" t="s">
        <v>37</v>
      </c>
      <c r="AF7" s="12" t="s">
        <v>38</v>
      </c>
      <c r="AG7" s="12" t="s">
        <v>39</v>
      </c>
      <c r="AH7" s="67" t="s">
        <v>67</v>
      </c>
      <c r="AI7" s="25" t="s">
        <v>78</v>
      </c>
      <c r="AJ7" s="25" t="s">
        <v>98</v>
      </c>
      <c r="AK7" s="72" t="s">
        <v>82</v>
      </c>
      <c r="AL7" s="71" t="s">
        <v>99</v>
      </c>
    </row>
    <row r="8" spans="1:38" ht="30" customHeight="1">
      <c r="B8" s="8"/>
      <c r="C8" s="15"/>
      <c r="D8" s="15"/>
      <c r="E8" s="15"/>
      <c r="F8" s="15"/>
      <c r="G8" s="15"/>
      <c r="H8" s="15"/>
      <c r="I8" s="15"/>
      <c r="J8" s="15"/>
      <c r="K8" s="15"/>
      <c r="L8" s="15"/>
      <c r="M8" s="15"/>
      <c r="N8" s="15"/>
      <c r="O8" s="15"/>
      <c r="P8" s="15"/>
      <c r="Q8" s="15"/>
      <c r="R8" s="15"/>
      <c r="S8" s="15"/>
      <c r="T8" s="15"/>
      <c r="U8" s="15"/>
      <c r="V8" s="15"/>
      <c r="W8" s="15"/>
      <c r="X8" s="15"/>
      <c r="Y8" s="15"/>
      <c r="Z8" s="15"/>
      <c r="AA8" s="15"/>
      <c r="AB8" s="15"/>
      <c r="AC8" s="15"/>
      <c r="AD8" s="15"/>
      <c r="AE8" s="15"/>
      <c r="AF8" s="15"/>
      <c r="AG8" s="15"/>
      <c r="AH8" s="31">
        <f t="shared" ref="AH8:AH21" si="0">(COUNTIF(C8:AG8,CléCongé)+(COUNTIF(C8:AG8,CléEnfantMalade)+COUNTIF(C8:AG8,CléRTT)+COUNTIF(C8:AG8,CléCongéMalade)+COUNTIF(C8:AG8,CléRécupération)+COUNTIF(C8:AG8,CléFormation)+COUNTIF(C8:AG8,CléTélétravail-1)+COUNTIF(C8:AG8,CléCongéSpécial)+COUNTIF(C8:AG8,CléPrésenceExceptionnelle-1)+COUNTIF(C8:AG8,CléDemiRtt)/2)+COUNTIF(C8:AG8,CléDemiRécupération)/2)+COUNTIF(C8:AG8,CléDemiEnfantMalade)/2</f>
        <v>0</v>
      </c>
      <c r="AI8" s="31">
        <f t="shared" ref="AI8:AI21" si="1">COUNTIF(C8:AG8,CléRTT)+COUNTIF(C8:AG8,CléDemiRtt)/2</f>
        <v>0</v>
      </c>
      <c r="AJ8" s="31">
        <f>COUNTIF(C8:AG8,$S$3)</f>
        <v>0</v>
      </c>
      <c r="AK8" s="22"/>
      <c r="AL8" s="65"/>
    </row>
    <row r="9" spans="1:38" ht="30" customHeight="1">
      <c r="B9" s="8"/>
      <c r="C9" s="15"/>
      <c r="D9" s="15"/>
      <c r="E9" s="15"/>
      <c r="F9" s="15"/>
      <c r="G9" s="15"/>
      <c r="H9" s="15"/>
      <c r="I9" s="15"/>
      <c r="J9" s="15"/>
      <c r="K9" s="15"/>
      <c r="L9" s="15"/>
      <c r="M9" s="15"/>
      <c r="N9" s="15"/>
      <c r="O9" s="15"/>
      <c r="P9" s="15"/>
      <c r="Q9" s="15"/>
      <c r="R9" s="15"/>
      <c r="S9" s="15"/>
      <c r="T9" s="15"/>
      <c r="U9" s="15"/>
      <c r="V9" s="15"/>
      <c r="W9" s="15"/>
      <c r="X9" s="15"/>
      <c r="Y9" s="15"/>
      <c r="Z9" s="15"/>
      <c r="AA9" s="15"/>
      <c r="AB9" s="15"/>
      <c r="AC9" s="15"/>
      <c r="AD9" s="15"/>
      <c r="AE9" s="15"/>
      <c r="AF9" s="15"/>
      <c r="AG9" s="15"/>
      <c r="AH9" s="31">
        <f t="shared" si="0"/>
        <v>0</v>
      </c>
      <c r="AI9" s="31">
        <f t="shared" si="1"/>
        <v>0</v>
      </c>
      <c r="AJ9" s="31">
        <f t="shared" ref="AJ9:AJ18" si="2">COUNTIF(C9:AG9,$S$3)</f>
        <v>0</v>
      </c>
      <c r="AK9" s="22">
        <f>Septembre!AK9-Octobre[[#This Row],[Dont RTT]]+2</f>
        <v>23</v>
      </c>
      <c r="AL9" s="65"/>
    </row>
    <row r="10" spans="1:38" ht="30" customHeight="1">
      <c r="B10" s="8"/>
      <c r="C10" s="15"/>
      <c r="D10" s="15"/>
      <c r="E10" s="15"/>
      <c r="F10" s="15"/>
      <c r="G10" s="15"/>
      <c r="H10" s="15"/>
      <c r="I10" s="15"/>
      <c r="J10" s="15"/>
      <c r="K10" s="15"/>
      <c r="L10" s="15"/>
      <c r="M10" s="15"/>
      <c r="N10" s="15"/>
      <c r="O10" s="15"/>
      <c r="P10" s="15"/>
      <c r="Q10" s="15"/>
      <c r="R10" s="15"/>
      <c r="S10" s="15"/>
      <c r="T10" s="15"/>
      <c r="U10" s="15"/>
      <c r="V10" s="15"/>
      <c r="W10" s="15"/>
      <c r="X10" s="15"/>
      <c r="Y10" s="15"/>
      <c r="Z10" s="15"/>
      <c r="AA10" s="15"/>
      <c r="AB10" s="15"/>
      <c r="AC10" s="15"/>
      <c r="AD10" s="15"/>
      <c r="AE10" s="15"/>
      <c r="AF10" s="15"/>
      <c r="AG10" s="15"/>
      <c r="AH10" s="31">
        <f t="shared" si="0"/>
        <v>0</v>
      </c>
      <c r="AI10" s="31">
        <f t="shared" si="1"/>
        <v>0</v>
      </c>
      <c r="AJ10" s="31">
        <f t="shared" si="2"/>
        <v>0</v>
      </c>
      <c r="AK10" s="22">
        <f>Septembre!AK10-Octobre[[#This Row],[Dont RTT]]+2</f>
        <v>31</v>
      </c>
      <c r="AL10" s="65"/>
    </row>
    <row r="11" spans="1:38" ht="30" customHeight="1">
      <c r="B11" s="8"/>
      <c r="C11" s="15"/>
      <c r="D11" s="15"/>
      <c r="E11" s="15"/>
      <c r="F11" s="15"/>
      <c r="G11" s="15"/>
      <c r="H11" s="15"/>
      <c r="I11" s="15"/>
      <c r="J11" s="15"/>
      <c r="K11" s="15"/>
      <c r="L11" s="15"/>
      <c r="M11" s="15"/>
      <c r="N11" s="15"/>
      <c r="O11" s="15"/>
      <c r="P11" s="15"/>
      <c r="Q11" s="15"/>
      <c r="R11" s="15"/>
      <c r="S11" s="15"/>
      <c r="T11" s="15"/>
      <c r="U11" s="15"/>
      <c r="V11" s="15"/>
      <c r="W11" s="15"/>
      <c r="X11" s="15"/>
      <c r="Y11" s="15"/>
      <c r="Z11" s="15"/>
      <c r="AA11" s="15"/>
      <c r="AB11" s="15"/>
      <c r="AC11" s="15"/>
      <c r="AD11" s="15"/>
      <c r="AE11" s="15"/>
      <c r="AF11" s="15"/>
      <c r="AG11" s="15"/>
      <c r="AH11" s="31">
        <f t="shared" si="0"/>
        <v>0</v>
      </c>
      <c r="AI11" s="31">
        <f t="shared" si="1"/>
        <v>0</v>
      </c>
      <c r="AJ11" s="31">
        <f t="shared" si="2"/>
        <v>0</v>
      </c>
      <c r="AK11" s="22"/>
      <c r="AL11" s="65"/>
    </row>
    <row r="12" spans="1:38" ht="30" customHeight="1">
      <c r="B12" s="8"/>
      <c r="C12" s="15"/>
      <c r="D12" s="15"/>
      <c r="E12" s="15"/>
      <c r="F12" s="15"/>
      <c r="G12" s="15"/>
      <c r="H12" s="15"/>
      <c r="I12" s="15"/>
      <c r="J12" s="15"/>
      <c r="K12" s="15"/>
      <c r="L12" s="15"/>
      <c r="M12" s="15"/>
      <c r="N12" s="15"/>
      <c r="O12" s="15"/>
      <c r="P12" s="15"/>
      <c r="Q12" s="15"/>
      <c r="R12" s="15"/>
      <c r="S12" s="15"/>
      <c r="T12" s="15"/>
      <c r="U12" s="15"/>
      <c r="V12" s="15"/>
      <c r="W12" s="15"/>
      <c r="X12" s="15"/>
      <c r="Y12" s="15"/>
      <c r="Z12" s="15"/>
      <c r="AA12" s="15"/>
      <c r="AB12" s="15"/>
      <c r="AC12" s="15"/>
      <c r="AD12" s="15"/>
      <c r="AE12" s="15"/>
      <c r="AF12" s="15"/>
      <c r="AG12" s="15"/>
      <c r="AH12" s="31">
        <f t="shared" si="0"/>
        <v>0</v>
      </c>
      <c r="AI12" s="31">
        <f t="shared" si="1"/>
        <v>0</v>
      </c>
      <c r="AJ12" s="31">
        <f t="shared" si="2"/>
        <v>0</v>
      </c>
      <c r="AK12" s="22"/>
      <c r="AL12" s="65"/>
    </row>
    <row r="13" spans="1:38" ht="30" customHeight="1">
      <c r="B13" s="8"/>
      <c r="C13" s="22"/>
      <c r="D13" s="22"/>
      <c r="E13" s="22"/>
      <c r="F13" s="22"/>
      <c r="G13" s="22"/>
      <c r="H13" s="22"/>
      <c r="I13" s="22"/>
      <c r="J13" s="22"/>
      <c r="K13" s="15"/>
      <c r="L13" s="22"/>
      <c r="M13" s="22"/>
      <c r="N13" s="22"/>
      <c r="O13" s="22"/>
      <c r="P13" s="22"/>
      <c r="Q13" s="22"/>
      <c r="R13" s="15"/>
      <c r="S13" s="22"/>
      <c r="T13" s="22"/>
      <c r="U13" s="22"/>
      <c r="V13" s="22"/>
      <c r="W13" s="22"/>
      <c r="X13" s="22"/>
      <c r="Y13" s="15"/>
      <c r="Z13" s="22"/>
      <c r="AA13" s="22"/>
      <c r="AB13" s="22"/>
      <c r="AC13" s="22"/>
      <c r="AD13" s="22"/>
      <c r="AE13" s="22"/>
      <c r="AF13" s="22"/>
      <c r="AG13" s="22"/>
      <c r="AH13" s="31">
        <f t="shared" si="0"/>
        <v>0</v>
      </c>
      <c r="AI13" s="31">
        <f t="shared" si="1"/>
        <v>0</v>
      </c>
      <c r="AJ13" s="31">
        <f t="shared" si="2"/>
        <v>0</v>
      </c>
      <c r="AK13" s="22">
        <f>Septembre!AK13-Octobre[[#This Row],[Dont RTT]]+2</f>
        <v>22.93</v>
      </c>
      <c r="AL13" s="65"/>
    </row>
    <row r="14" spans="1:38" ht="30" customHeight="1">
      <c r="B14" s="8"/>
      <c r="C14" s="22"/>
      <c r="D14" s="22"/>
      <c r="E14" s="22"/>
      <c r="F14" s="22"/>
      <c r="G14" s="22"/>
      <c r="H14" s="22"/>
      <c r="I14" s="22"/>
      <c r="J14" s="22"/>
      <c r="K14" s="15"/>
      <c r="L14" s="22"/>
      <c r="M14" s="22"/>
      <c r="N14" s="22"/>
      <c r="O14" s="22"/>
      <c r="P14" s="22"/>
      <c r="Q14" s="22"/>
      <c r="R14" s="15"/>
      <c r="S14" s="22"/>
      <c r="T14" s="22"/>
      <c r="U14" s="22"/>
      <c r="V14" s="22"/>
      <c r="W14" s="22"/>
      <c r="X14" s="22"/>
      <c r="Y14" s="15"/>
      <c r="Z14" s="22"/>
      <c r="AA14" s="22"/>
      <c r="AB14" s="22"/>
      <c r="AC14" s="22"/>
      <c r="AD14" s="22"/>
      <c r="AE14" s="22"/>
      <c r="AF14" s="22"/>
      <c r="AG14" s="22"/>
      <c r="AH14" s="31">
        <f t="shared" si="0"/>
        <v>0</v>
      </c>
      <c r="AI14" s="31">
        <f t="shared" si="1"/>
        <v>0</v>
      </c>
      <c r="AJ14" s="31">
        <f t="shared" si="2"/>
        <v>0</v>
      </c>
      <c r="AK14" s="22">
        <f>Septembre!AK14-Octobre[[#This Row],[Dont RTT]]+2</f>
        <v>22.5</v>
      </c>
      <c r="AL14" s="65"/>
    </row>
    <row r="15" spans="1:38" ht="30" customHeight="1">
      <c r="B15" s="8"/>
      <c r="C15" s="22"/>
      <c r="D15" s="22"/>
      <c r="E15" s="22"/>
      <c r="F15" s="22"/>
      <c r="G15" s="22"/>
      <c r="H15" s="22"/>
      <c r="I15" s="22"/>
      <c r="J15" s="22"/>
      <c r="K15" s="22"/>
      <c r="L15" s="22"/>
      <c r="M15" s="15"/>
      <c r="N15" s="22"/>
      <c r="O15" s="22"/>
      <c r="P15" s="22"/>
      <c r="Q15" s="22"/>
      <c r="R15" s="22"/>
      <c r="S15" s="22"/>
      <c r="T15" s="15"/>
      <c r="U15" s="22"/>
      <c r="V15" s="22"/>
      <c r="W15" s="22"/>
      <c r="X15" s="22"/>
      <c r="Y15" s="22"/>
      <c r="Z15" s="22"/>
      <c r="AA15" s="15"/>
      <c r="AB15" s="22"/>
      <c r="AC15" s="22"/>
      <c r="AD15" s="22"/>
      <c r="AE15" s="22"/>
      <c r="AF15" s="22"/>
      <c r="AG15" s="22"/>
      <c r="AH15" s="31">
        <f t="shared" si="0"/>
        <v>0</v>
      </c>
      <c r="AI15" s="31">
        <f t="shared" si="1"/>
        <v>0</v>
      </c>
      <c r="AJ15" s="31">
        <f t="shared" si="2"/>
        <v>0</v>
      </c>
      <c r="AK15" s="22">
        <f>Septembre!AK15-Octobre[[#This Row],[Dont RTT]]+2</f>
        <v>25.5</v>
      </c>
      <c r="AL15" s="65"/>
    </row>
    <row r="16" spans="1:38" ht="30" customHeight="1">
      <c r="B16" s="8"/>
      <c r="C16" s="22"/>
      <c r="D16" s="22"/>
      <c r="E16" s="22"/>
      <c r="F16" s="22"/>
      <c r="G16" s="22"/>
      <c r="H16" s="22"/>
      <c r="I16" s="22"/>
      <c r="J16" s="22"/>
      <c r="K16" s="15"/>
      <c r="L16" s="22"/>
      <c r="M16" s="22"/>
      <c r="N16" s="22"/>
      <c r="O16" s="22"/>
      <c r="P16" s="22"/>
      <c r="Q16" s="22"/>
      <c r="R16" s="15"/>
      <c r="S16" s="22"/>
      <c r="T16" s="22"/>
      <c r="U16" s="22"/>
      <c r="V16" s="22"/>
      <c r="W16" s="22"/>
      <c r="X16" s="22"/>
      <c r="Y16" s="15"/>
      <c r="Z16" s="22"/>
      <c r="AA16" s="22"/>
      <c r="AB16" s="22"/>
      <c r="AC16" s="22"/>
      <c r="AD16" s="22"/>
      <c r="AE16" s="22"/>
      <c r="AF16" s="22"/>
      <c r="AG16" s="22"/>
      <c r="AH16" s="31">
        <f t="shared" si="0"/>
        <v>0</v>
      </c>
      <c r="AI16" s="31">
        <f t="shared" si="1"/>
        <v>0</v>
      </c>
      <c r="AJ16" s="31">
        <f t="shared" si="2"/>
        <v>0</v>
      </c>
      <c r="AK16" s="22">
        <f>Septembre!AK16-Octobre[[#This Row],[Dont RTT]]+2</f>
        <v>22.16</v>
      </c>
      <c r="AL16" s="65"/>
    </row>
    <row r="17" spans="2:38" ht="30" customHeight="1">
      <c r="B17" s="8"/>
      <c r="C17" s="22"/>
      <c r="D17" s="22"/>
      <c r="E17" s="22"/>
      <c r="F17" s="22"/>
      <c r="G17" s="22"/>
      <c r="H17" s="22"/>
      <c r="I17" s="22"/>
      <c r="J17" s="22"/>
      <c r="K17" s="22"/>
      <c r="L17" s="22"/>
      <c r="M17" s="15"/>
      <c r="N17" s="22"/>
      <c r="O17" s="22"/>
      <c r="P17" s="22"/>
      <c r="Q17" s="22"/>
      <c r="R17" s="22"/>
      <c r="S17" s="22"/>
      <c r="T17" s="15"/>
      <c r="U17" s="22"/>
      <c r="V17" s="22"/>
      <c r="W17" s="22"/>
      <c r="X17" s="22"/>
      <c r="Y17" s="22"/>
      <c r="Z17" s="22"/>
      <c r="AA17" s="15"/>
      <c r="AB17" s="22"/>
      <c r="AC17" s="22"/>
      <c r="AD17" s="22"/>
      <c r="AE17" s="22"/>
      <c r="AF17" s="22"/>
      <c r="AG17" s="22"/>
      <c r="AH17" s="31">
        <f t="shared" si="0"/>
        <v>0</v>
      </c>
      <c r="AI17" s="31">
        <f t="shared" si="1"/>
        <v>0</v>
      </c>
      <c r="AJ17" s="31">
        <f t="shared" si="2"/>
        <v>0</v>
      </c>
      <c r="AK17" s="22">
        <f>Septembre!AK17-Octobre[[#This Row],[Dont RTT]]+2</f>
        <v>31</v>
      </c>
      <c r="AL17" s="65"/>
    </row>
    <row r="18" spans="2:38" ht="30" customHeight="1">
      <c r="B18" s="8"/>
      <c r="C18" s="22"/>
      <c r="D18" s="22"/>
      <c r="E18" s="22"/>
      <c r="F18" s="22"/>
      <c r="G18" s="22"/>
      <c r="H18" s="22"/>
      <c r="I18" s="22"/>
      <c r="J18" s="22"/>
      <c r="K18" s="15"/>
      <c r="L18" s="22"/>
      <c r="M18" s="22"/>
      <c r="N18" s="22"/>
      <c r="O18" s="22"/>
      <c r="P18" s="22"/>
      <c r="Q18" s="22"/>
      <c r="R18" s="15"/>
      <c r="S18" s="22"/>
      <c r="T18" s="22"/>
      <c r="U18" s="22"/>
      <c r="V18" s="22"/>
      <c r="W18" s="22"/>
      <c r="X18" s="22"/>
      <c r="Y18" s="15"/>
      <c r="Z18" s="22"/>
      <c r="AA18" s="22"/>
      <c r="AB18" s="22"/>
      <c r="AC18" s="22"/>
      <c r="AD18" s="22"/>
      <c r="AE18" s="22"/>
      <c r="AF18" s="22"/>
      <c r="AG18" s="22"/>
      <c r="AH18" s="31">
        <f t="shared" si="0"/>
        <v>0</v>
      </c>
      <c r="AI18" s="31">
        <f t="shared" si="1"/>
        <v>0</v>
      </c>
      <c r="AJ18" s="31">
        <f t="shared" si="2"/>
        <v>0</v>
      </c>
      <c r="AK18" s="22">
        <f>Septembre!AK18-Octobre[[#This Row],[Dont RTT]]+2</f>
        <v>22.5</v>
      </c>
      <c r="AL18" s="65"/>
    </row>
    <row r="19" spans="2:38" ht="30" customHeight="1">
      <c r="B19" s="59"/>
      <c r="C19" s="15"/>
      <c r="D19" s="15"/>
      <c r="E19" s="15"/>
      <c r="F19" s="15"/>
      <c r="G19" s="15"/>
      <c r="H19" s="15"/>
      <c r="I19" s="15"/>
      <c r="J19" s="15"/>
      <c r="K19" s="15"/>
      <c r="L19" s="15"/>
      <c r="M19" s="15"/>
      <c r="N19" s="15"/>
      <c r="O19" s="15"/>
      <c r="P19" s="15"/>
      <c r="Q19" s="15"/>
      <c r="R19" s="15"/>
      <c r="S19" s="15"/>
      <c r="T19" s="15"/>
      <c r="U19" s="15"/>
      <c r="V19" s="15"/>
      <c r="W19" s="15"/>
      <c r="X19" s="15"/>
      <c r="Y19" s="15"/>
      <c r="Z19" s="15"/>
      <c r="AA19" s="15"/>
      <c r="AB19" s="15"/>
      <c r="AC19" s="15"/>
      <c r="AD19" s="15"/>
      <c r="AE19" s="15"/>
      <c r="AF19" s="15"/>
      <c r="AG19" s="15"/>
      <c r="AH19" s="61">
        <f t="shared" si="0"/>
        <v>0</v>
      </c>
      <c r="AI19" s="61">
        <f t="shared" si="1"/>
        <v>0</v>
      </c>
      <c r="AJ19" s="31">
        <f t="shared" ref="AJ19:AJ21" si="3">COUNTIF(C19:AG19,"M")</f>
        <v>0</v>
      </c>
      <c r="AK19" s="60"/>
      <c r="AL19" s="65"/>
    </row>
    <row r="20" spans="2:38" ht="30" customHeight="1">
      <c r="B20" s="59"/>
      <c r="C20" s="15"/>
      <c r="D20" s="15"/>
      <c r="E20" s="15"/>
      <c r="F20" s="15"/>
      <c r="G20" s="15"/>
      <c r="H20" s="15"/>
      <c r="I20" s="15"/>
      <c r="J20" s="15"/>
      <c r="K20" s="15"/>
      <c r="L20" s="15"/>
      <c r="M20" s="15"/>
      <c r="N20" s="15"/>
      <c r="O20" s="15"/>
      <c r="P20" s="15"/>
      <c r="Q20" s="15"/>
      <c r="R20" s="15"/>
      <c r="S20" s="15"/>
      <c r="T20" s="15"/>
      <c r="U20" s="15"/>
      <c r="V20" s="15"/>
      <c r="W20" s="15"/>
      <c r="X20" s="15"/>
      <c r="Y20" s="15"/>
      <c r="Z20" s="15"/>
      <c r="AA20" s="15"/>
      <c r="AB20" s="15"/>
      <c r="AC20" s="15"/>
      <c r="AD20" s="15"/>
      <c r="AE20" s="15"/>
      <c r="AF20" s="15"/>
      <c r="AG20" s="15"/>
      <c r="AH20" s="61">
        <f t="shared" si="0"/>
        <v>0</v>
      </c>
      <c r="AI20" s="61">
        <f t="shared" si="1"/>
        <v>0</v>
      </c>
      <c r="AJ20" s="31">
        <f t="shared" si="3"/>
        <v>0</v>
      </c>
      <c r="AK20" s="60"/>
      <c r="AL20" s="65"/>
    </row>
    <row r="21" spans="2:38" ht="30" customHeight="1">
      <c r="B21" s="59"/>
      <c r="C21" s="15"/>
      <c r="D21" s="15"/>
      <c r="E21" s="15"/>
      <c r="F21" s="15"/>
      <c r="G21" s="15"/>
      <c r="H21" s="15"/>
      <c r="I21" s="15"/>
      <c r="J21" s="15"/>
      <c r="K21" s="15"/>
      <c r="L21" s="15"/>
      <c r="M21" s="15"/>
      <c r="N21" s="15"/>
      <c r="O21" s="15"/>
      <c r="P21" s="15"/>
      <c r="Q21" s="15"/>
      <c r="R21" s="15"/>
      <c r="S21" s="15"/>
      <c r="T21" s="15"/>
      <c r="U21" s="15"/>
      <c r="V21" s="15"/>
      <c r="W21" s="15"/>
      <c r="X21" s="15"/>
      <c r="Y21" s="15"/>
      <c r="Z21" s="15"/>
      <c r="AA21" s="15"/>
      <c r="AB21" s="15"/>
      <c r="AC21" s="15"/>
      <c r="AD21" s="15"/>
      <c r="AE21" s="15"/>
      <c r="AF21" s="15"/>
      <c r="AG21" s="15"/>
      <c r="AH21" s="61">
        <f t="shared" si="0"/>
        <v>0</v>
      </c>
      <c r="AI21" s="61">
        <f t="shared" si="1"/>
        <v>0</v>
      </c>
      <c r="AJ21" s="31">
        <f t="shared" si="3"/>
        <v>0</v>
      </c>
      <c r="AK21" s="66"/>
      <c r="AL21" s="65"/>
    </row>
    <row r="22" spans="2:38" ht="30" customHeight="1">
      <c r="B22" s="28" t="str">
        <f>NomMois&amp;" Total"</f>
        <v>Octobre Total</v>
      </c>
      <c r="C22" s="33">
        <f>COUNTIF(Octobre[1],CléCongé)+(COUNTIF(Octobre[1],CléCongéSpécial)+COUNTIF(Octobre[1],CléRTT)+(COUNTIF(Octobre[1],CléDemiRtt)/2)+COUNTIF(Octobre[1],CléCongéMalade)+COUNTIF(Octobre[1],CléRécupération)+(COUNTIF(Octobre[1],CléDemiRécupération)/2)+COUNTIF(Octobre[1],CléFormation)+(COUNTIF(Octobre[1],CléEnfantMalade)+(COUNTIF(Octobre[1],CléDemiEnfantMalade)/2)))</f>
        <v>0</v>
      </c>
      <c r="D22" s="33">
        <f>COUNTIF(Octobre[2],CléCongé)+(COUNTIF(Octobre[2],CléCongéSpécial)+COUNTIF(Octobre[2],CléRTT)+(COUNTIF(Octobre[2],CléDemiRtt)/2)+COUNTIF(Octobre[2],CléCongéMalade)+COUNTIF(Octobre[2],CléRécupération)+(COUNTIF(Octobre[2],CléDemiRécupération)/2)+COUNTIF(Octobre[2],CléFormation)+(COUNTIF(Octobre[2],CléEnfantMalade)+(COUNTIF(Octobre[2],CléDemiEnfantMalade)/2)))</f>
        <v>0</v>
      </c>
      <c r="E22" s="33">
        <f>COUNTIF(Octobre[3],CléCongé)+(COUNTIF(Octobre[3],CléCongéSpécial)+COUNTIF(Octobre[3],CléRTT)+(COUNTIF(Octobre[3],CléDemiRtt)/2)+COUNTIF(Octobre[3],CléCongéMalade)+COUNTIF(Octobre[3],CléRécupération)+(COUNTIF(Octobre[3],CléDemiRécupération)/2)+COUNTIF(Octobre[3],CléFormation)+(COUNTIF(Octobre[3],CléEnfantMalade)+(COUNTIF(Octobre[3],CléDemiEnfantMalade)/2)))</f>
        <v>0</v>
      </c>
      <c r="F22" s="33">
        <f>COUNTIF(Octobre[4],CléCongé)+(COUNTIF(Octobre[4],CléCongéSpécial)+COUNTIF(Octobre[4],CléRTT)+(COUNTIF(Octobre[4],CléDemiRtt)/2)+COUNTIF(Octobre[4],CléCongéMalade)+COUNTIF(Octobre[4],CléRécupération)+(COUNTIF(Octobre[4],CléDemiRécupération)/2)+COUNTIF(Octobre[4],CléFormation)+(COUNTIF(Octobre[4],CléEnfantMalade)+(COUNTIF(Octobre[4],CléDemiEnfantMalade)/2)))</f>
        <v>0</v>
      </c>
      <c r="G22" s="33">
        <f>COUNTIF(Octobre[5],CléCongé)+(COUNTIF(Octobre[5],CléCongéSpécial)+COUNTIF(Octobre[5],CléRTT)+(COUNTIF(Octobre[5],CléDemiRtt)/2)+COUNTIF(Octobre[5],CléCongéMalade)+COUNTIF(Octobre[5],CléRécupération)+(COUNTIF(Octobre[5],CléDemiRécupération)/2)+COUNTIF(Octobre[5],CléFormation)+(COUNTIF(Octobre[5],CléEnfantMalade)+(COUNTIF(Octobre[5],CléDemiEnfantMalade)/2)))</f>
        <v>0</v>
      </c>
      <c r="H22" s="33">
        <f>COUNTIF(Octobre[6],CléCongé)+(COUNTIF(Octobre[6],CléCongéSpécial)+COUNTIF(Octobre[6],CléRTT)+(COUNTIF(Octobre[6],CléDemiRtt)/2)+COUNTIF(Octobre[6],CléCongéMalade)+COUNTIF(Octobre[6],CléRécupération)+(COUNTIF(Octobre[6],CléDemiRécupération)/2)+COUNTIF(Octobre[6],CléFormation)+(COUNTIF(Octobre[6],CléEnfantMalade)+(COUNTIF(Octobre[6],CléDemiEnfantMalade)/2)))</f>
        <v>0</v>
      </c>
      <c r="I22" s="33">
        <f>COUNTIF(Octobre[7],CléCongé)+(COUNTIF(Octobre[7],CléCongéSpécial)+COUNTIF(Octobre[7],CléRTT)+(COUNTIF(Octobre[7],CléDemiRtt)/2)+COUNTIF(Octobre[7],CléCongéMalade)+COUNTIF(Octobre[7],CléRécupération)+(COUNTIF(Octobre[7],CléDemiRécupération)/2)+COUNTIF(Octobre[7],CléFormation)+(COUNTIF(Octobre[7],CléEnfantMalade)+(COUNTIF(Octobre[7],CléDemiEnfantMalade)/2)))</f>
        <v>0</v>
      </c>
      <c r="J22" s="33">
        <f>COUNTIF(Octobre[8],CléCongé)+(COUNTIF(Octobre[8],CléCongéSpécial)+COUNTIF(Octobre[8],CléRTT)+(COUNTIF(Octobre[8],CléDemiRtt)/2)+COUNTIF(Octobre[8],CléCongéMalade)+COUNTIF(Octobre[8],CléRécupération)+(COUNTIF(Octobre[8],CléDemiRécupération)/2)+COUNTIF(Octobre[8],CléFormation)+(COUNTIF(Octobre[8],CléEnfantMalade)+(COUNTIF(Octobre[8],CléDemiEnfantMalade)/2)))</f>
        <v>0</v>
      </c>
      <c r="K22" s="33">
        <f>COUNTIF(Octobre[9],CléCongé)+(COUNTIF(Octobre[9],CléCongéSpécial)+COUNTIF(Octobre[9],CléRTT)+(COUNTIF(Octobre[9],CléDemiRtt)/2)+COUNTIF(Octobre[9],CléCongéMalade)+COUNTIF(Octobre[9],CléRécupération)+(COUNTIF(Octobre[9],CléDemiRécupération)/2)+COUNTIF(Octobre[9],CléFormation)+(COUNTIF(Octobre[9],CléEnfantMalade)+(COUNTIF(Octobre[9],CléDemiEnfantMalade)/2)))</f>
        <v>0</v>
      </c>
      <c r="L22" s="33">
        <f>COUNTIF(Octobre[10],CléCongé)+(COUNTIF(Octobre[10],CléCongéSpécial)+COUNTIF(Octobre[10],CléRTT)+(COUNTIF(Octobre[10],CléDemiRtt)/2)+COUNTIF(Octobre[10],CléCongéMalade)+COUNTIF(Octobre[10],CléRécupération)+(COUNTIF(Octobre[10],CléDemiRécupération)/2)+COUNTIF(Octobre[10],CléFormation)+(COUNTIF(Octobre[10],CléEnfantMalade)+(COUNTIF(Octobre[10],CléDemiEnfantMalade)/2)))</f>
        <v>0</v>
      </c>
      <c r="M22" s="33">
        <f>COUNTIF(Octobre[11],CléCongé)+(COUNTIF(Octobre[11],CléCongéSpécial)+COUNTIF(Octobre[11],CléRTT)+(COUNTIF(Octobre[11],CléDemiRtt)/2)+COUNTIF(Octobre[11],CléCongéMalade)+COUNTIF(Octobre[11],CléRécupération)+(COUNTIF(Octobre[11],CléDemiRécupération)/2)+COUNTIF(Octobre[11],CléFormation)+(COUNTIF(Octobre[11],CléEnfantMalade)+(COUNTIF(Octobre[11],CléDemiEnfantMalade)/2)))</f>
        <v>0</v>
      </c>
      <c r="N22" s="33">
        <f>COUNTIF(Octobre[12],CléCongé)+(COUNTIF(Octobre[12],CléCongéSpécial)+COUNTIF(Octobre[12],CléRTT)+(COUNTIF(Octobre[12],CléDemiRtt)/2)+COUNTIF(Octobre[12],CléCongéMalade)+COUNTIF(Octobre[12],CléRécupération)+(COUNTIF(Octobre[12],CléDemiRécupération)/2)+COUNTIF(Octobre[12],CléFormation)+(COUNTIF(Octobre[12],CléEnfantMalade)+(COUNTIF(Octobre[12],CléDemiEnfantMalade)/2)))</f>
        <v>0</v>
      </c>
      <c r="O22" s="33">
        <f>COUNTIF(Octobre[13],CléCongé)+(COUNTIF(Octobre[13],CléCongéSpécial)+COUNTIF(Octobre[13],CléRTT)+(COUNTIF(Octobre[13],CléDemiRtt)/2)+COUNTIF(Octobre[13],CléCongéMalade)+COUNTIF(Octobre[13],CléRécupération)+(COUNTIF(Octobre[13],CléDemiRécupération)/2)+COUNTIF(Octobre[13],CléFormation)+(COUNTIF(Octobre[13],CléEnfantMalade)+(COUNTIF(Octobre[13],CléDemiEnfantMalade)/2)))</f>
        <v>0</v>
      </c>
      <c r="P22" s="33">
        <f>COUNTIF(Octobre[14],CléCongé)+(COUNTIF(Octobre[14],CléCongéSpécial)+COUNTIF(Octobre[14],CléRTT)+(COUNTIF(Octobre[14],CléDemiRtt)/2)+COUNTIF(Octobre[14],CléCongéMalade)+COUNTIF(Octobre[14],CléRécupération)+(COUNTIF(Octobre[14],CléDemiRécupération)/2)+COUNTIF(Octobre[14],CléFormation)+(COUNTIF(Octobre[14],CléEnfantMalade)+(COUNTIF(Octobre[14],CléDemiEnfantMalade)/2)))</f>
        <v>0</v>
      </c>
      <c r="Q22" s="33">
        <f>COUNTIF(Octobre[15],CléCongé)+(COUNTIF(Octobre[15],CléCongéSpécial)+COUNTIF(Octobre[15],CléRTT)+(COUNTIF(Octobre[15],CléDemiRtt)/2)+COUNTIF(Octobre[15],CléCongéMalade)+COUNTIF(Octobre[15],CléRécupération)+(COUNTIF(Octobre[15],CléDemiRécupération)/2)+COUNTIF(Octobre[15],CléFormation)+(COUNTIF(Octobre[15],CléEnfantMalade)+(COUNTIF(Octobre[15],CléDemiEnfantMalade)/2)))</f>
        <v>0</v>
      </c>
      <c r="R22" s="33">
        <f>COUNTIF(Octobre[16],CléCongé)+(COUNTIF(Octobre[16],CléCongéSpécial)+COUNTIF(Octobre[16],CléRTT)+(COUNTIF(Octobre[16],CléDemiRtt)/2)+COUNTIF(Octobre[16],CléCongéMalade)+COUNTIF(Octobre[16],CléRécupération)+(COUNTIF(Octobre[16],CléDemiRécupération)/2)+COUNTIF(Octobre[16],CléFormation)+(COUNTIF(Octobre[16],CléEnfantMalade)+(COUNTIF(Octobre[16],CléDemiEnfantMalade)/2)))</f>
        <v>0</v>
      </c>
      <c r="S22" s="33">
        <f>COUNTIF(Octobre[17],CléCongé)+(COUNTIF(Octobre[17],CléCongéSpécial)+COUNTIF(Octobre[17],CléRTT)+(COUNTIF(Octobre[17],CléDemiRtt)/2)+COUNTIF(Octobre[17],CléCongéMalade)+COUNTIF(Octobre[17],CléRécupération)+(COUNTIF(Octobre[17],CléDemiRécupération)/2)+COUNTIF(Octobre[17],CléFormation)+(COUNTIF(Octobre[17],CléEnfantMalade)+(COUNTIF(Octobre[17],CléDemiEnfantMalade)/2)))</f>
        <v>0</v>
      </c>
      <c r="T22" s="33">
        <f>COUNTIF(Octobre[18],CléCongé)+(COUNTIF(Octobre[18],CléCongéSpécial)+COUNTIF(Octobre[18],CléRTT)+(COUNTIF(Octobre[18],CléDemiRtt)/2)+COUNTIF(Octobre[18],CléCongéMalade)+COUNTIF(Octobre[18],CléRécupération)+(COUNTIF(Octobre[18],CléDemiRécupération)/2)+COUNTIF(Octobre[18],CléFormation)+(COUNTIF(Octobre[18],CléEnfantMalade)+(COUNTIF(Octobre[18],CléDemiEnfantMalade)/2)))</f>
        <v>0</v>
      </c>
      <c r="U22" s="33">
        <f>COUNTIF(Octobre[19],CléCongé)+(COUNTIF(Octobre[19],CléCongéSpécial)+COUNTIF(Octobre[19],CléRTT)+(COUNTIF(Octobre[19],CléDemiRtt)/2)+COUNTIF(Octobre[19],CléCongéMalade)+COUNTIF(Octobre[19],CléRécupération)+(COUNTIF(Octobre[19],CléDemiRécupération)/2)+COUNTIF(Octobre[19],CléFormation)+(COUNTIF(Octobre[19],CléEnfantMalade)+(COUNTIF(Octobre[19],CléDemiEnfantMalade)/2)))</f>
        <v>0</v>
      </c>
      <c r="V22" s="33">
        <f>COUNTIF(Octobre[20],CléCongé)+(COUNTIF(Octobre[20],CléCongéSpécial)+COUNTIF(Octobre[20],CléRTT)+(COUNTIF(Octobre[20],CléDemiRtt)/2)+COUNTIF(Octobre[20],CléCongéMalade)+COUNTIF(Octobre[20],CléRécupération)+(COUNTIF(Octobre[20],CléDemiRécupération)/2)+COUNTIF(Octobre[20],CléFormation)+(COUNTIF(Octobre[20],CléEnfantMalade)+(COUNTIF(Octobre[20],CléDemiEnfantMalade)/2)))</f>
        <v>0</v>
      </c>
      <c r="W22" s="33">
        <f>COUNTIF(Octobre[21],CléCongé)+(COUNTIF(Octobre[21],CléCongéSpécial)+COUNTIF(Octobre[21],CléRTT)+(COUNTIF(Octobre[21],CléDemiRtt)/2)+COUNTIF(Octobre[21],CléCongéMalade)+COUNTIF(Octobre[21],CléRécupération)+(COUNTIF(Octobre[21],CléDemiRécupération)/2)+COUNTIF(Octobre[21],CléFormation)+(COUNTIF(Octobre[21],CléEnfantMalade)+(COUNTIF(Octobre[21],CléDemiEnfantMalade)/2)))</f>
        <v>0</v>
      </c>
      <c r="X22" s="33">
        <f>COUNTIF(Octobre[22],CléCongé)+(COUNTIF(Octobre[22],CléCongéSpécial)+COUNTIF(Octobre[22],CléRTT)+(COUNTIF(Octobre[22],CléDemiRtt)/2)+COUNTIF(Octobre[22],CléCongéMalade)+COUNTIF(Octobre[22],CléRécupération)+(COUNTIF(Octobre[22],CléDemiRécupération)/2)+COUNTIF(Octobre[22],CléFormation)+(COUNTIF(Octobre[22],CléEnfantMalade)+(COUNTIF(Octobre[22],CléDemiEnfantMalade)/2)))</f>
        <v>0</v>
      </c>
      <c r="Y22" s="33">
        <f>COUNTIF(Octobre[23],CléCongé)+(COUNTIF(Octobre[23],CléCongéSpécial)+COUNTIF(Octobre[23],CléRTT)+(COUNTIF(Octobre[23],CléDemiRtt)/2)+COUNTIF(Octobre[23],CléCongéMalade)+COUNTIF(Octobre[23],CléRécupération)+(COUNTIF(Octobre[23],CléDemiRécupération)/2)+COUNTIF(Octobre[23],CléFormation)+(COUNTIF(Octobre[23],CléEnfantMalade)+(COUNTIF(Octobre[23],CléDemiEnfantMalade)/2)))</f>
        <v>0</v>
      </c>
      <c r="Z22" s="33">
        <f>COUNTIF(Octobre[24],CléCongé)+(COUNTIF(Octobre[24],CléCongéSpécial)+COUNTIF(Octobre[24],CléRTT)+(COUNTIF(Octobre[24],CléDemiRtt)/2)+COUNTIF(Octobre[24],CléCongéMalade)+COUNTIF(Octobre[24],CléRécupération)+(COUNTIF(Octobre[24],CléDemiRécupération)/2)+COUNTIF(Octobre[24],CléFormation)+(COUNTIF(Octobre[24],CléEnfantMalade)+(COUNTIF(Octobre[24],CléDemiEnfantMalade)/2)))</f>
        <v>0</v>
      </c>
      <c r="AA22" s="33">
        <f>COUNTIF(Octobre[25],CléCongé)+(COUNTIF(Octobre[25],CléCongéSpécial)+COUNTIF(Octobre[25],CléRTT)+(COUNTIF(Octobre[25],CléDemiRtt)/2)+COUNTIF(Octobre[25],CléCongéMalade)+COUNTIF(Octobre[25],CléRécupération)+(COUNTIF(Octobre[25],CléDemiRécupération)/2)+COUNTIF(Octobre[25],CléFormation)+(COUNTIF(Octobre[25],CléEnfantMalade)+(COUNTIF(Octobre[25],CléDemiEnfantMalade)/2)))</f>
        <v>0</v>
      </c>
      <c r="AB22" s="33">
        <f>COUNTIF(Octobre[26],CléCongé)+(COUNTIF(Octobre[26],CléCongéSpécial)+COUNTIF(Octobre[26],CléRTT)+(COUNTIF(Octobre[26],CléDemiRtt)/2)+COUNTIF(Octobre[26],CléCongéMalade)+COUNTIF(Octobre[26],CléRécupération)+(COUNTIF(Octobre[26],CléDemiRécupération)/2)+COUNTIF(Octobre[26],CléFormation)+(COUNTIF(Octobre[26],CléEnfantMalade)+(COUNTIF(Octobre[26],CléDemiEnfantMalade)/2)))</f>
        <v>0</v>
      </c>
      <c r="AC22" s="33">
        <f>COUNTIF(Octobre[27],CléCongé)+(COUNTIF(Octobre[27],CléCongéSpécial)+COUNTIF(Octobre[27],CléRTT)+(COUNTIF(Octobre[27],CléDemiRtt)/2)+COUNTIF(Octobre[27],CléCongéMalade)+COUNTIF(Octobre[27],CléRécupération)+(COUNTIF(Octobre[27],CléDemiRécupération)/2)+COUNTIF(Octobre[27],CléFormation)+(COUNTIF(Octobre[27],CléEnfantMalade)+(COUNTIF(Octobre[27],CléDemiEnfantMalade)/2)))</f>
        <v>0</v>
      </c>
      <c r="AD22" s="33">
        <f>COUNTIF(Octobre[28],CléCongé)+(COUNTIF(Octobre[28],CléCongéSpécial)+COUNTIF(Octobre[28],CléRTT)+(COUNTIF(Octobre[28],CléDemiRtt)/2)+COUNTIF(Octobre[28],CléCongéMalade)+COUNTIF(Octobre[28],CléRécupération)+(COUNTIF(Octobre[28],CléDemiRécupération)/2)+COUNTIF(Octobre[28],CléFormation)+(COUNTIF(Octobre[28],CléEnfantMalade)+(COUNTIF(Octobre[28],CléDemiEnfantMalade)/2)))</f>
        <v>0</v>
      </c>
      <c r="AE22" s="33">
        <f>COUNTIF(Octobre[29],CléCongé)+(COUNTIF(Octobre[29],CléCongéSpécial)+COUNTIF(Octobre[29],CléRTT)+(COUNTIF(Octobre[29],CléDemiRtt)/2)+COUNTIF(Octobre[29],CléCongéMalade)+COUNTIF(Octobre[29],CléRécupération)+(COUNTIF(Octobre[29],CléDemiRécupération)/2)+COUNTIF(Octobre[29],CléFormation)+(COUNTIF(Octobre[29],CléEnfantMalade)+(COUNTIF(Octobre[29],CléDemiEnfantMalade)/2)))</f>
        <v>0</v>
      </c>
      <c r="AF22" s="33">
        <f>COUNTIF(Octobre[30],CléCongé)+(COUNTIF(Octobre[30],CléCongéSpécial)+COUNTIF(Octobre[30],CléRTT)+(COUNTIF(Octobre[30],CléDemiRtt)/2)+COUNTIF(Octobre[30],CléCongéMalade)+COUNTIF(Octobre[30],CléRécupération)+(COUNTIF(Octobre[30],CléDemiRécupération)/2)+COUNTIF(Octobre[30],CléFormation)+(COUNTIF(Octobre[30],CléEnfantMalade)+(COUNTIF(Octobre[30],CléDemiEnfantMalade)/2)))</f>
        <v>0</v>
      </c>
      <c r="AG22" s="33">
        <f>COUNTIF(Octobre[31],CléCongé)+(COUNTIF(Octobre[31],CléCongéSpécial)+COUNTIF(Octobre[31],CléRTT)+(COUNTIF(Octobre[31],CléDemiRtt)/2)+COUNTIF(Octobre[31],CléCongéMalade)+COUNTIF(Octobre[31],CléRécupération)+(COUNTIF(Octobre[31],CléDemiRécupération)/2)+COUNTIF(Octobre[31],CléFormation)+(COUNTIF(Octobre[31],CléEnfantMalade)+(COUNTIF(Octobre[31],CléDemiEnfantMalade)/2)))</f>
        <v>0</v>
      </c>
      <c r="AH22" s="27">
        <f>SUBTOTAL(109,Octobre[Total absence])</f>
        <v>0</v>
      </c>
      <c r="AI22" s="27">
        <f>SUBTOTAL(109,Octobre[Dont RTT])</f>
        <v>0</v>
      </c>
      <c r="AJ22" s="53">
        <f>SUBTOTAL(109,Octobre[Dont MALADIE])</f>
        <v>0</v>
      </c>
      <c r="AK22" s="64"/>
      <c r="AL22" s="63"/>
    </row>
  </sheetData>
  <mergeCells count="15">
    <mergeCell ref="C5:AG5"/>
    <mergeCell ref="G2:H2"/>
    <mergeCell ref="J2:L2"/>
    <mergeCell ref="W2:Y2"/>
    <mergeCell ref="D3:E3"/>
    <mergeCell ref="G3:H3"/>
    <mergeCell ref="J3:L3"/>
    <mergeCell ref="N3:O3"/>
    <mergeCell ref="Q3:R3"/>
    <mergeCell ref="T3:U3"/>
    <mergeCell ref="W3:Y3"/>
    <mergeCell ref="D2:E2"/>
    <mergeCell ref="Q2:U2"/>
    <mergeCell ref="AA2:AC2"/>
    <mergeCell ref="AA3:AC3"/>
  </mergeCells>
  <conditionalFormatting sqref="C6:AG6">
    <cfRule type="containsText" dxfId="133" priority="145" stopIfTrue="1" operator="containsText" text="dim">
      <formula>NOT(ISERROR(SEARCH("dim",C6)))</formula>
    </cfRule>
  </conditionalFormatting>
  <conditionalFormatting sqref="AH7">
    <cfRule type="containsText" dxfId="132" priority="144" stopIfTrue="1" operator="containsText" text="dim">
      <formula>NOT(ISERROR(SEARCH("dim",AH7)))</formula>
    </cfRule>
  </conditionalFormatting>
  <conditionalFormatting sqref="C22:AG22">
    <cfRule type="containsText" dxfId="131" priority="125" stopIfTrue="1" operator="containsText" text="dim">
      <formula>NOT(ISERROR(SEARCH("dim",C22)))</formula>
    </cfRule>
  </conditionalFormatting>
  <conditionalFormatting sqref="AL3:XFD3 A2:A3 AG2:XFD2">
    <cfRule type="containsText" dxfId="130" priority="121" stopIfTrue="1" operator="containsText" text="dim">
      <formula>NOT(ISERROR(SEARCH("dim",A2)))</formula>
    </cfRule>
  </conditionalFormatting>
  <conditionalFormatting sqref="AJ19:AJ21">
    <cfRule type="dataBar" priority="73">
      <dataBar>
        <cfvo type="num" val="0"/>
        <cfvo type="num" val="31"/>
        <color rgb="FFFF0000"/>
      </dataBar>
      <extLst>
        <ext xmlns:x14="http://schemas.microsoft.com/office/spreadsheetml/2009/9/main" uri="{B025F937-C7B1-47D3-B67F-A62EFF666E3E}">
          <x14:id>{59833182-E8A6-5D4D-8738-2AF1DC0259AB}</x14:id>
        </ext>
      </extLst>
    </cfRule>
  </conditionalFormatting>
  <conditionalFormatting sqref="AH8:AH21">
    <cfRule type="dataBar" priority="61">
      <dataBar>
        <cfvo type="num" val="0"/>
        <cfvo type="num" val="31"/>
        <color rgb="FF00B0F0"/>
      </dataBar>
      <extLst>
        <ext xmlns:x14="http://schemas.microsoft.com/office/spreadsheetml/2009/9/main" uri="{B025F937-C7B1-47D3-B67F-A62EFF666E3E}">
          <x14:id>{531125BD-964F-A34E-A404-B8890B4FC423}</x14:id>
        </ext>
      </extLst>
    </cfRule>
    <cfRule type="containsText" dxfId="129" priority="64" stopIfTrue="1" operator="containsText" text="dim">
      <formula>NOT(ISERROR(SEARCH("dim",AH8)))</formula>
    </cfRule>
  </conditionalFormatting>
  <conditionalFormatting sqref="AI8:AI21">
    <cfRule type="dataBar" priority="62">
      <dataBar>
        <cfvo type="num" val="0"/>
        <cfvo type="num" val="31"/>
        <color rgb="FF92D050"/>
      </dataBar>
      <extLst>
        <ext xmlns:x14="http://schemas.microsoft.com/office/spreadsheetml/2009/9/main" uri="{B025F937-C7B1-47D3-B67F-A62EFF666E3E}">
          <x14:id>{8E35412C-925A-FF48-B0C5-0B6C32C451BF}</x14:id>
        </ext>
      </extLst>
    </cfRule>
  </conditionalFormatting>
  <conditionalFormatting sqref="B3:D3 F2:G3 M3:N3 Q3 S3:T3 V2:W3 I2:J3">
    <cfRule type="containsText" dxfId="128" priority="36" stopIfTrue="1" operator="containsText" text="dim">
      <formula>NOT(ISERROR(SEARCH("dim",B2)))</formula>
    </cfRule>
  </conditionalFormatting>
  <conditionalFormatting sqref="V2:W2">
    <cfRule type="containsText" dxfId="127" priority="35" stopIfTrue="1" operator="containsText" text="dim">
      <formula>NOT(ISERROR(SEARCH("dim",V2)))</formula>
    </cfRule>
  </conditionalFormatting>
  <conditionalFormatting sqref="AA2">
    <cfRule type="containsText" dxfId="126" priority="34" stopIfTrue="1" operator="containsText" text="dim">
      <formula>NOT(ISERROR(SEARCH("dim",AA2)))</formula>
    </cfRule>
  </conditionalFormatting>
  <conditionalFormatting sqref="AA2">
    <cfRule type="containsText" dxfId="125" priority="33" stopIfTrue="1" operator="containsText" text="dim">
      <formula>NOT(ISERROR(SEARCH("dim",AA2)))</formula>
    </cfRule>
  </conditionalFormatting>
  <conditionalFormatting sqref="P3">
    <cfRule type="expression" dxfId="124" priority="19" stopIfTrue="1">
      <formula>P3=CléNonTravaillé</formula>
    </cfRule>
    <cfRule type="expression" dxfId="123" priority="20" stopIfTrue="1">
      <formula>P3=CléPrésenceExceptionnelle</formula>
    </cfRule>
    <cfRule type="expression" dxfId="122" priority="21" stopIfTrue="1">
      <formula>P3=CléCongéSpécial</formula>
    </cfRule>
    <cfRule type="expression" dxfId="121" priority="22" stopIfTrue="1">
      <formula>P3=CléDemiRécupération</formula>
    </cfRule>
    <cfRule type="expression" dxfId="120" priority="23" stopIfTrue="1">
      <formula>P3=CléDemiEnfantMalade</formula>
    </cfRule>
    <cfRule type="expression" dxfId="119" priority="24" stopIfTrue="1">
      <formula>P3=CléEnfantMalade</formula>
    </cfRule>
    <cfRule type="expression" dxfId="118" priority="25" stopIfTrue="1">
      <formula>P3=CléDemiRtt</formula>
    </cfRule>
    <cfRule type="expression" priority="26" stopIfTrue="1">
      <formula>P3=""</formula>
    </cfRule>
    <cfRule type="expression" dxfId="117" priority="27" stopIfTrue="1">
      <formula>P3=CléMaladie</formula>
    </cfRule>
    <cfRule type="expression" dxfId="116" priority="28" stopIfTrue="1">
      <formula>P3=CléCongé</formula>
    </cfRule>
    <cfRule type="expression" dxfId="115" priority="29" stopIfTrue="1">
      <formula>P3=CléRécupération</formula>
    </cfRule>
    <cfRule type="expression" dxfId="114" priority="30" stopIfTrue="1">
      <formula>P3=CléFormation</formula>
    </cfRule>
    <cfRule type="expression" dxfId="113" priority="31" stopIfTrue="1">
      <formula>P3=CléRTT</formula>
    </cfRule>
    <cfRule type="expression" dxfId="112" priority="32" stopIfTrue="1">
      <formula>P3=CléTélétravail</formula>
    </cfRule>
  </conditionalFormatting>
  <conditionalFormatting sqref="AA3">
    <cfRule type="containsText" dxfId="111" priority="18" stopIfTrue="1" operator="containsText" text="dim">
      <formula>NOT(ISERROR(SEARCH("dim",AA3)))</formula>
    </cfRule>
  </conditionalFormatting>
  <conditionalFormatting sqref="AA3">
    <cfRule type="containsText" dxfId="110" priority="17" stopIfTrue="1" operator="containsText" text="dim">
      <formula>NOT(ISERROR(SEARCH("dim",AA3)))</formula>
    </cfRule>
  </conditionalFormatting>
  <conditionalFormatting sqref="C8:AG21">
    <cfRule type="expression" dxfId="109" priority="2" stopIfTrue="1">
      <formula>C8=CléAbsenceJustifiée</formula>
    </cfRule>
    <cfRule type="expression" dxfId="108" priority="3" stopIfTrue="1">
      <formula>C8=CléNonTravaillé</formula>
    </cfRule>
    <cfRule type="expression" dxfId="107" priority="4" stopIfTrue="1">
      <formula>C8=CléPrésenceExceptionnelle</formula>
    </cfRule>
    <cfRule type="expression" dxfId="106" priority="5" stopIfTrue="1">
      <formula>C8=CléCongéSpécial</formula>
    </cfRule>
    <cfRule type="expression" dxfId="105" priority="6" stopIfTrue="1">
      <formula>C8=CléDemiRécupération</formula>
    </cfRule>
    <cfRule type="expression" dxfId="104" priority="7" stopIfTrue="1">
      <formula>C8=CléDemiEnfantMalade</formula>
    </cfRule>
    <cfRule type="expression" dxfId="103" priority="8" stopIfTrue="1">
      <formula>C8=CléEnfantMalade</formula>
    </cfRule>
    <cfRule type="expression" dxfId="102" priority="9" stopIfTrue="1">
      <formula>C8=CléDemiRtt</formula>
    </cfRule>
    <cfRule type="expression" priority="10" stopIfTrue="1">
      <formula>C8=""</formula>
    </cfRule>
    <cfRule type="expression" dxfId="101" priority="11" stopIfTrue="1">
      <formula>C8=CléCongéMalade</formula>
    </cfRule>
    <cfRule type="expression" dxfId="100" priority="12" stopIfTrue="1">
      <formula>C8=CléCongé</formula>
    </cfRule>
    <cfRule type="expression" dxfId="99" priority="13" stopIfTrue="1">
      <formula>C8=CléRécupération</formula>
    </cfRule>
    <cfRule type="expression" dxfId="98" priority="14" stopIfTrue="1">
      <formula>C8=CléFormation</formula>
    </cfRule>
    <cfRule type="expression" dxfId="97" priority="15" stopIfTrue="1">
      <formula>C8=CléRTT</formula>
    </cfRule>
    <cfRule type="expression" dxfId="96" priority="16" stopIfTrue="1">
      <formula>C8=CléTélétravail</formula>
    </cfRule>
  </conditionalFormatting>
  <conditionalFormatting sqref="AJ8:AJ18">
    <cfRule type="dataBar" priority="1">
      <dataBar>
        <cfvo type="num" val="0"/>
        <cfvo type="num" val="31"/>
        <color rgb="FFFF0000"/>
      </dataBar>
      <extLst>
        <ext xmlns:x14="http://schemas.microsoft.com/office/spreadsheetml/2009/9/main" uri="{B025F937-C7B1-47D3-B67F-A62EFF666E3E}">
          <x14:id>{CBBF3314-1899-4175-B949-126FC00C2B6A}</x14:id>
        </ext>
      </extLst>
    </cfRule>
  </conditionalFormatting>
  <dataValidations count="15">
    <dataValidation allowBlank="1" showInputMessage="1" showErrorMessage="1" prompt="Les jours du mois dans cette ligne sont générés automatiquement. Entrez l’absence et le motif d’absence d’un employé dans chaque colonne pour chaque jour du mois. Un champ vide indique qu’il n’y a pas eu d’absence" sqref="C7" xr:uid="{A5C906B3-D083-6D48-A84B-18B854D2EBBD}"/>
    <dataValidation errorStyle="warning" allowBlank="1" showInputMessage="1" showErrorMessage="1" error="Sélectionnez un nom dans la liste. Sélectionnez ANNULER, appuyez sur ALT+FLÈCHE BAS, puis sur ENTRÉE pour sélectionner un nom" prompt="Entrez les noms des employés dans la feuille de calcul du Noms des employés, puis sélectionnez l’un des noms de la liste figurant dans cette colonne. Appuyez sur ALT+FLÈCHE BAS, puis sur ENTRÉE pour sélectionner un nom" sqref="B7" xr:uid="{893144A7-728A-4D40-93BC-A14B623B6D35}"/>
    <dataValidation allowBlank="1" showInputMessage="1" showErrorMessage="1" prompt="Suivez les absences du mois d’octobre dans cette feuille de calcul" sqref="A1" xr:uid="{CAB78C87-39CD-794A-B46E-46B7414888A8}"/>
    <dataValidation allowBlank="1" showInputMessage="1" showErrorMessage="1" prompt="Calcule automatiquement le nombre total de jours d’absence d’un employé durant ce mois dans cette colonne" sqref="AH7" xr:uid="{FAC5764A-286E-5946-8A25-BFBEC4A03F2E}"/>
    <dataValidation allowBlank="1" showInputMessage="1" showErrorMessage="1" prompt="Les jours de la semaine dans cette ligne sont mis à jour automatiquement pour le mois en fonction de l’année dans AH4. Chaque jour du mois est une colonne dans laquelle noter l’absence et le motif d’absence d’un employé" sqref="C6" xr:uid="{117448EA-5F6F-6946-A538-746EA42F640C}"/>
    <dataValidation allowBlank="1" showInputMessage="1" showErrorMessage="1" prompt="Le Calendrier des absences des employés suit les absences exprimées en jours pour chaque mois. Il existe 13 feuilles de calcul, 12 mensuelles et la dernière pour les noms des employés. Suivez les absences du mois de janvier dans cette feuille de calcul" sqref="A2" xr:uid="{17977A47-A7C6-D146-8996-60B530B15F23}"/>
    <dataValidation allowBlank="1" showErrorMessage="1" sqref="B4:AJ5 AD1:AJ1 B2:B3 B1:Y1" xr:uid="{FD8D6894-836E-754D-BC5F-5504E871F24C}"/>
    <dataValidation allowBlank="1" showErrorMessage="1" prompt="Entrez une étiquette pour décrire la clé personnalisée à gauche" sqref="N3" xr:uid="{6A4EEBBC-4432-E849-A433-3F6FBE27E45F}"/>
    <dataValidation allowBlank="1" showErrorMessage="1" prompt="Entrez une lettre et personnalisez l’étiquette à droite pour ajouter un élément de clé" sqref="I16 F16 I2:I3" xr:uid="{70B34098-8DAF-A248-BA3A-169AC4D326BC}"/>
    <dataValidation allowBlank="1" showInputMessage="1" showErrorMessage="1" prompt="Entrez une étiquette pour décrire la clé personnalisée à gauche" sqref="J2:J3" xr:uid="{22BCA5EB-07E6-444C-AEEB-CB59E7EFF4A6}"/>
    <dataValidation allowBlank="1" showInputMessage="1" showErrorMessage="1" prompt="Entrez une lettre et personnalisez l’étiquette à droite pour ajouter un élément de clé" sqref="M3" xr:uid="{B8835787-7E70-AA45-8ECF-941460C0BC34}"/>
    <dataValidation allowBlank="1" showInputMessage="1" showErrorMessage="1" prompt="La lettre « M » indique une absence pour cause de maladie" sqref="S3" xr:uid="{51A701B4-BC90-EE45-90DB-FE1BFDB13AC6}"/>
    <dataValidation allowBlank="1" showErrorMessage="1" prompt="La lettre « P » indique une absence pour motifs personnels" sqref="F3" xr:uid="{635762B3-6E4E-FA48-A8A8-29B12A5E5DA3}"/>
    <dataValidation allowBlank="1" showErrorMessage="1" prompt="La lettre « C » indique une absence pour cause de congé" sqref="C3" xr:uid="{E807CF8A-2436-D64C-8779-DE415155B26C}"/>
    <dataValidation type="list" allowBlank="1" showInputMessage="1" showErrorMessage="1" sqref="B8:B18" xr:uid="{F7EED136-F6F9-4FB4-8F1A-4A22339A437F}">
      <formula1>Nom_Employe</formula1>
    </dataValidation>
  </dataValidations>
  <pageMargins left="0.7" right="0.7" top="0.75" bottom="0.75" header="0.3" footer="0.3"/>
  <pageSetup paperSize="9" fitToHeight="0" orientation="portrait" verticalDpi="4294967293" r:id="rId1"/>
  <tableParts count="1">
    <tablePart r:id="rId2"/>
  </tableParts>
  <extLst>
    <ext xmlns:x14="http://schemas.microsoft.com/office/spreadsheetml/2009/9/main" uri="{78C0D931-6437-407d-A8EE-F0AAD7539E65}">
      <x14:conditionalFormattings>
        <x14:conditionalFormatting xmlns:xm="http://schemas.microsoft.com/office/excel/2006/main">
          <x14:cfRule type="dataBar" id="{59833182-E8A6-5D4D-8738-2AF1DC0259AB}">
            <x14:dataBar minLength="0" maxLength="100">
              <x14:cfvo type="num">
                <xm:f>0</xm:f>
              </x14:cfvo>
              <x14:cfvo type="num">
                <xm:f>31</xm:f>
              </x14:cfvo>
              <x14:negativeFillColor rgb="FFFF0000"/>
              <x14:axisColor rgb="FF000000"/>
            </x14:dataBar>
          </x14:cfRule>
          <xm:sqref>AJ19:AJ21</xm:sqref>
        </x14:conditionalFormatting>
        <x14:conditionalFormatting xmlns:xm="http://schemas.microsoft.com/office/excel/2006/main">
          <x14:cfRule type="dataBar" id="{531125BD-964F-A34E-A404-B8890B4FC423}">
            <x14:dataBar minLength="0" maxLength="100">
              <x14:cfvo type="num">
                <xm:f>0</xm:f>
              </x14:cfvo>
              <x14:cfvo type="num">
                <xm:f>31</xm:f>
              </x14:cfvo>
              <x14:negativeFillColor rgb="FFFF0000"/>
              <x14:axisColor rgb="FF000000"/>
            </x14:dataBar>
          </x14:cfRule>
          <xm:sqref>AH8:AH21</xm:sqref>
        </x14:conditionalFormatting>
        <x14:conditionalFormatting xmlns:xm="http://schemas.microsoft.com/office/excel/2006/main">
          <x14:cfRule type="dataBar" id="{8E35412C-925A-FF48-B0C5-0B6C32C451BF}">
            <x14:dataBar minLength="0" maxLength="100">
              <x14:cfvo type="num">
                <xm:f>0</xm:f>
              </x14:cfvo>
              <x14:cfvo type="num">
                <xm:f>31</xm:f>
              </x14:cfvo>
              <x14:negativeFillColor rgb="FFFF0000"/>
              <x14:axisColor rgb="FF000000"/>
            </x14:dataBar>
          </x14:cfRule>
          <xm:sqref>AI8:AI21</xm:sqref>
        </x14:conditionalFormatting>
        <x14:conditionalFormatting xmlns:xm="http://schemas.microsoft.com/office/excel/2006/main">
          <x14:cfRule type="dataBar" id="{CBBF3314-1899-4175-B949-126FC00C2B6A}">
            <x14:dataBar minLength="0" maxLength="100">
              <x14:cfvo type="num">
                <xm:f>0</xm:f>
              </x14:cfvo>
              <x14:cfvo type="num">
                <xm:f>31</xm:f>
              </x14:cfvo>
              <x14:negativeFillColor rgb="FFFF0000"/>
              <x14:axisColor rgb="FF000000"/>
            </x14:dataBar>
          </x14:cfRule>
          <xm:sqref>AJ8:AJ18</xm:sqref>
        </x14:conditionalFormatting>
        <x14:conditionalFormatting xmlns:xm="http://schemas.microsoft.com/office/excel/2006/main">
          <x14:cfRule type="containsText" priority="161" stopIfTrue="1" operator="containsText" text="dim" id="{E32FD559-C6BE-DC4E-9A92-14FFD8AC5E93}">
            <xm:f>NOT(ISERROR(SEARCH("dim",Avril!AK18)))</xm:f>
            <x14:dxf>
              <font>
                <color theme="9"/>
              </font>
              <fill>
                <patternFill patternType="none">
                  <bgColor auto="1"/>
                </patternFill>
              </fill>
            </x14:dxf>
          </x14:cfRule>
          <xm:sqref>AK22:AK1048576</xm:sqref>
        </x14:conditionalFormatting>
        <x14:conditionalFormatting xmlns:xm="http://schemas.microsoft.com/office/excel/2006/main">
          <x14:cfRule type="containsText" priority="97" stopIfTrue="1" operator="containsText" text="dim" id="{7E698E6F-57A9-6F4E-9955-F3FFB75F1D3F}">
            <xm:f>NOT(ISERROR(SEARCH("dim",Aout!AJ19)))</xm:f>
            <x14:dxf>
              <font>
                <color theme="0" tint="-0.24994659260841701"/>
              </font>
              <fill>
                <patternFill patternType="none">
                  <bgColor auto="1"/>
                </patternFill>
              </fill>
            </x14:dxf>
          </x14:cfRule>
          <xm:sqref>AJ22</xm:sqref>
        </x14:conditionalFormatting>
        <x14:conditionalFormatting xmlns:xm="http://schemas.microsoft.com/office/excel/2006/main">
          <x14:cfRule type="containsText" priority="508" stopIfTrue="1" operator="containsText" text="dim" id="{E32FD559-C6BE-DC4E-9A92-14FFD8AC5E93}">
            <xm:f>NOT(ISERROR(SEARCH("dim",Avril!AK1)))</xm:f>
            <x14:dxf>
              <font>
                <color theme="9"/>
              </font>
              <fill>
                <patternFill patternType="none">
                  <bgColor auto="1"/>
                </patternFill>
              </fill>
            </x14:dxf>
          </x14:cfRule>
          <xm:sqref>AK7 AK1 AK4</xm:sqref>
        </x14:conditionalFormatting>
        <x14:conditionalFormatting xmlns:xm="http://schemas.microsoft.com/office/excel/2006/main">
          <x14:cfRule type="containsText" priority="532" stopIfTrue="1" operator="containsText" text="dim" id="{E32FD559-C6BE-DC4E-9A92-14FFD8AC5E93}">
            <xm:f>NOT(ISERROR(SEARCH("dim",Avril!AK20)))</xm:f>
            <x14:dxf>
              <font>
                <color theme="9"/>
              </font>
              <fill>
                <patternFill patternType="none">
                  <bgColor auto="1"/>
                </patternFill>
              </fill>
            </x14:dxf>
          </x14:cfRule>
          <xm:sqref>AK19:AK21</xm:sqref>
        </x14:conditionalFormatting>
      </x14:conditionalFormattings>
    </ext>
    <ext xmlns:x14="http://schemas.microsoft.com/office/spreadsheetml/2009/9/main" uri="{CCE6A557-97BC-4b89-ADB6-D9C93CAAB3DF}">
      <x14:dataValidations xmlns:xm="http://schemas.microsoft.com/office/excel/2006/main" count="1">
        <x14:dataValidation type="list" allowBlank="1" showInputMessage="1" showErrorMessage="1" xr:uid="{33932B49-5187-294F-A4B2-F912DE900FE1}">
          <x14:formula1>
            <xm:f>'Noms des employés'!$B$4:$B$15</xm:f>
          </x14:formula1>
          <xm:sqref>B19:B21</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81B235-97AA-6A4A-877C-6FD88B294FB4}">
  <sheetPr codeName="Feuil11">
    <tabColor theme="2" tint="-0.249977111117893"/>
  </sheetPr>
  <dimension ref="A1:AL22"/>
  <sheetViews>
    <sheetView showGridLines="0" topLeftCell="C3" zoomScaleNormal="100" workbookViewId="0">
      <selection activeCell="AJ8" sqref="AJ8:AJ18"/>
    </sheetView>
  </sheetViews>
  <sheetFormatPr baseColWidth="10" defaultColWidth="9.140625" defaultRowHeight="30" customHeight="1"/>
  <cols>
    <col min="1" max="1" width="2.7109375" style="3" customWidth="1"/>
    <col min="2" max="2" width="19.28515625" style="3" customWidth="1"/>
    <col min="3" max="33" width="4.7109375" style="3" customWidth="1"/>
    <col min="34" max="34" width="12" style="3" customWidth="1"/>
    <col min="35" max="35" width="11.140625" customWidth="1"/>
    <col min="36" max="36" width="11.85546875" customWidth="1"/>
    <col min="37" max="37" width="19.7109375" customWidth="1"/>
    <col min="38" max="38" width="41.85546875" customWidth="1"/>
  </cols>
  <sheetData>
    <row r="1" spans="1:38" ht="50.1" customHeight="1">
      <c r="B1" s="4" t="str">
        <f>Titre_Absence_Employé</f>
        <v>Calendrier des absences des employés</v>
      </c>
    </row>
    <row r="2" spans="1:38" ht="21.95" customHeight="1">
      <c r="A2" s="5"/>
      <c r="C2" s="48" t="s">
        <v>89</v>
      </c>
      <c r="D2" s="93" t="s">
        <v>90</v>
      </c>
      <c r="E2" s="93"/>
      <c r="F2" s="39" t="s">
        <v>72</v>
      </c>
      <c r="G2" s="88" t="s">
        <v>66</v>
      </c>
      <c r="H2" s="88"/>
      <c r="I2" s="38" t="s">
        <v>71</v>
      </c>
      <c r="J2" s="88" t="s">
        <v>74</v>
      </c>
      <c r="K2" s="88"/>
      <c r="L2" s="88"/>
      <c r="P2" s="47" t="s">
        <v>87</v>
      </c>
      <c r="Q2" s="95" t="s">
        <v>88</v>
      </c>
      <c r="R2" s="95"/>
      <c r="S2" s="95"/>
      <c r="T2" s="95"/>
      <c r="U2" s="95"/>
      <c r="V2" s="40" t="s">
        <v>70</v>
      </c>
      <c r="W2" s="88" t="s">
        <v>73</v>
      </c>
      <c r="X2" s="88"/>
      <c r="Y2" s="88"/>
      <c r="Z2" s="51" t="s">
        <v>96</v>
      </c>
      <c r="AA2" s="88" t="s">
        <v>97</v>
      </c>
      <c r="AB2" s="88"/>
      <c r="AC2" s="88"/>
    </row>
    <row r="3" spans="1:38" ht="18" customHeight="1">
      <c r="B3" s="9" t="s">
        <v>1</v>
      </c>
      <c r="C3" s="17" t="s">
        <v>4</v>
      </c>
      <c r="D3" s="89" t="s">
        <v>7</v>
      </c>
      <c r="E3" s="89"/>
      <c r="F3" s="18" t="s">
        <v>57</v>
      </c>
      <c r="G3" s="88" t="s">
        <v>57</v>
      </c>
      <c r="H3" s="88"/>
      <c r="I3" s="21" t="s">
        <v>55</v>
      </c>
      <c r="J3" s="88" t="s">
        <v>56</v>
      </c>
      <c r="K3" s="88"/>
      <c r="L3" s="88"/>
      <c r="M3" s="14" t="s">
        <v>58</v>
      </c>
      <c r="N3" s="88" t="s">
        <v>59</v>
      </c>
      <c r="O3" s="90"/>
      <c r="P3" s="54" t="s">
        <v>60</v>
      </c>
      <c r="Q3" s="91" t="s">
        <v>61</v>
      </c>
      <c r="R3" s="88"/>
      <c r="S3" s="20" t="s">
        <v>11</v>
      </c>
      <c r="T3" s="89" t="s">
        <v>17</v>
      </c>
      <c r="U3" s="89"/>
      <c r="V3" s="36" t="s">
        <v>69</v>
      </c>
      <c r="W3" s="88" t="s">
        <v>68</v>
      </c>
      <c r="X3" s="88"/>
      <c r="Y3" s="88"/>
      <c r="Z3" s="73" t="s">
        <v>100</v>
      </c>
      <c r="AA3" s="92" t="s">
        <v>101</v>
      </c>
      <c r="AB3" s="92"/>
      <c r="AC3" s="92"/>
    </row>
    <row r="4" spans="1:38" ht="15" customHeight="1">
      <c r="B4" s="4"/>
    </row>
    <row r="5" spans="1:38" ht="30" customHeight="1">
      <c r="B5" s="19" t="s">
        <v>52</v>
      </c>
      <c r="C5" s="87" t="s">
        <v>5</v>
      </c>
      <c r="D5" s="87"/>
      <c r="E5" s="87"/>
      <c r="F5" s="87"/>
      <c r="G5" s="87"/>
      <c r="H5" s="87"/>
      <c r="I5" s="87"/>
      <c r="J5" s="87"/>
      <c r="K5" s="87"/>
      <c r="L5" s="87"/>
      <c r="M5" s="87"/>
      <c r="N5" s="87"/>
      <c r="O5" s="87"/>
      <c r="P5" s="87"/>
      <c r="Q5" s="87"/>
      <c r="R5" s="87"/>
      <c r="S5" s="87"/>
      <c r="T5" s="87"/>
      <c r="U5" s="87"/>
      <c r="V5" s="87"/>
      <c r="W5" s="87"/>
      <c r="X5" s="87"/>
      <c r="Y5" s="87"/>
      <c r="Z5" s="87"/>
      <c r="AA5" s="87"/>
      <c r="AB5" s="87"/>
      <c r="AC5" s="87"/>
      <c r="AD5" s="87"/>
      <c r="AE5" s="87"/>
      <c r="AF5" s="87"/>
      <c r="AG5" s="87"/>
      <c r="AH5" s="23"/>
      <c r="AI5" s="19"/>
      <c r="AJ5" s="19"/>
      <c r="AK5" s="68">
        <f>AnnéeCalendrier</f>
        <v>2021</v>
      </c>
      <c r="AL5" s="19"/>
    </row>
    <row r="6" spans="1:38" ht="15" customHeight="1">
      <c r="B6" s="13"/>
      <c r="C6" s="55" t="str">
        <f>TEXT(WEEKDAY(DATE(AnnéeCalendrier,11,1),1),"jjj")</f>
        <v>lun</v>
      </c>
      <c r="D6" s="55" t="str">
        <f>TEXT(WEEKDAY(DATE(AnnéeCalendrier,11,2),1),"jjj")</f>
        <v>mar</v>
      </c>
      <c r="E6" s="55" t="str">
        <f>TEXT(WEEKDAY(DATE(AnnéeCalendrier,11,3),1),"jjj")</f>
        <v>mer</v>
      </c>
      <c r="F6" s="55" t="str">
        <f>TEXT(WEEKDAY(DATE(AnnéeCalendrier,11,4),1),"jjj")</f>
        <v>jeu</v>
      </c>
      <c r="G6" s="55" t="str">
        <f>TEXT(WEEKDAY(DATE(AnnéeCalendrier,11,5),1),"jjj")</f>
        <v>ven</v>
      </c>
      <c r="H6" s="55" t="str">
        <f>TEXT(WEEKDAY(DATE(AnnéeCalendrier,11,6),1),"jjj")</f>
        <v>sam</v>
      </c>
      <c r="I6" s="55" t="str">
        <f>TEXT(WEEKDAY(DATE(AnnéeCalendrier,11,7),1),"jjj")</f>
        <v>dim</v>
      </c>
      <c r="J6" s="55" t="str">
        <f>TEXT(WEEKDAY(DATE(AnnéeCalendrier,11,8),1),"jjj")</f>
        <v>lun</v>
      </c>
      <c r="K6" s="55" t="str">
        <f>TEXT(WEEKDAY(DATE(AnnéeCalendrier,11,9),1),"jjj")</f>
        <v>mar</v>
      </c>
      <c r="L6" s="55" t="str">
        <f>TEXT(WEEKDAY(DATE(AnnéeCalendrier,11,10),1),"jjj")</f>
        <v>mer</v>
      </c>
      <c r="M6" s="55" t="str">
        <f>TEXT(WEEKDAY(DATE(AnnéeCalendrier,11,11),1),"jjj")</f>
        <v>jeu</v>
      </c>
      <c r="N6" s="55" t="str">
        <f>TEXT(WEEKDAY(DATE(AnnéeCalendrier,11,12),1),"jjj")</f>
        <v>ven</v>
      </c>
      <c r="O6" s="55" t="str">
        <f>TEXT(WEEKDAY(DATE(AnnéeCalendrier,11,13),1),"jjj")</f>
        <v>sam</v>
      </c>
      <c r="P6" s="55" t="str">
        <f>TEXT(WEEKDAY(DATE(AnnéeCalendrier,11,14),1),"jjj")</f>
        <v>dim</v>
      </c>
      <c r="Q6" s="55" t="str">
        <f>TEXT(WEEKDAY(DATE(AnnéeCalendrier,11,15),1),"jjj")</f>
        <v>lun</v>
      </c>
      <c r="R6" s="55" t="str">
        <f>TEXT(WEEKDAY(DATE(AnnéeCalendrier,11,16),1),"jjj")</f>
        <v>mar</v>
      </c>
      <c r="S6" s="55" t="str">
        <f>TEXT(WEEKDAY(DATE(AnnéeCalendrier,11,17),1),"jjj")</f>
        <v>mer</v>
      </c>
      <c r="T6" s="55" t="str">
        <f>TEXT(WEEKDAY(DATE(AnnéeCalendrier,11,18),1),"jjj")</f>
        <v>jeu</v>
      </c>
      <c r="U6" s="55" t="str">
        <f>TEXT(WEEKDAY(DATE(AnnéeCalendrier,11,19),1),"jjj")</f>
        <v>ven</v>
      </c>
      <c r="V6" s="55" t="str">
        <f>TEXT(WEEKDAY(DATE(AnnéeCalendrier,11,20),1),"jjj")</f>
        <v>sam</v>
      </c>
      <c r="W6" s="55" t="str">
        <f>TEXT(WEEKDAY(DATE(AnnéeCalendrier,11,21),1),"jjj")</f>
        <v>dim</v>
      </c>
      <c r="X6" s="55" t="str">
        <f>TEXT(WEEKDAY(DATE(AnnéeCalendrier,11,22),1),"jjj")</f>
        <v>lun</v>
      </c>
      <c r="Y6" s="55" t="str">
        <f>TEXT(WEEKDAY(DATE(AnnéeCalendrier,11,23),1),"jjj")</f>
        <v>mar</v>
      </c>
      <c r="Z6" s="55" t="str">
        <f>TEXT(WEEKDAY(DATE(AnnéeCalendrier,11,24),1),"jjj")</f>
        <v>mer</v>
      </c>
      <c r="AA6" s="55" t="str">
        <f>TEXT(WEEKDAY(DATE(AnnéeCalendrier,11,25),1),"jjj")</f>
        <v>jeu</v>
      </c>
      <c r="AB6" s="55" t="str">
        <f>TEXT(WEEKDAY(DATE(AnnéeCalendrier,11,26),1),"jjj")</f>
        <v>ven</v>
      </c>
      <c r="AC6" s="55" t="str">
        <f>TEXT(WEEKDAY(DATE(AnnéeCalendrier,11,27),1),"jjj")</f>
        <v>sam</v>
      </c>
      <c r="AD6" s="55" t="str">
        <f>TEXT(WEEKDAY(DATE(AnnéeCalendrier,11,28),1),"jjj")</f>
        <v>dim</v>
      </c>
      <c r="AE6" s="55" t="str">
        <f>TEXT(WEEKDAY(DATE(AnnéeCalendrier,11,29),1),"jjj")</f>
        <v>lun</v>
      </c>
      <c r="AF6" s="55" t="str">
        <f>TEXT(WEEKDAY(DATE(AnnéeCalendrier,11,30),1),"jjj")</f>
        <v>mar</v>
      </c>
      <c r="AG6" s="55"/>
      <c r="AH6" s="10"/>
      <c r="AI6" s="10"/>
      <c r="AJ6" s="10"/>
      <c r="AK6" s="10"/>
      <c r="AL6" s="10"/>
    </row>
    <row r="7" spans="1:38" ht="36" customHeight="1">
      <c r="B7" s="11" t="s">
        <v>3</v>
      </c>
      <c r="C7" s="49" t="s">
        <v>6</v>
      </c>
      <c r="D7" s="12" t="s">
        <v>8</v>
      </c>
      <c r="E7" s="12" t="s">
        <v>9</v>
      </c>
      <c r="F7" s="12" t="s">
        <v>10</v>
      </c>
      <c r="G7" s="12" t="s">
        <v>12</v>
      </c>
      <c r="H7" s="12" t="s">
        <v>13</v>
      </c>
      <c r="I7" s="12" t="s">
        <v>14</v>
      </c>
      <c r="J7" s="12" t="s">
        <v>15</v>
      </c>
      <c r="K7" s="12" t="s">
        <v>16</v>
      </c>
      <c r="L7" s="12" t="s">
        <v>18</v>
      </c>
      <c r="M7" s="49" t="s">
        <v>19</v>
      </c>
      <c r="N7" s="12" t="s">
        <v>20</v>
      </c>
      <c r="O7" s="12" t="s">
        <v>21</v>
      </c>
      <c r="P7" s="12" t="s">
        <v>22</v>
      </c>
      <c r="Q7" s="12" t="s">
        <v>23</v>
      </c>
      <c r="R7" s="12" t="s">
        <v>24</v>
      </c>
      <c r="S7" s="12" t="s">
        <v>25</v>
      </c>
      <c r="T7" s="12" t="s">
        <v>26</v>
      </c>
      <c r="U7" s="12" t="s">
        <v>27</v>
      </c>
      <c r="V7" s="12" t="s">
        <v>28</v>
      </c>
      <c r="W7" s="12" t="s">
        <v>29</v>
      </c>
      <c r="X7" s="12" t="s">
        <v>30</v>
      </c>
      <c r="Y7" s="12" t="s">
        <v>31</v>
      </c>
      <c r="Z7" s="12" t="s">
        <v>32</v>
      </c>
      <c r="AA7" s="12" t="s">
        <v>33</v>
      </c>
      <c r="AB7" s="12" t="s">
        <v>34</v>
      </c>
      <c r="AC7" s="12" t="s">
        <v>35</v>
      </c>
      <c r="AD7" s="12" t="s">
        <v>36</v>
      </c>
      <c r="AE7" s="12" t="s">
        <v>37</v>
      </c>
      <c r="AF7" s="12" t="s">
        <v>38</v>
      </c>
      <c r="AG7" s="12" t="s">
        <v>42</v>
      </c>
      <c r="AH7" s="24" t="s">
        <v>67</v>
      </c>
      <c r="AI7" s="25" t="s">
        <v>78</v>
      </c>
      <c r="AJ7" s="25" t="s">
        <v>98</v>
      </c>
      <c r="AK7" s="72" t="s">
        <v>81</v>
      </c>
      <c r="AL7" s="71" t="s">
        <v>99</v>
      </c>
    </row>
    <row r="8" spans="1:38" ht="30" customHeight="1">
      <c r="B8" s="8"/>
      <c r="C8" s="15"/>
      <c r="D8" s="15"/>
      <c r="E8" s="15"/>
      <c r="F8" s="15"/>
      <c r="G8" s="15"/>
      <c r="H8" s="15"/>
      <c r="I8" s="15"/>
      <c r="J8" s="15"/>
      <c r="K8" s="15"/>
      <c r="L8" s="15"/>
      <c r="M8" s="15"/>
      <c r="N8" s="15"/>
      <c r="O8" s="15"/>
      <c r="P8" s="15"/>
      <c r="Q8" s="15"/>
      <c r="R8" s="15"/>
      <c r="S8" s="15"/>
      <c r="T8" s="15"/>
      <c r="U8" s="15"/>
      <c r="V8" s="15"/>
      <c r="W8" s="15"/>
      <c r="X8" s="15"/>
      <c r="Y8" s="15"/>
      <c r="Z8" s="15"/>
      <c r="AA8" s="15"/>
      <c r="AB8" s="15"/>
      <c r="AC8" s="15"/>
      <c r="AD8" s="15"/>
      <c r="AE8" s="15"/>
      <c r="AF8" s="15"/>
      <c r="AG8" s="15"/>
      <c r="AH8" s="31">
        <f t="shared" ref="AH8:AH21" si="0">(COUNTIF(C8:AG8,CléCongé)+(COUNTIF(C8:AG8,CléEnfantMalade)+COUNTIF(C8:AG8,CléRTT)+COUNTIF(C8:AG8,CléCongéMalade)+COUNTIF(C8:AG8,CléRécupération)+COUNTIF(C8:AG8,CléFormation)+COUNTIF(C8:AG8,CléTélétravail-1)+COUNTIF(C8:AG8,CléCongéSpécial)+COUNTIF(C8:AG8,CléPrésenceExceptionnelle-1)+COUNTIF(C8:AG8,CléDemiRtt)/2)+COUNTIF(C8:AG8,CléDemiRécupération)/2)+COUNTIF(C8:AG8,CléDemiEnfantMalade)/2</f>
        <v>0</v>
      </c>
      <c r="AI8" s="31">
        <f t="shared" ref="AI8:AI21" si="1">COUNTIF(C8:AG8,CléRTT)+COUNTIF(C8:AG8,CléDemiRtt)/2</f>
        <v>0</v>
      </c>
      <c r="AJ8" s="31">
        <f>COUNTIF(C8:AG8,$S$3)</f>
        <v>0</v>
      </c>
      <c r="AK8" s="22"/>
    </row>
    <row r="9" spans="1:38" ht="30" customHeight="1">
      <c r="B9" s="8"/>
      <c r="C9" s="15"/>
      <c r="D9" s="15"/>
      <c r="E9" s="15"/>
      <c r="F9" s="15"/>
      <c r="G9" s="15"/>
      <c r="H9" s="15"/>
      <c r="I9" s="15"/>
      <c r="J9" s="15"/>
      <c r="K9" s="15"/>
      <c r="L9" s="15"/>
      <c r="M9" s="15"/>
      <c r="N9" s="15"/>
      <c r="O9" s="15"/>
      <c r="P9" s="15"/>
      <c r="Q9" s="15"/>
      <c r="R9" s="15"/>
      <c r="S9" s="15"/>
      <c r="T9" s="15"/>
      <c r="U9" s="15"/>
      <c r="V9" s="15"/>
      <c r="W9" s="15"/>
      <c r="X9" s="15"/>
      <c r="Y9" s="15"/>
      <c r="Z9" s="15"/>
      <c r="AA9" s="15"/>
      <c r="AB9" s="15"/>
      <c r="AC9" s="15"/>
      <c r="AD9" s="15"/>
      <c r="AE9" s="15"/>
      <c r="AF9" s="15"/>
      <c r="AG9" s="15"/>
      <c r="AH9" s="31">
        <f t="shared" si="0"/>
        <v>0</v>
      </c>
      <c r="AI9" s="31">
        <f t="shared" si="1"/>
        <v>0</v>
      </c>
      <c r="AJ9" s="31">
        <f t="shared" ref="AJ9:AJ18" si="2">COUNTIF(C9:AG9,$S$3)</f>
        <v>0</v>
      </c>
      <c r="AK9" s="22">
        <f>Octobre!AK9-Novembre[[#This Row],[Dont RTT]]+2</f>
        <v>25</v>
      </c>
    </row>
    <row r="10" spans="1:38" ht="30" customHeight="1">
      <c r="B10" s="8"/>
      <c r="C10" s="15"/>
      <c r="D10" s="15"/>
      <c r="E10" s="15"/>
      <c r="F10" s="15"/>
      <c r="G10" s="15"/>
      <c r="H10" s="15"/>
      <c r="I10" s="15"/>
      <c r="J10" s="15"/>
      <c r="K10" s="15"/>
      <c r="L10" s="15"/>
      <c r="M10" s="15"/>
      <c r="N10" s="15"/>
      <c r="O10" s="15"/>
      <c r="P10" s="15"/>
      <c r="Q10" s="15"/>
      <c r="R10" s="15"/>
      <c r="S10" s="15"/>
      <c r="T10" s="15"/>
      <c r="U10" s="15"/>
      <c r="V10" s="15"/>
      <c r="W10" s="15"/>
      <c r="X10" s="15"/>
      <c r="Y10" s="15"/>
      <c r="Z10" s="15"/>
      <c r="AA10" s="15"/>
      <c r="AB10" s="15"/>
      <c r="AC10" s="15"/>
      <c r="AD10" s="15"/>
      <c r="AE10" s="15"/>
      <c r="AF10" s="15"/>
      <c r="AG10" s="15"/>
      <c r="AH10" s="31">
        <f t="shared" si="0"/>
        <v>0</v>
      </c>
      <c r="AI10" s="31">
        <f t="shared" si="1"/>
        <v>0</v>
      </c>
      <c r="AJ10" s="31">
        <f t="shared" si="2"/>
        <v>0</v>
      </c>
      <c r="AK10" s="22">
        <f>Octobre!AK10-Novembre[[#This Row],[Dont RTT]]+2</f>
        <v>33</v>
      </c>
    </row>
    <row r="11" spans="1:38" ht="30" customHeight="1">
      <c r="B11" s="8"/>
      <c r="C11" s="15"/>
      <c r="D11" s="15"/>
      <c r="E11" s="15"/>
      <c r="F11" s="15"/>
      <c r="G11" s="15"/>
      <c r="H11" s="15"/>
      <c r="I11" s="15"/>
      <c r="J11" s="15"/>
      <c r="K11" s="15"/>
      <c r="L11" s="15"/>
      <c r="M11" s="15"/>
      <c r="N11" s="15"/>
      <c r="O11" s="15"/>
      <c r="P11" s="15"/>
      <c r="Q11" s="15"/>
      <c r="R11" s="15"/>
      <c r="S11" s="15"/>
      <c r="T11" s="15"/>
      <c r="U11" s="15"/>
      <c r="V11" s="15"/>
      <c r="W11" s="15"/>
      <c r="X11" s="15"/>
      <c r="Y11" s="15"/>
      <c r="Z11" s="15"/>
      <c r="AA11" s="15"/>
      <c r="AB11" s="15"/>
      <c r="AC11" s="15"/>
      <c r="AD11" s="15"/>
      <c r="AE11" s="15"/>
      <c r="AF11" s="15"/>
      <c r="AG11" s="15"/>
      <c r="AH11" s="31">
        <f t="shared" si="0"/>
        <v>0</v>
      </c>
      <c r="AI11" s="31">
        <f t="shared" si="1"/>
        <v>0</v>
      </c>
      <c r="AJ11" s="31">
        <f t="shared" si="2"/>
        <v>0</v>
      </c>
      <c r="AK11" s="22"/>
    </row>
    <row r="12" spans="1:38" ht="30" customHeight="1">
      <c r="B12" s="8"/>
      <c r="C12" s="15"/>
      <c r="D12" s="15"/>
      <c r="E12" s="15"/>
      <c r="F12" s="15"/>
      <c r="G12" s="15"/>
      <c r="H12" s="15"/>
      <c r="I12" s="15"/>
      <c r="J12" s="15"/>
      <c r="K12" s="15"/>
      <c r="L12" s="15"/>
      <c r="M12" s="15"/>
      <c r="N12" s="15"/>
      <c r="O12" s="15"/>
      <c r="P12" s="15"/>
      <c r="Q12" s="15"/>
      <c r="R12" s="15"/>
      <c r="S12" s="15"/>
      <c r="T12" s="15"/>
      <c r="U12" s="15"/>
      <c r="V12" s="15"/>
      <c r="W12" s="15"/>
      <c r="X12" s="15"/>
      <c r="Y12" s="15"/>
      <c r="Z12" s="15"/>
      <c r="AA12" s="15"/>
      <c r="AB12" s="15"/>
      <c r="AC12" s="15"/>
      <c r="AD12" s="15"/>
      <c r="AE12" s="15"/>
      <c r="AF12" s="15"/>
      <c r="AG12" s="15"/>
      <c r="AH12" s="31">
        <f t="shared" si="0"/>
        <v>0</v>
      </c>
      <c r="AI12" s="31">
        <f t="shared" si="1"/>
        <v>0</v>
      </c>
      <c r="AJ12" s="31">
        <f t="shared" si="2"/>
        <v>0</v>
      </c>
      <c r="AK12" s="22"/>
    </row>
    <row r="13" spans="1:38" ht="30" customHeight="1">
      <c r="B13" s="8"/>
      <c r="C13" s="22"/>
      <c r="D13" s="22"/>
      <c r="E13" s="22"/>
      <c r="F13" s="22"/>
      <c r="G13" s="22"/>
      <c r="H13" s="22"/>
      <c r="I13" s="22"/>
      <c r="J13" s="22"/>
      <c r="K13" s="15"/>
      <c r="L13" s="22"/>
      <c r="M13" s="22"/>
      <c r="N13" s="22"/>
      <c r="O13" s="22"/>
      <c r="P13" s="22"/>
      <c r="Q13" s="22"/>
      <c r="R13" s="15"/>
      <c r="S13" s="22"/>
      <c r="T13" s="22"/>
      <c r="U13" s="22"/>
      <c r="V13" s="22"/>
      <c r="W13" s="22"/>
      <c r="X13" s="22"/>
      <c r="Y13" s="15"/>
      <c r="Z13" s="22"/>
      <c r="AA13" s="22"/>
      <c r="AB13" s="22"/>
      <c r="AC13" s="22"/>
      <c r="AD13" s="22"/>
      <c r="AE13" s="22"/>
      <c r="AF13" s="22"/>
      <c r="AG13" s="22"/>
      <c r="AH13" s="31">
        <f t="shared" si="0"/>
        <v>0</v>
      </c>
      <c r="AI13" s="31">
        <f t="shared" si="1"/>
        <v>0</v>
      </c>
      <c r="AJ13" s="31">
        <f t="shared" si="2"/>
        <v>0</v>
      </c>
      <c r="AK13" s="22">
        <f>Octobre!AK13-Novembre[[#This Row],[Dont RTT]]+2</f>
        <v>24.93</v>
      </c>
    </row>
    <row r="14" spans="1:38" ht="30" customHeight="1">
      <c r="B14" s="8"/>
      <c r="C14" s="22"/>
      <c r="D14" s="22"/>
      <c r="E14" s="22"/>
      <c r="F14" s="22"/>
      <c r="G14" s="22"/>
      <c r="H14" s="22"/>
      <c r="I14" s="22"/>
      <c r="J14" s="22"/>
      <c r="K14" s="15"/>
      <c r="L14" s="22"/>
      <c r="M14" s="22"/>
      <c r="N14" s="22"/>
      <c r="O14" s="22"/>
      <c r="P14" s="22"/>
      <c r="Q14" s="22"/>
      <c r="R14" s="15"/>
      <c r="S14" s="22"/>
      <c r="T14" s="22"/>
      <c r="U14" s="22"/>
      <c r="V14" s="22"/>
      <c r="W14" s="22"/>
      <c r="X14" s="22"/>
      <c r="Y14" s="15"/>
      <c r="Z14" s="22"/>
      <c r="AA14" s="22"/>
      <c r="AB14" s="22"/>
      <c r="AC14" s="22"/>
      <c r="AD14" s="22"/>
      <c r="AE14" s="22"/>
      <c r="AF14" s="22"/>
      <c r="AG14" s="22"/>
      <c r="AH14" s="31">
        <f t="shared" si="0"/>
        <v>0</v>
      </c>
      <c r="AI14" s="31">
        <f t="shared" si="1"/>
        <v>0</v>
      </c>
      <c r="AJ14" s="31">
        <f t="shared" si="2"/>
        <v>0</v>
      </c>
      <c r="AK14" s="22">
        <f>Octobre!AK14-Novembre[[#This Row],[Dont RTT]]+2</f>
        <v>24.5</v>
      </c>
    </row>
    <row r="15" spans="1:38" ht="30" customHeight="1">
      <c r="B15" s="8"/>
      <c r="C15" s="22"/>
      <c r="D15" s="22"/>
      <c r="E15" s="22"/>
      <c r="F15" s="22"/>
      <c r="G15" s="22"/>
      <c r="H15" s="22"/>
      <c r="I15" s="22"/>
      <c r="J15" s="22"/>
      <c r="K15" s="22"/>
      <c r="L15" s="22"/>
      <c r="M15" s="15"/>
      <c r="N15" s="22"/>
      <c r="O15" s="22"/>
      <c r="P15" s="22"/>
      <c r="Q15" s="22"/>
      <c r="R15" s="22"/>
      <c r="S15" s="22"/>
      <c r="T15" s="15"/>
      <c r="U15" s="22"/>
      <c r="V15" s="22"/>
      <c r="W15" s="22"/>
      <c r="X15" s="22"/>
      <c r="Y15" s="22"/>
      <c r="Z15" s="22"/>
      <c r="AA15" s="15"/>
      <c r="AB15" s="22"/>
      <c r="AC15" s="22"/>
      <c r="AD15" s="22"/>
      <c r="AE15" s="22"/>
      <c r="AF15" s="22"/>
      <c r="AG15" s="22"/>
      <c r="AH15" s="31">
        <f t="shared" si="0"/>
        <v>0</v>
      </c>
      <c r="AI15" s="31">
        <f t="shared" si="1"/>
        <v>0</v>
      </c>
      <c r="AJ15" s="31">
        <f t="shared" si="2"/>
        <v>0</v>
      </c>
      <c r="AK15" s="22">
        <f>Octobre!AK15-Novembre[[#This Row],[Dont RTT]]+2</f>
        <v>27.5</v>
      </c>
    </row>
    <row r="16" spans="1:38" ht="30" customHeight="1">
      <c r="B16" s="8"/>
      <c r="C16" s="22"/>
      <c r="D16" s="22"/>
      <c r="E16" s="22"/>
      <c r="F16" s="22"/>
      <c r="G16" s="22"/>
      <c r="H16" s="22"/>
      <c r="I16" s="22"/>
      <c r="J16" s="22"/>
      <c r="K16" s="15"/>
      <c r="L16" s="22"/>
      <c r="M16" s="22"/>
      <c r="N16" s="22"/>
      <c r="O16" s="22"/>
      <c r="P16" s="22"/>
      <c r="Q16" s="22"/>
      <c r="R16" s="15"/>
      <c r="S16" s="22"/>
      <c r="T16" s="22"/>
      <c r="U16" s="22"/>
      <c r="V16" s="22"/>
      <c r="W16" s="22"/>
      <c r="X16" s="22"/>
      <c r="Y16" s="15"/>
      <c r="Z16" s="22"/>
      <c r="AA16" s="22"/>
      <c r="AB16" s="22"/>
      <c r="AC16" s="22"/>
      <c r="AD16" s="22"/>
      <c r="AE16" s="22"/>
      <c r="AF16" s="22"/>
      <c r="AG16" s="22"/>
      <c r="AH16" s="31">
        <f t="shared" si="0"/>
        <v>0</v>
      </c>
      <c r="AI16" s="31">
        <f t="shared" si="1"/>
        <v>0</v>
      </c>
      <c r="AJ16" s="31">
        <f t="shared" si="2"/>
        <v>0</v>
      </c>
      <c r="AK16" s="22">
        <f>Octobre!AK16-Novembre[[#This Row],[Dont RTT]]+2</f>
        <v>24.16</v>
      </c>
    </row>
    <row r="17" spans="2:38" ht="30" customHeight="1">
      <c r="B17" s="8"/>
      <c r="C17" s="22"/>
      <c r="D17" s="22"/>
      <c r="E17" s="22"/>
      <c r="F17" s="22"/>
      <c r="G17" s="22"/>
      <c r="H17" s="22"/>
      <c r="I17" s="22"/>
      <c r="J17" s="22"/>
      <c r="K17" s="22"/>
      <c r="L17" s="22"/>
      <c r="M17" s="15"/>
      <c r="N17" s="22"/>
      <c r="O17" s="22"/>
      <c r="P17" s="22"/>
      <c r="Q17" s="22"/>
      <c r="R17" s="22"/>
      <c r="S17" s="22"/>
      <c r="T17" s="15"/>
      <c r="U17" s="22"/>
      <c r="V17" s="22"/>
      <c r="W17" s="22"/>
      <c r="X17" s="22"/>
      <c r="Y17" s="22"/>
      <c r="Z17" s="22"/>
      <c r="AA17" s="15"/>
      <c r="AB17" s="22"/>
      <c r="AC17" s="22"/>
      <c r="AD17" s="22"/>
      <c r="AE17" s="22"/>
      <c r="AF17" s="22"/>
      <c r="AG17" s="22"/>
      <c r="AH17" s="31">
        <f t="shared" si="0"/>
        <v>0</v>
      </c>
      <c r="AI17" s="31">
        <f t="shared" si="1"/>
        <v>0</v>
      </c>
      <c r="AJ17" s="31">
        <f t="shared" si="2"/>
        <v>0</v>
      </c>
      <c r="AK17" s="22">
        <f>Octobre!AK17-Novembre[[#This Row],[Dont RTT]]+2</f>
        <v>33</v>
      </c>
    </row>
    <row r="18" spans="2:38" ht="30" customHeight="1">
      <c r="B18" s="8"/>
      <c r="C18" s="22"/>
      <c r="D18" s="22"/>
      <c r="E18" s="22"/>
      <c r="F18" s="22"/>
      <c r="G18" s="22"/>
      <c r="H18" s="22"/>
      <c r="I18" s="22"/>
      <c r="J18" s="22"/>
      <c r="K18" s="15"/>
      <c r="L18" s="22"/>
      <c r="M18" s="22"/>
      <c r="N18" s="22"/>
      <c r="O18" s="22"/>
      <c r="P18" s="22"/>
      <c r="Q18" s="22"/>
      <c r="R18" s="15"/>
      <c r="S18" s="22"/>
      <c r="T18" s="22"/>
      <c r="U18" s="22"/>
      <c r="V18" s="22"/>
      <c r="W18" s="22"/>
      <c r="X18" s="22"/>
      <c r="Y18" s="15"/>
      <c r="Z18" s="22"/>
      <c r="AA18" s="22"/>
      <c r="AB18" s="22"/>
      <c r="AC18" s="22"/>
      <c r="AD18" s="22"/>
      <c r="AE18" s="22"/>
      <c r="AF18" s="22"/>
      <c r="AG18" s="22"/>
      <c r="AH18" s="31">
        <f t="shared" si="0"/>
        <v>0</v>
      </c>
      <c r="AI18" s="31">
        <f t="shared" si="1"/>
        <v>0</v>
      </c>
      <c r="AJ18" s="31">
        <f t="shared" si="2"/>
        <v>0</v>
      </c>
      <c r="AK18" s="22">
        <f>Octobre!AK18-Novembre[[#This Row],[Dont RTT]]+2</f>
        <v>24.5</v>
      </c>
    </row>
    <row r="19" spans="2:38" ht="30" customHeight="1">
      <c r="B19" s="59"/>
      <c r="C19" s="15"/>
      <c r="D19" s="15"/>
      <c r="E19" s="15"/>
      <c r="F19" s="15"/>
      <c r="G19" s="15"/>
      <c r="H19" s="15"/>
      <c r="I19" s="15"/>
      <c r="J19" s="15"/>
      <c r="K19" s="15"/>
      <c r="L19" s="15"/>
      <c r="M19" s="15"/>
      <c r="N19" s="15"/>
      <c r="O19" s="15"/>
      <c r="P19" s="15"/>
      <c r="Q19" s="15"/>
      <c r="R19" s="15"/>
      <c r="S19" s="15"/>
      <c r="T19" s="15"/>
      <c r="U19" s="15"/>
      <c r="V19" s="15"/>
      <c r="W19" s="15"/>
      <c r="X19" s="15"/>
      <c r="Y19" s="15"/>
      <c r="Z19" s="15"/>
      <c r="AA19" s="15"/>
      <c r="AB19" s="15"/>
      <c r="AC19" s="15"/>
      <c r="AD19" s="15"/>
      <c r="AE19" s="15"/>
      <c r="AF19" s="15"/>
      <c r="AG19" s="15"/>
      <c r="AH19" s="62">
        <f t="shared" si="0"/>
        <v>0</v>
      </c>
      <c r="AI19" s="62">
        <f t="shared" si="1"/>
        <v>0</v>
      </c>
      <c r="AJ19" s="31">
        <f t="shared" ref="AJ19:AJ21" si="3">COUNTIF(C19:AG19,"M")</f>
        <v>0</v>
      </c>
      <c r="AK19" s="60"/>
    </row>
    <row r="20" spans="2:38" ht="30" customHeight="1">
      <c r="B20" s="59"/>
      <c r="C20" s="15"/>
      <c r="D20" s="15"/>
      <c r="E20" s="15"/>
      <c r="F20" s="15"/>
      <c r="G20" s="15"/>
      <c r="H20" s="15"/>
      <c r="I20" s="15"/>
      <c r="J20" s="15"/>
      <c r="K20" s="15"/>
      <c r="L20" s="15"/>
      <c r="M20" s="15"/>
      <c r="N20" s="15"/>
      <c r="O20" s="15"/>
      <c r="P20" s="15"/>
      <c r="Q20" s="15"/>
      <c r="R20" s="15"/>
      <c r="S20" s="15"/>
      <c r="T20" s="15"/>
      <c r="U20" s="15"/>
      <c r="V20" s="15"/>
      <c r="W20" s="15"/>
      <c r="X20" s="15"/>
      <c r="Y20" s="15"/>
      <c r="Z20" s="15"/>
      <c r="AA20" s="15"/>
      <c r="AB20" s="15"/>
      <c r="AC20" s="15"/>
      <c r="AD20" s="15"/>
      <c r="AE20" s="15"/>
      <c r="AF20" s="15"/>
      <c r="AG20" s="15"/>
      <c r="AH20" s="62">
        <f t="shared" si="0"/>
        <v>0</v>
      </c>
      <c r="AI20" s="62">
        <f t="shared" si="1"/>
        <v>0</v>
      </c>
      <c r="AJ20" s="31">
        <f t="shared" si="3"/>
        <v>0</v>
      </c>
      <c r="AK20" s="60"/>
    </row>
    <row r="21" spans="2:38" ht="30" customHeight="1">
      <c r="B21" s="59"/>
      <c r="C21" s="15"/>
      <c r="D21" s="15"/>
      <c r="E21" s="15"/>
      <c r="F21" s="15"/>
      <c r="G21" s="15"/>
      <c r="H21" s="15"/>
      <c r="I21" s="15"/>
      <c r="J21" s="15"/>
      <c r="K21" s="15"/>
      <c r="L21" s="15"/>
      <c r="M21" s="15"/>
      <c r="N21" s="15"/>
      <c r="O21" s="15"/>
      <c r="P21" s="15"/>
      <c r="Q21" s="15"/>
      <c r="R21" s="15"/>
      <c r="S21" s="15"/>
      <c r="T21" s="15"/>
      <c r="U21" s="15"/>
      <c r="V21" s="15"/>
      <c r="W21" s="15"/>
      <c r="X21" s="15"/>
      <c r="Y21" s="15"/>
      <c r="Z21" s="15"/>
      <c r="AA21" s="15"/>
      <c r="AB21" s="15"/>
      <c r="AC21" s="15"/>
      <c r="AD21" s="15"/>
      <c r="AE21" s="15"/>
      <c r="AF21" s="15"/>
      <c r="AG21" s="15"/>
      <c r="AH21" s="62">
        <f t="shared" si="0"/>
        <v>0</v>
      </c>
      <c r="AI21" s="62">
        <f t="shared" si="1"/>
        <v>0</v>
      </c>
      <c r="AJ21" s="31">
        <f t="shared" si="3"/>
        <v>0</v>
      </c>
      <c r="AK21" s="60"/>
    </row>
    <row r="22" spans="2:38" ht="30" customHeight="1">
      <c r="B22" s="28" t="str">
        <f>NomMois&amp;" Total"</f>
        <v>Novembre Total</v>
      </c>
      <c r="C22" s="33">
        <f>COUNTIF(Novembre[1],CléCongé)+(COUNTIF(Novembre[1],CléCongéSpécial)+COUNTIF(Novembre[1],CléRTT)+(COUNTIF(Novembre[1],CléDemiRtt)/2)+COUNTIF(Novembre[1],CléCongéMalade)+COUNTIF(Novembre[1],CléRécupération)+(COUNTIF(Novembre[1],CléDemiRécupération)/2)+COUNTIF(Novembre[1],CléFormation)+(COUNTIF(Novembre[1],CléEnfantMalade)+(COUNTIF(Novembre[1],CléDemiEnfantMalade)/2)))</f>
        <v>0</v>
      </c>
      <c r="D22" s="33">
        <f>COUNTIF(Novembre[2],CléCongé)+(COUNTIF(Novembre[2],CléCongéSpécial)+COUNTIF(Novembre[2],CléRTT)+(COUNTIF(Novembre[2],CléDemiRtt)/2)+COUNTIF(Novembre[2],CléCongéMalade)+COUNTIF(Novembre[2],CléRécupération)+(COUNTIF(Novembre[2],CléDemiRécupération)/2)+COUNTIF(Novembre[2],CléFormation)+(COUNTIF(Novembre[2],CléEnfantMalade)+(COUNTIF(Novembre[2],CléDemiEnfantMalade)/2)))</f>
        <v>0</v>
      </c>
      <c r="E22" s="33">
        <f>COUNTIF(Novembre[3],CléCongé)+(COUNTIF(Novembre[3],CléCongéSpécial)+COUNTIF(Novembre[3],CléRTT)+(COUNTIF(Novembre[3],CléDemiRtt)/2)+COUNTIF(Novembre[3],CléCongéMalade)+COUNTIF(Novembre[3],CléRécupération)+(COUNTIF(Novembre[3],CléDemiRécupération)/2)+COUNTIF(Novembre[3],CléFormation)+(COUNTIF(Novembre[3],CléEnfantMalade)+(COUNTIF(Novembre[3],CléDemiEnfantMalade)/2)))</f>
        <v>0</v>
      </c>
      <c r="F22" s="33">
        <f>COUNTIF(Novembre[4],CléCongé)+(COUNTIF(Novembre[4],CléCongéSpécial)+COUNTIF(Novembre[4],CléRTT)+(COUNTIF(Novembre[4],CléDemiRtt)/2)+COUNTIF(Novembre[4],CléCongéMalade)+COUNTIF(Novembre[4],CléRécupération)+(COUNTIF(Novembre[4],CléDemiRécupération)/2)+COUNTIF(Novembre[4],CléFormation)+(COUNTIF(Novembre[4],CléEnfantMalade)+(COUNTIF(Novembre[4],CléDemiEnfantMalade)/2)))</f>
        <v>0</v>
      </c>
      <c r="G22" s="33">
        <f>COUNTIF(Novembre[5],CléCongé)+(COUNTIF(Novembre[5],CléCongéSpécial)+COUNTIF(Novembre[5],CléRTT)+(COUNTIF(Novembre[5],CléDemiRtt)/2)+COUNTIF(Novembre[5],CléCongéMalade)+COUNTIF(Novembre[5],CléRécupération)+(COUNTIF(Novembre[5],CléDemiRécupération)/2)+COUNTIF(Novembre[5],CléFormation)+(COUNTIF(Novembre[5],CléEnfantMalade)+(COUNTIF(Novembre[5],CléDemiEnfantMalade)/2)))</f>
        <v>0</v>
      </c>
      <c r="H22" s="33">
        <f>COUNTIF(Novembre[6],CléCongé)+(COUNTIF(Novembre[6],CléCongéSpécial)+COUNTIF(Novembre[6],CléRTT)+(COUNTIF(Novembre[6],CléDemiRtt)/2)+COUNTIF(Novembre[6],CléCongéMalade)+COUNTIF(Novembre[6],CléRécupération)+(COUNTIF(Novembre[6],CléDemiRécupération)/2)+COUNTIF(Novembre[6],CléFormation)+(COUNTIF(Novembre[6],CléEnfantMalade)+(COUNTIF(Novembre[6],CléDemiEnfantMalade)/2)))</f>
        <v>0</v>
      </c>
      <c r="I22" s="33">
        <f>COUNTIF(Novembre[7],CléCongé)+(COUNTIF(Novembre[7],CléCongéSpécial)+COUNTIF(Novembre[7],CléRTT)+(COUNTIF(Novembre[7],CléDemiRtt)/2)+COUNTIF(Novembre[7],CléCongéMalade)+COUNTIF(Novembre[7],CléRécupération)+(COUNTIF(Novembre[7],CléDemiRécupération)/2)+COUNTIF(Novembre[7],CléFormation)+(COUNTIF(Novembre[7],CléEnfantMalade)+(COUNTIF(Novembre[7],CléDemiEnfantMalade)/2)))</f>
        <v>0</v>
      </c>
      <c r="J22" s="33">
        <f>COUNTIF(Novembre[8],CléCongé)+(COUNTIF(Novembre[8],CléCongéSpécial)+COUNTIF(Novembre[8],CléRTT)+(COUNTIF(Novembre[8],CléDemiRtt)/2)+COUNTIF(Novembre[8],CléCongéMalade)+COUNTIF(Novembre[8],CléRécupération)+(COUNTIF(Novembre[8],CléDemiRécupération)/2)+COUNTIF(Novembre[8],CléFormation)+(COUNTIF(Novembre[8],CléEnfantMalade)+(COUNTIF(Novembre[8],CléDemiEnfantMalade)/2)))</f>
        <v>0</v>
      </c>
      <c r="K22" s="33">
        <f>COUNTIF(Novembre[9],CléCongé)+(COUNTIF(Novembre[9],CléCongéSpécial)+COUNTIF(Novembre[9],CléRTT)+(COUNTIF(Novembre[9],CléDemiRtt)/2)+COUNTIF(Novembre[9],CléCongéMalade)+COUNTIF(Novembre[9],CléRécupération)+(COUNTIF(Novembre[9],CléDemiRécupération)/2)+COUNTIF(Novembre[9],CléFormation)+(COUNTIF(Novembre[9],CléEnfantMalade)+(COUNTIF(Novembre[9],CléDemiEnfantMalade)/2)))</f>
        <v>0</v>
      </c>
      <c r="L22" s="33">
        <f>COUNTIF(Novembre[10],CléCongé)+(COUNTIF(Novembre[10],CléCongéSpécial)+COUNTIF(Novembre[10],CléRTT)+(COUNTIF(Novembre[10],CléDemiRtt)/2)+COUNTIF(Novembre[10],CléCongéMalade)+COUNTIF(Novembre[10],CléRécupération)+(COUNTIF(Novembre[10],CléDemiRécupération)/2)+COUNTIF(Novembre[10],CléFormation)+(COUNTIF(Novembre[10],CléEnfantMalade)+(COUNTIF(Novembre[10],CléDemiEnfantMalade)/2)))</f>
        <v>0</v>
      </c>
      <c r="M22" s="33">
        <f>COUNTIF(Novembre[11],CléCongé)+(COUNTIF(Novembre[11],CléCongéSpécial)+COUNTIF(Novembre[11],CléRTT)+(COUNTIF(Novembre[11],CléDemiRtt)/2)+COUNTIF(Novembre[11],CléCongéMalade)+COUNTIF(Novembre[11],CléRécupération)+(COUNTIF(Novembre[11],CléDemiRécupération)/2)+COUNTIF(Novembre[11],CléFormation)+(COUNTIF(Novembre[11],CléEnfantMalade)+(COUNTIF(Novembre[11],CléDemiEnfantMalade)/2)))</f>
        <v>0</v>
      </c>
      <c r="N22" s="33">
        <f>COUNTIF(Novembre[12],CléCongé)+(COUNTIF(Novembre[12],CléCongéSpécial)+COUNTIF(Novembre[12],CléRTT)+(COUNTIF(Novembre[12],CléDemiRtt)/2)+COUNTIF(Novembre[12],CléCongéMalade)+COUNTIF(Novembre[12],CléRécupération)+(COUNTIF(Novembre[12],CléDemiRécupération)/2)+COUNTIF(Novembre[12],CléFormation)+(COUNTIF(Novembre[12],CléEnfantMalade)+(COUNTIF(Novembre[12],CléDemiEnfantMalade)/2)))</f>
        <v>0</v>
      </c>
      <c r="O22" s="33">
        <f>COUNTIF(Novembre[13],CléCongé)+(COUNTIF(Novembre[13],CléCongéSpécial)+COUNTIF(Novembre[13],CléRTT)+(COUNTIF(Novembre[13],CléDemiRtt)/2)+COUNTIF(Novembre[13],CléCongéMalade)+COUNTIF(Novembre[13],CléRécupération)+(COUNTIF(Novembre[13],CléDemiRécupération)/2)+COUNTIF(Novembre[13],CléFormation)+(COUNTIF(Novembre[13],CléEnfantMalade)+(COUNTIF(Novembre[13],CléDemiEnfantMalade)/2)))</f>
        <v>0</v>
      </c>
      <c r="P22" s="33">
        <f>COUNTIF(Novembre[14],CléCongé)+(COUNTIF(Novembre[14],CléCongéSpécial)+COUNTIF(Novembre[14],CléRTT)+(COUNTIF(Novembre[14],CléDemiRtt)/2)+COUNTIF(Novembre[14],CléCongéMalade)+COUNTIF(Novembre[14],CléRécupération)+(COUNTIF(Novembre[14],CléDemiRécupération)/2)+COUNTIF(Novembre[14],CléFormation)+(COUNTIF(Novembre[14],CléEnfantMalade)+(COUNTIF(Novembre[14],CléDemiEnfantMalade)/2)))</f>
        <v>0</v>
      </c>
      <c r="Q22" s="33">
        <f>COUNTIF(Novembre[15],CléCongé)+(COUNTIF(Novembre[15],CléCongéSpécial)+COUNTIF(Novembre[15],CléRTT)+(COUNTIF(Novembre[15],CléDemiRtt)/2)+COUNTIF(Novembre[15],CléCongéMalade)+COUNTIF(Novembre[15],CléRécupération)+(COUNTIF(Novembre[15],CléDemiRécupération)/2)+COUNTIF(Novembre[15],CléFormation)+(COUNTIF(Novembre[15],CléEnfantMalade)+(COUNTIF(Novembre[15],CléDemiEnfantMalade)/2)))</f>
        <v>0</v>
      </c>
      <c r="R22" s="33">
        <f>COUNTIF(Novembre[16],CléCongé)+(COUNTIF(Novembre[16],CléCongéSpécial)+COUNTIF(Novembre[16],CléRTT)+(COUNTIF(Novembre[16],CléDemiRtt)/2)+COUNTIF(Novembre[16],CléCongéMalade)+COUNTIF(Novembre[16],CléRécupération)+(COUNTIF(Novembre[16],CléDemiRécupération)/2)+COUNTIF(Novembre[16],CléFormation)+(COUNTIF(Novembre[16],CléEnfantMalade)+(COUNTIF(Novembre[16],CléDemiEnfantMalade)/2)))</f>
        <v>0</v>
      </c>
      <c r="S22" s="33">
        <f>COUNTIF(Novembre[17],CléCongé)+(COUNTIF(Novembre[17],CléCongéSpécial)+COUNTIF(Novembre[17],CléRTT)+(COUNTIF(Novembre[17],CléDemiRtt)/2)+COUNTIF(Novembre[17],CléCongéMalade)+COUNTIF(Novembre[17],CléRécupération)+(COUNTIF(Novembre[17],CléDemiRécupération)/2)+COUNTIF(Novembre[17],CléFormation)+(COUNTIF(Novembre[17],CléEnfantMalade)+(COUNTIF(Novembre[17],CléDemiEnfantMalade)/2)))</f>
        <v>0</v>
      </c>
      <c r="T22" s="33">
        <f>COUNTIF(Novembre[18],CléCongé)+(COUNTIF(Novembre[18],CléCongéSpécial)+COUNTIF(Novembre[18],CléRTT)+(COUNTIF(Novembre[18],CléDemiRtt)/2)+COUNTIF(Novembre[18],CléCongéMalade)+COUNTIF(Novembre[18],CléRécupération)+(COUNTIF(Novembre[18],CléDemiRécupération)/2)+COUNTIF(Novembre[18],CléFormation)+(COUNTIF(Novembre[18],CléEnfantMalade)+(COUNTIF(Novembre[18],CléDemiEnfantMalade)/2)))</f>
        <v>0</v>
      </c>
      <c r="U22" s="33">
        <f>COUNTIF(Novembre[19],CléCongé)+(COUNTIF(Novembre[19],CléCongéSpécial)+COUNTIF(Novembre[19],CléRTT)+(COUNTIF(Novembre[19],CléDemiRtt)/2)+COUNTIF(Novembre[19],CléCongéMalade)+COUNTIF(Novembre[19],CléRécupération)+(COUNTIF(Novembre[19],CléDemiRécupération)/2)+COUNTIF(Novembre[19],CléFormation)+(COUNTIF(Novembre[19],CléEnfantMalade)+(COUNTIF(Novembre[19],CléDemiEnfantMalade)/2)))</f>
        <v>0</v>
      </c>
      <c r="V22" s="33">
        <f>COUNTIF(Novembre[20],CléCongé)+(COUNTIF(Novembre[20],CléCongéSpécial)+COUNTIF(Novembre[20],CléRTT)+(COUNTIF(Novembre[20],CléDemiRtt)/2)+COUNTIF(Novembre[20],CléCongéMalade)+COUNTIF(Novembre[20],CléRécupération)+(COUNTIF(Novembre[20],CléDemiRécupération)/2)+COUNTIF(Novembre[20],CléFormation)+(COUNTIF(Novembre[20],CléEnfantMalade)+(COUNTIF(Novembre[20],CléDemiEnfantMalade)/2)))</f>
        <v>0</v>
      </c>
      <c r="W22" s="33">
        <f>COUNTIF(Novembre[21],CléCongé)+(COUNTIF(Novembre[21],CléCongéSpécial)+COUNTIF(Novembre[21],CléRTT)+(COUNTIF(Novembre[21],CléDemiRtt)/2)+COUNTIF(Novembre[21],CléCongéMalade)+COUNTIF(Novembre[21],CléRécupération)+(COUNTIF(Novembre[21],CléDemiRécupération)/2)+COUNTIF(Novembre[21],CléFormation)+(COUNTIF(Novembre[21],CléEnfantMalade)+(COUNTIF(Novembre[21],CléDemiEnfantMalade)/2)))</f>
        <v>0</v>
      </c>
      <c r="X22" s="33">
        <f>COUNTIF(Novembre[22],CléCongé)+(COUNTIF(Novembre[22],CléCongéSpécial)+COUNTIF(Novembre[22],CléRTT)+(COUNTIF(Novembre[22],CléDemiRtt)/2)+COUNTIF(Novembre[22],CléCongéMalade)+COUNTIF(Novembre[22],CléRécupération)+(COUNTIF(Novembre[22],CléDemiRécupération)/2)+COUNTIF(Novembre[22],CléFormation)+(COUNTIF(Novembre[22],CléEnfantMalade)+(COUNTIF(Novembre[22],CléDemiEnfantMalade)/2)))</f>
        <v>0</v>
      </c>
      <c r="Y22" s="33">
        <f>COUNTIF(Novembre[23],CléCongé)+(COUNTIF(Novembre[23],CléCongéSpécial)+COUNTIF(Novembre[23],CléRTT)+(COUNTIF(Novembre[23],CléDemiRtt)/2)+COUNTIF(Novembre[23],CléCongéMalade)+COUNTIF(Novembre[23],CléRécupération)+(COUNTIF(Novembre[23],CléDemiRécupération)/2)+COUNTIF(Novembre[23],CléFormation)+(COUNTIF(Novembre[23],CléEnfantMalade)+(COUNTIF(Novembre[23],CléDemiEnfantMalade)/2)))</f>
        <v>0</v>
      </c>
      <c r="Z22" s="33">
        <f>COUNTIF(Novembre[24],CléCongé)+(COUNTIF(Novembre[24],CléCongéSpécial)+COUNTIF(Novembre[24],CléRTT)+(COUNTIF(Novembre[24],CléDemiRtt)/2)+COUNTIF(Novembre[24],CléCongéMalade)+COUNTIF(Novembre[24],CléRécupération)+(COUNTIF(Novembre[24],CléDemiRécupération)/2)+COUNTIF(Novembre[24],CléFormation)+(COUNTIF(Novembre[24],CléEnfantMalade)+(COUNTIF(Novembre[24],CléDemiEnfantMalade)/2)))</f>
        <v>0</v>
      </c>
      <c r="AA22" s="33">
        <f>COUNTIF(Novembre[25],CléCongé)+(COUNTIF(Novembre[25],CléCongéSpécial)+COUNTIF(Novembre[25],CléRTT)+(COUNTIF(Novembre[25],CléDemiRtt)/2)+COUNTIF(Novembre[25],CléCongéMalade)+COUNTIF(Novembre[25],CléRécupération)+(COUNTIF(Novembre[25],CléDemiRécupération)/2)+COUNTIF(Novembre[25],CléFormation)+(COUNTIF(Novembre[25],CléEnfantMalade)+(COUNTIF(Novembre[25],CléDemiEnfantMalade)/2)))</f>
        <v>0</v>
      </c>
      <c r="AB22" s="33">
        <f>COUNTIF(Novembre[26],CléCongé)+(COUNTIF(Novembre[26],CléCongéSpécial)+COUNTIF(Novembre[26],CléRTT)+(COUNTIF(Novembre[26],CléDemiRtt)/2)+COUNTIF(Novembre[26],CléCongéMalade)+COUNTIF(Novembre[26],CléRécupération)+(COUNTIF(Novembre[26],CléDemiRécupération)/2)+COUNTIF(Novembre[26],CléFormation)+(COUNTIF(Novembre[26],CléEnfantMalade)+(COUNTIF(Novembre[26],CléDemiEnfantMalade)/2)))</f>
        <v>0</v>
      </c>
      <c r="AC22" s="33">
        <f>COUNTIF(Novembre[27],CléCongé)+(COUNTIF(Novembre[27],CléCongéSpécial)+COUNTIF(Novembre[27],CléRTT)+(COUNTIF(Novembre[27],CléDemiRtt)/2)+COUNTIF(Novembre[27],CléCongéMalade)+COUNTIF(Novembre[27],CléRécupération)+(COUNTIF(Novembre[27],CléDemiRécupération)/2)+COUNTIF(Novembre[27],CléFormation)+(COUNTIF(Novembre[27],CléEnfantMalade)+(COUNTIF(Novembre[27],CléDemiEnfantMalade)/2)))</f>
        <v>0</v>
      </c>
      <c r="AD22" s="33">
        <f>COUNTIF(Novembre[28],CléCongé)+(COUNTIF(Novembre[28],CléCongéSpécial)+COUNTIF(Novembre[28],CléRTT)+(COUNTIF(Novembre[28],CléDemiRtt)/2)+COUNTIF(Novembre[28],CléCongéMalade)+COUNTIF(Novembre[28],CléRécupération)+(COUNTIF(Novembre[28],CléDemiRécupération)/2)+COUNTIF(Novembre[28],CléFormation)+(COUNTIF(Novembre[28],CléEnfantMalade)+(COUNTIF(Novembre[28],CléDemiEnfantMalade)/2)))</f>
        <v>0</v>
      </c>
      <c r="AE22" s="33">
        <f>COUNTIF(Novembre[29],CléCongé)+(COUNTIF(Novembre[29],CléCongéSpécial)+COUNTIF(Novembre[29],CléRTT)+(COUNTIF(Novembre[29],CléDemiRtt)/2)+COUNTIF(Novembre[29],CléCongéMalade)+COUNTIF(Novembre[29],CléRécupération)+(COUNTIF(Novembre[29],CléDemiRécupération)/2)+COUNTIF(Novembre[29],CléFormation)+(COUNTIF(Novembre[29],CléEnfantMalade)+(COUNTIF(Novembre[29],CléDemiEnfantMalade)/2)))</f>
        <v>0</v>
      </c>
      <c r="AF22" s="33">
        <f>COUNTIF(Novembre[30],CléCongé)+(COUNTIF(Novembre[30],CléCongéSpécial)+COUNTIF(Novembre[30],CléRTT)+(COUNTIF(Novembre[30],CléDemiRtt)/2)+COUNTIF(Novembre[30],CléCongéMalade)+COUNTIF(Novembre[30],CléRécupération)+(COUNTIF(Novembre[30],CléDemiRécupération)/2)+COUNTIF(Novembre[30],CléFormation)+(COUNTIF(Novembre[30],CléEnfantMalade)+(COUNTIF(Novembre[30],CléDemiEnfantMalade)/2)))</f>
        <v>0</v>
      </c>
      <c r="AG22" s="33">
        <f>COUNTIF(Novembre[[ ]],CléCongé)+(COUNTIF(Novembre[[ ]],CléCongéSpécial)+COUNTIF(Novembre[[ ]],CléRTT)+(COUNTIF(Novembre[[ ]],CléDemiRtt)/2)+COUNTIF(Novembre[[ ]],CléCongéMalade)+COUNTIF(Novembre[[ ]],CléRécupération)+(COUNTIF(Novembre[[ ]],CléDemiRécupération)/2)+COUNTIF(Novembre[[ ]],CléFormation)+(COUNTIF(Novembre[[ ]],CléEnfantMalade)+(COUNTIF(Novembre[[ ]],CléDemiEnfantMalade)/2)))</f>
        <v>0</v>
      </c>
      <c r="AH22" s="27">
        <f>SUBTOTAL(109,Novembre[Total absence])</f>
        <v>0</v>
      </c>
      <c r="AI22" s="27">
        <f>SUBTOTAL(109,Novembre[Dont RTT])</f>
        <v>0</v>
      </c>
      <c r="AJ22" s="53">
        <f>SUBTOTAL(109,Novembre[Dont MALADIE])</f>
        <v>0</v>
      </c>
      <c r="AK22" s="64"/>
      <c r="AL22" s="63"/>
    </row>
  </sheetData>
  <mergeCells count="15">
    <mergeCell ref="C5:AG5"/>
    <mergeCell ref="G2:H2"/>
    <mergeCell ref="J2:L2"/>
    <mergeCell ref="W2:Y2"/>
    <mergeCell ref="D3:E3"/>
    <mergeCell ref="G3:H3"/>
    <mergeCell ref="J3:L3"/>
    <mergeCell ref="N3:O3"/>
    <mergeCell ref="Q3:R3"/>
    <mergeCell ref="T3:U3"/>
    <mergeCell ref="W3:Y3"/>
    <mergeCell ref="D2:E2"/>
    <mergeCell ref="Q2:U2"/>
    <mergeCell ref="AA2:AC2"/>
    <mergeCell ref="AA3:AC3"/>
  </mergeCells>
  <conditionalFormatting sqref="C6:AF6">
    <cfRule type="containsText" dxfId="91" priority="139" stopIfTrue="1" operator="containsText" text="dim">
      <formula>NOT(ISERROR(SEARCH("dim",C6)))</formula>
    </cfRule>
  </conditionalFormatting>
  <conditionalFormatting sqref="AH7">
    <cfRule type="containsText" dxfId="90" priority="138" stopIfTrue="1" operator="containsText" text="dim">
      <formula>NOT(ISERROR(SEARCH("dim",AH7)))</formula>
    </cfRule>
  </conditionalFormatting>
  <conditionalFormatting sqref="C22:AG22">
    <cfRule type="containsText" dxfId="89" priority="118" stopIfTrue="1" operator="containsText" text="dim">
      <formula>NOT(ISERROR(SEARCH("dim",C22)))</formula>
    </cfRule>
  </conditionalFormatting>
  <conditionalFormatting sqref="AL3:XFD3 A2:A3 AG2:XFD2">
    <cfRule type="containsText" dxfId="88" priority="115" stopIfTrue="1" operator="containsText" text="dim">
      <formula>NOT(ISERROR(SEARCH("dim",A2)))</formula>
    </cfRule>
  </conditionalFormatting>
  <conditionalFormatting sqref="AJ19:AJ21">
    <cfRule type="dataBar" priority="67">
      <dataBar>
        <cfvo type="num" val="0"/>
        <cfvo type="num" val="31"/>
        <color rgb="FFFF0000"/>
      </dataBar>
      <extLst>
        <ext xmlns:x14="http://schemas.microsoft.com/office/spreadsheetml/2009/9/main" uri="{B025F937-C7B1-47D3-B67F-A62EFF666E3E}">
          <x14:id>{8ED36B72-7B84-FC49-8569-F8EDF688A8BE}</x14:id>
        </ext>
      </extLst>
    </cfRule>
  </conditionalFormatting>
  <conditionalFormatting sqref="AH8:AH21">
    <cfRule type="dataBar" priority="55">
      <dataBar>
        <cfvo type="num" val="0"/>
        <cfvo type="num" val="31"/>
        <color rgb="FF00B0F0"/>
      </dataBar>
      <extLst>
        <ext xmlns:x14="http://schemas.microsoft.com/office/spreadsheetml/2009/9/main" uri="{B025F937-C7B1-47D3-B67F-A62EFF666E3E}">
          <x14:id>{6B34DDAC-AC86-BE4F-A703-C37FB5D3F71D}</x14:id>
        </ext>
      </extLst>
    </cfRule>
    <cfRule type="containsText" dxfId="87" priority="58" stopIfTrue="1" operator="containsText" text="dim">
      <formula>NOT(ISERROR(SEARCH("dim",AH8)))</formula>
    </cfRule>
  </conditionalFormatting>
  <conditionalFormatting sqref="AI8:AI21">
    <cfRule type="dataBar" priority="56">
      <dataBar>
        <cfvo type="num" val="0"/>
        <cfvo type="num" val="31"/>
        <color rgb="FF92D050"/>
      </dataBar>
      <extLst>
        <ext xmlns:x14="http://schemas.microsoft.com/office/spreadsheetml/2009/9/main" uri="{B025F937-C7B1-47D3-B67F-A62EFF666E3E}">
          <x14:id>{D9257F76-1902-F041-9D22-29AAC7B051D3}</x14:id>
        </ext>
      </extLst>
    </cfRule>
  </conditionalFormatting>
  <conditionalFormatting sqref="B3:D3 F2:G3 M3:N3 Q3 S3:T3 V2:W3 I2:J3">
    <cfRule type="containsText" dxfId="86" priority="36" stopIfTrue="1" operator="containsText" text="dim">
      <formula>NOT(ISERROR(SEARCH("dim",B2)))</formula>
    </cfRule>
  </conditionalFormatting>
  <conditionalFormatting sqref="V2:W2">
    <cfRule type="containsText" dxfId="85" priority="35" stopIfTrue="1" operator="containsText" text="dim">
      <formula>NOT(ISERROR(SEARCH("dim",V2)))</formula>
    </cfRule>
  </conditionalFormatting>
  <conditionalFormatting sqref="AA2">
    <cfRule type="containsText" dxfId="84" priority="34" stopIfTrue="1" operator="containsText" text="dim">
      <formula>NOT(ISERROR(SEARCH("dim",AA2)))</formula>
    </cfRule>
  </conditionalFormatting>
  <conditionalFormatting sqref="AA2">
    <cfRule type="containsText" dxfId="83" priority="33" stopIfTrue="1" operator="containsText" text="dim">
      <formula>NOT(ISERROR(SEARCH("dim",AA2)))</formula>
    </cfRule>
  </conditionalFormatting>
  <conditionalFormatting sqref="P3">
    <cfRule type="expression" dxfId="82" priority="19" stopIfTrue="1">
      <formula>P3=CléNonTravaillé</formula>
    </cfRule>
    <cfRule type="expression" dxfId="81" priority="20" stopIfTrue="1">
      <formula>P3=CléPrésenceExceptionnelle</formula>
    </cfRule>
    <cfRule type="expression" dxfId="80" priority="21" stopIfTrue="1">
      <formula>P3=CléCongéSpécial</formula>
    </cfRule>
    <cfRule type="expression" dxfId="79" priority="22" stopIfTrue="1">
      <formula>P3=CléDemiRécupération</formula>
    </cfRule>
    <cfRule type="expression" dxfId="78" priority="23" stopIfTrue="1">
      <formula>P3=CléDemiEnfantMalade</formula>
    </cfRule>
    <cfRule type="expression" dxfId="77" priority="24" stopIfTrue="1">
      <formula>P3=CléEnfantMalade</formula>
    </cfRule>
    <cfRule type="expression" dxfId="76" priority="25" stopIfTrue="1">
      <formula>P3=CléDemiRtt</formula>
    </cfRule>
    <cfRule type="expression" priority="26" stopIfTrue="1">
      <formula>P3=""</formula>
    </cfRule>
    <cfRule type="expression" dxfId="75" priority="27" stopIfTrue="1">
      <formula>P3=CléMaladie</formula>
    </cfRule>
    <cfRule type="expression" dxfId="74" priority="28" stopIfTrue="1">
      <formula>P3=CléCongé</formula>
    </cfRule>
    <cfRule type="expression" dxfId="73" priority="29" stopIfTrue="1">
      <formula>P3=CléRécupération</formula>
    </cfRule>
    <cfRule type="expression" dxfId="72" priority="30" stopIfTrue="1">
      <formula>P3=CléFormation</formula>
    </cfRule>
    <cfRule type="expression" dxfId="71" priority="31" stopIfTrue="1">
      <formula>P3=CléRTT</formula>
    </cfRule>
    <cfRule type="expression" dxfId="70" priority="32" stopIfTrue="1">
      <formula>P3=CléTélétravail</formula>
    </cfRule>
  </conditionalFormatting>
  <conditionalFormatting sqref="AA3">
    <cfRule type="containsText" dxfId="69" priority="18" stopIfTrue="1" operator="containsText" text="dim">
      <formula>NOT(ISERROR(SEARCH("dim",AA3)))</formula>
    </cfRule>
  </conditionalFormatting>
  <conditionalFormatting sqref="AA3">
    <cfRule type="containsText" dxfId="68" priority="17" stopIfTrue="1" operator="containsText" text="dim">
      <formula>NOT(ISERROR(SEARCH("dim",AA3)))</formula>
    </cfRule>
  </conditionalFormatting>
  <conditionalFormatting sqref="C8:AG21">
    <cfRule type="expression" dxfId="67" priority="2" stopIfTrue="1">
      <formula>C8=CléAbsenceJustifiée</formula>
    </cfRule>
    <cfRule type="expression" dxfId="66" priority="3" stopIfTrue="1">
      <formula>C8=CléNonTravaillé</formula>
    </cfRule>
    <cfRule type="expression" dxfId="65" priority="4" stopIfTrue="1">
      <formula>C8=CléPrésenceExceptionnelle</formula>
    </cfRule>
    <cfRule type="expression" dxfId="64" priority="5" stopIfTrue="1">
      <formula>C8=CléCongéSpécial</formula>
    </cfRule>
    <cfRule type="expression" dxfId="63" priority="6" stopIfTrue="1">
      <formula>C8=CléDemiRécupération</formula>
    </cfRule>
    <cfRule type="expression" dxfId="62" priority="7" stopIfTrue="1">
      <formula>C8=CléDemiEnfantMalade</formula>
    </cfRule>
    <cfRule type="expression" dxfId="61" priority="8" stopIfTrue="1">
      <formula>C8=CléEnfantMalade</formula>
    </cfRule>
    <cfRule type="expression" dxfId="60" priority="9" stopIfTrue="1">
      <formula>C8=CléDemiRtt</formula>
    </cfRule>
    <cfRule type="expression" priority="10" stopIfTrue="1">
      <formula>C8=""</formula>
    </cfRule>
    <cfRule type="expression" dxfId="59" priority="11" stopIfTrue="1">
      <formula>C8=CléCongéMalade</formula>
    </cfRule>
    <cfRule type="expression" dxfId="58" priority="12" stopIfTrue="1">
      <formula>C8=CléCongé</formula>
    </cfRule>
    <cfRule type="expression" dxfId="57" priority="13" stopIfTrue="1">
      <formula>C8=CléRécupération</formula>
    </cfRule>
    <cfRule type="expression" dxfId="56" priority="14" stopIfTrue="1">
      <formula>C8=CléFormation</formula>
    </cfRule>
    <cfRule type="expression" dxfId="55" priority="15" stopIfTrue="1">
      <formula>C8=CléRTT</formula>
    </cfRule>
    <cfRule type="expression" dxfId="54" priority="16" stopIfTrue="1">
      <formula>C8=CléTélétravail</formula>
    </cfRule>
  </conditionalFormatting>
  <conditionalFormatting sqref="AJ8:AJ18">
    <cfRule type="dataBar" priority="1">
      <dataBar>
        <cfvo type="num" val="0"/>
        <cfvo type="num" val="31"/>
        <color rgb="FFFF0000"/>
      </dataBar>
      <extLst>
        <ext xmlns:x14="http://schemas.microsoft.com/office/spreadsheetml/2009/9/main" uri="{B025F937-C7B1-47D3-B67F-A62EFF666E3E}">
          <x14:id>{6C3C9318-650D-4593-B9C3-42DB481B9191}</x14:id>
        </ext>
      </extLst>
    </cfRule>
  </conditionalFormatting>
  <dataValidations count="17">
    <dataValidation allowBlank="1" showInputMessage="1" showErrorMessage="1" prompt="Les jours de la semaine dans cette ligne sont mis à jour automatiquement pour le mois en fonction de l’année dans AH4. Chaque jour du mois est une colonne dans laquelle noter l’absence et le motif d’absence d’un employé" sqref="C6" xr:uid="{DA9A24C1-932A-774C-931E-9F32DCF4A6B7}"/>
    <dataValidation allowBlank="1" showInputMessage="1" showErrorMessage="1" prompt="Année mise à jour automatiquement en fonction de l’année entrée dans la feuille de calcul Janvier" sqref="AH5" xr:uid="{4D8139DF-459D-564E-90FA-5577DBE19EA8}"/>
    <dataValidation allowBlank="1" showInputMessage="1" showErrorMessage="1" prompt="Calcule automatiquement le nombre total de jours d’absence d’un employé durant ce mois dans cette colonne" sqref="AH7" xr:uid="{3E2E0AD7-8E79-A84E-BFAC-A5968DC0615B}"/>
    <dataValidation allowBlank="1" showInputMessage="1" showErrorMessage="1" prompt="Suivez les absences du mois de novembre dans cette feuille de calcul" sqref="A1" xr:uid="{4746E981-AB18-4C4B-B4F1-FBC2C5CE2B99}"/>
    <dataValidation errorStyle="warning" allowBlank="1" showInputMessage="1" showErrorMessage="1" error="Sélectionnez un nom dans la liste. Sélectionnez ANNULER, appuyez sur ALT+FLÈCHE BAS, puis sur ENTRÉE pour sélectionner un nom" prompt="Entrez les noms des employés dans la feuille de calcul du Noms des employés, puis sélectionnez l’un des noms de la liste figurant dans cette colonne. Appuyez sur ALT+FLÈCHE BAS, puis sur ENTRÉE pour sélectionner un nom" sqref="B7" xr:uid="{0285C09D-BFA3-0546-81A4-294DD4A98A42}"/>
    <dataValidation allowBlank="1" showInputMessage="1" showErrorMessage="1" prompt="Nom du mois pour ce calendrier des absences dans cette cellule. Le total des absences pour ce mois figure dans la dernière cellule du tableau. Sélectionnez les noms des employés dans la colonne B du tableau" sqref="B5" xr:uid="{F838F61A-2101-444A-B1C6-E1658EA15ED4}"/>
    <dataValidation allowBlank="1" showInputMessage="1" showErrorMessage="1" prompt="Les jours du mois dans cette ligne sont générés automatiquement. Entrez l’absence et le motif d’absence d’un employé dans chaque colonne pour chaque jour du mois. Un champ vide indique qu’il n’y a pas eu d’absence" sqref="C7" xr:uid="{2EB061F5-B90B-554B-AF34-64B8312CB666}"/>
    <dataValidation allowBlank="1" showInputMessage="1" showErrorMessage="1" prompt="Le Calendrier des absences des employés suit les absences exprimées en jours pour chaque mois. Il existe 13 feuilles de calcul, 12 mensuelles et la dernière pour les noms des employés. Suivez les absences du mois de janvier dans cette feuille de calcul" sqref="A2" xr:uid="{AB1C0DA7-F9A4-104D-B0E7-784244855CD2}"/>
    <dataValidation allowBlank="1" showErrorMessage="1" sqref="B4:AJ4 AD1:AJ1 B2:B3 B1:Y1" xr:uid="{7E226CDC-AFFF-9141-80AF-06E3034A1E01}"/>
    <dataValidation allowBlank="1" showErrorMessage="1" prompt="Entrez une étiquette pour décrire la clé personnalisée à gauche" sqref="N3" xr:uid="{7B607717-4F67-4340-81A7-924CE691D972}"/>
    <dataValidation allowBlank="1" showErrorMessage="1" prompt="Entrez une lettre et personnalisez l’étiquette à droite pour ajouter un élément de clé" sqref="I2:I3" xr:uid="{89EEF2EC-A90B-DD40-9BA6-EF2B8E4483A4}"/>
    <dataValidation allowBlank="1" showInputMessage="1" showErrorMessage="1" prompt="Entrez une étiquette pour décrire la clé personnalisée à gauche" sqref="J2:J3" xr:uid="{D8EA5458-67F7-0846-9E38-6C982EF35A3B}"/>
    <dataValidation allowBlank="1" showInputMessage="1" showErrorMessage="1" prompt="Entrez une lettre et personnalisez l’étiquette à droite pour ajouter un élément de clé" sqref="M3" xr:uid="{5FB62F83-DF09-D94D-952B-220DCD28D738}"/>
    <dataValidation allowBlank="1" showInputMessage="1" showErrorMessage="1" prompt="La lettre « M » indique une absence pour cause de maladie" sqref="S3" xr:uid="{05666D8D-9D7C-A946-9D38-85A0C5E855F8}"/>
    <dataValidation allowBlank="1" showErrorMessage="1" prompt="La lettre « P » indique une absence pour motifs personnels" sqref="F3" xr:uid="{83095DD9-8862-CB41-A3B0-5FB2A5525106}"/>
    <dataValidation allowBlank="1" showErrorMessage="1" prompt="La lettre « C » indique une absence pour cause de congé" sqref="C3" xr:uid="{CE0C96C1-EBE6-3645-922C-76BE5D6E6C26}"/>
    <dataValidation type="list" allowBlank="1" showInputMessage="1" showErrorMessage="1" sqref="B8:B18" xr:uid="{A93C2D3D-E9E5-4536-BF86-BB6CEE072B62}">
      <formula1>Nom_Employe</formula1>
    </dataValidation>
  </dataValidations>
  <pageMargins left="0.7" right="0.7" top="0.75" bottom="0.75" header="0.3" footer="0.3"/>
  <pageSetup paperSize="9" fitToHeight="0" orientation="portrait" verticalDpi="4294967293" r:id="rId1"/>
  <tableParts count="1">
    <tablePart r:id="rId2"/>
  </tableParts>
  <extLst>
    <ext xmlns:x14="http://schemas.microsoft.com/office/spreadsheetml/2009/9/main" uri="{78C0D931-6437-407d-A8EE-F0AAD7539E65}">
      <x14:conditionalFormattings>
        <x14:conditionalFormatting xmlns:xm="http://schemas.microsoft.com/office/excel/2006/main">
          <x14:cfRule type="dataBar" id="{8ED36B72-7B84-FC49-8569-F8EDF688A8BE}">
            <x14:dataBar minLength="0" maxLength="100">
              <x14:cfvo type="num">
                <xm:f>0</xm:f>
              </x14:cfvo>
              <x14:cfvo type="num">
                <xm:f>31</xm:f>
              </x14:cfvo>
              <x14:negativeFillColor rgb="FFFF0000"/>
              <x14:axisColor rgb="FF000000"/>
            </x14:dataBar>
          </x14:cfRule>
          <xm:sqref>AJ19:AJ21</xm:sqref>
        </x14:conditionalFormatting>
        <x14:conditionalFormatting xmlns:xm="http://schemas.microsoft.com/office/excel/2006/main">
          <x14:cfRule type="dataBar" id="{6B34DDAC-AC86-BE4F-A703-C37FB5D3F71D}">
            <x14:dataBar minLength="0" maxLength="100">
              <x14:cfvo type="num">
                <xm:f>0</xm:f>
              </x14:cfvo>
              <x14:cfvo type="num">
                <xm:f>31</xm:f>
              </x14:cfvo>
              <x14:negativeFillColor rgb="FFFF0000"/>
              <x14:axisColor rgb="FF000000"/>
            </x14:dataBar>
          </x14:cfRule>
          <xm:sqref>AH8:AH21</xm:sqref>
        </x14:conditionalFormatting>
        <x14:conditionalFormatting xmlns:xm="http://schemas.microsoft.com/office/excel/2006/main">
          <x14:cfRule type="dataBar" id="{D9257F76-1902-F041-9D22-29AAC7B051D3}">
            <x14:dataBar minLength="0" maxLength="100">
              <x14:cfvo type="num">
                <xm:f>0</xm:f>
              </x14:cfvo>
              <x14:cfvo type="num">
                <xm:f>31</xm:f>
              </x14:cfvo>
              <x14:negativeFillColor rgb="FFFF0000"/>
              <x14:axisColor rgb="FF000000"/>
            </x14:dataBar>
          </x14:cfRule>
          <xm:sqref>AI8:AI21</xm:sqref>
        </x14:conditionalFormatting>
        <x14:conditionalFormatting xmlns:xm="http://schemas.microsoft.com/office/excel/2006/main">
          <x14:cfRule type="dataBar" id="{6C3C9318-650D-4593-B9C3-42DB481B9191}">
            <x14:dataBar minLength="0" maxLength="100">
              <x14:cfvo type="num">
                <xm:f>0</xm:f>
              </x14:cfvo>
              <x14:cfvo type="num">
                <xm:f>31</xm:f>
              </x14:cfvo>
              <x14:negativeFillColor rgb="FFFF0000"/>
              <x14:axisColor rgb="FF000000"/>
            </x14:dataBar>
          </x14:cfRule>
          <xm:sqref>AJ8:AJ18</xm:sqref>
        </x14:conditionalFormatting>
        <x14:conditionalFormatting xmlns:xm="http://schemas.microsoft.com/office/excel/2006/main">
          <x14:cfRule type="containsText" priority="155" stopIfTrue="1" operator="containsText" text="dim" id="{4FB806DB-D735-6041-A73D-2C265083EE09}">
            <xm:f>NOT(ISERROR(SEARCH("dim",Avril!AK18)))</xm:f>
            <x14:dxf>
              <font>
                <color theme="9"/>
              </font>
              <fill>
                <patternFill patternType="none">
                  <bgColor auto="1"/>
                </patternFill>
              </fill>
            </x14:dxf>
          </x14:cfRule>
          <xm:sqref>AK22:AK1048576</xm:sqref>
        </x14:conditionalFormatting>
        <x14:conditionalFormatting xmlns:xm="http://schemas.microsoft.com/office/excel/2006/main">
          <x14:cfRule type="containsText" priority="91" stopIfTrue="1" operator="containsText" text="dim" id="{120BC6F2-EB0A-2B46-9F7C-F068D9B3CCA1}">
            <xm:f>NOT(ISERROR(SEARCH("dim",Aout!AJ19)))</xm:f>
            <x14:dxf>
              <font>
                <color theme="0" tint="-0.24994659260841701"/>
              </font>
              <fill>
                <patternFill patternType="none">
                  <bgColor auto="1"/>
                </patternFill>
              </fill>
            </x14:dxf>
          </x14:cfRule>
          <xm:sqref>AJ22</xm:sqref>
        </x14:conditionalFormatting>
        <x14:conditionalFormatting xmlns:xm="http://schemas.microsoft.com/office/excel/2006/main">
          <x14:cfRule type="containsText" priority="555" stopIfTrue="1" operator="containsText" text="dim" id="{4FB806DB-D735-6041-A73D-2C265083EE09}">
            <xm:f>NOT(ISERROR(SEARCH("dim",Avril!AK1)))</xm:f>
            <x14:dxf>
              <font>
                <color theme="9"/>
              </font>
              <fill>
                <patternFill patternType="none">
                  <bgColor auto="1"/>
                </patternFill>
              </fill>
            </x14:dxf>
          </x14:cfRule>
          <xm:sqref>AK7 AK1 AK4</xm:sqref>
        </x14:conditionalFormatting>
        <x14:conditionalFormatting xmlns:xm="http://schemas.microsoft.com/office/excel/2006/main">
          <x14:cfRule type="containsText" priority="585" stopIfTrue="1" operator="containsText" text="dim" id="{4FB806DB-D735-6041-A73D-2C265083EE09}">
            <xm:f>NOT(ISERROR(SEARCH("dim",Avril!AK20)))</xm:f>
            <x14:dxf>
              <font>
                <color theme="9"/>
              </font>
              <fill>
                <patternFill patternType="none">
                  <bgColor auto="1"/>
                </patternFill>
              </fill>
            </x14:dxf>
          </x14:cfRule>
          <xm:sqref>AK19:AK21</xm:sqref>
        </x14:conditionalFormatting>
      </x14:conditionalFormattings>
    </ext>
    <ext xmlns:x14="http://schemas.microsoft.com/office/spreadsheetml/2009/9/main" uri="{CCE6A557-97BC-4b89-ADB6-D9C93CAAB3DF}">
      <x14:dataValidations xmlns:xm="http://schemas.microsoft.com/office/excel/2006/main" count="1">
        <x14:dataValidation type="list" allowBlank="1" showInputMessage="1" showErrorMessage="1" xr:uid="{B695F344-0EB4-1643-A9C9-776BCB116607}">
          <x14:formula1>
            <xm:f>'Noms des employés'!$B$4:$B$15</xm:f>
          </x14:formula1>
          <xm:sqref>B19:B21</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D06455-8F99-D949-9F1D-8EC8D9CA6B96}">
  <sheetPr codeName="Feuil12">
    <tabColor theme="7" tint="0.79998168889431442"/>
  </sheetPr>
  <dimension ref="A1:AL22"/>
  <sheetViews>
    <sheetView showGridLines="0" topLeftCell="A13" zoomScaleNormal="100" workbookViewId="0">
      <selection activeCell="Z10" sqref="Z10"/>
    </sheetView>
  </sheetViews>
  <sheetFormatPr baseColWidth="10" defaultColWidth="9.140625" defaultRowHeight="30" customHeight="1"/>
  <cols>
    <col min="1" max="1" width="2.7109375" style="3" customWidth="1"/>
    <col min="2" max="2" width="19.85546875" style="3" customWidth="1"/>
    <col min="3" max="33" width="4.7109375" style="3" customWidth="1"/>
    <col min="34" max="34" width="11.85546875" style="3" customWidth="1"/>
    <col min="35" max="36" width="11.85546875" customWidth="1"/>
    <col min="37" max="37" width="21" customWidth="1"/>
    <col min="38" max="38" width="41.85546875" customWidth="1"/>
  </cols>
  <sheetData>
    <row r="1" spans="1:38" ht="50.1" customHeight="1">
      <c r="B1" s="4" t="str">
        <f>Titre_Absence_Employé</f>
        <v>Calendrier des absences des employés</v>
      </c>
    </row>
    <row r="2" spans="1:38" ht="21.95" customHeight="1">
      <c r="A2" s="5"/>
      <c r="C2" s="48" t="s">
        <v>89</v>
      </c>
      <c r="D2" s="93" t="s">
        <v>90</v>
      </c>
      <c r="E2" s="93"/>
      <c r="F2" s="39" t="s">
        <v>72</v>
      </c>
      <c r="G2" s="88" t="s">
        <v>66</v>
      </c>
      <c r="H2" s="88"/>
      <c r="I2" s="38" t="s">
        <v>71</v>
      </c>
      <c r="J2" s="88" t="s">
        <v>74</v>
      </c>
      <c r="K2" s="88"/>
      <c r="L2" s="88"/>
      <c r="P2" s="47" t="s">
        <v>87</v>
      </c>
      <c r="Q2" s="95" t="s">
        <v>88</v>
      </c>
      <c r="R2" s="95"/>
      <c r="S2" s="95"/>
      <c r="T2" s="95"/>
      <c r="U2" s="95"/>
      <c r="V2" s="40" t="s">
        <v>70</v>
      </c>
      <c r="W2" s="88" t="s">
        <v>73</v>
      </c>
      <c r="X2" s="88"/>
      <c r="Y2" s="88"/>
      <c r="Z2" s="51" t="s">
        <v>96</v>
      </c>
      <c r="AA2" s="88" t="s">
        <v>97</v>
      </c>
      <c r="AB2" s="88"/>
      <c r="AC2" s="88"/>
    </row>
    <row r="3" spans="1:38" ht="18" customHeight="1">
      <c r="B3" s="9" t="s">
        <v>1</v>
      </c>
      <c r="C3" s="17" t="s">
        <v>4</v>
      </c>
      <c r="D3" s="89" t="s">
        <v>7</v>
      </c>
      <c r="E3" s="89"/>
      <c r="F3" s="18" t="s">
        <v>57</v>
      </c>
      <c r="G3" s="88" t="s">
        <v>57</v>
      </c>
      <c r="H3" s="88"/>
      <c r="I3" s="21" t="s">
        <v>55</v>
      </c>
      <c r="J3" s="88" t="s">
        <v>56</v>
      </c>
      <c r="K3" s="88"/>
      <c r="L3" s="88"/>
      <c r="M3" s="14" t="s">
        <v>58</v>
      </c>
      <c r="N3" s="88" t="s">
        <v>59</v>
      </c>
      <c r="O3" s="90"/>
      <c r="P3" s="54" t="s">
        <v>60</v>
      </c>
      <c r="Q3" s="91" t="s">
        <v>61</v>
      </c>
      <c r="R3" s="88"/>
      <c r="S3" s="20" t="s">
        <v>11</v>
      </c>
      <c r="T3" s="89" t="s">
        <v>17</v>
      </c>
      <c r="U3" s="89"/>
      <c r="V3" s="36" t="s">
        <v>69</v>
      </c>
      <c r="W3" s="88" t="s">
        <v>68</v>
      </c>
      <c r="X3" s="88"/>
      <c r="Y3" s="88"/>
      <c r="Z3" s="73" t="s">
        <v>100</v>
      </c>
      <c r="AA3" s="92" t="s">
        <v>101</v>
      </c>
      <c r="AB3" s="92"/>
      <c r="AC3" s="92"/>
    </row>
    <row r="4" spans="1:38" ht="15" customHeight="1">
      <c r="B4" s="4"/>
    </row>
    <row r="5" spans="1:38" ht="30" customHeight="1">
      <c r="B5" s="19" t="s">
        <v>53</v>
      </c>
      <c r="C5" s="87" t="s">
        <v>5</v>
      </c>
      <c r="D5" s="87"/>
      <c r="E5" s="87"/>
      <c r="F5" s="87"/>
      <c r="G5" s="87"/>
      <c r="H5" s="87"/>
      <c r="I5" s="87"/>
      <c r="J5" s="87"/>
      <c r="K5" s="87"/>
      <c r="L5" s="87"/>
      <c r="M5" s="87"/>
      <c r="N5" s="87"/>
      <c r="O5" s="87"/>
      <c r="P5" s="87"/>
      <c r="Q5" s="87"/>
      <c r="R5" s="87"/>
      <c r="S5" s="87"/>
      <c r="T5" s="87"/>
      <c r="U5" s="87"/>
      <c r="V5" s="87"/>
      <c r="W5" s="87"/>
      <c r="X5" s="87"/>
      <c r="Y5" s="87"/>
      <c r="Z5" s="87"/>
      <c r="AA5" s="87"/>
      <c r="AB5" s="87"/>
      <c r="AC5" s="87"/>
      <c r="AD5" s="87"/>
      <c r="AE5" s="87"/>
      <c r="AF5" s="87"/>
      <c r="AG5" s="87"/>
      <c r="AH5" s="23"/>
      <c r="AI5" s="23"/>
      <c r="AJ5" s="23"/>
      <c r="AK5" s="68">
        <f>AnnéeCalendrier</f>
        <v>2021</v>
      </c>
      <c r="AL5" s="23"/>
    </row>
    <row r="6" spans="1:38" ht="15" customHeight="1">
      <c r="B6" s="13"/>
      <c r="C6" s="55" t="str">
        <f>TEXT(WEEKDAY(DATE(AnnéeCalendrier,12,1),1),"jjj")</f>
        <v>mer</v>
      </c>
      <c r="D6" s="55" t="str">
        <f>TEXT(WEEKDAY(DATE(AnnéeCalendrier,12,2),1),"jjj")</f>
        <v>jeu</v>
      </c>
      <c r="E6" s="55" t="str">
        <f>TEXT(WEEKDAY(DATE(AnnéeCalendrier,12,3),1),"jjj")</f>
        <v>ven</v>
      </c>
      <c r="F6" s="55" t="str">
        <f>TEXT(WEEKDAY(DATE(AnnéeCalendrier,12,4),1),"jjj")</f>
        <v>sam</v>
      </c>
      <c r="G6" s="55" t="str">
        <f>TEXT(WEEKDAY(DATE(AnnéeCalendrier,12,5),1),"jjj")</f>
        <v>dim</v>
      </c>
      <c r="H6" s="55" t="str">
        <f>TEXT(WEEKDAY(DATE(AnnéeCalendrier,12,6),1),"jjj")</f>
        <v>lun</v>
      </c>
      <c r="I6" s="55" t="str">
        <f>TEXT(WEEKDAY(DATE(AnnéeCalendrier,12,7),1),"jjj")</f>
        <v>mar</v>
      </c>
      <c r="J6" s="55" t="str">
        <f>TEXT(WEEKDAY(DATE(AnnéeCalendrier,12,8),1),"jjj")</f>
        <v>mer</v>
      </c>
      <c r="K6" s="55" t="str">
        <f>TEXT(WEEKDAY(DATE(AnnéeCalendrier,12,9),1),"jjj")</f>
        <v>jeu</v>
      </c>
      <c r="L6" s="55" t="str">
        <f>TEXT(WEEKDAY(DATE(AnnéeCalendrier,12,10),1),"jjj")</f>
        <v>ven</v>
      </c>
      <c r="M6" s="55" t="str">
        <f>TEXT(WEEKDAY(DATE(AnnéeCalendrier,12,11),1),"jjj")</f>
        <v>sam</v>
      </c>
      <c r="N6" s="55" t="str">
        <f>TEXT(WEEKDAY(DATE(AnnéeCalendrier,12,12),1),"jjj")</f>
        <v>dim</v>
      </c>
      <c r="O6" s="55" t="str">
        <f>TEXT(WEEKDAY(DATE(AnnéeCalendrier,12,13),1),"jjj")</f>
        <v>lun</v>
      </c>
      <c r="P6" s="55" t="str">
        <f>TEXT(WEEKDAY(DATE(AnnéeCalendrier,12,14),1),"jjj")</f>
        <v>mar</v>
      </c>
      <c r="Q6" s="55" t="str">
        <f>TEXT(WEEKDAY(DATE(AnnéeCalendrier,12,15),1),"jjj")</f>
        <v>mer</v>
      </c>
      <c r="R6" s="55" t="str">
        <f>TEXT(WEEKDAY(DATE(AnnéeCalendrier,12,16),1),"jjj")</f>
        <v>jeu</v>
      </c>
      <c r="S6" s="55" t="str">
        <f>TEXT(WEEKDAY(DATE(AnnéeCalendrier,12,17),1),"jjj")</f>
        <v>ven</v>
      </c>
      <c r="T6" s="55" t="str">
        <f>TEXT(WEEKDAY(DATE(AnnéeCalendrier,12,18),1),"jjj")</f>
        <v>sam</v>
      </c>
      <c r="U6" s="55" t="str">
        <f>TEXT(WEEKDAY(DATE(AnnéeCalendrier,12,19),1),"jjj")</f>
        <v>dim</v>
      </c>
      <c r="V6" s="55" t="str">
        <f>TEXT(WEEKDAY(DATE(AnnéeCalendrier,12,20),1),"jjj")</f>
        <v>lun</v>
      </c>
      <c r="W6" s="55" t="str">
        <f>TEXT(WEEKDAY(DATE(AnnéeCalendrier,12,21),1),"jjj")</f>
        <v>mar</v>
      </c>
      <c r="X6" s="55" t="str">
        <f>TEXT(WEEKDAY(DATE(AnnéeCalendrier,12,22),1),"jjj")</f>
        <v>mer</v>
      </c>
      <c r="Y6" s="55" t="str">
        <f>TEXT(WEEKDAY(DATE(AnnéeCalendrier,12,23),1),"jjj")</f>
        <v>jeu</v>
      </c>
      <c r="Z6" s="55" t="str">
        <f>TEXT(WEEKDAY(DATE(AnnéeCalendrier,12,24),1),"jjj")</f>
        <v>ven</v>
      </c>
      <c r="AA6" s="55" t="str">
        <f>TEXT(WEEKDAY(DATE(AnnéeCalendrier,12,25),1),"jjj")</f>
        <v>sam</v>
      </c>
      <c r="AB6" s="55" t="str">
        <f>TEXT(WEEKDAY(DATE(AnnéeCalendrier,12,26),1),"jjj")</f>
        <v>dim</v>
      </c>
      <c r="AC6" s="55" t="str">
        <f>TEXT(WEEKDAY(DATE(AnnéeCalendrier,12,27),1),"jjj")</f>
        <v>lun</v>
      </c>
      <c r="AD6" s="55" t="str">
        <f>TEXT(WEEKDAY(DATE(AnnéeCalendrier,12,28),1),"jjj")</f>
        <v>mar</v>
      </c>
      <c r="AE6" s="55" t="str">
        <f>TEXT(WEEKDAY(DATE(AnnéeCalendrier,12,29),1),"jjj")</f>
        <v>mer</v>
      </c>
      <c r="AF6" s="55" t="str">
        <f>TEXT(WEEKDAY(DATE(AnnéeCalendrier,12,30),1),"jjj")</f>
        <v>jeu</v>
      </c>
      <c r="AG6" s="55" t="str">
        <f>TEXT(WEEKDAY(DATE(AnnéeCalendrier,12,31),1),"jjj")</f>
        <v>ven</v>
      </c>
      <c r="AH6" s="10"/>
      <c r="AI6" s="10"/>
      <c r="AJ6" s="10"/>
      <c r="AK6" s="10"/>
      <c r="AL6" s="10"/>
    </row>
    <row r="7" spans="1:38" ht="33.950000000000003" customHeight="1">
      <c r="B7" s="11" t="s">
        <v>3</v>
      </c>
      <c r="C7" s="12" t="s">
        <v>6</v>
      </c>
      <c r="D7" s="12" t="s">
        <v>8</v>
      </c>
      <c r="E7" s="12" t="s">
        <v>9</v>
      </c>
      <c r="F7" s="12" t="s">
        <v>10</v>
      </c>
      <c r="G7" s="12" t="s">
        <v>12</v>
      </c>
      <c r="H7" s="12" t="s">
        <v>13</v>
      </c>
      <c r="I7" s="12" t="s">
        <v>14</v>
      </c>
      <c r="J7" s="12" t="s">
        <v>15</v>
      </c>
      <c r="K7" s="12" t="s">
        <v>16</v>
      </c>
      <c r="L7" s="12" t="s">
        <v>18</v>
      </c>
      <c r="M7" s="12" t="s">
        <v>19</v>
      </c>
      <c r="N7" s="12" t="s">
        <v>20</v>
      </c>
      <c r="O7" s="12" t="s">
        <v>21</v>
      </c>
      <c r="P7" s="12" t="s">
        <v>22</v>
      </c>
      <c r="Q7" s="12" t="s">
        <v>23</v>
      </c>
      <c r="R7" s="12" t="s">
        <v>24</v>
      </c>
      <c r="S7" s="12" t="s">
        <v>25</v>
      </c>
      <c r="T7" s="12" t="s">
        <v>26</v>
      </c>
      <c r="U7" s="12" t="s">
        <v>27</v>
      </c>
      <c r="V7" s="12" t="s">
        <v>28</v>
      </c>
      <c r="W7" s="12" t="s">
        <v>29</v>
      </c>
      <c r="X7" s="12" t="s">
        <v>30</v>
      </c>
      <c r="Y7" s="12" t="s">
        <v>31</v>
      </c>
      <c r="Z7" s="12" t="s">
        <v>32</v>
      </c>
      <c r="AA7" s="49" t="s">
        <v>33</v>
      </c>
      <c r="AB7" s="12" t="s">
        <v>34</v>
      </c>
      <c r="AC7" s="12" t="s">
        <v>35</v>
      </c>
      <c r="AD7" s="12" t="s">
        <v>36</v>
      </c>
      <c r="AE7" s="12" t="s">
        <v>37</v>
      </c>
      <c r="AF7" s="12" t="s">
        <v>38</v>
      </c>
      <c r="AG7" s="12" t="s">
        <v>39</v>
      </c>
      <c r="AH7" s="24" t="s">
        <v>67</v>
      </c>
      <c r="AI7" s="25" t="s">
        <v>78</v>
      </c>
      <c r="AJ7" s="25" t="s">
        <v>98</v>
      </c>
      <c r="AK7" s="72" t="s">
        <v>80</v>
      </c>
      <c r="AL7" s="71" t="s">
        <v>99</v>
      </c>
    </row>
    <row r="8" spans="1:38" ht="30" customHeight="1">
      <c r="B8" s="8"/>
      <c r="C8" s="15"/>
      <c r="D8" s="15"/>
      <c r="E8" s="15"/>
      <c r="F8" s="15"/>
      <c r="G8" s="15"/>
      <c r="H8" s="15"/>
      <c r="I8" s="15"/>
      <c r="J8" s="15"/>
      <c r="K8" s="15"/>
      <c r="L8" s="15"/>
      <c r="M8" s="15"/>
      <c r="N8" s="15"/>
      <c r="O8" s="15"/>
      <c r="P8" s="15"/>
      <c r="Q8" s="15"/>
      <c r="R8" s="15"/>
      <c r="S8" s="15"/>
      <c r="T8" s="15"/>
      <c r="U8" s="15"/>
      <c r="V8" s="15"/>
      <c r="W8" s="15"/>
      <c r="X8" s="15"/>
      <c r="Y8" s="15"/>
      <c r="Z8" s="15"/>
      <c r="AA8" s="15"/>
      <c r="AB8" s="15"/>
      <c r="AC8" s="15"/>
      <c r="AD8" s="15"/>
      <c r="AE8" s="15"/>
      <c r="AF8" s="15"/>
      <c r="AG8" s="15"/>
      <c r="AH8" s="31">
        <f t="shared" ref="AH8:AH21" si="0">(COUNTIF(C8:AG8,CléCongé)+(COUNTIF(C8:AG8,CléEnfantMalade)+COUNTIF(C8:AG8,CléRTT)+COUNTIF(C8:AG8,CléCongéMalade)+COUNTIF(C8:AG8,CléRécupération)+COUNTIF(C8:AG8,CléFormation)+COUNTIF(C8:AG8,CléTélétravail-1)+COUNTIF(C8:AG8,CléCongéSpécial)+COUNTIF(C8:AG8,CléPrésenceExceptionnelle-1)+COUNTIF(C8:AG8,CléDemiRtt)/2)+COUNTIF(C8:AG8,CléDemiRécupération)/2)+COUNTIF(C8:AG8,CléDemiEnfantMalade)/2</f>
        <v>0</v>
      </c>
      <c r="AI8" s="31">
        <f t="shared" ref="AI8:AI21" si="1">COUNTIF(C8:AG8,CléRTT)+COUNTIF(C8:AG8,CléDemiRtt)/2</f>
        <v>0</v>
      </c>
      <c r="AJ8" s="31">
        <f t="shared" ref="AJ8:AJ21" si="2">COUNTIF(C8:AG8,$S$3)</f>
        <v>0</v>
      </c>
      <c r="AK8" s="22"/>
      <c r="AL8" s="61"/>
    </row>
    <row r="9" spans="1:38" ht="30" customHeight="1">
      <c r="B9" s="8"/>
      <c r="C9" s="15"/>
      <c r="D9" s="15"/>
      <c r="E9" s="15"/>
      <c r="F9" s="15"/>
      <c r="G9" s="15"/>
      <c r="H9" s="15"/>
      <c r="I9" s="15"/>
      <c r="J9" s="15"/>
      <c r="K9" s="15"/>
      <c r="L9" s="15"/>
      <c r="M9" s="15"/>
      <c r="N9" s="15"/>
      <c r="O9" s="15"/>
      <c r="P9" s="15"/>
      <c r="Q9" s="15"/>
      <c r="R9" s="15"/>
      <c r="S9" s="15"/>
      <c r="T9" s="15"/>
      <c r="U9" s="15"/>
      <c r="V9" s="15"/>
      <c r="W9" s="15"/>
      <c r="X9" s="15"/>
      <c r="Y9" s="15"/>
      <c r="Z9" s="15"/>
      <c r="AA9" s="15"/>
      <c r="AB9" s="15"/>
      <c r="AC9" s="15"/>
      <c r="AD9" s="15"/>
      <c r="AE9" s="15"/>
      <c r="AF9" s="15"/>
      <c r="AG9" s="15"/>
      <c r="AH9" s="31">
        <f t="shared" si="0"/>
        <v>0</v>
      </c>
      <c r="AI9" s="31">
        <f t="shared" si="1"/>
        <v>0</v>
      </c>
      <c r="AJ9" s="31">
        <f t="shared" si="2"/>
        <v>0</v>
      </c>
      <c r="AK9" s="22">
        <f>Novembre!AK9-Décembre[[#This Row],[Dont RTT]]+2</f>
        <v>27</v>
      </c>
      <c r="AL9" s="61"/>
    </row>
    <row r="10" spans="1:38" ht="30" customHeight="1">
      <c r="B10" s="8"/>
      <c r="C10" s="15"/>
      <c r="D10" s="15"/>
      <c r="E10" s="15"/>
      <c r="F10" s="15"/>
      <c r="G10" s="15"/>
      <c r="H10" s="15"/>
      <c r="I10" s="15"/>
      <c r="J10" s="15"/>
      <c r="K10" s="15"/>
      <c r="L10" s="15"/>
      <c r="M10" s="15"/>
      <c r="N10" s="15"/>
      <c r="O10" s="15"/>
      <c r="P10" s="15"/>
      <c r="Q10" s="15"/>
      <c r="R10" s="15"/>
      <c r="S10" s="15"/>
      <c r="T10" s="15"/>
      <c r="U10" s="15"/>
      <c r="V10" s="15"/>
      <c r="W10" s="15"/>
      <c r="X10" s="15"/>
      <c r="Y10" s="15"/>
      <c r="Z10" s="15"/>
      <c r="AA10" s="15"/>
      <c r="AB10" s="15"/>
      <c r="AC10" s="15"/>
      <c r="AD10" s="15"/>
      <c r="AE10" s="15"/>
      <c r="AF10" s="15"/>
      <c r="AG10" s="15"/>
      <c r="AH10" s="31">
        <f t="shared" si="0"/>
        <v>0</v>
      </c>
      <c r="AI10" s="31">
        <f t="shared" si="1"/>
        <v>0</v>
      </c>
      <c r="AJ10" s="31">
        <f t="shared" si="2"/>
        <v>0</v>
      </c>
      <c r="AK10" s="22">
        <f>Novembre!AK10-Décembre[[#This Row],[Dont RTT]]+2</f>
        <v>35</v>
      </c>
      <c r="AL10" s="61"/>
    </row>
    <row r="11" spans="1:38" ht="30" customHeight="1">
      <c r="B11" s="8"/>
      <c r="C11" s="15"/>
      <c r="D11" s="15"/>
      <c r="E11" s="15"/>
      <c r="F11" s="15"/>
      <c r="G11" s="15"/>
      <c r="H11" s="15"/>
      <c r="I11" s="15"/>
      <c r="J11" s="15"/>
      <c r="K11" s="15"/>
      <c r="L11" s="15"/>
      <c r="M11" s="15"/>
      <c r="N11" s="15"/>
      <c r="O11" s="15"/>
      <c r="P11" s="15"/>
      <c r="Q11" s="15"/>
      <c r="R11" s="15"/>
      <c r="S11" s="15"/>
      <c r="T11" s="15"/>
      <c r="U11" s="15"/>
      <c r="V11" s="15"/>
      <c r="W11" s="15"/>
      <c r="X11" s="15"/>
      <c r="Y11" s="15"/>
      <c r="Z11" s="15"/>
      <c r="AA11" s="15"/>
      <c r="AB11" s="15"/>
      <c r="AC11" s="15"/>
      <c r="AD11" s="15"/>
      <c r="AE11" s="15"/>
      <c r="AF11" s="15"/>
      <c r="AG11" s="15"/>
      <c r="AH11" s="31">
        <f t="shared" si="0"/>
        <v>0</v>
      </c>
      <c r="AI11" s="31">
        <f t="shared" si="1"/>
        <v>0</v>
      </c>
      <c r="AJ11" s="31">
        <f t="shared" si="2"/>
        <v>0</v>
      </c>
      <c r="AK11" s="22"/>
      <c r="AL11" s="61"/>
    </row>
    <row r="12" spans="1:38" ht="30" customHeight="1">
      <c r="B12" s="8"/>
      <c r="C12" s="15"/>
      <c r="D12" s="15"/>
      <c r="E12" s="15"/>
      <c r="F12" s="15"/>
      <c r="G12" s="15"/>
      <c r="H12" s="15"/>
      <c r="I12" s="15"/>
      <c r="J12" s="15"/>
      <c r="K12" s="15"/>
      <c r="L12" s="15"/>
      <c r="M12" s="15"/>
      <c r="N12" s="15"/>
      <c r="O12" s="15"/>
      <c r="P12" s="15"/>
      <c r="Q12" s="15"/>
      <c r="R12" s="15"/>
      <c r="S12" s="15"/>
      <c r="T12" s="15"/>
      <c r="U12" s="15"/>
      <c r="V12" s="15"/>
      <c r="W12" s="15"/>
      <c r="X12" s="15"/>
      <c r="Y12" s="15"/>
      <c r="Z12" s="15"/>
      <c r="AA12" s="15"/>
      <c r="AB12" s="15"/>
      <c r="AC12" s="15"/>
      <c r="AD12" s="15"/>
      <c r="AE12" s="15"/>
      <c r="AF12" s="15"/>
      <c r="AG12" s="15"/>
      <c r="AH12" s="31">
        <f t="shared" si="0"/>
        <v>0</v>
      </c>
      <c r="AI12" s="31">
        <f t="shared" si="1"/>
        <v>0</v>
      </c>
      <c r="AJ12" s="31">
        <f t="shared" si="2"/>
        <v>0</v>
      </c>
      <c r="AK12" s="22"/>
      <c r="AL12" s="61"/>
    </row>
    <row r="13" spans="1:38" ht="30" customHeight="1">
      <c r="B13" s="8"/>
      <c r="C13" s="22"/>
      <c r="D13" s="22"/>
      <c r="E13" s="22"/>
      <c r="F13" s="22"/>
      <c r="G13" s="22"/>
      <c r="H13" s="22"/>
      <c r="I13" s="22"/>
      <c r="J13" s="22"/>
      <c r="K13" s="15"/>
      <c r="L13" s="22"/>
      <c r="M13" s="22"/>
      <c r="N13" s="22"/>
      <c r="O13" s="22"/>
      <c r="P13" s="22"/>
      <c r="Q13" s="22"/>
      <c r="R13" s="15"/>
      <c r="S13" s="22"/>
      <c r="T13" s="22"/>
      <c r="U13" s="22"/>
      <c r="V13" s="22"/>
      <c r="W13" s="22"/>
      <c r="X13" s="22"/>
      <c r="Y13" s="15"/>
      <c r="Z13" s="22"/>
      <c r="AA13" s="22"/>
      <c r="AB13" s="22"/>
      <c r="AC13" s="22"/>
      <c r="AD13" s="22"/>
      <c r="AE13" s="22"/>
      <c r="AF13" s="22"/>
      <c r="AG13" s="22"/>
      <c r="AH13" s="31">
        <f t="shared" si="0"/>
        <v>0</v>
      </c>
      <c r="AI13" s="31">
        <f t="shared" si="1"/>
        <v>0</v>
      </c>
      <c r="AJ13" s="31">
        <f t="shared" si="2"/>
        <v>0</v>
      </c>
      <c r="AK13" s="22">
        <f>Novembre!AK13-Décembre[[#This Row],[Dont RTT]]+2</f>
        <v>26.93</v>
      </c>
      <c r="AL13" s="61"/>
    </row>
    <row r="14" spans="1:38" ht="30" customHeight="1">
      <c r="B14" s="8"/>
      <c r="C14" s="22"/>
      <c r="D14" s="22"/>
      <c r="E14" s="22"/>
      <c r="F14" s="22"/>
      <c r="G14" s="22"/>
      <c r="H14" s="22"/>
      <c r="I14" s="22"/>
      <c r="J14" s="22"/>
      <c r="K14" s="15"/>
      <c r="L14" s="22"/>
      <c r="M14" s="22"/>
      <c r="N14" s="22"/>
      <c r="O14" s="22"/>
      <c r="P14" s="22"/>
      <c r="Q14" s="22"/>
      <c r="R14" s="15"/>
      <c r="S14" s="22"/>
      <c r="T14" s="22"/>
      <c r="U14" s="22"/>
      <c r="V14" s="22"/>
      <c r="W14" s="22"/>
      <c r="X14" s="22"/>
      <c r="Y14" s="15"/>
      <c r="Z14" s="22"/>
      <c r="AA14" s="22"/>
      <c r="AB14" s="22"/>
      <c r="AC14" s="22"/>
      <c r="AD14" s="22"/>
      <c r="AE14" s="22"/>
      <c r="AF14" s="22"/>
      <c r="AG14" s="22"/>
      <c r="AH14" s="31">
        <f t="shared" si="0"/>
        <v>0</v>
      </c>
      <c r="AI14" s="31">
        <f t="shared" si="1"/>
        <v>0</v>
      </c>
      <c r="AJ14" s="31">
        <f t="shared" si="2"/>
        <v>0</v>
      </c>
      <c r="AK14" s="22">
        <f>Novembre!AK14-Décembre[[#This Row],[Dont RTT]]+2</f>
        <v>26.5</v>
      </c>
      <c r="AL14" s="61"/>
    </row>
    <row r="15" spans="1:38" ht="30" customHeight="1">
      <c r="B15" s="8"/>
      <c r="C15" s="22"/>
      <c r="D15" s="22"/>
      <c r="E15" s="22"/>
      <c r="F15" s="22"/>
      <c r="G15" s="22"/>
      <c r="H15" s="22"/>
      <c r="I15" s="22"/>
      <c r="J15" s="22"/>
      <c r="K15" s="22"/>
      <c r="L15" s="22"/>
      <c r="M15" s="15"/>
      <c r="N15" s="22"/>
      <c r="O15" s="22"/>
      <c r="P15" s="22"/>
      <c r="Q15" s="22"/>
      <c r="R15" s="22"/>
      <c r="S15" s="22"/>
      <c r="T15" s="15"/>
      <c r="U15" s="22"/>
      <c r="V15" s="22"/>
      <c r="W15" s="22"/>
      <c r="X15" s="22"/>
      <c r="Y15" s="22"/>
      <c r="Z15" s="22"/>
      <c r="AA15" s="15"/>
      <c r="AB15" s="22"/>
      <c r="AC15" s="22"/>
      <c r="AD15" s="22"/>
      <c r="AE15" s="22"/>
      <c r="AF15" s="22"/>
      <c r="AG15" s="22"/>
      <c r="AH15" s="31">
        <f t="shared" si="0"/>
        <v>0</v>
      </c>
      <c r="AI15" s="31">
        <f t="shared" si="1"/>
        <v>0</v>
      </c>
      <c r="AJ15" s="31">
        <f t="shared" si="2"/>
        <v>0</v>
      </c>
      <c r="AK15" s="22">
        <f>Novembre!AK15-Décembre[[#This Row],[Dont RTT]]+2</f>
        <v>29.5</v>
      </c>
      <c r="AL15" s="61"/>
    </row>
    <row r="16" spans="1:38" ht="30" customHeight="1">
      <c r="B16" s="8"/>
      <c r="C16" s="22"/>
      <c r="D16" s="22"/>
      <c r="E16" s="22"/>
      <c r="F16" s="22"/>
      <c r="G16" s="22"/>
      <c r="H16" s="22"/>
      <c r="I16" s="22"/>
      <c r="J16" s="22"/>
      <c r="K16" s="15"/>
      <c r="L16" s="22"/>
      <c r="M16" s="22"/>
      <c r="N16" s="22"/>
      <c r="O16" s="22"/>
      <c r="P16" s="22"/>
      <c r="Q16" s="22"/>
      <c r="R16" s="15"/>
      <c r="S16" s="22"/>
      <c r="T16" s="22"/>
      <c r="U16" s="22"/>
      <c r="V16" s="22"/>
      <c r="W16" s="22"/>
      <c r="X16" s="22"/>
      <c r="Y16" s="15"/>
      <c r="Z16" s="22"/>
      <c r="AA16" s="22"/>
      <c r="AB16" s="22"/>
      <c r="AC16" s="22"/>
      <c r="AD16" s="22"/>
      <c r="AE16" s="22"/>
      <c r="AF16" s="22"/>
      <c r="AG16" s="22"/>
      <c r="AH16" s="31">
        <f t="shared" si="0"/>
        <v>0</v>
      </c>
      <c r="AI16" s="31">
        <f t="shared" si="1"/>
        <v>0</v>
      </c>
      <c r="AJ16" s="31">
        <f t="shared" si="2"/>
        <v>0</v>
      </c>
      <c r="AK16" s="22">
        <f>Novembre!AK16-Décembre[[#This Row],[Dont RTT]]+2</f>
        <v>26.16</v>
      </c>
      <c r="AL16" s="61"/>
    </row>
    <row r="17" spans="2:38" ht="30" customHeight="1">
      <c r="B17" s="8"/>
      <c r="C17" s="22"/>
      <c r="D17" s="22"/>
      <c r="E17" s="22"/>
      <c r="F17" s="22"/>
      <c r="G17" s="22"/>
      <c r="H17" s="22"/>
      <c r="I17" s="22"/>
      <c r="J17" s="22"/>
      <c r="K17" s="22"/>
      <c r="L17" s="22"/>
      <c r="M17" s="15"/>
      <c r="N17" s="22"/>
      <c r="O17" s="22"/>
      <c r="P17" s="22"/>
      <c r="Q17" s="22"/>
      <c r="R17" s="22"/>
      <c r="S17" s="22"/>
      <c r="T17" s="15"/>
      <c r="U17" s="22"/>
      <c r="V17" s="22"/>
      <c r="W17" s="22"/>
      <c r="X17" s="22"/>
      <c r="Y17" s="22"/>
      <c r="Z17" s="22"/>
      <c r="AA17" s="15"/>
      <c r="AB17" s="22"/>
      <c r="AC17" s="22"/>
      <c r="AD17" s="22"/>
      <c r="AE17" s="22"/>
      <c r="AF17" s="22"/>
      <c r="AG17" s="22"/>
      <c r="AH17" s="31">
        <f t="shared" si="0"/>
        <v>0</v>
      </c>
      <c r="AI17" s="31">
        <f t="shared" si="1"/>
        <v>0</v>
      </c>
      <c r="AJ17" s="31">
        <f t="shared" si="2"/>
        <v>0</v>
      </c>
      <c r="AK17" s="22">
        <f>Novembre!AK17-Décembre[[#This Row],[Dont RTT]]+2</f>
        <v>35</v>
      </c>
      <c r="AL17" s="61"/>
    </row>
    <row r="18" spans="2:38" ht="30" customHeight="1">
      <c r="B18" s="8"/>
      <c r="C18" s="22"/>
      <c r="D18" s="22"/>
      <c r="E18" s="22"/>
      <c r="F18" s="22"/>
      <c r="G18" s="22"/>
      <c r="H18" s="22"/>
      <c r="I18" s="22"/>
      <c r="J18" s="22"/>
      <c r="K18" s="15"/>
      <c r="L18" s="22"/>
      <c r="M18" s="22"/>
      <c r="N18" s="22"/>
      <c r="O18" s="22"/>
      <c r="P18" s="22"/>
      <c r="Q18" s="22"/>
      <c r="R18" s="15"/>
      <c r="S18" s="22"/>
      <c r="T18" s="22"/>
      <c r="U18" s="22"/>
      <c r="V18" s="22"/>
      <c r="W18" s="22"/>
      <c r="X18" s="22"/>
      <c r="Y18" s="15"/>
      <c r="Z18" s="22"/>
      <c r="AA18" s="22"/>
      <c r="AB18" s="22"/>
      <c r="AC18" s="22"/>
      <c r="AD18" s="22"/>
      <c r="AE18" s="22"/>
      <c r="AF18" s="22"/>
      <c r="AG18" s="22"/>
      <c r="AH18" s="31">
        <f t="shared" si="0"/>
        <v>0</v>
      </c>
      <c r="AI18" s="31">
        <f t="shared" si="1"/>
        <v>0</v>
      </c>
      <c r="AJ18" s="31">
        <f t="shared" si="2"/>
        <v>0</v>
      </c>
      <c r="AK18" s="22">
        <f>Novembre!AK18-Décembre[[#This Row],[Dont RTT]]+2</f>
        <v>26.5</v>
      </c>
      <c r="AL18" s="61"/>
    </row>
    <row r="19" spans="2:38" ht="30" customHeight="1">
      <c r="B19" s="59"/>
      <c r="C19" s="15"/>
      <c r="D19" s="15"/>
      <c r="E19" s="15"/>
      <c r="F19" s="15"/>
      <c r="G19" s="15"/>
      <c r="H19" s="15"/>
      <c r="I19" s="15"/>
      <c r="J19" s="15"/>
      <c r="K19" s="15"/>
      <c r="L19" s="15"/>
      <c r="M19" s="15"/>
      <c r="N19" s="15"/>
      <c r="O19" s="15"/>
      <c r="P19" s="15"/>
      <c r="Q19" s="15"/>
      <c r="R19" s="15"/>
      <c r="S19" s="15"/>
      <c r="T19" s="15"/>
      <c r="U19" s="15"/>
      <c r="V19" s="15"/>
      <c r="W19" s="15"/>
      <c r="X19" s="15"/>
      <c r="Y19" s="15"/>
      <c r="Z19" s="15"/>
      <c r="AA19" s="15"/>
      <c r="AB19" s="15"/>
      <c r="AC19" s="15"/>
      <c r="AD19" s="15"/>
      <c r="AE19" s="15"/>
      <c r="AF19" s="15"/>
      <c r="AG19" s="15"/>
      <c r="AH19" s="61">
        <f t="shared" si="0"/>
        <v>0</v>
      </c>
      <c r="AI19" s="61">
        <f t="shared" si="1"/>
        <v>0</v>
      </c>
      <c r="AJ19" s="31">
        <f t="shared" si="2"/>
        <v>0</v>
      </c>
      <c r="AK19" s="60"/>
      <c r="AL19" s="61"/>
    </row>
    <row r="20" spans="2:38" ht="30" customHeight="1">
      <c r="B20" s="59"/>
      <c r="C20" s="15"/>
      <c r="D20" s="15"/>
      <c r="E20" s="15"/>
      <c r="F20" s="15"/>
      <c r="G20" s="15"/>
      <c r="H20" s="15"/>
      <c r="I20" s="15"/>
      <c r="J20" s="15"/>
      <c r="K20" s="15"/>
      <c r="L20" s="15"/>
      <c r="M20" s="15"/>
      <c r="N20" s="15"/>
      <c r="O20" s="15"/>
      <c r="P20" s="15"/>
      <c r="Q20" s="15"/>
      <c r="R20" s="15"/>
      <c r="S20" s="15"/>
      <c r="T20" s="15"/>
      <c r="U20" s="15"/>
      <c r="V20" s="15"/>
      <c r="W20" s="15"/>
      <c r="X20" s="15"/>
      <c r="Y20" s="15"/>
      <c r="Z20" s="15"/>
      <c r="AA20" s="15"/>
      <c r="AB20" s="15"/>
      <c r="AC20" s="15"/>
      <c r="AD20" s="15"/>
      <c r="AE20" s="15"/>
      <c r="AF20" s="15"/>
      <c r="AG20" s="15"/>
      <c r="AH20" s="61">
        <f t="shared" si="0"/>
        <v>0</v>
      </c>
      <c r="AI20" s="61">
        <f t="shared" si="1"/>
        <v>0</v>
      </c>
      <c r="AJ20" s="31">
        <f t="shared" si="2"/>
        <v>0</v>
      </c>
      <c r="AK20" s="60"/>
      <c r="AL20" s="61"/>
    </row>
    <row r="21" spans="2:38" ht="30" customHeight="1">
      <c r="B21" s="59"/>
      <c r="C21" s="15"/>
      <c r="D21" s="15"/>
      <c r="E21" s="15"/>
      <c r="F21" s="15"/>
      <c r="G21" s="15"/>
      <c r="H21" s="15"/>
      <c r="I21" s="15"/>
      <c r="J21" s="15"/>
      <c r="K21" s="15"/>
      <c r="L21" s="15"/>
      <c r="M21" s="15"/>
      <c r="N21" s="15"/>
      <c r="O21" s="15"/>
      <c r="P21" s="15"/>
      <c r="Q21" s="15"/>
      <c r="R21" s="15"/>
      <c r="S21" s="15"/>
      <c r="T21" s="15"/>
      <c r="U21" s="15"/>
      <c r="V21" s="15"/>
      <c r="W21" s="15"/>
      <c r="X21" s="15"/>
      <c r="Y21" s="15"/>
      <c r="Z21" s="15"/>
      <c r="AA21" s="15"/>
      <c r="AB21" s="15"/>
      <c r="AC21" s="15"/>
      <c r="AD21" s="15"/>
      <c r="AE21" s="15"/>
      <c r="AF21" s="15"/>
      <c r="AG21" s="15"/>
      <c r="AH21" s="61">
        <f t="shared" si="0"/>
        <v>0</v>
      </c>
      <c r="AI21" s="61">
        <f t="shared" si="1"/>
        <v>0</v>
      </c>
      <c r="AJ21" s="31">
        <f t="shared" si="2"/>
        <v>0</v>
      </c>
      <c r="AK21" s="60"/>
      <c r="AL21" s="61"/>
    </row>
    <row r="22" spans="2:38" ht="30" customHeight="1">
      <c r="B22" s="28" t="str">
        <f>NomMois&amp;" Total"</f>
        <v>Décembre Total</v>
      </c>
      <c r="C22" s="33">
        <f>COUNTIF(Décembre[1],CléCongé)+(COUNTIF(Décembre[1],CléCongéSpécial)+COUNTIF(Décembre[1],CléRTT)+(COUNTIF(Décembre[1],CléDemiRtt)/2)+COUNTIF(Décembre[1],CléCongéMalade)+COUNTIF(Décembre[1],CléRécupération)+(COUNTIF(Décembre[1],CléDemiRécupération)/2)+COUNTIF(Décembre[1],CléFormation)+(COUNTIF(Décembre[1],CléEnfantMalade)+(COUNTIF(Décembre[1],CléDemiEnfantMalade)/2)))</f>
        <v>0</v>
      </c>
      <c r="D22" s="33">
        <f>COUNTIF(Décembre[2],CléCongé)+(COUNTIF(Décembre[2],CléCongéSpécial)+COUNTIF(Décembre[2],CléRTT)+(COUNTIF(Décembre[2],CléDemiRtt)/2)+COUNTIF(Décembre[2],CléCongéMalade)+COUNTIF(Décembre[2],CléRécupération)+(COUNTIF(Décembre[2],CléDemiRécupération)/2)+COUNTIF(Décembre[2],CléFormation)+(COUNTIF(Décembre[2],CléEnfantMalade)+(COUNTIF(Décembre[2],CléDemiEnfantMalade)/2)))</f>
        <v>0</v>
      </c>
      <c r="E22" s="33">
        <f>COUNTIF(Décembre[3],CléCongé)+(COUNTIF(Décembre[3],CléCongéSpécial)+COUNTIF(Décembre[3],CléRTT)+(COUNTIF(Décembre[3],CléDemiRtt)/2)+COUNTIF(Décembre[3],CléCongéMalade)+COUNTIF(Décembre[3],CléRécupération)+(COUNTIF(Décembre[3],CléDemiRécupération)/2)+COUNTIF(Décembre[3],CléFormation)+(COUNTIF(Décembre[3],CléEnfantMalade)+(COUNTIF(Décembre[3],CléDemiEnfantMalade)/2)))</f>
        <v>0</v>
      </c>
      <c r="F22" s="33">
        <f>COUNTIF(Décembre[4],CléCongé)+(COUNTIF(Décembre[4],CléCongéSpécial)+COUNTIF(Décembre[4],CléRTT)+(COUNTIF(Décembre[4],CléDemiRtt)/2)+COUNTIF(Décembre[4],CléCongéMalade)+COUNTIF(Décembre[4],CléRécupération)+(COUNTIF(Décembre[4],CléDemiRécupération)/2)+COUNTIF(Décembre[4],CléFormation)+(COUNTIF(Décembre[4],CléEnfantMalade)+(COUNTIF(Décembre[4],CléDemiEnfantMalade)/2)))</f>
        <v>0</v>
      </c>
      <c r="G22" s="33">
        <f>COUNTIF(Décembre[5],CléCongé)+(COUNTIF(Décembre[5],CléCongéSpécial)+COUNTIF(Décembre[5],CléRTT)+(COUNTIF(Décembre[5],CléDemiRtt)/2)+COUNTIF(Décembre[5],CléCongéMalade)+COUNTIF(Décembre[5],CléRécupération)+(COUNTIF(Décembre[5],CléDemiRécupération)/2)+COUNTIF(Décembre[5],CléFormation)+(COUNTIF(Décembre[5],CléEnfantMalade)+(COUNTIF(Décembre[5],CléDemiEnfantMalade)/2)))</f>
        <v>0</v>
      </c>
      <c r="H22" s="33">
        <f>COUNTIF(Décembre[6],CléCongé)+(COUNTIF(Décembre[6],CléCongéSpécial)+COUNTIF(Décembre[6],CléRTT)+(COUNTIF(Décembre[6],CléDemiRtt)/2)+COUNTIF(Décembre[6],CléCongéMalade)+COUNTIF(Décembre[6],CléRécupération)+(COUNTIF(Décembre[6],CléDemiRécupération)/2)+COUNTIF(Décembre[6],CléFormation)+(COUNTIF(Décembre[6],CléEnfantMalade)+(COUNTIF(Décembre[6],CléDemiEnfantMalade)/2)))</f>
        <v>0</v>
      </c>
      <c r="I22" s="33">
        <f>COUNTIF(Décembre[7],CléCongé)+(COUNTIF(Décembre[7],CléCongéSpécial)+COUNTIF(Décembre[7],CléRTT)+(COUNTIF(Décembre[7],CléDemiRtt)/2)+COUNTIF(Décembre[7],CléCongéMalade)+COUNTIF(Décembre[7],CléRécupération)+(COUNTIF(Décembre[7],CléDemiRécupération)/2)+COUNTIF(Décembre[7],CléFormation)+(COUNTIF(Décembre[7],CléEnfantMalade)+(COUNTIF(Décembre[7],CléDemiEnfantMalade)/2)))</f>
        <v>0</v>
      </c>
      <c r="J22" s="33">
        <f>COUNTIF(Décembre[8],CléCongé)+(COUNTIF(Décembre[8],CléCongéSpécial)+COUNTIF(Décembre[8],CléRTT)+(COUNTIF(Décembre[8],CléDemiRtt)/2)+COUNTIF(Décembre[8],CléCongéMalade)+COUNTIF(Décembre[8],CléRécupération)+(COUNTIF(Décembre[8],CléDemiRécupération)/2)+COUNTIF(Décembre[8],CléFormation)+(COUNTIF(Décembre[8],CléEnfantMalade)+(COUNTIF(Décembre[8],CléDemiEnfantMalade)/2)))</f>
        <v>0</v>
      </c>
      <c r="K22" s="33">
        <f>COUNTIF(Décembre[9],CléCongé)+(COUNTIF(Décembre[9],CléCongéSpécial)+COUNTIF(Décembre[9],CléRTT)+(COUNTIF(Décembre[9],CléDemiRtt)/2)+COUNTIF(Décembre[9],CléCongéMalade)+COUNTIF(Décembre[9],CléRécupération)+(COUNTIF(Décembre[9],CléDemiRécupération)/2)+COUNTIF(Décembre[9],CléFormation)+(COUNTIF(Décembre[9],CléEnfantMalade)+(COUNTIF(Décembre[9],CléDemiEnfantMalade)/2)))</f>
        <v>0</v>
      </c>
      <c r="L22" s="33">
        <f>COUNTIF(Décembre[10],CléCongé)+(COUNTIF(Décembre[10],CléCongéSpécial)+COUNTIF(Décembre[10],CléRTT)+(COUNTIF(Décembre[10],CléDemiRtt)/2)+COUNTIF(Décembre[10],CléCongéMalade)+COUNTIF(Décembre[10],CléRécupération)+(COUNTIF(Décembre[10],CléDemiRécupération)/2)+COUNTIF(Décembre[10],CléFormation)+(COUNTIF(Décembre[10],CléEnfantMalade)+(COUNTIF(Décembre[10],CléDemiEnfantMalade)/2)))</f>
        <v>0</v>
      </c>
      <c r="M22" s="33">
        <f>COUNTIF(Décembre[11],CléCongé)+(COUNTIF(Décembre[11],CléCongéSpécial)+COUNTIF(Décembre[11],CléRTT)+(COUNTIF(Décembre[11],CléDemiRtt)/2)+COUNTIF(Décembre[11],CléCongéMalade)+COUNTIF(Décembre[11],CléRécupération)+(COUNTIF(Décembre[11],CléDemiRécupération)/2)+COUNTIF(Décembre[11],CléFormation)+(COUNTIF(Décembre[11],CléEnfantMalade)+(COUNTIF(Décembre[11],CléDemiEnfantMalade)/2)))</f>
        <v>0</v>
      </c>
      <c r="N22" s="33">
        <f>COUNTIF(Décembre[12],CléCongé)+(COUNTIF(Décembre[12],CléCongéSpécial)+COUNTIF(Décembre[12],CléRTT)+(COUNTIF(Décembre[12],CléDemiRtt)/2)+COUNTIF(Décembre[12],CléCongéMalade)+COUNTIF(Décembre[12],CléRécupération)+(COUNTIF(Décembre[12],CléDemiRécupération)/2)+COUNTIF(Décembre[12],CléFormation)+(COUNTIF(Décembre[12],CléEnfantMalade)+(COUNTIF(Décembre[12],CléDemiEnfantMalade)/2)))</f>
        <v>0</v>
      </c>
      <c r="O22" s="33">
        <f>COUNTIF(Décembre[13],CléCongé)+(COUNTIF(Décembre[13],CléCongéSpécial)+COUNTIF(Décembre[13],CléRTT)+(COUNTIF(Décembre[13],CléDemiRtt)/2)+COUNTIF(Décembre[13],CléCongéMalade)+COUNTIF(Décembre[13],CléRécupération)+(COUNTIF(Décembre[13],CléDemiRécupération)/2)+COUNTIF(Décembre[13],CléFormation)+(COUNTIF(Décembre[13],CléEnfantMalade)+(COUNTIF(Décembre[13],CléDemiEnfantMalade)/2)))</f>
        <v>0</v>
      </c>
      <c r="P22" s="33">
        <f>COUNTIF(Décembre[14],CléCongé)+(COUNTIF(Décembre[14],CléCongéSpécial)+COUNTIF(Décembre[14],CléRTT)+(COUNTIF(Décembre[14],CléDemiRtt)/2)+COUNTIF(Décembre[14],CléCongéMalade)+COUNTIF(Décembre[14],CléRécupération)+(COUNTIF(Décembre[14],CléDemiRécupération)/2)+COUNTIF(Décembre[14],CléFormation)+(COUNTIF(Décembre[14],CléEnfantMalade)+(COUNTIF(Décembre[14],CléDemiEnfantMalade)/2)))</f>
        <v>0</v>
      </c>
      <c r="Q22" s="33">
        <f>COUNTIF(Décembre[15],CléCongé)+(COUNTIF(Décembre[15],CléCongéSpécial)+COUNTIF(Décembre[15],CléRTT)+(COUNTIF(Décembre[15],CléDemiRtt)/2)+COUNTIF(Décembre[15],CléCongéMalade)+COUNTIF(Décembre[15],CléRécupération)+(COUNTIF(Décembre[15],CléDemiRécupération)/2)+COUNTIF(Décembre[15],CléFormation)+(COUNTIF(Décembre[15],CléEnfantMalade)+(COUNTIF(Décembre[15],CléDemiEnfantMalade)/2)))</f>
        <v>0</v>
      </c>
      <c r="R22" s="33">
        <f>COUNTIF(Décembre[16],CléCongé)+(COUNTIF(Décembre[16],CléCongéSpécial)+COUNTIF(Décembre[16],CléRTT)+(COUNTIF(Décembre[16],CléDemiRtt)/2)+COUNTIF(Décembre[16],CléCongéMalade)+COUNTIF(Décembre[16],CléRécupération)+(COUNTIF(Décembre[16],CléDemiRécupération)/2)+COUNTIF(Décembre[16],CléFormation)+(COUNTIF(Décembre[16],CléEnfantMalade)+(COUNTIF(Décembre[16],CléDemiEnfantMalade)/2)))</f>
        <v>0</v>
      </c>
      <c r="S22" s="33">
        <f>COUNTIF(Décembre[17],CléCongé)+(COUNTIF(Décembre[17],CléCongéSpécial)+COUNTIF(Décembre[17],CléRTT)+(COUNTIF(Décembre[17],CléDemiRtt)/2)+COUNTIF(Décembre[17],CléCongéMalade)+COUNTIF(Décembre[17],CléRécupération)+(COUNTIF(Décembre[17],CléDemiRécupération)/2)+COUNTIF(Décembre[17],CléFormation)+(COUNTIF(Décembre[17],CléEnfantMalade)+(COUNTIF(Décembre[17],CléDemiEnfantMalade)/2)))</f>
        <v>0</v>
      </c>
      <c r="T22" s="33">
        <f>COUNTIF(Décembre[18],CléCongé)+(COUNTIF(Décembre[18],CléCongéSpécial)+COUNTIF(Décembre[18],CléRTT)+(COUNTIF(Décembre[18],CléDemiRtt)/2)+COUNTIF(Décembre[18],CléCongéMalade)+COUNTIF(Décembre[18],CléRécupération)+(COUNTIF(Décembre[18],CléDemiRécupération)/2)+COUNTIF(Décembre[18],CléFormation)+(COUNTIF(Décembre[18],CléEnfantMalade)+(COUNTIF(Décembre[18],CléDemiEnfantMalade)/2)))</f>
        <v>0</v>
      </c>
      <c r="U22" s="33">
        <f>COUNTIF(Décembre[19],CléCongé)+(COUNTIF(Décembre[19],CléCongéSpécial)+COUNTIF(Décembre[19],CléRTT)+(COUNTIF(Décembre[19],CléDemiRtt)/2)+COUNTIF(Décembre[19],CléCongéMalade)+COUNTIF(Décembre[19],CléRécupération)+(COUNTIF(Décembre[19],CléDemiRécupération)/2)+COUNTIF(Décembre[19],CléFormation)+(COUNTIF(Décembre[19],CléEnfantMalade)+(COUNTIF(Décembre[19],CléDemiEnfantMalade)/2)))</f>
        <v>0</v>
      </c>
      <c r="V22" s="33">
        <f>COUNTIF(Décembre[20],CléCongé)+(COUNTIF(Décembre[20],CléCongéSpécial)+COUNTIF(Décembre[20],CléRTT)+(COUNTIF(Décembre[20],CléDemiRtt)/2)+COUNTIF(Décembre[20],CléCongéMalade)+COUNTIF(Décembre[20],CléRécupération)+(COUNTIF(Décembre[20],CléDemiRécupération)/2)+COUNTIF(Décembre[20],CléFormation)+(COUNTIF(Décembre[20],CléEnfantMalade)+(COUNTIF(Décembre[20],CléDemiEnfantMalade)/2)))</f>
        <v>0</v>
      </c>
      <c r="W22" s="33">
        <f>COUNTIF(Décembre[21],CléCongé)+(COUNTIF(Décembre[21],CléCongéSpécial)+COUNTIF(Décembre[21],CléRTT)+(COUNTIF(Décembre[21],CléDemiRtt)/2)+COUNTIF(Décembre[21],CléCongéMalade)+COUNTIF(Décembre[21],CléRécupération)+(COUNTIF(Décembre[21],CléDemiRécupération)/2)+COUNTIF(Décembre[21],CléFormation)+(COUNTIF(Décembre[21],CléEnfantMalade)+(COUNTIF(Décembre[21],CléDemiEnfantMalade)/2)))</f>
        <v>0</v>
      </c>
      <c r="X22" s="33">
        <f>COUNTIF(Décembre[22],CléCongé)+(COUNTIF(Décembre[22],CléCongéSpécial)+COUNTIF(Décembre[22],CléRTT)+(COUNTIF(Décembre[22],CléDemiRtt)/2)+COUNTIF(Décembre[22],CléCongéMalade)+COUNTIF(Décembre[22],CléRécupération)+(COUNTIF(Décembre[22],CléDemiRécupération)/2)+COUNTIF(Décembre[22],CléFormation)+(COUNTIF(Décembre[22],CléEnfantMalade)+(COUNTIF(Décembre[22],CléDemiEnfantMalade)/2)))</f>
        <v>0</v>
      </c>
      <c r="Y22" s="33">
        <f>COUNTIF(Décembre[23],CléCongé)+(COUNTIF(Décembre[23],CléCongéSpécial)+COUNTIF(Décembre[23],CléRTT)+(COUNTIF(Décembre[23],CléDemiRtt)/2)+COUNTIF(Décembre[23],CléCongéMalade)+COUNTIF(Décembre[23],CléRécupération)+(COUNTIF(Décembre[23],CléDemiRécupération)/2)+COUNTIF(Décembre[23],CléFormation)+(COUNTIF(Décembre[23],CléEnfantMalade)+(COUNTIF(Décembre[23],CléDemiEnfantMalade)/2)))</f>
        <v>0</v>
      </c>
      <c r="Z22" s="33">
        <f>COUNTIF(Décembre[24],CléCongé)+(COUNTIF(Décembre[24],CléCongéSpécial)+COUNTIF(Décembre[24],CléRTT)+(COUNTIF(Décembre[24],CléDemiRtt)/2)+COUNTIF(Décembre[24],CléCongéMalade)+COUNTIF(Décembre[24],CléRécupération)+(COUNTIF(Décembre[24],CléDemiRécupération)/2)+COUNTIF(Décembre[24],CléFormation)+(COUNTIF(Décembre[24],CléEnfantMalade)+(COUNTIF(Décembre[24],CléDemiEnfantMalade)/2)))</f>
        <v>0</v>
      </c>
      <c r="AA22" s="33">
        <f>COUNTIF(Décembre[25],CléCongé)+(COUNTIF(Décembre[25],CléCongéSpécial)+COUNTIF(Décembre[25],CléRTT)+(COUNTIF(Décembre[25],CléDemiRtt)/2)+COUNTIF(Décembre[25],CléCongéMalade)+COUNTIF(Décembre[25],CléRécupération)+(COUNTIF(Décembre[25],CléDemiRécupération)/2)+COUNTIF(Décembre[25],CléFormation)+(COUNTIF(Décembre[25],CléEnfantMalade)+(COUNTIF(Décembre[25],CléDemiEnfantMalade)/2)))</f>
        <v>0</v>
      </c>
      <c r="AB22" s="33">
        <f>COUNTIF(Décembre[26],CléCongé)+(COUNTIF(Décembre[26],CléCongéSpécial)+COUNTIF(Décembre[26],CléRTT)+(COUNTIF(Décembre[26],CléDemiRtt)/2)+COUNTIF(Décembre[26],CléCongéMalade)+COUNTIF(Décembre[26],CléRécupération)+(COUNTIF(Décembre[26],CléDemiRécupération)/2)+COUNTIF(Décembre[26],CléFormation)+(COUNTIF(Décembre[26],CléEnfantMalade)+(COUNTIF(Décembre[26],CléDemiEnfantMalade)/2)))</f>
        <v>0</v>
      </c>
      <c r="AC22" s="33">
        <f>COUNTIF(Décembre[27],CléCongé)+(COUNTIF(Décembre[27],CléCongéSpécial)+COUNTIF(Décembre[27],CléRTT)+(COUNTIF(Décembre[27],CléDemiRtt)/2)+COUNTIF(Décembre[27],CléCongéMalade)+COUNTIF(Décembre[27],CléRécupération)+(COUNTIF(Décembre[27],CléDemiRécupération)/2)+COUNTIF(Décembre[27],CléFormation)+(COUNTIF(Décembre[27],CléEnfantMalade)+(COUNTIF(Décembre[27],CléDemiEnfantMalade)/2)))</f>
        <v>0</v>
      </c>
      <c r="AD22" s="33">
        <f>COUNTIF(Décembre[28],CléCongé)+(COUNTIF(Décembre[28],CléCongéSpécial)+COUNTIF(Décembre[28],CléRTT)+(COUNTIF(Décembre[28],CléDemiRtt)/2)+COUNTIF(Décembre[28],CléCongéMalade)+COUNTIF(Décembre[28],CléRécupération)+(COUNTIF(Décembre[28],CléDemiRécupération)/2)+COUNTIF(Décembre[28],CléFormation)+(COUNTIF(Décembre[28],CléEnfantMalade)+(COUNTIF(Décembre[28],CléDemiEnfantMalade)/2)))</f>
        <v>0</v>
      </c>
      <c r="AE22" s="33">
        <f>COUNTIF(Décembre[29],CléCongé)+(COUNTIF(Décembre[29],CléCongéSpécial)+COUNTIF(Décembre[29],CléRTT)+(COUNTIF(Décembre[29],CléDemiRtt)/2)+COUNTIF(Décembre[29],CléCongéMalade)+COUNTIF(Décembre[29],CléRécupération)+(COUNTIF(Décembre[29],CléDemiRécupération)/2)+COUNTIF(Décembre[29],CléFormation)+(COUNTIF(Décembre[29],CléEnfantMalade)+(COUNTIF(Décembre[29],CléDemiEnfantMalade)/2)))</f>
        <v>0</v>
      </c>
      <c r="AF22" s="33">
        <f>COUNTIF(Décembre[30],CléCongé)+(COUNTIF(Décembre[30],CléCongéSpécial)+COUNTIF(Décembre[30],CléRTT)+(COUNTIF(Décembre[30],CléDemiRtt)/2)+COUNTIF(Décembre[30],CléCongéMalade)+COUNTIF(Décembre[30],CléRécupération)+(COUNTIF(Décembre[30],CléDemiRécupération)/2)+COUNTIF(Décembre[30],CléFormation)+(COUNTIF(Décembre[30],CléEnfantMalade)+(COUNTIF(Décembre[30],CléDemiEnfantMalade)/2)))</f>
        <v>0</v>
      </c>
      <c r="AG22" s="33">
        <f>COUNTIF(Décembre[31],CléCongé)+(COUNTIF(Décembre[31],CléCongéSpécial)+COUNTIF(Décembre[31],CléRTT)+(COUNTIF(Décembre[31],CléDemiRtt)/2)+COUNTIF(Décembre[31],CléCongéMalade)+COUNTIF(Décembre[31],CléRécupération)+(COUNTIF(Décembre[31],CléDemiRécupération)/2)+COUNTIF(Décembre[31],CléFormation)+(COUNTIF(Décembre[31],CléEnfantMalade)+(COUNTIF(Décembre[31],CléDemiEnfantMalade)/2)))</f>
        <v>0</v>
      </c>
      <c r="AH22" s="27">
        <f>SUBTOTAL(109,Décembre[Total absence])</f>
        <v>0</v>
      </c>
      <c r="AI22" s="27">
        <f>SUBTOTAL(109,Décembre[Dont RTT])</f>
        <v>0</v>
      </c>
      <c r="AJ22" s="53">
        <f>SUBTOTAL(109,Décembre[Dont MALADIE])</f>
        <v>0</v>
      </c>
      <c r="AK22" s="64"/>
      <c r="AL22" s="63"/>
    </row>
  </sheetData>
  <mergeCells count="15">
    <mergeCell ref="C5:AG5"/>
    <mergeCell ref="G2:H2"/>
    <mergeCell ref="J2:L2"/>
    <mergeCell ref="W2:Y2"/>
    <mergeCell ref="D3:E3"/>
    <mergeCell ref="G3:H3"/>
    <mergeCell ref="J3:L3"/>
    <mergeCell ref="N3:O3"/>
    <mergeCell ref="Q3:R3"/>
    <mergeCell ref="T3:U3"/>
    <mergeCell ref="W3:Y3"/>
    <mergeCell ref="D2:E2"/>
    <mergeCell ref="Q2:U2"/>
    <mergeCell ref="AA2:AC2"/>
    <mergeCell ref="AA3:AC3"/>
  </mergeCells>
  <conditionalFormatting sqref="C6:AG6">
    <cfRule type="containsText" dxfId="49" priority="139" stopIfTrue="1" operator="containsText" text="dim">
      <formula>NOT(ISERROR(SEARCH("dim",C6)))</formula>
    </cfRule>
  </conditionalFormatting>
  <conditionalFormatting sqref="AH7">
    <cfRule type="containsText" dxfId="48" priority="138" stopIfTrue="1" operator="containsText" text="dim">
      <formula>NOT(ISERROR(SEARCH("dim",AH7)))</formula>
    </cfRule>
  </conditionalFormatting>
  <conditionalFormatting sqref="C22:AG22">
    <cfRule type="containsText" dxfId="47" priority="118" stopIfTrue="1" operator="containsText" text="dim">
      <formula>NOT(ISERROR(SEARCH("dim",C22)))</formula>
    </cfRule>
  </conditionalFormatting>
  <conditionalFormatting sqref="AL3:XFD3 A2:A3 AG2:XFD2">
    <cfRule type="containsText" dxfId="46" priority="115" stopIfTrue="1" operator="containsText" text="dim">
      <formula>NOT(ISERROR(SEARCH("dim",A2)))</formula>
    </cfRule>
  </conditionalFormatting>
  <conditionalFormatting sqref="AJ19:AJ21">
    <cfRule type="dataBar" priority="67">
      <dataBar>
        <cfvo type="num" val="0"/>
        <cfvo type="num" val="31"/>
        <color rgb="FFFF0000"/>
      </dataBar>
      <extLst>
        <ext xmlns:x14="http://schemas.microsoft.com/office/spreadsheetml/2009/9/main" uri="{B025F937-C7B1-47D3-B67F-A62EFF666E3E}">
          <x14:id>{26CF0290-CC35-8B4D-9674-347703FFD337}</x14:id>
        </ext>
      </extLst>
    </cfRule>
  </conditionalFormatting>
  <conditionalFormatting sqref="AH8:AH21">
    <cfRule type="dataBar" priority="55">
      <dataBar>
        <cfvo type="num" val="0"/>
        <cfvo type="num" val="31"/>
        <color rgb="FF00B0F0"/>
      </dataBar>
      <extLst>
        <ext xmlns:x14="http://schemas.microsoft.com/office/spreadsheetml/2009/9/main" uri="{B025F937-C7B1-47D3-B67F-A62EFF666E3E}">
          <x14:id>{47DBF3E6-BD51-C44F-A8C7-4AA001562168}</x14:id>
        </ext>
      </extLst>
    </cfRule>
    <cfRule type="containsText" dxfId="45" priority="58" stopIfTrue="1" operator="containsText" text="dim">
      <formula>NOT(ISERROR(SEARCH("dim",AH8)))</formula>
    </cfRule>
  </conditionalFormatting>
  <conditionalFormatting sqref="AI8:AI21">
    <cfRule type="dataBar" priority="56">
      <dataBar>
        <cfvo type="num" val="0"/>
        <cfvo type="num" val="31"/>
        <color rgb="FF92D050"/>
      </dataBar>
      <extLst>
        <ext xmlns:x14="http://schemas.microsoft.com/office/spreadsheetml/2009/9/main" uri="{B025F937-C7B1-47D3-B67F-A62EFF666E3E}">
          <x14:id>{B1A7813C-1088-614C-AF39-46D84395F3A1}</x14:id>
        </ext>
      </extLst>
    </cfRule>
  </conditionalFormatting>
  <conditionalFormatting sqref="B3:D3 F2:G3 M3:N3 Q3 S3:T3 V2:W3 I2:J3">
    <cfRule type="containsText" dxfId="44" priority="36" stopIfTrue="1" operator="containsText" text="dim">
      <formula>NOT(ISERROR(SEARCH("dim",B2)))</formula>
    </cfRule>
  </conditionalFormatting>
  <conditionalFormatting sqref="V2:W2">
    <cfRule type="containsText" dxfId="43" priority="35" stopIfTrue="1" operator="containsText" text="dim">
      <formula>NOT(ISERROR(SEARCH("dim",V2)))</formula>
    </cfRule>
  </conditionalFormatting>
  <conditionalFormatting sqref="AA2">
    <cfRule type="containsText" dxfId="42" priority="34" stopIfTrue="1" operator="containsText" text="dim">
      <formula>NOT(ISERROR(SEARCH("dim",AA2)))</formula>
    </cfRule>
  </conditionalFormatting>
  <conditionalFormatting sqref="AA2">
    <cfRule type="containsText" dxfId="41" priority="33" stopIfTrue="1" operator="containsText" text="dim">
      <formula>NOT(ISERROR(SEARCH("dim",AA2)))</formula>
    </cfRule>
  </conditionalFormatting>
  <conditionalFormatting sqref="P3">
    <cfRule type="expression" dxfId="40" priority="19" stopIfTrue="1">
      <formula>P3=CléNonTravaillé</formula>
    </cfRule>
    <cfRule type="expression" dxfId="39" priority="20" stopIfTrue="1">
      <formula>P3=CléPrésenceExceptionnelle</formula>
    </cfRule>
    <cfRule type="expression" dxfId="38" priority="21" stopIfTrue="1">
      <formula>P3=CléCongéSpécial</formula>
    </cfRule>
    <cfRule type="expression" dxfId="37" priority="22" stopIfTrue="1">
      <formula>P3=CléDemiRécupération</formula>
    </cfRule>
    <cfRule type="expression" dxfId="36" priority="23" stopIfTrue="1">
      <formula>P3=CléDemiEnfantMalade</formula>
    </cfRule>
    <cfRule type="expression" dxfId="35" priority="24" stopIfTrue="1">
      <formula>P3=CléEnfantMalade</formula>
    </cfRule>
    <cfRule type="expression" dxfId="34" priority="25" stopIfTrue="1">
      <formula>P3=CléDemiRtt</formula>
    </cfRule>
    <cfRule type="expression" priority="26" stopIfTrue="1">
      <formula>P3=""</formula>
    </cfRule>
    <cfRule type="expression" dxfId="33" priority="27" stopIfTrue="1">
      <formula>P3=CléMaladie</formula>
    </cfRule>
    <cfRule type="expression" dxfId="32" priority="28" stopIfTrue="1">
      <formula>P3=CléCongé</formula>
    </cfRule>
    <cfRule type="expression" dxfId="31" priority="29" stopIfTrue="1">
      <formula>P3=CléRécupération</formula>
    </cfRule>
    <cfRule type="expression" dxfId="30" priority="30" stopIfTrue="1">
      <formula>P3=CléFormation</formula>
    </cfRule>
    <cfRule type="expression" dxfId="29" priority="31" stopIfTrue="1">
      <formula>P3=CléRTT</formula>
    </cfRule>
    <cfRule type="expression" dxfId="28" priority="32" stopIfTrue="1">
      <formula>P3=CléTélétravail</formula>
    </cfRule>
  </conditionalFormatting>
  <conditionalFormatting sqref="AA3">
    <cfRule type="containsText" dxfId="27" priority="18" stopIfTrue="1" operator="containsText" text="dim">
      <formula>NOT(ISERROR(SEARCH("dim",AA3)))</formula>
    </cfRule>
  </conditionalFormatting>
  <conditionalFormatting sqref="AA3">
    <cfRule type="containsText" dxfId="26" priority="17" stopIfTrue="1" operator="containsText" text="dim">
      <formula>NOT(ISERROR(SEARCH("dim",AA3)))</formula>
    </cfRule>
  </conditionalFormatting>
  <conditionalFormatting sqref="C8:AG21">
    <cfRule type="expression" dxfId="25" priority="2" stopIfTrue="1">
      <formula>C8=CléAbsenceJustifiée</formula>
    </cfRule>
    <cfRule type="expression" dxfId="24" priority="3" stopIfTrue="1">
      <formula>C8=CléNonTravaillé</formula>
    </cfRule>
    <cfRule type="expression" dxfId="23" priority="4" stopIfTrue="1">
      <formula>C8=CléPrésenceExceptionnelle</formula>
    </cfRule>
    <cfRule type="expression" dxfId="22" priority="5" stopIfTrue="1">
      <formula>C8=CléCongéSpécial</formula>
    </cfRule>
    <cfRule type="expression" dxfId="21" priority="6" stopIfTrue="1">
      <formula>C8=CléDemiRécupération</formula>
    </cfRule>
    <cfRule type="expression" dxfId="20" priority="7" stopIfTrue="1">
      <formula>C8=CléDemiEnfantMalade</formula>
    </cfRule>
    <cfRule type="expression" dxfId="19" priority="8" stopIfTrue="1">
      <formula>C8=CléEnfantMalade</formula>
    </cfRule>
    <cfRule type="expression" dxfId="18" priority="9" stopIfTrue="1">
      <formula>C8=CléDemiRtt</formula>
    </cfRule>
    <cfRule type="expression" priority="10" stopIfTrue="1">
      <formula>C8=""</formula>
    </cfRule>
    <cfRule type="expression" dxfId="17" priority="11" stopIfTrue="1">
      <formula>C8=CléCongéMalade</formula>
    </cfRule>
    <cfRule type="expression" dxfId="16" priority="12" stopIfTrue="1">
      <formula>C8=CléCongé</formula>
    </cfRule>
    <cfRule type="expression" dxfId="15" priority="13" stopIfTrue="1">
      <formula>C8=CléRécupération</formula>
    </cfRule>
    <cfRule type="expression" dxfId="14" priority="14" stopIfTrue="1">
      <formula>C8=CléFormation</formula>
    </cfRule>
    <cfRule type="expression" dxfId="13" priority="15" stopIfTrue="1">
      <formula>C8=CléRTT</formula>
    </cfRule>
    <cfRule type="expression" dxfId="12" priority="16" stopIfTrue="1">
      <formula>C8=CléTélétravail</formula>
    </cfRule>
  </conditionalFormatting>
  <conditionalFormatting sqref="AJ8:AJ18">
    <cfRule type="dataBar" priority="1">
      <dataBar>
        <cfvo type="num" val="0"/>
        <cfvo type="num" val="31"/>
        <color rgb="FFFF0000"/>
      </dataBar>
      <extLst>
        <ext xmlns:x14="http://schemas.microsoft.com/office/spreadsheetml/2009/9/main" uri="{B025F937-C7B1-47D3-B67F-A62EFF666E3E}">
          <x14:id>{48FF9552-19CF-4D4B-AB32-4D78CCE8E936}</x14:id>
        </ext>
      </extLst>
    </cfRule>
  </conditionalFormatting>
  <dataValidations count="14">
    <dataValidation allowBlank="1" showInputMessage="1" showErrorMessage="1" prompt="Les jours du mois dans cette ligne sont générés automatiquement. Entrez l’absence et le motif d’absence d’un employé dans chaque colonne pour chaque jour du mois. Un champ vide indique qu’il n’y a pas eu d’absence" sqref="C7" xr:uid="{1D242F3D-07C2-A14E-BA87-26B498488993}"/>
    <dataValidation errorStyle="warning" allowBlank="1" showInputMessage="1" showErrorMessage="1" error="Sélectionnez un nom dans la liste. Sélectionnez ANNULER, appuyez sur ALT+FLÈCHE BAS, puis sur ENTRÉE pour sélectionner un nom" prompt="Entrez les noms des employés dans la feuille de calcul du Noms des employés, puis sélectionnez l’un des noms de la liste figurant dans cette colonne. Appuyez sur ALT+FLÈCHE BAS, puis sur ENTRÉE pour sélectionner un nom" sqref="B7" xr:uid="{0B89BC05-8960-6F46-8568-042E28562CA7}"/>
    <dataValidation allowBlank="1" showInputMessage="1" showErrorMessage="1" prompt="Suivez les absences du mois de décembre dans cette feuille de calcul" sqref="A1" xr:uid="{90544AD4-F894-7A42-9659-9CB62F488C22}"/>
    <dataValidation allowBlank="1" showInputMessage="1" showErrorMessage="1" prompt="Calcule automatiquement le nombre total de jours d’absence d’un employé durant ce mois dans cette colonne" sqref="AH7" xr:uid="{4560B236-5FF5-5143-8456-B7BF38551695}"/>
    <dataValidation allowBlank="1" showInputMessage="1" showErrorMessage="1" prompt="Le Calendrier des absences des employés suit les absences exprimées en jours pour chaque mois. Il existe 13 feuilles de calcul, 12 mensuelles et la dernière pour les noms des employés. Suivez les absences du mois de janvier dans cette feuille de calcul" sqref="A2" xr:uid="{E66D2DE0-525B-F143-B681-896993D38697}"/>
    <dataValidation allowBlank="1" showErrorMessage="1" sqref="B2:B6 AK6 C4:AJ6 AD1:AJ1 B1:Y1" xr:uid="{2264CBF7-66BF-E64A-908A-22269CC0B9E3}"/>
    <dataValidation allowBlank="1" showErrorMessage="1" prompt="Entrez une étiquette pour décrire la clé personnalisée à gauche" sqref="N3" xr:uid="{910EA605-D073-0F44-9865-434D082268DE}"/>
    <dataValidation allowBlank="1" showErrorMessage="1" prompt="Entrez une lettre et personnalisez l’étiquette à droite pour ajouter un élément de clé" sqref="I2:I3" xr:uid="{4C5D7D11-2161-A74E-9843-6708E3A9DD97}"/>
    <dataValidation allowBlank="1" showInputMessage="1" showErrorMessage="1" prompt="Entrez une étiquette pour décrire la clé personnalisée à gauche" sqref="J2:J3" xr:uid="{9ADB0C6E-9280-6A46-A221-FD45E73E3C6A}"/>
    <dataValidation allowBlank="1" showInputMessage="1" showErrorMessage="1" prompt="Entrez une lettre et personnalisez l’étiquette à droite pour ajouter un élément de clé" sqref="M3" xr:uid="{00E397EB-34CE-7147-9B93-919254538262}"/>
    <dataValidation allowBlank="1" showInputMessage="1" showErrorMessage="1" prompt="La lettre « M » indique une absence pour cause de maladie" sqref="S3" xr:uid="{B02AF8E0-B53D-A041-B319-D45F713D5FFA}"/>
    <dataValidation allowBlank="1" showErrorMessage="1" prompt="La lettre « P » indique une absence pour motifs personnels" sqref="F3" xr:uid="{BBB64BB9-C539-9C4E-B0B0-9B49594EE2EC}"/>
    <dataValidation allowBlank="1" showErrorMessage="1" prompt="La lettre « C » indique une absence pour cause de congé" sqref="C3" xr:uid="{79965396-820B-2C46-8D67-59A0901D0D99}"/>
    <dataValidation type="list" allowBlank="1" showInputMessage="1" showErrorMessage="1" sqref="B8:B18" xr:uid="{310246FE-B493-4EAC-A807-17441EE74443}">
      <formula1>Nom_Employe</formula1>
    </dataValidation>
  </dataValidations>
  <pageMargins left="0.7" right="0.7" top="0.75" bottom="0.75" header="0.3" footer="0.3"/>
  <pageSetup paperSize="9" fitToHeight="0" orientation="portrait" verticalDpi="4294967293" r:id="rId1"/>
  <tableParts count="1">
    <tablePart r:id="rId2"/>
  </tableParts>
  <extLst>
    <ext xmlns:x14="http://schemas.microsoft.com/office/spreadsheetml/2009/9/main" uri="{78C0D931-6437-407d-A8EE-F0AAD7539E65}">
      <x14:conditionalFormattings>
        <x14:conditionalFormatting xmlns:xm="http://schemas.microsoft.com/office/excel/2006/main">
          <x14:cfRule type="dataBar" id="{26CF0290-CC35-8B4D-9674-347703FFD337}">
            <x14:dataBar minLength="0" maxLength="100">
              <x14:cfvo type="num">
                <xm:f>0</xm:f>
              </x14:cfvo>
              <x14:cfvo type="num">
                <xm:f>31</xm:f>
              </x14:cfvo>
              <x14:negativeFillColor rgb="FFFF0000"/>
              <x14:axisColor rgb="FF000000"/>
            </x14:dataBar>
          </x14:cfRule>
          <xm:sqref>AJ19:AJ21</xm:sqref>
        </x14:conditionalFormatting>
        <x14:conditionalFormatting xmlns:xm="http://schemas.microsoft.com/office/excel/2006/main">
          <x14:cfRule type="dataBar" id="{47DBF3E6-BD51-C44F-A8C7-4AA001562168}">
            <x14:dataBar minLength="0" maxLength="100">
              <x14:cfvo type="num">
                <xm:f>0</xm:f>
              </x14:cfvo>
              <x14:cfvo type="num">
                <xm:f>31</xm:f>
              </x14:cfvo>
              <x14:negativeFillColor rgb="FFFF0000"/>
              <x14:axisColor rgb="FF000000"/>
            </x14:dataBar>
          </x14:cfRule>
          <xm:sqref>AH8:AH21</xm:sqref>
        </x14:conditionalFormatting>
        <x14:conditionalFormatting xmlns:xm="http://schemas.microsoft.com/office/excel/2006/main">
          <x14:cfRule type="dataBar" id="{B1A7813C-1088-614C-AF39-46D84395F3A1}">
            <x14:dataBar minLength="0" maxLength="100">
              <x14:cfvo type="num">
                <xm:f>0</xm:f>
              </x14:cfvo>
              <x14:cfvo type="num">
                <xm:f>31</xm:f>
              </x14:cfvo>
              <x14:negativeFillColor rgb="FFFF0000"/>
              <x14:axisColor rgb="FF000000"/>
            </x14:dataBar>
          </x14:cfRule>
          <xm:sqref>AI8:AI21</xm:sqref>
        </x14:conditionalFormatting>
        <x14:conditionalFormatting xmlns:xm="http://schemas.microsoft.com/office/excel/2006/main">
          <x14:cfRule type="dataBar" id="{48FF9552-19CF-4D4B-AB32-4D78CCE8E936}">
            <x14:dataBar minLength="0" maxLength="100">
              <x14:cfvo type="num">
                <xm:f>0</xm:f>
              </x14:cfvo>
              <x14:cfvo type="num">
                <xm:f>31</xm:f>
              </x14:cfvo>
              <x14:negativeFillColor rgb="FFFF0000"/>
              <x14:axisColor rgb="FF000000"/>
            </x14:dataBar>
          </x14:cfRule>
          <xm:sqref>AJ8:AJ18</xm:sqref>
        </x14:conditionalFormatting>
        <x14:conditionalFormatting xmlns:xm="http://schemas.microsoft.com/office/excel/2006/main">
          <x14:cfRule type="containsText" priority="155" stopIfTrue="1" operator="containsText" text="dim" id="{1E0A0F5D-CD20-6C4F-A6A3-2B012548AE10}">
            <xm:f>NOT(ISERROR(SEARCH("dim",Avril!AK17)))</xm:f>
            <x14:dxf>
              <font>
                <color theme="9"/>
              </font>
              <fill>
                <patternFill patternType="none">
                  <bgColor auto="1"/>
                </patternFill>
              </fill>
            </x14:dxf>
          </x14:cfRule>
          <xm:sqref>AK23:AK1048576</xm:sqref>
        </x14:conditionalFormatting>
        <x14:conditionalFormatting xmlns:xm="http://schemas.microsoft.com/office/excel/2006/main">
          <x14:cfRule type="containsText" priority="91" stopIfTrue="1" operator="containsText" text="dim" id="{B23FE883-C089-3841-91E6-900F4ECB49A1}">
            <xm:f>NOT(ISERROR(SEARCH("dim",Aout!AJ19)))</xm:f>
            <x14:dxf>
              <font>
                <color theme="0" tint="-0.24994659260841701"/>
              </font>
              <fill>
                <patternFill patternType="none">
                  <bgColor auto="1"/>
                </patternFill>
              </fill>
            </x14:dxf>
          </x14:cfRule>
          <xm:sqref>AJ22</xm:sqref>
        </x14:conditionalFormatting>
        <x14:conditionalFormatting xmlns:xm="http://schemas.microsoft.com/office/excel/2006/main">
          <x14:cfRule type="containsText" priority="429" stopIfTrue="1" operator="containsText" text="dim" id="{1E0A0F5D-CD20-6C4F-A6A3-2B012548AE10}">
            <xm:f>NOT(ISERROR(SEARCH("dim",Avril!AK1)))</xm:f>
            <x14:dxf>
              <font>
                <color theme="9"/>
              </font>
              <fill>
                <patternFill patternType="none">
                  <bgColor auto="1"/>
                </patternFill>
              </fill>
            </x14:dxf>
          </x14:cfRule>
          <xm:sqref>AK19:AK21 AK7 AK4 AK1</xm:sqref>
        </x14:conditionalFormatting>
        <x14:conditionalFormatting xmlns:xm="http://schemas.microsoft.com/office/excel/2006/main">
          <x14:cfRule type="containsText" priority="37" stopIfTrue="1" operator="containsText" text="dim" id="{45BB7C9D-AA7D-8444-BE03-CEB7A852669C}">
            <xm:f>NOT(ISERROR(SEARCH("dim",Avril!AK20)))</xm:f>
            <x14:dxf>
              <font>
                <color theme="9"/>
              </font>
              <fill>
                <patternFill patternType="none">
                  <bgColor auto="1"/>
                </patternFill>
              </fill>
            </x14:dxf>
          </x14:cfRule>
          <xm:sqref>AK22</xm:sqref>
        </x14:conditionalFormatting>
      </x14:conditionalFormattings>
    </ext>
    <ext xmlns:x14="http://schemas.microsoft.com/office/spreadsheetml/2009/9/main" uri="{CCE6A557-97BC-4b89-ADB6-D9C93CAAB3DF}">
      <x14:dataValidations xmlns:xm="http://schemas.microsoft.com/office/excel/2006/main" count="1">
        <x14:dataValidation type="list" allowBlank="1" showInputMessage="1" showErrorMessage="1" xr:uid="{A051ECEC-6392-2C45-8FDA-76854C5F8824}">
          <x14:formula1>
            <xm:f>'Noms des employés'!$B$4:$B$15</xm:f>
          </x14:formula1>
          <xm:sqref>B19:B21</xm:sqref>
        </x14:dataValidation>
      </x14:dataValidations>
    </ext>
  </extLs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Feuil13">
    <tabColor theme="1"/>
  </sheetPr>
  <dimension ref="B1:G15"/>
  <sheetViews>
    <sheetView showGridLines="0" workbookViewId="0">
      <selection activeCell="AH8" sqref="AH8"/>
    </sheetView>
  </sheetViews>
  <sheetFormatPr baseColWidth="10" defaultColWidth="9.140625" defaultRowHeight="30" customHeight="1"/>
  <cols>
    <col min="1" max="1" width="2.7109375" customWidth="1"/>
    <col min="2" max="2" width="30.7109375" customWidth="1"/>
    <col min="3" max="3" width="29.28515625" customWidth="1"/>
    <col min="4" max="4" width="31.42578125" customWidth="1"/>
    <col min="7" max="7" width="9.5703125" bestFit="1" customWidth="1"/>
  </cols>
  <sheetData>
    <row r="1" spans="2:7" ht="50.1" customHeight="1">
      <c r="B1" s="6" t="s">
        <v>54</v>
      </c>
    </row>
    <row r="2" spans="2:7" ht="15" customHeight="1">
      <c r="C2" s="77" t="s">
        <v>2</v>
      </c>
    </row>
    <row r="3" spans="2:7" ht="30" customHeight="1">
      <c r="B3" t="s">
        <v>54</v>
      </c>
      <c r="C3" t="s">
        <v>102</v>
      </c>
      <c r="D3" t="s">
        <v>86</v>
      </c>
    </row>
    <row r="4" spans="2:7" ht="30" customHeight="1">
      <c r="B4" s="7" t="s">
        <v>107</v>
      </c>
      <c r="C4" s="1"/>
      <c r="D4" s="46"/>
      <c r="G4">
        <f ca="1">COUNTIF(INDIRECT(INDIRECT($C$2 &amp; "!B5") &amp;"!C8:AG8"),"rec")</f>
        <v>2</v>
      </c>
    </row>
    <row r="5" spans="2:7" ht="30" customHeight="1">
      <c r="B5" s="7" t="s">
        <v>108</v>
      </c>
      <c r="C5" s="1"/>
      <c r="D5" s="46"/>
    </row>
    <row r="6" spans="2:7" ht="30" customHeight="1">
      <c r="B6" s="7" t="s">
        <v>109</v>
      </c>
      <c r="C6" s="1"/>
      <c r="D6" s="46"/>
    </row>
    <row r="7" spans="2:7" ht="30" customHeight="1">
      <c r="B7" s="7" t="s">
        <v>110</v>
      </c>
      <c r="C7" s="1"/>
      <c r="D7" s="46"/>
    </row>
    <row r="8" spans="2:7" ht="30" customHeight="1">
      <c r="B8" s="1"/>
      <c r="C8" s="1"/>
      <c r="D8" s="46"/>
    </row>
    <row r="9" spans="2:7" ht="30" customHeight="1">
      <c r="B9" s="1"/>
      <c r="C9" s="1"/>
      <c r="D9" s="46"/>
    </row>
    <row r="10" spans="2:7" ht="30" customHeight="1">
      <c r="B10" s="1"/>
      <c r="C10" s="1"/>
      <c r="D10" s="46"/>
    </row>
    <row r="11" spans="2:7" ht="30" customHeight="1">
      <c r="B11" s="1"/>
      <c r="C11" s="1"/>
      <c r="D11" s="46"/>
    </row>
    <row r="12" spans="2:7" ht="30" customHeight="1">
      <c r="B12" s="7"/>
      <c r="C12" s="1"/>
      <c r="D12" s="46"/>
    </row>
    <row r="13" spans="2:7" ht="30" customHeight="1">
      <c r="B13" s="46"/>
      <c r="C13" s="46"/>
      <c r="D13" s="46"/>
    </row>
    <row r="14" spans="2:7" ht="30" customHeight="1">
      <c r="B14" s="58"/>
      <c r="C14" s="46"/>
      <c r="D14" s="46"/>
    </row>
    <row r="15" spans="2:7" ht="30" customHeight="1">
      <c r="B15" s="46"/>
      <c r="C15" s="46"/>
      <c r="D15" s="46"/>
    </row>
  </sheetData>
  <phoneticPr fontId="23" type="noConversion"/>
  <dataValidations count="3">
    <dataValidation allowBlank="1" showErrorMessage="1" prompt="Titre Noms des employés" sqref="B1" xr:uid="{00000000-0002-0000-0C00-000000000000}"/>
    <dataValidation allowBlank="1" showInputMessage="1" showErrorMessage="1" prompt="Entrez les noms des employés dans le tableau Noms des employés dans cette feuille de calcul. Ces noms sont utilisés en tant qu’options dans la colonne B du tableau des absences de chaque mois." sqref="A1" xr:uid="{00000000-0002-0000-0C00-000001000000}"/>
    <dataValidation allowBlank="1" showErrorMessage="1" prompt="Entrez les noms des employés dans cette colonne" sqref="B3" xr:uid="{00000000-0002-0000-0C00-000002000000}"/>
  </dataValidations>
  <pageMargins left="0.7" right="0.7" top="0.75" bottom="0.75" header="0.3" footer="0.3"/>
  <pageSetup paperSize="9" orientation="portrait" horizontalDpi="200" verticalDpi="200" r:id="rId1"/>
  <tableParts count="1">
    <tablePart r:id="rId2"/>
  </tablePart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59F3EBC-2DC3-CD4D-B963-9D3D0FE5E154}">
  <sheetPr codeName="Feuil14"/>
  <dimension ref="A2:B18"/>
  <sheetViews>
    <sheetView topLeftCell="A4" workbookViewId="0">
      <selection activeCell="A17" sqref="A17"/>
    </sheetView>
  </sheetViews>
  <sheetFormatPr baseColWidth="10" defaultRowHeight="15"/>
  <cols>
    <col min="2" max="2" width="23.28515625" bestFit="1" customWidth="1"/>
  </cols>
  <sheetData>
    <row r="2" spans="1:2" ht="33.75">
      <c r="A2" s="6" t="s">
        <v>62</v>
      </c>
    </row>
    <row r="4" spans="1:2">
      <c r="A4" t="s">
        <v>63</v>
      </c>
      <c r="B4" t="s">
        <v>95</v>
      </c>
    </row>
    <row r="5" spans="1:2">
      <c r="A5" s="17" t="s">
        <v>4</v>
      </c>
      <c r="B5" t="s">
        <v>7</v>
      </c>
    </row>
    <row r="6" spans="1:2">
      <c r="A6" s="18" t="s">
        <v>57</v>
      </c>
      <c r="B6" t="s">
        <v>57</v>
      </c>
    </row>
    <row r="7" spans="1:2">
      <c r="A7" s="43" t="s">
        <v>72</v>
      </c>
      <c r="B7" t="s">
        <v>66</v>
      </c>
    </row>
    <row r="8" spans="1:2">
      <c r="A8" s="21" t="s">
        <v>55</v>
      </c>
      <c r="B8" t="s">
        <v>56</v>
      </c>
    </row>
    <row r="9" spans="1:2">
      <c r="A9" s="38" t="s">
        <v>71</v>
      </c>
      <c r="B9" t="s">
        <v>92</v>
      </c>
    </row>
    <row r="10" spans="1:2">
      <c r="A10" s="47" t="s">
        <v>87</v>
      </c>
      <c r="B10" t="s">
        <v>88</v>
      </c>
    </row>
    <row r="11" spans="1:2">
      <c r="A11" s="16" t="s">
        <v>60</v>
      </c>
      <c r="B11" t="s">
        <v>61</v>
      </c>
    </row>
    <row r="12" spans="1:2">
      <c r="A12" s="20" t="s">
        <v>11</v>
      </c>
      <c r="B12" t="s">
        <v>17</v>
      </c>
    </row>
    <row r="13" spans="1:2">
      <c r="A13" s="45" t="s">
        <v>69</v>
      </c>
      <c r="B13" t="s">
        <v>68</v>
      </c>
    </row>
    <row r="14" spans="1:2">
      <c r="A14" s="44" t="s">
        <v>70</v>
      </c>
      <c r="B14" t="s">
        <v>93</v>
      </c>
    </row>
    <row r="15" spans="1:2">
      <c r="A15" s="48" t="s">
        <v>89</v>
      </c>
      <c r="B15" t="s">
        <v>94</v>
      </c>
    </row>
    <row r="16" spans="1:2">
      <c r="A16" s="74" t="s">
        <v>100</v>
      </c>
      <c r="B16" t="s">
        <v>101</v>
      </c>
    </row>
    <row r="17" spans="1:2">
      <c r="A17" s="74" t="s">
        <v>103</v>
      </c>
      <c r="B17" t="s">
        <v>105</v>
      </c>
    </row>
    <row r="18" spans="1:2">
      <c r="A18" s="74" t="s">
        <v>104</v>
      </c>
      <c r="B18" t="s">
        <v>106</v>
      </c>
    </row>
  </sheetData>
  <conditionalFormatting sqref="A7">
    <cfRule type="containsText" dxfId="7" priority="12" stopIfTrue="1" operator="containsText" text="dim">
      <formula>NOT(ISERROR(SEARCH("dim",A7)))</formula>
    </cfRule>
  </conditionalFormatting>
  <conditionalFormatting sqref="A11">
    <cfRule type="containsText" dxfId="6" priority="8" stopIfTrue="1" operator="containsText" text="dim">
      <formula>NOT(ISERROR(SEARCH("dim",A11)))</formula>
    </cfRule>
  </conditionalFormatting>
  <conditionalFormatting sqref="A12:A13">
    <cfRule type="containsText" dxfId="5" priority="7" stopIfTrue="1" operator="containsText" text="dim">
      <formula>NOT(ISERROR(SEARCH("dim",A12)))</formula>
    </cfRule>
  </conditionalFormatting>
  <conditionalFormatting sqref="A13">
    <cfRule type="containsText" dxfId="4" priority="5" stopIfTrue="1" operator="containsText" text="dim">
      <formula>NOT(ISERROR(SEARCH("dim",A13)))</formula>
    </cfRule>
  </conditionalFormatting>
  <conditionalFormatting sqref="A6">
    <cfRule type="containsText" dxfId="3" priority="4" stopIfTrue="1" operator="containsText" text="dim">
      <formula>NOT(ISERROR(SEARCH("dim",A6)))</formula>
    </cfRule>
  </conditionalFormatting>
  <conditionalFormatting sqref="A8">
    <cfRule type="containsText" dxfId="2" priority="1" stopIfTrue="1" operator="containsText" text="dim">
      <formula>NOT(ISERROR(SEARCH("dim",A8)))</formula>
    </cfRule>
  </conditionalFormatting>
  <dataValidations count="1">
    <dataValidation allowBlank="1" showErrorMessage="1" prompt="Titre Noms des employés" sqref="A2" xr:uid="{DE7B1CE5-8532-DC4E-A7E1-5965D0AA4043}"/>
  </dataValidations>
  <pageMargins left="0.7" right="0.7" top="0.75" bottom="0.75" header="0.3" footer="0.3"/>
  <tableParts count="1">
    <tablePart r:id="rId1"/>
  </tableParts>
  <extLst>
    <ext xmlns:x14="http://schemas.microsoft.com/office/spreadsheetml/2009/9/main" uri="{78C0D931-6437-407d-A8EE-F0AAD7539E65}">
      <x14:conditionalFormattings>
        <x14:conditionalFormatting xmlns:xm="http://schemas.microsoft.com/office/excel/2006/main">
          <x14:cfRule type="containsText" priority="10" stopIfTrue="1" operator="containsText" text="dim" id="{052029A0-A883-9647-81E9-C193C18ED300}">
            <xm:f>NOT(ISERROR(SEARCH("dim",Janvier!A8)))</xm:f>
            <x14:dxf>
              <font>
                <color theme="0" tint="-0.24994659260841701"/>
              </font>
              <fill>
                <patternFill patternType="none">
                  <bgColor auto="1"/>
                </patternFill>
              </fill>
            </x14:dxf>
          </x14:cfRule>
          <xm:sqref>A9</xm:sqref>
        </x14:conditionalFormatting>
        <x14:conditionalFormatting xmlns:xm="http://schemas.microsoft.com/office/excel/2006/main">
          <x14:cfRule type="containsText" priority="6" stopIfTrue="1" operator="containsText" text="dim" id="{B6FCCD0D-BD6F-2F48-B957-E8C3A8D5D59E}">
            <xm:f>NOT(ISERROR(SEARCH("dim",Janvier!A11)))</xm:f>
            <x14:dxf>
              <font>
                <color theme="0" tint="-0.24994659260841701"/>
              </font>
              <fill>
                <patternFill patternType="none">
                  <bgColor auto="1"/>
                </patternFill>
              </fill>
            </x14:dxf>
          </x14:cfRule>
          <xm:sqref>A14</xm:sqref>
        </x14:conditionalFormatting>
      </x14:conditionalFormattings>
    </ext>
  </extLst>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D1281D6-EC1B-BA4A-8589-003AE0C39D38}">
  <sheetPr codeName="Feuil15"/>
  <dimension ref="A1:E8"/>
  <sheetViews>
    <sheetView tabSelected="1" workbookViewId="0">
      <selection activeCell="F4" sqref="F4"/>
    </sheetView>
  </sheetViews>
  <sheetFormatPr baseColWidth="10" defaultRowHeight="15"/>
  <cols>
    <col min="1" max="1" width="18.5703125" customWidth="1"/>
    <col min="2" max="2" width="12.42578125" customWidth="1"/>
    <col min="3" max="3" width="23" style="75" customWidth="1"/>
  </cols>
  <sheetData>
    <row r="1" spans="1:5" ht="24.75" customHeight="1">
      <c r="A1" s="74" t="s">
        <v>117</v>
      </c>
      <c r="B1" s="84"/>
    </row>
    <row r="2" spans="1:5">
      <c r="A2" s="78" t="s">
        <v>118</v>
      </c>
      <c r="B2" s="79" t="s">
        <v>119</v>
      </c>
      <c r="C2" s="80" t="s">
        <v>120</v>
      </c>
    </row>
    <row r="3" spans="1:5">
      <c r="A3" s="81"/>
      <c r="B3" s="82"/>
      <c r="C3" s="83"/>
    </row>
    <row r="6" spans="1:5">
      <c r="E6" s="76" t="s">
        <v>116</v>
      </c>
    </row>
    <row r="7" spans="1:5">
      <c r="E7" s="76" t="s">
        <v>114</v>
      </c>
    </row>
    <row r="8" spans="1:5">
      <c r="E8" s="76" t="s">
        <v>115</v>
      </c>
    </row>
  </sheetData>
  <dataConsolidate/>
  <dataValidations count="1">
    <dataValidation type="list" allowBlank="1" showInputMessage="1" showErrorMessage="1" sqref="B1" xr:uid="{5A0DECAE-1A47-4380-B961-AE105F84D949}">
      <formula1>"Janvier,Fevrier,Mars,Avril,Mai,Juin,Juillet,Aout,Septembre,Octobre,Novembre,Décembre"</formula1>
    </dataValidation>
  </dataValidations>
  <pageMargins left="0.7" right="0.7" top="0.75" bottom="0.75" header="0.3" footer="0.3"/>
  <pageSetup paperSize="9" orientation="portrait" horizontalDpi="4294967293" verticalDpi="0" r:id="rId1"/>
  <tableParts count="1">
    <tablePart r:id="rId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E908FD3C-4219-45D4-9079-7D244B11CF99}">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15</vt:i4>
      </vt:variant>
      <vt:variant>
        <vt:lpstr>Plages nommées</vt:lpstr>
      </vt:variant>
      <vt:variant>
        <vt:i4>241</vt:i4>
      </vt:variant>
    </vt:vector>
  </HeadingPairs>
  <TitlesOfParts>
    <vt:vector size="256" baseType="lpstr">
      <vt:lpstr>Janvier</vt:lpstr>
      <vt:lpstr>Fevrier</vt:lpstr>
      <vt:lpstr>Mars</vt:lpstr>
      <vt:lpstr>Avril</vt:lpstr>
      <vt:lpstr>Mai</vt:lpstr>
      <vt:lpstr>Juin</vt:lpstr>
      <vt:lpstr>Juillet</vt:lpstr>
      <vt:lpstr>Aout</vt:lpstr>
      <vt:lpstr>Septembre</vt:lpstr>
      <vt:lpstr>Octobre</vt:lpstr>
      <vt:lpstr>Novembre</vt:lpstr>
      <vt:lpstr>Decembre</vt:lpstr>
      <vt:lpstr>Noms des employés</vt:lpstr>
      <vt:lpstr>Type d'absence</vt:lpstr>
      <vt:lpstr>Récap mensuel voulue</vt:lpstr>
      <vt:lpstr>Aout!AnnéeCalendrier</vt:lpstr>
      <vt:lpstr>Avril!AnnéeCalendrier</vt:lpstr>
      <vt:lpstr>Decembre!AnnéeCalendrier</vt:lpstr>
      <vt:lpstr>Fevrier!AnnéeCalendrier</vt:lpstr>
      <vt:lpstr>Juillet!AnnéeCalendrier</vt:lpstr>
      <vt:lpstr>Juin!AnnéeCalendrier</vt:lpstr>
      <vt:lpstr>Mai!AnnéeCalendrier</vt:lpstr>
      <vt:lpstr>Mars!AnnéeCalendrier</vt:lpstr>
      <vt:lpstr>Novembre!AnnéeCalendrier</vt:lpstr>
      <vt:lpstr>Octobre!AnnéeCalendrier</vt:lpstr>
      <vt:lpstr>Septembre!AnnéeCalendrier</vt:lpstr>
      <vt:lpstr>AnnéeCalendrier</vt:lpstr>
      <vt:lpstr>AnnéeCalendrier01</vt:lpstr>
      <vt:lpstr>CléAbsenceJustifiée</vt:lpstr>
      <vt:lpstr>CléCompteEpargneTemps</vt:lpstr>
      <vt:lpstr>Aout!CléCongé</vt:lpstr>
      <vt:lpstr>Avril!CléCongé</vt:lpstr>
      <vt:lpstr>Decembre!CléCongé</vt:lpstr>
      <vt:lpstr>Fevrier!CléCongé</vt:lpstr>
      <vt:lpstr>Juillet!CléCongé</vt:lpstr>
      <vt:lpstr>Juin!CléCongé</vt:lpstr>
      <vt:lpstr>Mai!CléCongé</vt:lpstr>
      <vt:lpstr>Mars!CléCongé</vt:lpstr>
      <vt:lpstr>Novembre!CléCongé</vt:lpstr>
      <vt:lpstr>Octobre!CléCongé</vt:lpstr>
      <vt:lpstr>Septembre!CléCongé</vt:lpstr>
      <vt:lpstr>CléCongé</vt:lpstr>
      <vt:lpstr>CléCongéMalade</vt:lpstr>
      <vt:lpstr>CléCongéSpécial</vt:lpstr>
      <vt:lpstr>CléDemiCompteEpargneTemps</vt:lpstr>
      <vt:lpstr>CléDemiEnfantMalade</vt:lpstr>
      <vt:lpstr>CléDemiRécupération</vt:lpstr>
      <vt:lpstr>CléDemiRtt</vt:lpstr>
      <vt:lpstr>CléEnfantMalade</vt:lpstr>
      <vt:lpstr>CléFormation</vt:lpstr>
      <vt:lpstr>CléNonTravaillé</vt:lpstr>
      <vt:lpstr>CléPrésenceExceptionnelle</vt:lpstr>
      <vt:lpstr>CléRécupération</vt:lpstr>
      <vt:lpstr>CléRTT</vt:lpstr>
      <vt:lpstr>CléTélétravail</vt:lpstr>
      <vt:lpstr>Enfant_malade</vt:lpstr>
      <vt:lpstr>Entrez_l’année</vt:lpstr>
      <vt:lpstr>ÉtiquetteCléAbsenceJustifiée</vt:lpstr>
      <vt:lpstr>ÉtiquetteCléCongé</vt:lpstr>
      <vt:lpstr>EtiquetteCléCongéMaladie</vt:lpstr>
      <vt:lpstr>ÉtiquetteCléCongéSpécial</vt:lpstr>
      <vt:lpstr>EtiquetteCléDemiCompteEpargneTemps</vt:lpstr>
      <vt:lpstr>ÉtiquetteCléDemiEnfantMalade</vt:lpstr>
      <vt:lpstr>ÉtiquetteCléDemiRécupération</vt:lpstr>
      <vt:lpstr>ÉtiquetteCléDemiRTT</vt:lpstr>
      <vt:lpstr>ÉtiquetteCléEnfantMalade</vt:lpstr>
      <vt:lpstr>EtiquetteCléEpargneTemps</vt:lpstr>
      <vt:lpstr>ÉtiquetteCléFormation</vt:lpstr>
      <vt:lpstr>ÉtiquetteCléNontravaillé</vt:lpstr>
      <vt:lpstr>ÉtiquetteCléPrésenceExceptionnelle</vt:lpstr>
      <vt:lpstr>ÉtiquetteCléRécupération</vt:lpstr>
      <vt:lpstr>ÉtiquetteCléRTT</vt:lpstr>
      <vt:lpstr>EtiquetteCléTélétravail</vt:lpstr>
      <vt:lpstr>Aout!Impression_des_titres</vt:lpstr>
      <vt:lpstr>Avril!Impression_des_titres</vt:lpstr>
      <vt:lpstr>Decembre!Impression_des_titres</vt:lpstr>
      <vt:lpstr>Fevrier!Impression_des_titres</vt:lpstr>
      <vt:lpstr>Janvier!Impression_des_titres</vt:lpstr>
      <vt:lpstr>Juillet!Impression_des_titres</vt:lpstr>
      <vt:lpstr>Juin!Impression_des_titres</vt:lpstr>
      <vt:lpstr>Mai!Impression_des_titres</vt:lpstr>
      <vt:lpstr>Mars!Impression_des_titres</vt:lpstr>
      <vt:lpstr>Novembre!Impression_des_titres</vt:lpstr>
      <vt:lpstr>Octobre!Impression_des_titres</vt:lpstr>
      <vt:lpstr>Septembre!Impression_des_titres</vt:lpstr>
      <vt:lpstr>Nom_clé</vt:lpstr>
      <vt:lpstr>Nom_Employe</vt:lpstr>
      <vt:lpstr>Aout!NomMois</vt:lpstr>
      <vt:lpstr>Avril!NomMois</vt:lpstr>
      <vt:lpstr>Decembre!NomMois</vt:lpstr>
      <vt:lpstr>Fevrier!NomMois</vt:lpstr>
      <vt:lpstr>Janvier!NomMois</vt:lpstr>
      <vt:lpstr>Juillet!NomMois</vt:lpstr>
      <vt:lpstr>Juin!NomMois</vt:lpstr>
      <vt:lpstr>Mai!NomMois</vt:lpstr>
      <vt:lpstr>Mars!NomMois</vt:lpstr>
      <vt:lpstr>Novembre!NomMois</vt:lpstr>
      <vt:lpstr>Octobre!NomMois</vt:lpstr>
      <vt:lpstr>Septembre!NomMois</vt:lpstr>
      <vt:lpstr>Aout!Titre_Absence_Employé</vt:lpstr>
      <vt:lpstr>Avril!Titre_Absence_Employé</vt:lpstr>
      <vt:lpstr>Decembre!Titre_Absence_Employé</vt:lpstr>
      <vt:lpstr>Fevrier!Titre_Absence_Employé</vt:lpstr>
      <vt:lpstr>Juillet!Titre_Absence_Employé</vt:lpstr>
      <vt:lpstr>Juin!Titre_Absence_Employé</vt:lpstr>
      <vt:lpstr>Mai!Titre_Absence_Employé</vt:lpstr>
      <vt:lpstr>Mars!Titre_Absence_Employé</vt:lpstr>
      <vt:lpstr>Novembre!Titre_Absence_Employé</vt:lpstr>
      <vt:lpstr>Octobre!Titre_Absence_Employé</vt:lpstr>
      <vt:lpstr>Septembre!Titre_Absence_Employé</vt:lpstr>
      <vt:lpstr>Titre_Absence_Employé</vt:lpstr>
      <vt:lpstr>Aout!Titre1</vt:lpstr>
      <vt:lpstr>Avril!Titre1</vt:lpstr>
      <vt:lpstr>Decembre!Titre1</vt:lpstr>
      <vt:lpstr>Fevrier!Titre1</vt:lpstr>
      <vt:lpstr>Juillet!Titre1</vt:lpstr>
      <vt:lpstr>Juin!Titre1</vt:lpstr>
      <vt:lpstr>Mai!Titre1</vt:lpstr>
      <vt:lpstr>Mars!Titre1</vt:lpstr>
      <vt:lpstr>Novembre!Titre1</vt:lpstr>
      <vt:lpstr>Octobre!Titre1</vt:lpstr>
      <vt:lpstr>Septembre!Titre1</vt:lpstr>
      <vt:lpstr>Titre1</vt:lpstr>
      <vt:lpstr>Aout!Titre10</vt:lpstr>
      <vt:lpstr>Avril!Titre10</vt:lpstr>
      <vt:lpstr>Decembre!Titre10</vt:lpstr>
      <vt:lpstr>Fevrier!Titre10</vt:lpstr>
      <vt:lpstr>Juillet!Titre10</vt:lpstr>
      <vt:lpstr>Juin!Titre10</vt:lpstr>
      <vt:lpstr>Mai!Titre10</vt:lpstr>
      <vt:lpstr>Mars!Titre10</vt:lpstr>
      <vt:lpstr>Novembre!Titre10</vt:lpstr>
      <vt:lpstr>Octobre!Titre10</vt:lpstr>
      <vt:lpstr>Septembre!Titre10</vt:lpstr>
      <vt:lpstr>Aout!Titre11</vt:lpstr>
      <vt:lpstr>Avril!Titre11</vt:lpstr>
      <vt:lpstr>Decembre!Titre11</vt:lpstr>
      <vt:lpstr>Fevrier!Titre11</vt:lpstr>
      <vt:lpstr>Juillet!Titre11</vt:lpstr>
      <vt:lpstr>Juin!Titre11</vt:lpstr>
      <vt:lpstr>Mai!Titre11</vt:lpstr>
      <vt:lpstr>Mars!Titre11</vt:lpstr>
      <vt:lpstr>Novembre!Titre11</vt:lpstr>
      <vt:lpstr>Octobre!Titre11</vt:lpstr>
      <vt:lpstr>Septembre!Titre11</vt:lpstr>
      <vt:lpstr>Aout!Titre12</vt:lpstr>
      <vt:lpstr>Avril!Titre12</vt:lpstr>
      <vt:lpstr>Decembre!Titre12</vt:lpstr>
      <vt:lpstr>Fevrier!Titre12</vt:lpstr>
      <vt:lpstr>Juillet!Titre12</vt:lpstr>
      <vt:lpstr>Juin!Titre12</vt:lpstr>
      <vt:lpstr>Mai!Titre12</vt:lpstr>
      <vt:lpstr>Mars!Titre12</vt:lpstr>
      <vt:lpstr>Novembre!Titre12</vt:lpstr>
      <vt:lpstr>Octobre!Titre12</vt:lpstr>
      <vt:lpstr>Septembre!Titre12</vt:lpstr>
      <vt:lpstr>Aout!Titre2</vt:lpstr>
      <vt:lpstr>Avril!Titre2</vt:lpstr>
      <vt:lpstr>Decembre!Titre2</vt:lpstr>
      <vt:lpstr>Fevrier!Titre2</vt:lpstr>
      <vt:lpstr>Juillet!Titre2</vt:lpstr>
      <vt:lpstr>Juin!Titre2</vt:lpstr>
      <vt:lpstr>Mai!Titre2</vt:lpstr>
      <vt:lpstr>Mars!Titre2</vt:lpstr>
      <vt:lpstr>Novembre!Titre2</vt:lpstr>
      <vt:lpstr>Octobre!Titre2</vt:lpstr>
      <vt:lpstr>Septembre!Titre2</vt:lpstr>
      <vt:lpstr>Aout!Titre3</vt:lpstr>
      <vt:lpstr>Avril!Titre3</vt:lpstr>
      <vt:lpstr>Decembre!Titre3</vt:lpstr>
      <vt:lpstr>Fevrier!Titre3</vt:lpstr>
      <vt:lpstr>Juillet!Titre3</vt:lpstr>
      <vt:lpstr>Juin!Titre3</vt:lpstr>
      <vt:lpstr>Mai!Titre3</vt:lpstr>
      <vt:lpstr>Mars!Titre3</vt:lpstr>
      <vt:lpstr>Novembre!Titre3</vt:lpstr>
      <vt:lpstr>Octobre!Titre3</vt:lpstr>
      <vt:lpstr>Septembre!Titre3</vt:lpstr>
      <vt:lpstr>Aout!Titre4</vt:lpstr>
      <vt:lpstr>Avril!Titre4</vt:lpstr>
      <vt:lpstr>Decembre!Titre4</vt:lpstr>
      <vt:lpstr>Fevrier!Titre4</vt:lpstr>
      <vt:lpstr>Juillet!Titre4</vt:lpstr>
      <vt:lpstr>Juin!Titre4</vt:lpstr>
      <vt:lpstr>Mai!Titre4</vt:lpstr>
      <vt:lpstr>Mars!Titre4</vt:lpstr>
      <vt:lpstr>Novembre!Titre4</vt:lpstr>
      <vt:lpstr>Octobre!Titre4</vt:lpstr>
      <vt:lpstr>Septembre!Titre4</vt:lpstr>
      <vt:lpstr>Aout!Titre5</vt:lpstr>
      <vt:lpstr>Avril!Titre5</vt:lpstr>
      <vt:lpstr>Decembre!Titre5</vt:lpstr>
      <vt:lpstr>Fevrier!Titre5</vt:lpstr>
      <vt:lpstr>Juillet!Titre5</vt:lpstr>
      <vt:lpstr>Juin!Titre5</vt:lpstr>
      <vt:lpstr>Mai!Titre5</vt:lpstr>
      <vt:lpstr>Mars!Titre5</vt:lpstr>
      <vt:lpstr>Novembre!Titre5</vt:lpstr>
      <vt:lpstr>Octobre!Titre5</vt:lpstr>
      <vt:lpstr>Septembre!Titre5</vt:lpstr>
      <vt:lpstr>Aout!Titre6</vt:lpstr>
      <vt:lpstr>Avril!Titre6</vt:lpstr>
      <vt:lpstr>Decembre!Titre6</vt:lpstr>
      <vt:lpstr>Fevrier!Titre6</vt:lpstr>
      <vt:lpstr>Juillet!Titre6</vt:lpstr>
      <vt:lpstr>Juin!Titre6</vt:lpstr>
      <vt:lpstr>Mai!Titre6</vt:lpstr>
      <vt:lpstr>Mars!Titre6</vt:lpstr>
      <vt:lpstr>Novembre!Titre6</vt:lpstr>
      <vt:lpstr>Octobre!Titre6</vt:lpstr>
      <vt:lpstr>Septembre!Titre6</vt:lpstr>
      <vt:lpstr>Aout!Titre7</vt:lpstr>
      <vt:lpstr>Avril!Titre7</vt:lpstr>
      <vt:lpstr>Decembre!Titre7</vt:lpstr>
      <vt:lpstr>Fevrier!Titre7</vt:lpstr>
      <vt:lpstr>Juillet!Titre7</vt:lpstr>
      <vt:lpstr>Juin!Titre7</vt:lpstr>
      <vt:lpstr>Mai!Titre7</vt:lpstr>
      <vt:lpstr>Mars!Titre7</vt:lpstr>
      <vt:lpstr>Novembre!Titre7</vt:lpstr>
      <vt:lpstr>Octobre!Titre7</vt:lpstr>
      <vt:lpstr>Septembre!Titre7</vt:lpstr>
      <vt:lpstr>Aout!Titre8</vt:lpstr>
      <vt:lpstr>Avril!Titre8</vt:lpstr>
      <vt:lpstr>Decembre!Titre8</vt:lpstr>
      <vt:lpstr>Fevrier!Titre8</vt:lpstr>
      <vt:lpstr>Juillet!Titre8</vt:lpstr>
      <vt:lpstr>Juin!Titre8</vt:lpstr>
      <vt:lpstr>Mai!Titre8</vt:lpstr>
      <vt:lpstr>Mars!Titre8</vt:lpstr>
      <vt:lpstr>Novembre!Titre8</vt:lpstr>
      <vt:lpstr>Octobre!Titre8</vt:lpstr>
      <vt:lpstr>Septembre!Titre8</vt:lpstr>
      <vt:lpstr>Aout!Titre9</vt:lpstr>
      <vt:lpstr>Avril!Titre9</vt:lpstr>
      <vt:lpstr>Decembre!Titre9</vt:lpstr>
      <vt:lpstr>Fevrier!Titre9</vt:lpstr>
      <vt:lpstr>Juillet!Titre9</vt:lpstr>
      <vt:lpstr>Juin!Titre9</vt:lpstr>
      <vt:lpstr>Mai!Titre9</vt:lpstr>
      <vt:lpstr>Mars!Titre9</vt:lpstr>
      <vt:lpstr>Novembre!Titre9</vt:lpstr>
      <vt:lpstr>Octobre!Titre9</vt:lpstr>
      <vt:lpstr>Septembre!Titre9</vt:lpstr>
      <vt:lpstr>Aout!TitreColonne13</vt:lpstr>
      <vt:lpstr>Avril!TitreColonne13</vt:lpstr>
      <vt:lpstr>Decembre!TitreColonne13</vt:lpstr>
      <vt:lpstr>Fevrier!TitreColonne13</vt:lpstr>
      <vt:lpstr>Juillet!TitreColonne13</vt:lpstr>
      <vt:lpstr>Juin!TitreColonne13</vt:lpstr>
      <vt:lpstr>Mai!TitreColonne13</vt:lpstr>
      <vt:lpstr>Mars!TitreColonne13</vt:lpstr>
      <vt:lpstr>Novembre!TitreColonne13</vt:lpstr>
      <vt:lpstr>Octobre!TitreColonne13</vt:lpstr>
      <vt:lpstr>Septembre!TitreColonne13</vt:lpstr>
      <vt:lpstr>TitreColonne13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Dany</dc:creator>
  <cp:lastModifiedBy>Dany</cp:lastModifiedBy>
  <dcterms:created xsi:type="dcterms:W3CDTF">2016-12-06T04:52:27Z</dcterms:created>
  <dcterms:modified xsi:type="dcterms:W3CDTF">2021-10-12T16:44:09Z</dcterms:modified>
</cp:coreProperties>
</file>