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231"/>
  <workbookPr codeName="ThisWorkbook"/>
  <mc:AlternateContent xmlns:mc="http://schemas.openxmlformats.org/markup-compatibility/2006">
    <mc:Choice Requires="x15">
      <x15ac:absPath xmlns:x15ac="http://schemas.microsoft.com/office/spreadsheetml/2010/11/ac" url="C:\Users\vinciane\Desktop\"/>
    </mc:Choice>
  </mc:AlternateContent>
  <xr:revisionPtr revIDLastSave="0" documentId="13_ncr:1_{70FEB5EE-F5CB-483C-8F8C-77ADD4D1A9E7}" xr6:coauthVersionLast="45" xr6:coauthVersionMax="45" xr10:uidLastSave="{00000000-0000-0000-0000-000000000000}"/>
  <bookViews>
    <workbookView xWindow="-120" yWindow="-120" windowWidth="20730" windowHeight="11160" tabRatio="775" activeTab="4" xr2:uid="{00000000-000D-0000-FFFF-FFFF00000000}"/>
  </bookViews>
  <sheets>
    <sheet name="MARCHE CONTRAT PV" sheetId="3" r:id="rId1"/>
    <sheet name="FACT ST" sheetId="4" r:id="rId2"/>
    <sheet name="RECAP FACT" sheetId="5" r:id="rId3"/>
    <sheet name="DOCS ADM" sheetId="6" r:id="rId4"/>
    <sheet name="DONNEES" sheetId="8" r:id="rId5"/>
    <sheet name="Feuil2" sheetId="10" r:id="rId6"/>
    <sheet name="DONNEESOld" sheetId="9" r:id="rId7"/>
  </sheets>
  <externalReferences>
    <externalReference r:id="rId8"/>
  </externalReferences>
  <definedNames>
    <definedName name="test" localSheetId="6">OFFSET(DONNEESOld!$O$1,,COUNTA(DONNEESOld!$1:$1),-7,)</definedName>
    <definedName name="test">OFFSET(DONNEES!$P$1,,COUNTA(DONNEES!$1:$1),-7,)</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56" i="3" l="1"/>
  <c r="E53" i="3"/>
  <c r="E50" i="3" l="1"/>
  <c r="E49" i="3"/>
  <c r="L2" i="9" l="1"/>
  <c r="A49" i="5" l="1"/>
  <c r="AA4" i="4" l="1"/>
  <c r="AA5" i="4"/>
  <c r="AA6" i="4"/>
  <c r="AA7" i="4"/>
  <c r="AA8" i="4"/>
  <c r="AA9" i="4"/>
  <c r="AA10" i="4"/>
  <c r="AA11" i="4"/>
  <c r="AA12" i="4"/>
  <c r="AA13" i="4"/>
  <c r="AA14" i="4"/>
  <c r="AA15" i="4"/>
  <c r="AA16" i="4"/>
  <c r="AA17" i="4"/>
  <c r="AA18" i="4"/>
  <c r="AA19" i="4"/>
  <c r="AA20" i="4"/>
  <c r="AA21" i="4"/>
  <c r="AA22" i="4"/>
  <c r="AA23" i="4"/>
  <c r="AA24" i="4"/>
  <c r="AA25" i="4"/>
  <c r="AA26" i="4"/>
  <c r="AA27" i="4"/>
  <c r="AA28" i="4"/>
  <c r="AA29" i="4"/>
  <c r="AA30" i="4"/>
  <c r="AA31" i="4"/>
  <c r="AA40" i="4"/>
  <c r="AA71" i="4"/>
  <c r="AA72" i="4"/>
  <c r="AA73" i="4"/>
  <c r="AA74" i="4"/>
  <c r="AA75" i="4"/>
  <c r="AA76" i="4"/>
  <c r="AA77" i="4"/>
  <c r="AA78" i="4"/>
  <c r="AA79" i="4"/>
  <c r="AA80" i="4"/>
  <c r="AA81" i="4"/>
  <c r="AA82" i="4"/>
  <c r="AA83" i="4"/>
  <c r="AA84" i="4"/>
  <c r="AA85" i="4"/>
  <c r="AA86" i="4"/>
  <c r="AA87" i="4"/>
  <c r="AA88" i="4"/>
  <c r="AA89" i="4"/>
  <c r="AA90" i="4"/>
  <c r="AA91" i="4"/>
  <c r="V37" i="4"/>
  <c r="V38" i="4"/>
  <c r="V39" i="4"/>
  <c r="V40" i="4"/>
  <c r="V41" i="4"/>
  <c r="V42" i="4"/>
  <c r="V43" i="4"/>
  <c r="V44" i="4"/>
  <c r="V45" i="4"/>
  <c r="V46" i="4"/>
  <c r="V47" i="4"/>
  <c r="V4" i="4"/>
  <c r="V5" i="4"/>
  <c r="V6" i="4"/>
  <c r="V7" i="4"/>
  <c r="V8" i="4"/>
  <c r="V9" i="4"/>
  <c r="V10" i="4"/>
  <c r="V11" i="4"/>
  <c r="V12" i="4"/>
  <c r="V13" i="4"/>
  <c r="V14" i="4"/>
  <c r="V15" i="4"/>
  <c r="V16" i="4"/>
  <c r="V17" i="4"/>
  <c r="V18" i="4"/>
  <c r="V19" i="4"/>
  <c r="V20" i="4"/>
  <c r="V21" i="4"/>
  <c r="V22" i="4"/>
  <c r="V23" i="4"/>
  <c r="V24" i="4"/>
  <c r="V25" i="4"/>
  <c r="V26" i="4"/>
  <c r="V27" i="4"/>
  <c r="V28" i="4"/>
  <c r="V29" i="4"/>
  <c r="V30" i="4"/>
  <c r="V31" i="4"/>
  <c r="V32" i="4"/>
  <c r="V33" i="4"/>
  <c r="V34" i="4"/>
  <c r="V48" i="4"/>
  <c r="V49" i="4"/>
  <c r="V50" i="4"/>
  <c r="V51" i="4"/>
  <c r="V52" i="4"/>
  <c r="V53" i="4"/>
  <c r="V54" i="4"/>
  <c r="V55" i="4"/>
  <c r="V56" i="4"/>
  <c r="V57" i="4"/>
  <c r="V58" i="4"/>
  <c r="V59" i="4"/>
  <c r="V60" i="4"/>
  <c r="V61" i="4"/>
  <c r="V62" i="4"/>
  <c r="V63" i="4"/>
  <c r="V64" i="4"/>
  <c r="V65" i="4"/>
  <c r="V66" i="4"/>
  <c r="V67" i="4"/>
  <c r="V68" i="4"/>
  <c r="V69" i="4"/>
  <c r="V70" i="4"/>
  <c r="V71" i="4"/>
  <c r="V72" i="4"/>
  <c r="V73" i="4"/>
  <c r="V74" i="4"/>
  <c r="V75" i="4"/>
  <c r="V76" i="4"/>
  <c r="V77" i="4"/>
  <c r="V78" i="4"/>
  <c r="V79" i="4"/>
  <c r="V80" i="4"/>
  <c r="V81" i="4"/>
  <c r="V82" i="4"/>
  <c r="V83" i="4"/>
  <c r="V84" i="4"/>
  <c r="V85" i="4"/>
  <c r="V86" i="4"/>
  <c r="V87" i="4"/>
  <c r="V88" i="4"/>
  <c r="V89" i="4"/>
  <c r="V90" i="4"/>
  <c r="V91" i="4"/>
  <c r="U4" i="4"/>
  <c r="U5" i="4"/>
  <c r="U6" i="4"/>
  <c r="U7" i="4"/>
  <c r="U8" i="4"/>
  <c r="U9" i="4"/>
  <c r="U10" i="4"/>
  <c r="U11" i="4"/>
  <c r="U12" i="4"/>
  <c r="U13" i="4"/>
  <c r="U14" i="4"/>
  <c r="U15" i="4"/>
  <c r="U16" i="4"/>
  <c r="U17" i="4"/>
  <c r="U18" i="4"/>
  <c r="U19" i="4"/>
  <c r="U20" i="4"/>
  <c r="U21" i="4"/>
  <c r="U22" i="4"/>
  <c r="U23" i="4"/>
  <c r="U24" i="4"/>
  <c r="U25" i="4"/>
  <c r="U26" i="4"/>
  <c r="U27" i="4"/>
  <c r="U28" i="4"/>
  <c r="U29" i="4"/>
  <c r="U30" i="4"/>
  <c r="U31" i="4"/>
  <c r="U71" i="4"/>
  <c r="U72" i="4"/>
  <c r="U73" i="4"/>
  <c r="U74" i="4"/>
  <c r="U75" i="4"/>
  <c r="U76" i="4"/>
  <c r="U77" i="4"/>
  <c r="U78" i="4"/>
  <c r="U79" i="4"/>
  <c r="U80" i="4"/>
  <c r="U81" i="4"/>
  <c r="U82" i="4"/>
  <c r="U83" i="4"/>
  <c r="U84" i="4"/>
  <c r="U85" i="4"/>
  <c r="U86" i="4"/>
  <c r="U87" i="4"/>
  <c r="U88" i="4"/>
  <c r="U89" i="4"/>
  <c r="U90" i="4"/>
  <c r="U91" i="4"/>
  <c r="M8" i="3"/>
  <c r="M9" i="3"/>
  <c r="M10" i="3"/>
  <c r="M11" i="3"/>
  <c r="M12" i="3"/>
  <c r="M13" i="3"/>
  <c r="M14" i="3"/>
  <c r="M15" i="3"/>
  <c r="M16" i="3"/>
  <c r="M17" i="3"/>
  <c r="M18" i="3"/>
  <c r="M19" i="3"/>
  <c r="M20" i="3"/>
  <c r="P4" i="3"/>
  <c r="P5" i="3"/>
  <c r="P6" i="3"/>
  <c r="P7" i="3"/>
  <c r="P8" i="3"/>
  <c r="P9" i="3"/>
  <c r="P10" i="3"/>
  <c r="P11" i="3"/>
  <c r="P12" i="3"/>
  <c r="P13" i="3"/>
  <c r="P14" i="3"/>
  <c r="P15" i="3"/>
  <c r="P16" i="3"/>
  <c r="P17" i="3"/>
  <c r="P18" i="3"/>
  <c r="P19" i="3"/>
  <c r="P20" i="3"/>
  <c r="P21" i="3"/>
  <c r="P22" i="3"/>
  <c r="P23" i="3"/>
  <c r="P24" i="3"/>
  <c r="P25" i="3"/>
  <c r="P26" i="3"/>
  <c r="P27" i="3"/>
  <c r="P28" i="3"/>
  <c r="P29" i="3"/>
  <c r="P30" i="3"/>
  <c r="P31" i="3"/>
  <c r="P32" i="3"/>
  <c r="P33" i="3"/>
  <c r="P34" i="3"/>
  <c r="P35" i="3"/>
  <c r="P36" i="3"/>
  <c r="P37" i="3"/>
  <c r="P38" i="3"/>
  <c r="P39" i="3"/>
  <c r="P40" i="3"/>
  <c r="P41" i="3"/>
  <c r="P42" i="3"/>
  <c r="O4" i="3"/>
  <c r="O5" i="3"/>
  <c r="O6" i="3"/>
  <c r="O7" i="3"/>
  <c r="O8" i="3"/>
  <c r="O9" i="3"/>
  <c r="O10" i="3"/>
  <c r="O11" i="3"/>
  <c r="O12" i="3"/>
  <c r="O13" i="3"/>
  <c r="O14" i="3"/>
  <c r="O15" i="3"/>
  <c r="O16" i="3"/>
  <c r="O17" i="3"/>
  <c r="O18" i="3"/>
  <c r="O19" i="3"/>
  <c r="O20" i="3"/>
  <c r="O21" i="3"/>
  <c r="O22" i="3"/>
  <c r="O23" i="3"/>
  <c r="O24" i="3"/>
  <c r="O25" i="3"/>
  <c r="O26" i="3"/>
  <c r="O27" i="3"/>
  <c r="O28" i="3"/>
  <c r="O29" i="3"/>
  <c r="O30" i="3"/>
  <c r="O31" i="3"/>
  <c r="O32" i="3"/>
  <c r="O33" i="3"/>
  <c r="O34" i="3"/>
  <c r="O35" i="3"/>
  <c r="O36" i="3"/>
  <c r="O37" i="3"/>
  <c r="O38" i="3"/>
  <c r="O39" i="3"/>
  <c r="O40" i="3"/>
  <c r="O41" i="3"/>
  <c r="O42" i="3"/>
  <c r="M42" i="3"/>
  <c r="M41" i="3"/>
  <c r="M40" i="3"/>
  <c r="M39" i="3"/>
  <c r="M38" i="3"/>
  <c r="M37" i="3"/>
  <c r="M36" i="3"/>
  <c r="M35" i="3"/>
  <c r="M34" i="3"/>
  <c r="M33" i="3"/>
  <c r="M32" i="3"/>
  <c r="M31" i="3"/>
  <c r="M30" i="3"/>
  <c r="M29" i="3"/>
  <c r="M28" i="3"/>
  <c r="M27" i="3"/>
  <c r="M26" i="3"/>
  <c r="M25" i="3"/>
  <c r="M24" i="3"/>
  <c r="M23" i="3"/>
  <c r="M22" i="3"/>
  <c r="M21" i="3"/>
  <c r="I4" i="3"/>
  <c r="I5" i="3"/>
  <c r="I6" i="3"/>
  <c r="I7" i="3"/>
  <c r="I8" i="3"/>
  <c r="I9" i="3"/>
  <c r="I10" i="3"/>
  <c r="I11" i="3"/>
  <c r="I12" i="3"/>
  <c r="I13" i="3"/>
  <c r="I14" i="3"/>
  <c r="I15" i="3"/>
  <c r="I16" i="3"/>
  <c r="I17" i="3"/>
  <c r="I18" i="3"/>
  <c r="I19" i="3"/>
  <c r="I20" i="3"/>
  <c r="I21" i="3"/>
  <c r="I22" i="3"/>
  <c r="I23" i="3"/>
  <c r="I24" i="3"/>
  <c r="I25" i="3"/>
  <c r="I26" i="3"/>
  <c r="I27" i="3"/>
  <c r="I28" i="3"/>
  <c r="I29" i="3"/>
  <c r="I30" i="3"/>
  <c r="I31" i="3"/>
  <c r="I32" i="3"/>
  <c r="I33" i="3"/>
  <c r="I34" i="3"/>
  <c r="I35" i="3"/>
  <c r="I36" i="3"/>
  <c r="I37" i="3"/>
  <c r="I38" i="3"/>
  <c r="I39" i="3"/>
  <c r="I40" i="3"/>
  <c r="I41" i="3"/>
  <c r="I42" i="3"/>
  <c r="M34" i="4"/>
  <c r="N34" i="4" s="1"/>
  <c r="M33" i="4"/>
  <c r="M35" i="4"/>
  <c r="M36" i="4"/>
  <c r="M37" i="4"/>
  <c r="M38" i="4"/>
  <c r="M39" i="4"/>
  <c r="M40" i="4"/>
  <c r="M41" i="4"/>
  <c r="M42" i="4"/>
  <c r="M43" i="4"/>
  <c r="M44" i="4"/>
  <c r="M45" i="4"/>
  <c r="M46" i="4"/>
  <c r="M47" i="4"/>
  <c r="M48" i="4"/>
  <c r="M49" i="4"/>
  <c r="M50" i="4"/>
  <c r="M51" i="4"/>
  <c r="M52" i="4"/>
  <c r="M53" i="4"/>
  <c r="M54" i="4"/>
  <c r="M55" i="4"/>
  <c r="M56" i="4"/>
  <c r="M57" i="4"/>
  <c r="M58" i="4"/>
  <c r="M59" i="4"/>
  <c r="M60" i="4"/>
  <c r="M61" i="4"/>
  <c r="M62" i="4"/>
  <c r="M63" i="4"/>
  <c r="M64" i="4"/>
  <c r="M65" i="4"/>
  <c r="M66" i="4"/>
  <c r="M67" i="4"/>
  <c r="M68" i="4"/>
  <c r="M69" i="4"/>
  <c r="M70" i="4"/>
  <c r="M71" i="4"/>
  <c r="M72" i="4"/>
  <c r="M73" i="4"/>
  <c r="M74" i="4"/>
  <c r="M75" i="4"/>
  <c r="M76" i="4"/>
  <c r="M77" i="4"/>
  <c r="M78" i="4"/>
  <c r="M79" i="4"/>
  <c r="M80" i="4"/>
  <c r="M81" i="4"/>
  <c r="M82" i="4"/>
  <c r="M83" i="4"/>
  <c r="M84" i="4"/>
  <c r="M85" i="4"/>
  <c r="M86" i="4"/>
  <c r="M87" i="4"/>
  <c r="M88" i="4"/>
  <c r="M89" i="4"/>
  <c r="M90" i="4"/>
  <c r="M91" i="4"/>
  <c r="M32" i="4"/>
  <c r="N32" i="4" s="1"/>
  <c r="R4" i="3" l="1"/>
  <c r="A64" i="5" l="1"/>
  <c r="A65" i="5"/>
  <c r="A66" i="5"/>
  <c r="A67" i="5"/>
  <c r="A68" i="5"/>
  <c r="A69" i="5"/>
  <c r="A70" i="5"/>
  <c r="A71" i="5"/>
  <c r="A72" i="5"/>
  <c r="A73" i="5"/>
  <c r="A74" i="5"/>
  <c r="A75" i="5"/>
  <c r="A76" i="5"/>
  <c r="A77" i="5"/>
  <c r="A78" i="5"/>
  <c r="A79" i="5"/>
  <c r="A80" i="5"/>
  <c r="A81" i="5"/>
  <c r="A82" i="5"/>
  <c r="A83" i="5"/>
  <c r="A63" i="5"/>
  <c r="B4" i="4"/>
  <c r="B5" i="4"/>
  <c r="B6" i="4"/>
  <c r="B7" i="4"/>
  <c r="B8" i="4"/>
  <c r="B9" i="4"/>
  <c r="B10" i="4"/>
  <c r="B11" i="4"/>
  <c r="B12" i="4"/>
  <c r="B13" i="4"/>
  <c r="B14" i="4"/>
  <c r="B15" i="4"/>
  <c r="B16" i="4"/>
  <c r="B17" i="4"/>
  <c r="B18" i="4"/>
  <c r="B19" i="4"/>
  <c r="B20" i="4"/>
  <c r="B21" i="4"/>
  <c r="B22" i="4"/>
  <c r="B23" i="4"/>
  <c r="B24" i="4"/>
  <c r="B25" i="4"/>
  <c r="B26" i="4"/>
  <c r="B27" i="4"/>
  <c r="B28" i="4"/>
  <c r="B29" i="4"/>
  <c r="B30" i="4"/>
  <c r="B31" i="4"/>
  <c r="B33" i="4"/>
  <c r="B34" i="4"/>
  <c r="B35" i="4"/>
  <c r="B36" i="4"/>
  <c r="B37" i="4"/>
  <c r="B38" i="4"/>
  <c r="B39" i="4"/>
  <c r="B40" i="4"/>
  <c r="B41" i="4"/>
  <c r="B42" i="4"/>
  <c r="B43" i="4"/>
  <c r="B44" i="4"/>
  <c r="B45" i="4"/>
  <c r="B46" i="4"/>
  <c r="B47" i="4"/>
  <c r="B48" i="4"/>
  <c r="B49" i="4"/>
  <c r="B50" i="4"/>
  <c r="B51" i="4"/>
  <c r="B52" i="4"/>
  <c r="B53" i="4"/>
  <c r="B54" i="4"/>
  <c r="B55" i="4"/>
  <c r="B56" i="4"/>
  <c r="B57" i="4"/>
  <c r="B58" i="4"/>
  <c r="B59" i="4"/>
  <c r="B60" i="4"/>
  <c r="B61" i="4"/>
  <c r="B62" i="4"/>
  <c r="B63" i="4"/>
  <c r="B64" i="4"/>
  <c r="B65" i="4"/>
  <c r="B66" i="4"/>
  <c r="B67" i="4"/>
  <c r="B68" i="4"/>
  <c r="B69" i="4"/>
  <c r="B70" i="4"/>
  <c r="B71" i="4"/>
  <c r="B72" i="4"/>
  <c r="B73" i="4"/>
  <c r="B74" i="4"/>
  <c r="B75" i="4"/>
  <c r="B76" i="4"/>
  <c r="B77" i="4"/>
  <c r="B78" i="4"/>
  <c r="B79" i="4"/>
  <c r="B80" i="4"/>
  <c r="B81" i="4"/>
  <c r="B82" i="4"/>
  <c r="B83" i="4"/>
  <c r="B84" i="4"/>
  <c r="B85" i="4"/>
  <c r="B86" i="4"/>
  <c r="B87" i="4"/>
  <c r="B88" i="4"/>
  <c r="B89" i="4"/>
  <c r="B90" i="4"/>
  <c r="B91" i="4"/>
  <c r="B32" i="4"/>
  <c r="A44" i="5"/>
  <c r="H6" i="4" l="1"/>
  <c r="H10" i="4"/>
  <c r="H14" i="4"/>
  <c r="H18" i="4"/>
  <c r="H22" i="4"/>
  <c r="H26" i="4"/>
  <c r="H30" i="4"/>
  <c r="G6" i="4"/>
  <c r="G10" i="4"/>
  <c r="G14" i="4"/>
  <c r="G18" i="4"/>
  <c r="G22" i="4"/>
  <c r="G26" i="4"/>
  <c r="G30" i="4"/>
  <c r="A4" i="3"/>
  <c r="A5" i="3"/>
  <c r="A6" i="3"/>
  <c r="A7" i="3"/>
  <c r="A8" i="3"/>
  <c r="A9" i="3"/>
  <c r="A10" i="3"/>
  <c r="A11" i="3"/>
  <c r="A12" i="3"/>
  <c r="A13" i="3"/>
  <c r="A14" i="3"/>
  <c r="A15" i="3"/>
  <c r="A16" i="3"/>
  <c r="A17" i="3"/>
  <c r="A18" i="3"/>
  <c r="A19" i="3"/>
  <c r="A20" i="3"/>
  <c r="A21" i="3"/>
  <c r="A22" i="3"/>
  <c r="A23" i="3"/>
  <c r="A24" i="3"/>
  <c r="A25" i="3"/>
  <c r="A26" i="3"/>
  <c r="A27" i="3"/>
  <c r="A28" i="3"/>
  <c r="A29" i="3"/>
  <c r="A30" i="3"/>
  <c r="A31" i="3"/>
  <c r="A32" i="3"/>
  <c r="A33" i="3"/>
  <c r="A34" i="3"/>
  <c r="A35" i="3"/>
  <c r="A36" i="3"/>
  <c r="A37" i="3"/>
  <c r="A38" i="3"/>
  <c r="A39" i="3"/>
  <c r="A40" i="3"/>
  <c r="A41" i="3"/>
  <c r="A42" i="3"/>
  <c r="C6" i="5"/>
  <c r="L4" i="5"/>
  <c r="L5" i="5"/>
  <c r="L6" i="5"/>
  <c r="L7" i="5"/>
  <c r="L3" i="5"/>
  <c r="A37" i="5"/>
  <c r="A38" i="5"/>
  <c r="A39" i="5"/>
  <c r="A40" i="5"/>
  <c r="A41" i="5"/>
  <c r="A42" i="5"/>
  <c r="A43" i="5"/>
  <c r="A45" i="5"/>
  <c r="A46" i="5"/>
  <c r="A47" i="5"/>
  <c r="A48" i="5"/>
  <c r="A50" i="5"/>
  <c r="A51" i="5"/>
  <c r="A52" i="5"/>
  <c r="A53" i="5"/>
  <c r="A54" i="5"/>
  <c r="A55" i="5"/>
  <c r="A56" i="5"/>
  <c r="A57" i="5"/>
  <c r="A12" i="5"/>
  <c r="A13" i="5"/>
  <c r="A14" i="5"/>
  <c r="A15" i="5"/>
  <c r="A16" i="5"/>
  <c r="A17" i="5"/>
  <c r="A18" i="5"/>
  <c r="A19" i="5"/>
  <c r="A20" i="5"/>
  <c r="A21" i="5"/>
  <c r="A22" i="5"/>
  <c r="A23" i="5"/>
  <c r="A24" i="5"/>
  <c r="A25" i="5"/>
  <c r="A26" i="5"/>
  <c r="A27" i="5"/>
  <c r="A28" i="5"/>
  <c r="A29" i="5"/>
  <c r="A30" i="5"/>
  <c r="A31" i="5"/>
  <c r="A11" i="5"/>
  <c r="I4" i="4"/>
  <c r="I5" i="4"/>
  <c r="I6" i="4"/>
  <c r="I7" i="4"/>
  <c r="I8" i="4"/>
  <c r="I9" i="4"/>
  <c r="I10" i="4"/>
  <c r="I11" i="4"/>
  <c r="I12" i="4"/>
  <c r="I13" i="4"/>
  <c r="I14" i="4"/>
  <c r="I15" i="4"/>
  <c r="I16" i="4"/>
  <c r="I17" i="4"/>
  <c r="I18" i="4"/>
  <c r="I19" i="4"/>
  <c r="I20" i="4"/>
  <c r="I21" i="4"/>
  <c r="I22" i="4"/>
  <c r="I23" i="4"/>
  <c r="I24" i="4"/>
  <c r="I25" i="4"/>
  <c r="I26" i="4"/>
  <c r="I27" i="4"/>
  <c r="I28" i="4"/>
  <c r="I29" i="4"/>
  <c r="I30" i="4"/>
  <c r="I31" i="4"/>
  <c r="I32" i="4"/>
  <c r="I33" i="4"/>
  <c r="I34" i="4"/>
  <c r="I35" i="4"/>
  <c r="I36" i="4"/>
  <c r="I37" i="4"/>
  <c r="I38" i="4"/>
  <c r="I39" i="4"/>
  <c r="I40" i="4"/>
  <c r="I41" i="4"/>
  <c r="I42" i="4"/>
  <c r="I43" i="4"/>
  <c r="I44" i="4"/>
  <c r="I45" i="4"/>
  <c r="I46" i="4"/>
  <c r="I47" i="4"/>
  <c r="I48" i="4"/>
  <c r="I49" i="4"/>
  <c r="I50" i="4"/>
  <c r="I51" i="4"/>
  <c r="I52" i="4"/>
  <c r="I53" i="4"/>
  <c r="I54" i="4"/>
  <c r="I55" i="4"/>
  <c r="I56" i="4"/>
  <c r="I57" i="4"/>
  <c r="I58" i="4"/>
  <c r="I59" i="4"/>
  <c r="I60" i="4"/>
  <c r="I61" i="4"/>
  <c r="I62" i="4"/>
  <c r="I63" i="4"/>
  <c r="I64" i="4"/>
  <c r="I65" i="4"/>
  <c r="I66" i="4"/>
  <c r="I67" i="4"/>
  <c r="I68" i="4"/>
  <c r="I69" i="4"/>
  <c r="I70" i="4"/>
  <c r="I91" i="4"/>
  <c r="Y4" i="4"/>
  <c r="Y5" i="4"/>
  <c r="Y6" i="4"/>
  <c r="Y7" i="4"/>
  <c r="Y8" i="4"/>
  <c r="Y9" i="4"/>
  <c r="Y10" i="4"/>
  <c r="Y11" i="4"/>
  <c r="Y12" i="4"/>
  <c r="Y13" i="4"/>
  <c r="Y14" i="4"/>
  <c r="Y15" i="4"/>
  <c r="Y16" i="4"/>
  <c r="Y17" i="4"/>
  <c r="Y18" i="4"/>
  <c r="Y19" i="4"/>
  <c r="Y20" i="4"/>
  <c r="Y21" i="4"/>
  <c r="Y22" i="4"/>
  <c r="Y23" i="4"/>
  <c r="Y24" i="4"/>
  <c r="Y25" i="4"/>
  <c r="Y26" i="4"/>
  <c r="Y27" i="4"/>
  <c r="Y28" i="4"/>
  <c r="Y29" i="4"/>
  <c r="Y30" i="4"/>
  <c r="Y31" i="4"/>
  <c r="Y32" i="4"/>
  <c r="Y33" i="4"/>
  <c r="Y35" i="4"/>
  <c r="Y36" i="4"/>
  <c r="Y37" i="4"/>
  <c r="Y38" i="4"/>
  <c r="Y40" i="4"/>
  <c r="Y41" i="4"/>
  <c r="Y42" i="4"/>
  <c r="Y43" i="4"/>
  <c r="Y44" i="4"/>
  <c r="Y45" i="4"/>
  <c r="Y46" i="4"/>
  <c r="Y47" i="4"/>
  <c r="Y48" i="4"/>
  <c r="Y49" i="4"/>
  <c r="Y50" i="4"/>
  <c r="Y51" i="4"/>
  <c r="Y52" i="4"/>
  <c r="Y53" i="4"/>
  <c r="Y54" i="4"/>
  <c r="Y55" i="4"/>
  <c r="Y56" i="4"/>
  <c r="Y57" i="4"/>
  <c r="Y58" i="4"/>
  <c r="Y59" i="4"/>
  <c r="Y60" i="4"/>
  <c r="Y61" i="4"/>
  <c r="Y62" i="4"/>
  <c r="Y63" i="4"/>
  <c r="Y64" i="4"/>
  <c r="Y65" i="4"/>
  <c r="Y66" i="4"/>
  <c r="Y67" i="4"/>
  <c r="Y68" i="4"/>
  <c r="Y69" i="4"/>
  <c r="Y70" i="4"/>
  <c r="Y71" i="4"/>
  <c r="Y72" i="4"/>
  <c r="Y73" i="4"/>
  <c r="Y74" i="4"/>
  <c r="Y75" i="4"/>
  <c r="Y76" i="4"/>
  <c r="Y77" i="4"/>
  <c r="Y78" i="4"/>
  <c r="Y79" i="4"/>
  <c r="Y80" i="4"/>
  <c r="Y81" i="4"/>
  <c r="Y82" i="4"/>
  <c r="Y83" i="4"/>
  <c r="Y84" i="4"/>
  <c r="Y85" i="4"/>
  <c r="Y86" i="4"/>
  <c r="Y87" i="4"/>
  <c r="Y88" i="4"/>
  <c r="Y89" i="4"/>
  <c r="Y90" i="4"/>
  <c r="Y91" i="4"/>
  <c r="X4" i="4"/>
  <c r="X5" i="4"/>
  <c r="X6" i="4"/>
  <c r="X7" i="4"/>
  <c r="X8" i="4"/>
  <c r="X9" i="4"/>
  <c r="X10" i="4"/>
  <c r="X11" i="4"/>
  <c r="X12" i="4"/>
  <c r="X13" i="4"/>
  <c r="X14" i="4"/>
  <c r="X15" i="4"/>
  <c r="X16" i="4"/>
  <c r="X17" i="4"/>
  <c r="X18" i="4"/>
  <c r="X19" i="4"/>
  <c r="X20" i="4"/>
  <c r="X21" i="4"/>
  <c r="X22" i="4"/>
  <c r="X23" i="4"/>
  <c r="X24" i="4"/>
  <c r="X25" i="4"/>
  <c r="X26" i="4"/>
  <c r="X27" i="4"/>
  <c r="X28" i="4"/>
  <c r="X29" i="4"/>
  <c r="X30" i="4"/>
  <c r="X31" i="4"/>
  <c r="X33" i="4"/>
  <c r="X34" i="4"/>
  <c r="X35" i="4"/>
  <c r="X36" i="4"/>
  <c r="X37" i="4"/>
  <c r="X39" i="4"/>
  <c r="X40" i="4"/>
  <c r="X41" i="4"/>
  <c r="X42" i="4"/>
  <c r="X43" i="4"/>
  <c r="X44" i="4"/>
  <c r="X45" i="4"/>
  <c r="X46" i="4"/>
  <c r="X47" i="4"/>
  <c r="X48" i="4"/>
  <c r="X49" i="4"/>
  <c r="X50" i="4"/>
  <c r="X51" i="4"/>
  <c r="X52" i="4"/>
  <c r="X53" i="4"/>
  <c r="X54" i="4"/>
  <c r="X55" i="4"/>
  <c r="X56" i="4"/>
  <c r="X57" i="4"/>
  <c r="X58" i="4"/>
  <c r="X59" i="4"/>
  <c r="X60" i="4"/>
  <c r="X61" i="4"/>
  <c r="X62" i="4"/>
  <c r="X63" i="4"/>
  <c r="X64" i="4"/>
  <c r="X65" i="4"/>
  <c r="X66" i="4"/>
  <c r="X67" i="4"/>
  <c r="X68" i="4"/>
  <c r="X69" i="4"/>
  <c r="X70" i="4"/>
  <c r="X71" i="4"/>
  <c r="X72" i="4"/>
  <c r="X73" i="4"/>
  <c r="X74" i="4"/>
  <c r="X75" i="4"/>
  <c r="X76" i="4"/>
  <c r="X77" i="4"/>
  <c r="X78" i="4"/>
  <c r="X79" i="4"/>
  <c r="X80" i="4"/>
  <c r="X81" i="4"/>
  <c r="X82" i="4"/>
  <c r="X83" i="4"/>
  <c r="X84" i="4"/>
  <c r="X85" i="4"/>
  <c r="X86" i="4"/>
  <c r="X87" i="4"/>
  <c r="X88" i="4"/>
  <c r="X89" i="4"/>
  <c r="X90" i="4"/>
  <c r="X91" i="4"/>
  <c r="W4" i="4"/>
  <c r="W5" i="4"/>
  <c r="W6" i="4"/>
  <c r="W7" i="4"/>
  <c r="W8" i="4"/>
  <c r="W9" i="4"/>
  <c r="W10" i="4"/>
  <c r="W11" i="4"/>
  <c r="W12" i="4"/>
  <c r="W13" i="4"/>
  <c r="W14" i="4"/>
  <c r="W15" i="4"/>
  <c r="W16" i="4"/>
  <c r="W17" i="4"/>
  <c r="W18" i="4"/>
  <c r="W19" i="4"/>
  <c r="W20" i="4"/>
  <c r="W21" i="4"/>
  <c r="W22" i="4"/>
  <c r="W23" i="4"/>
  <c r="W24" i="4"/>
  <c r="W25" i="4"/>
  <c r="W26" i="4"/>
  <c r="W27" i="4"/>
  <c r="W28" i="4"/>
  <c r="W29" i="4"/>
  <c r="W30" i="4"/>
  <c r="W31" i="4"/>
  <c r="W32" i="4"/>
  <c r="W34" i="4"/>
  <c r="W35" i="4"/>
  <c r="W36" i="4"/>
  <c r="W38" i="4"/>
  <c r="W40" i="4"/>
  <c r="W41" i="4"/>
  <c r="W42" i="4"/>
  <c r="W43" i="4"/>
  <c r="W44" i="4"/>
  <c r="W45" i="4"/>
  <c r="W46" i="4"/>
  <c r="W47" i="4"/>
  <c r="W48" i="4"/>
  <c r="W49" i="4"/>
  <c r="W50" i="4"/>
  <c r="W51" i="4"/>
  <c r="W52" i="4"/>
  <c r="W53" i="4"/>
  <c r="W54" i="4"/>
  <c r="W55" i="4"/>
  <c r="W56" i="4"/>
  <c r="W57" i="4"/>
  <c r="W58" i="4"/>
  <c r="W59" i="4"/>
  <c r="W60" i="4"/>
  <c r="W61" i="4"/>
  <c r="W62" i="4"/>
  <c r="W63" i="4"/>
  <c r="W64" i="4"/>
  <c r="W65" i="4"/>
  <c r="W66" i="4"/>
  <c r="W67" i="4"/>
  <c r="W68" i="4"/>
  <c r="W69" i="4"/>
  <c r="W70" i="4"/>
  <c r="W71" i="4"/>
  <c r="W72" i="4"/>
  <c r="W74" i="4"/>
  <c r="W75" i="4"/>
  <c r="W76" i="4"/>
  <c r="W77" i="4"/>
  <c r="W78" i="4"/>
  <c r="W79" i="4"/>
  <c r="W80" i="4"/>
  <c r="W81" i="4"/>
  <c r="W82" i="4"/>
  <c r="W83" i="4"/>
  <c r="W84" i="4"/>
  <c r="W85" i="4"/>
  <c r="W86" i="4"/>
  <c r="W87" i="4"/>
  <c r="W88" i="4"/>
  <c r="W89" i="4"/>
  <c r="W90" i="4"/>
  <c r="W91" i="4"/>
  <c r="R5" i="3"/>
  <c r="R6" i="3"/>
  <c r="R7" i="3"/>
  <c r="R8" i="3"/>
  <c r="R9" i="3"/>
  <c r="R10" i="3"/>
  <c r="R11" i="3"/>
  <c r="R12" i="3"/>
  <c r="R13" i="3"/>
  <c r="R14" i="3"/>
  <c r="R15" i="3"/>
  <c r="R16" i="3"/>
  <c r="R17" i="3"/>
  <c r="R18" i="3"/>
  <c r="R19" i="3"/>
  <c r="R20" i="3"/>
  <c r="R21" i="3"/>
  <c r="R22" i="3"/>
  <c r="R23" i="3"/>
  <c r="R24" i="3"/>
  <c r="R25" i="3"/>
  <c r="R26" i="3"/>
  <c r="R27" i="3"/>
  <c r="R28" i="3"/>
  <c r="R29" i="3"/>
  <c r="R30" i="3"/>
  <c r="R31" i="3"/>
  <c r="R32" i="3"/>
  <c r="R33" i="3"/>
  <c r="R34" i="3"/>
  <c r="R35" i="3"/>
  <c r="R36" i="3"/>
  <c r="R37" i="3"/>
  <c r="R38" i="3"/>
  <c r="R39" i="3"/>
  <c r="R40" i="3"/>
  <c r="R41" i="3"/>
  <c r="R42" i="3"/>
  <c r="Q4" i="3"/>
  <c r="Q5" i="3"/>
  <c r="Q6" i="3"/>
  <c r="Q7" i="3"/>
  <c r="Q8" i="3"/>
  <c r="Q9" i="3"/>
  <c r="Q10" i="3"/>
  <c r="Q11" i="3"/>
  <c r="Q12" i="3"/>
  <c r="Q13" i="3"/>
  <c r="Q14" i="3"/>
  <c r="Q15" i="3"/>
  <c r="Q16" i="3"/>
  <c r="Q17" i="3"/>
  <c r="Q18" i="3"/>
  <c r="Q19" i="3"/>
  <c r="Q20" i="3"/>
  <c r="Q21" i="3"/>
  <c r="Q22" i="3"/>
  <c r="Q23" i="3"/>
  <c r="Q24" i="3"/>
  <c r="Q25" i="3"/>
  <c r="Q26" i="3"/>
  <c r="Q27" i="3"/>
  <c r="Q28" i="3"/>
  <c r="Q29" i="3"/>
  <c r="Q30" i="3"/>
  <c r="Q31" i="3"/>
  <c r="Q32" i="3"/>
  <c r="Q33" i="3"/>
  <c r="Q34" i="3"/>
  <c r="Q35" i="3"/>
  <c r="Q36" i="3"/>
  <c r="Q37" i="3"/>
  <c r="Q38" i="3"/>
  <c r="Q39" i="3"/>
  <c r="Q40" i="3"/>
  <c r="Q41" i="3"/>
  <c r="Q42" i="3"/>
  <c r="U19" i="3"/>
  <c r="U20" i="3"/>
  <c r="U21" i="3"/>
  <c r="U22" i="3"/>
  <c r="U23" i="3"/>
  <c r="U24" i="3"/>
  <c r="U25" i="3"/>
  <c r="U26" i="3"/>
  <c r="U27" i="3"/>
  <c r="U28" i="3"/>
  <c r="U29" i="3"/>
  <c r="U30" i="3"/>
  <c r="U31" i="3"/>
  <c r="U32" i="3"/>
  <c r="U33" i="3"/>
  <c r="U34" i="3"/>
  <c r="U35" i="3"/>
  <c r="U36" i="3"/>
  <c r="U37" i="3"/>
  <c r="U38" i="3"/>
  <c r="U39" i="3"/>
  <c r="U40" i="3"/>
  <c r="U41" i="3"/>
  <c r="U42" i="3"/>
  <c r="M5" i="4"/>
  <c r="M6" i="4"/>
  <c r="M7" i="4"/>
  <c r="M8" i="4"/>
  <c r="M9" i="4"/>
  <c r="M10" i="4"/>
  <c r="M11" i="4"/>
  <c r="M12" i="4"/>
  <c r="M13" i="4"/>
  <c r="M14" i="4"/>
  <c r="M15" i="4"/>
  <c r="M16" i="4"/>
  <c r="M17" i="4"/>
  <c r="M18" i="4"/>
  <c r="M19" i="4"/>
  <c r="M20" i="4"/>
  <c r="M21" i="4"/>
  <c r="M22" i="4"/>
  <c r="M23" i="4"/>
  <c r="M24" i="4"/>
  <c r="M25" i="4"/>
  <c r="M26" i="4"/>
  <c r="M27" i="4"/>
  <c r="M28" i="4"/>
  <c r="M29" i="4"/>
  <c r="M30" i="4"/>
  <c r="M31" i="4"/>
  <c r="N33" i="4"/>
  <c r="N35" i="4"/>
  <c r="N36" i="4"/>
  <c r="N37" i="4"/>
  <c r="N38" i="4"/>
  <c r="N39" i="4"/>
  <c r="N40" i="4"/>
  <c r="N41" i="4"/>
  <c r="N42" i="4"/>
  <c r="N43" i="4"/>
  <c r="N44" i="4"/>
  <c r="N45" i="4"/>
  <c r="N46" i="4"/>
  <c r="N47" i="4"/>
  <c r="N48" i="4"/>
  <c r="N49" i="4"/>
  <c r="N50" i="4"/>
  <c r="N51" i="4"/>
  <c r="N52" i="4"/>
  <c r="N53" i="4"/>
  <c r="N54" i="4"/>
  <c r="N55" i="4"/>
  <c r="N56" i="4"/>
  <c r="N57" i="4"/>
  <c r="N58" i="4"/>
  <c r="N59" i="4"/>
  <c r="N60" i="4"/>
  <c r="N61" i="4"/>
  <c r="N62" i="4"/>
  <c r="N63" i="4"/>
  <c r="N64" i="4"/>
  <c r="N65" i="4"/>
  <c r="N66" i="4"/>
  <c r="N67" i="4"/>
  <c r="N68" i="4"/>
  <c r="N69" i="4"/>
  <c r="N70" i="4"/>
  <c r="M4" i="4"/>
  <c r="U18" i="3"/>
  <c r="U17" i="3"/>
  <c r="U16" i="3"/>
  <c r="U15" i="3"/>
  <c r="U14" i="3"/>
  <c r="U13" i="3"/>
  <c r="U12" i="3"/>
  <c r="U11" i="3"/>
  <c r="U10" i="3"/>
  <c r="U9" i="3"/>
  <c r="U8" i="3"/>
  <c r="U7" i="3"/>
  <c r="U6" i="3"/>
  <c r="U5" i="3"/>
  <c r="U4" i="3"/>
  <c r="H7" i="4"/>
  <c r="H8" i="4"/>
  <c r="H11" i="4"/>
  <c r="H12" i="4"/>
  <c r="H15" i="4"/>
  <c r="H16" i="4"/>
  <c r="H19" i="4"/>
  <c r="H20" i="4"/>
  <c r="H23" i="4"/>
  <c r="H24" i="4"/>
  <c r="H27" i="4"/>
  <c r="H28" i="4"/>
  <c r="H31" i="4"/>
  <c r="N2" i="8"/>
  <c r="C84" i="5"/>
  <c r="T1" i="6"/>
  <c r="N14" i="3" l="1"/>
  <c r="N18" i="3"/>
  <c r="N10" i="3"/>
  <c r="N20" i="3"/>
  <c r="N16" i="3"/>
  <c r="N12" i="3"/>
  <c r="N8" i="3"/>
  <c r="F9" i="5"/>
  <c r="N17" i="3"/>
  <c r="N13" i="3"/>
  <c r="N9" i="3"/>
  <c r="N19" i="3"/>
  <c r="N15" i="3"/>
  <c r="N11" i="3"/>
  <c r="F35" i="5" s="1"/>
  <c r="J39" i="5" s="1"/>
  <c r="J71" i="4"/>
  <c r="J75" i="4"/>
  <c r="J79" i="4"/>
  <c r="J83" i="4"/>
  <c r="H83" i="5" s="1"/>
  <c r="J87" i="4"/>
  <c r="J91" i="4"/>
  <c r="J72" i="4"/>
  <c r="J76" i="4"/>
  <c r="H76" i="5" s="1"/>
  <c r="J80" i="4"/>
  <c r="J84" i="4"/>
  <c r="J88" i="4"/>
  <c r="J74" i="4"/>
  <c r="H74" i="5" s="1"/>
  <c r="J82" i="4"/>
  <c r="J90" i="4"/>
  <c r="J73" i="4"/>
  <c r="H73" i="5" s="1"/>
  <c r="J77" i="4"/>
  <c r="H77" i="5" s="1"/>
  <c r="J81" i="4"/>
  <c r="J85" i="4"/>
  <c r="J89" i="4"/>
  <c r="J78" i="4"/>
  <c r="H78" i="5" s="1"/>
  <c r="J86" i="4"/>
  <c r="H55" i="4"/>
  <c r="H47" i="4"/>
  <c r="H63" i="4"/>
  <c r="H39" i="4"/>
  <c r="H70" i="4"/>
  <c r="G42" i="4"/>
  <c r="G58" i="4"/>
  <c r="H50" i="4"/>
  <c r="H66" i="4"/>
  <c r="H43" i="4"/>
  <c r="H51" i="4"/>
  <c r="H59" i="4"/>
  <c r="H67" i="4"/>
  <c r="H38" i="4"/>
  <c r="G46" i="4"/>
  <c r="H54" i="4"/>
  <c r="G62" i="4"/>
  <c r="H34" i="4"/>
  <c r="H29" i="4"/>
  <c r="G29" i="4"/>
  <c r="H17" i="4"/>
  <c r="G17" i="4"/>
  <c r="H5" i="4"/>
  <c r="G5" i="4"/>
  <c r="H36" i="4"/>
  <c r="H40" i="4"/>
  <c r="H48" i="4"/>
  <c r="H56" i="4"/>
  <c r="H60" i="4"/>
  <c r="H64" i="4"/>
  <c r="H68" i="4"/>
  <c r="H21" i="4"/>
  <c r="G21" i="4"/>
  <c r="H9" i="4"/>
  <c r="G9" i="4"/>
  <c r="G70" i="4"/>
  <c r="G54" i="4"/>
  <c r="G38" i="4"/>
  <c r="H62" i="4"/>
  <c r="H46" i="4"/>
  <c r="H37" i="4"/>
  <c r="H41" i="4"/>
  <c r="H45" i="4"/>
  <c r="H49" i="4"/>
  <c r="H53" i="4"/>
  <c r="H57" i="4"/>
  <c r="H61" i="4"/>
  <c r="H65" i="4"/>
  <c r="H69" i="4"/>
  <c r="G66" i="4"/>
  <c r="G50" i="4"/>
  <c r="G34" i="4"/>
  <c r="H58" i="4"/>
  <c r="H42" i="4"/>
  <c r="H25" i="4"/>
  <c r="G25" i="4"/>
  <c r="H13" i="4"/>
  <c r="G13" i="4"/>
  <c r="H33" i="4"/>
  <c r="G33" i="4"/>
  <c r="G7" i="5"/>
  <c r="G69" i="4"/>
  <c r="G65" i="4"/>
  <c r="G61" i="4"/>
  <c r="G57" i="4"/>
  <c r="G53" i="4"/>
  <c r="G49" i="4"/>
  <c r="G45" i="4"/>
  <c r="G41" i="4"/>
  <c r="G37" i="4"/>
  <c r="G4" i="5"/>
  <c r="G68" i="4"/>
  <c r="G64" i="4"/>
  <c r="G60" i="4"/>
  <c r="G56" i="4"/>
  <c r="G52" i="4"/>
  <c r="G48" i="4"/>
  <c r="G44" i="4"/>
  <c r="G40" i="4"/>
  <c r="G36" i="4"/>
  <c r="G32" i="4"/>
  <c r="G28" i="4"/>
  <c r="G24" i="4"/>
  <c r="G20" i="4"/>
  <c r="G16" i="4"/>
  <c r="G12" i="4"/>
  <c r="G8" i="4"/>
  <c r="H52" i="4"/>
  <c r="H44" i="4"/>
  <c r="H32" i="4"/>
  <c r="G91" i="4"/>
  <c r="G67" i="4"/>
  <c r="G63" i="4"/>
  <c r="G59" i="4"/>
  <c r="G55" i="4"/>
  <c r="G51" i="4"/>
  <c r="G47" i="4"/>
  <c r="G43" i="4"/>
  <c r="G39" i="4"/>
  <c r="G35" i="4"/>
  <c r="G31" i="4"/>
  <c r="G27" i="4"/>
  <c r="G23" i="4"/>
  <c r="G19" i="4"/>
  <c r="G15" i="4"/>
  <c r="G11" i="4"/>
  <c r="G7" i="4"/>
  <c r="H91" i="4"/>
  <c r="H35" i="4"/>
  <c r="J41" i="4"/>
  <c r="G5" i="5"/>
  <c r="G2" i="5"/>
  <c r="G6" i="5"/>
  <c r="G3" i="5"/>
  <c r="J4" i="4"/>
  <c r="J35" i="4"/>
  <c r="J34" i="4"/>
  <c r="J39" i="4"/>
  <c r="J42" i="4"/>
  <c r="J43" i="4"/>
  <c r="H6" i="5"/>
  <c r="H5" i="5"/>
  <c r="H4" i="5"/>
  <c r="F61" i="5"/>
  <c r="K65" i="5" s="1"/>
  <c r="J38" i="4"/>
  <c r="J40" i="4"/>
  <c r="J36" i="4"/>
  <c r="J37" i="4"/>
  <c r="T42" i="4"/>
  <c r="T41" i="4"/>
  <c r="U41" i="4" s="1"/>
  <c r="AA41" i="4" s="1"/>
  <c r="T38" i="4"/>
  <c r="X38" i="4" s="1"/>
  <c r="AA38" i="4" s="1"/>
  <c r="T33" i="4"/>
  <c r="W33" i="4" s="1"/>
  <c r="T29" i="4"/>
  <c r="T25" i="4"/>
  <c r="T21" i="4"/>
  <c r="T17" i="4"/>
  <c r="T13" i="4"/>
  <c r="T9" i="4"/>
  <c r="T11" i="4"/>
  <c r="T46" i="4"/>
  <c r="T74" i="4"/>
  <c r="T80" i="4"/>
  <c r="T86" i="4"/>
  <c r="T37" i="4"/>
  <c r="T58" i="4"/>
  <c r="T60" i="4"/>
  <c r="T65" i="4"/>
  <c r="T32" i="4"/>
  <c r="X32" i="4" s="1"/>
  <c r="T28" i="4"/>
  <c r="T24" i="4"/>
  <c r="T20" i="4"/>
  <c r="T16" i="4"/>
  <c r="T12" i="4"/>
  <c r="T8" i="4"/>
  <c r="T40" i="4"/>
  <c r="U40" i="4" s="1"/>
  <c r="T48" i="4"/>
  <c r="U48" i="4" s="1"/>
  <c r="AA48" i="4" s="1"/>
  <c r="T56" i="4"/>
  <c r="T72" i="4"/>
  <c r="T76" i="4"/>
  <c r="T82" i="4"/>
  <c r="T90" i="4"/>
  <c r="T45" i="4"/>
  <c r="U45" i="4" s="1"/>
  <c r="AA45" i="4" s="1"/>
  <c r="T50" i="4"/>
  <c r="U50" i="4" s="1"/>
  <c r="AA50" i="4" s="1"/>
  <c r="T53" i="4"/>
  <c r="T57" i="4"/>
  <c r="U57" i="4" s="1"/>
  <c r="AA57" i="4" s="1"/>
  <c r="T62" i="4"/>
  <c r="T69" i="4"/>
  <c r="T73" i="4"/>
  <c r="T77" i="4"/>
  <c r="T81" i="4"/>
  <c r="T85" i="4"/>
  <c r="T89" i="4"/>
  <c r="T44" i="4"/>
  <c r="T54" i="4"/>
  <c r="T63" i="4"/>
  <c r="U63" i="4" s="1"/>
  <c r="AA63" i="4" s="1"/>
  <c r="T70" i="4"/>
  <c r="T78" i="4"/>
  <c r="T84" i="4"/>
  <c r="T88" i="4"/>
  <c r="T36" i="4"/>
  <c r="T49" i="4"/>
  <c r="U49" i="4" s="1"/>
  <c r="AA49" i="4" s="1"/>
  <c r="T52" i="4"/>
  <c r="U52" i="4" s="1"/>
  <c r="AA52" i="4" s="1"/>
  <c r="T61" i="4"/>
  <c r="U61" i="4" s="1"/>
  <c r="AA61" i="4" s="1"/>
  <c r="T64" i="4"/>
  <c r="T66" i="4"/>
  <c r="T68" i="4"/>
  <c r="T34" i="4"/>
  <c r="Y34" i="4" s="1"/>
  <c r="T30" i="4"/>
  <c r="T26" i="4"/>
  <c r="T22" i="4"/>
  <c r="T18" i="4"/>
  <c r="T14" i="4"/>
  <c r="T10" i="4"/>
  <c r="T6" i="4"/>
  <c r="T87" i="4"/>
  <c r="T79" i="4"/>
  <c r="T67" i="4"/>
  <c r="U67" i="4" s="1"/>
  <c r="AA67" i="4" s="1"/>
  <c r="T43" i="4"/>
  <c r="U43" i="4" s="1"/>
  <c r="AA43" i="4" s="1"/>
  <c r="T7" i="4"/>
  <c r="T91" i="4"/>
  <c r="T83" i="4"/>
  <c r="T75" i="4"/>
  <c r="T71" i="4"/>
  <c r="T59" i="4"/>
  <c r="T51" i="4"/>
  <c r="U51" i="4" s="1"/>
  <c r="AA51" i="4" s="1"/>
  <c r="T39" i="4"/>
  <c r="H7" i="5" s="1"/>
  <c r="T31" i="4"/>
  <c r="T19" i="4"/>
  <c r="T15" i="4"/>
  <c r="T5" i="4"/>
  <c r="T55" i="4"/>
  <c r="U55" i="4" s="1"/>
  <c r="AA55" i="4" s="1"/>
  <c r="T47" i="4"/>
  <c r="U47" i="4" s="1"/>
  <c r="AA47" i="4" s="1"/>
  <c r="T35" i="4"/>
  <c r="T27" i="4"/>
  <c r="T23" i="4"/>
  <c r="T4" i="4"/>
  <c r="J5" i="4"/>
  <c r="J6" i="4"/>
  <c r="J19" i="4"/>
  <c r="J7" i="4"/>
  <c r="J13" i="5"/>
  <c r="W43" i="3"/>
  <c r="J45" i="4"/>
  <c r="J31" i="4"/>
  <c r="C31" i="5" s="1"/>
  <c r="J15" i="4"/>
  <c r="J58" i="4"/>
  <c r="J68" i="4"/>
  <c r="H68" i="5" s="1"/>
  <c r="J27" i="4"/>
  <c r="J11" i="4"/>
  <c r="J23" i="4"/>
  <c r="J8" i="4"/>
  <c r="J52" i="4"/>
  <c r="J60" i="4"/>
  <c r="J69" i="4"/>
  <c r="H69" i="5" s="1"/>
  <c r="J30" i="4"/>
  <c r="J26" i="4"/>
  <c r="J22" i="4"/>
  <c r="J18" i="4"/>
  <c r="J14" i="4"/>
  <c r="J10" i="4"/>
  <c r="J48" i="4"/>
  <c r="J57" i="4"/>
  <c r="J61" i="4"/>
  <c r="J33" i="4"/>
  <c r="J29" i="4"/>
  <c r="J25" i="4"/>
  <c r="J21" i="4"/>
  <c r="J17" i="4"/>
  <c r="J13" i="4"/>
  <c r="J9" i="4"/>
  <c r="J70" i="4"/>
  <c r="H70" i="5" s="1"/>
  <c r="J44" i="4"/>
  <c r="J49" i="4"/>
  <c r="J53" i="4"/>
  <c r="J64" i="4"/>
  <c r="J32" i="4"/>
  <c r="J28" i="4"/>
  <c r="J24" i="4"/>
  <c r="J20" i="4"/>
  <c r="J16" i="4"/>
  <c r="J12" i="4"/>
  <c r="J47" i="4"/>
  <c r="J51" i="4"/>
  <c r="J55" i="4"/>
  <c r="J59" i="4"/>
  <c r="J63" i="4"/>
  <c r="H63" i="5" s="1"/>
  <c r="J65" i="4"/>
  <c r="H65" i="5" s="1"/>
  <c r="J67" i="4"/>
  <c r="H67" i="5" s="1"/>
  <c r="H71" i="5"/>
  <c r="H72" i="5"/>
  <c r="H75" i="5"/>
  <c r="H79" i="5"/>
  <c r="H80" i="5"/>
  <c r="H81" i="5"/>
  <c r="H82" i="5"/>
  <c r="J46" i="4"/>
  <c r="J50" i="4"/>
  <c r="J54" i="4"/>
  <c r="J56" i="4"/>
  <c r="J62" i="4"/>
  <c r="J66" i="4"/>
  <c r="H66" i="5" s="1"/>
  <c r="U39" i="4" l="1"/>
  <c r="Y39" i="4"/>
  <c r="AA39" i="4" s="1"/>
  <c r="U37" i="4"/>
  <c r="W37" i="4"/>
  <c r="AA37" i="4" s="1"/>
  <c r="U36" i="4"/>
  <c r="V36" i="4"/>
  <c r="AA36" i="4" s="1"/>
  <c r="U44" i="4"/>
  <c r="AA44" i="4" s="1"/>
  <c r="U42" i="4"/>
  <c r="AA42" i="4" s="1"/>
  <c r="U59" i="4"/>
  <c r="AA59" i="4" s="1"/>
  <c r="U64" i="4"/>
  <c r="AA64" i="4" s="1"/>
  <c r="U70" i="4"/>
  <c r="AA70" i="4" s="1"/>
  <c r="U53" i="4"/>
  <c r="AA53" i="4" s="1"/>
  <c r="U46" i="4"/>
  <c r="AA46" i="4" s="1"/>
  <c r="U66" i="4"/>
  <c r="AA66" i="4" s="1"/>
  <c r="U69" i="4"/>
  <c r="AA69" i="4" s="1"/>
  <c r="U65" i="4"/>
  <c r="AA65" i="4" s="1"/>
  <c r="U38" i="4"/>
  <c r="U56" i="4"/>
  <c r="AA56" i="4" s="1"/>
  <c r="U58" i="4"/>
  <c r="AA58" i="4" s="1"/>
  <c r="U68" i="4"/>
  <c r="AA68" i="4" s="1"/>
  <c r="U54" i="4"/>
  <c r="AA54" i="4" s="1"/>
  <c r="U62" i="4"/>
  <c r="AA62" i="4" s="1"/>
  <c r="U60" i="4"/>
  <c r="AA60" i="4" s="1"/>
  <c r="W73" i="4"/>
  <c r="H3" i="5"/>
  <c r="I5" i="5"/>
  <c r="E56" i="5" a="1"/>
  <c r="E56" i="5" s="1"/>
  <c r="D65" i="5" a="1"/>
  <c r="D65" i="5" s="1"/>
  <c r="D72" i="5" a="1"/>
  <c r="D72" i="5" s="1"/>
  <c r="D78" i="5" a="1"/>
  <c r="D78" i="5" s="1"/>
  <c r="E64" i="5" a="1"/>
  <c r="E64" i="5" s="1"/>
  <c r="E69" i="5" a="1"/>
  <c r="E69" i="5" s="1"/>
  <c r="E73" i="5" a="1"/>
  <c r="E73" i="5" s="1"/>
  <c r="E77" i="5" a="1"/>
  <c r="E77" i="5" s="1"/>
  <c r="E81" i="5" a="1"/>
  <c r="E81" i="5" s="1"/>
  <c r="E83" i="5" a="1"/>
  <c r="E83" i="5" s="1"/>
  <c r="E79" i="5" a="1"/>
  <c r="E79" i="5" s="1"/>
  <c r="D82" i="5" a="1"/>
  <c r="D82" i="5" s="1"/>
  <c r="E76" i="5" a="1"/>
  <c r="E76" i="5" s="1"/>
  <c r="D66" i="5" a="1"/>
  <c r="D66" i="5" s="1"/>
  <c r="D73" i="5" a="1"/>
  <c r="D73" i="5" s="1"/>
  <c r="D80" i="5" a="1"/>
  <c r="D80" i="5" s="1"/>
  <c r="E65" i="5" a="1"/>
  <c r="E65" i="5" s="1"/>
  <c r="E70" i="5" a="1"/>
  <c r="E70" i="5" s="1"/>
  <c r="E74" i="5" a="1"/>
  <c r="E74" i="5" s="1"/>
  <c r="E78" i="5" a="1"/>
  <c r="E78" i="5" s="1"/>
  <c r="D77" i="5" a="1"/>
  <c r="D77" i="5" s="1"/>
  <c r="E68" i="5" a="1"/>
  <c r="E68" i="5" s="1"/>
  <c r="D68" i="5" a="1"/>
  <c r="D68" i="5" s="1"/>
  <c r="D76" i="5" a="1"/>
  <c r="D76" i="5" s="1"/>
  <c r="D81" i="5" a="1"/>
  <c r="D81" i="5" s="1"/>
  <c r="E66" i="5" a="1"/>
  <c r="E66" i="5" s="1"/>
  <c r="E71" i="5" a="1"/>
  <c r="E71" i="5" s="1"/>
  <c r="E75" i="5" a="1"/>
  <c r="E75" i="5" s="1"/>
  <c r="D69" i="5" a="1"/>
  <c r="D69" i="5" s="1"/>
  <c r="E72" i="5" a="1"/>
  <c r="E72" i="5" s="1"/>
  <c r="E80" i="5" a="1"/>
  <c r="E80" i="5" s="1"/>
  <c r="D83" i="5" a="1"/>
  <c r="D83" i="5" s="1"/>
  <c r="D67" i="5" a="1"/>
  <c r="D67" i="5" s="1"/>
  <c r="D74" i="5" a="1"/>
  <c r="D74" i="5" s="1"/>
  <c r="E67" i="5" a="1"/>
  <c r="E67" i="5" s="1"/>
  <c r="F63" i="5" a="1"/>
  <c r="F63" i="5" s="1"/>
  <c r="D79" i="5" a="1"/>
  <c r="D79" i="5" s="1"/>
  <c r="D70" i="5" a="1"/>
  <c r="D70" i="5" s="1"/>
  <c r="D63" i="5" a="1"/>
  <c r="D63" i="5" s="1"/>
  <c r="D71" i="5" a="1"/>
  <c r="D71" i="5" s="1"/>
  <c r="D75" i="5" a="1"/>
  <c r="D75" i="5" s="1"/>
  <c r="E82" i="5" a="1"/>
  <c r="E82" i="5" s="1"/>
  <c r="E63" i="5" a="1"/>
  <c r="E63" i="5" s="1"/>
  <c r="F21" i="5" a="1"/>
  <c r="F21" i="5" s="1"/>
  <c r="G21" i="5" s="1" a="1"/>
  <c r="G21" i="5" s="1"/>
  <c r="H64" i="5"/>
  <c r="D64" i="5"/>
  <c r="F20" i="5" a="1"/>
  <c r="F20" i="5" s="1"/>
  <c r="G20" i="5" s="1" a="1"/>
  <c r="G20" i="5" s="1"/>
  <c r="F23" i="5" a="1"/>
  <c r="F23" i="5" s="1"/>
  <c r="F25" i="5" a="1"/>
  <c r="F25" i="5" s="1"/>
  <c r="F14" i="5" a="1"/>
  <c r="F14" i="5" s="1"/>
  <c r="G14" i="5" s="1" a="1"/>
  <c r="G14" i="5" s="1"/>
  <c r="F30" i="5" a="1"/>
  <c r="F30" i="5" s="1"/>
  <c r="F16" i="5" a="1"/>
  <c r="F16" i="5" s="1"/>
  <c r="G16" i="5" s="1" a="1"/>
  <c r="G16" i="5" s="1"/>
  <c r="F31" i="5" a="1"/>
  <c r="F31" i="5" s="1"/>
  <c r="F24" i="5" a="1"/>
  <c r="F24" i="5" s="1"/>
  <c r="G24" i="5" s="1" a="1"/>
  <c r="G24" i="5" s="1"/>
  <c r="F13" i="5" a="1"/>
  <c r="F13" i="5" s="1"/>
  <c r="G13" i="5" s="1" a="1"/>
  <c r="G13" i="5" s="1"/>
  <c r="F29" i="5" a="1"/>
  <c r="F29" i="5" s="1"/>
  <c r="G29" i="5" s="1" a="1"/>
  <c r="G29" i="5" s="1"/>
  <c r="F18" i="5" a="1"/>
  <c r="F18" i="5" s="1"/>
  <c r="G18" i="5" s="1" a="1"/>
  <c r="G18" i="5" s="1"/>
  <c r="F15" i="5" a="1"/>
  <c r="F15" i="5" s="1"/>
  <c r="F11" i="5" a="1"/>
  <c r="F11" i="5" s="1"/>
  <c r="G11" i="5" s="1" a="1"/>
  <c r="G11" i="5" s="1"/>
  <c r="F26" i="5" a="1"/>
  <c r="F26" i="5" s="1"/>
  <c r="G26" i="5" s="1" a="1"/>
  <c r="G26" i="5" s="1"/>
  <c r="F12" i="5" a="1"/>
  <c r="F12" i="5" s="1"/>
  <c r="G12" i="5" s="1" a="1"/>
  <c r="G12" i="5" s="1"/>
  <c r="F28" i="5" a="1"/>
  <c r="F28" i="5" s="1"/>
  <c r="G28" i="5" s="1" a="1"/>
  <c r="G28" i="5" s="1"/>
  <c r="F17" i="5" a="1"/>
  <c r="F17" i="5" s="1"/>
  <c r="F19" i="5" a="1"/>
  <c r="F19" i="5" s="1"/>
  <c r="G19" i="5" s="1" a="1"/>
  <c r="G19" i="5" s="1"/>
  <c r="F22" i="5" a="1"/>
  <c r="F22" i="5" s="1"/>
  <c r="G22" i="5" s="1" a="1"/>
  <c r="G22" i="5" s="1"/>
  <c r="F27" i="5" a="1"/>
  <c r="F27" i="5" s="1"/>
  <c r="I7" i="5"/>
  <c r="D39" i="5" a="1"/>
  <c r="D39" i="5" s="1"/>
  <c r="D43" i="5" a="1"/>
  <c r="D43" i="5" s="1"/>
  <c r="C47" i="5" a="1"/>
  <c r="C47" i="5" s="1"/>
  <c r="F50" i="5" a="1"/>
  <c r="F50" i="5" s="1"/>
  <c r="F54" i="5" a="1"/>
  <c r="F54" i="5" s="1"/>
  <c r="E40" i="5" a="1"/>
  <c r="E40" i="5" s="1"/>
  <c r="D45" i="5" a="1"/>
  <c r="D45" i="5" s="1"/>
  <c r="D49" i="5" a="1"/>
  <c r="D49" i="5" s="1"/>
  <c r="C53" i="5" a="1"/>
  <c r="C53" i="5" s="1"/>
  <c r="D57" i="5" a="1"/>
  <c r="D57" i="5" s="1"/>
  <c r="F56" i="5" a="1"/>
  <c r="F56" i="5" s="1"/>
  <c r="F41" i="5" a="1"/>
  <c r="F41" i="5" s="1"/>
  <c r="E45" i="5" a="1"/>
  <c r="E45" i="5" s="1"/>
  <c r="E49" i="5" a="1"/>
  <c r="E49" i="5" s="1"/>
  <c r="D54" i="5" a="1"/>
  <c r="D54" i="5" s="1"/>
  <c r="D37" i="5" a="1"/>
  <c r="D37" i="5" s="1"/>
  <c r="C41" i="5" a="1"/>
  <c r="C41" i="5" s="1"/>
  <c r="C39" i="5" a="1"/>
  <c r="C39" i="5" s="1"/>
  <c r="C38" i="5" a="1"/>
  <c r="C38" i="5" s="1"/>
  <c r="C42" i="5" a="1"/>
  <c r="C42" i="5" s="1"/>
  <c r="C43" i="5" a="1"/>
  <c r="C43" i="5" s="1"/>
  <c r="F46" i="5" a="1"/>
  <c r="F46" i="5" s="1"/>
  <c r="E50" i="5" a="1"/>
  <c r="E50" i="5" s="1"/>
  <c r="E54" i="5" a="1"/>
  <c r="E54" i="5" s="1"/>
  <c r="C37" i="5" a="1"/>
  <c r="C37" i="5" s="1"/>
  <c r="F47" i="5" a="1"/>
  <c r="F47" i="5" s="1"/>
  <c r="E51" i="5" a="1"/>
  <c r="E51" i="5" s="1"/>
  <c r="E55" i="5" a="1"/>
  <c r="E55" i="5" s="1"/>
  <c r="E53" i="5" a="1"/>
  <c r="E53" i="5" s="1"/>
  <c r="F45" i="5" a="1"/>
  <c r="F45" i="5" s="1"/>
  <c r="F49" i="5" a="1"/>
  <c r="F49" i="5" s="1"/>
  <c r="F57" i="5" a="1"/>
  <c r="F57" i="5" s="1"/>
  <c r="D40" i="5" a="1"/>
  <c r="D40" i="5" s="1"/>
  <c r="D44" i="5" a="1"/>
  <c r="D44" i="5" s="1"/>
  <c r="C48" i="5" a="1"/>
  <c r="C48" i="5" s="1"/>
  <c r="F51" i="5" a="1"/>
  <c r="F51" i="5" s="1"/>
  <c r="F55" i="5" a="1"/>
  <c r="F55" i="5" s="1"/>
  <c r="E41" i="5" a="1"/>
  <c r="E41" i="5" s="1"/>
  <c r="D46" i="5" a="1"/>
  <c r="D46" i="5" s="1"/>
  <c r="D50" i="5" a="1"/>
  <c r="D50" i="5" s="1"/>
  <c r="C54" i="5" a="1"/>
  <c r="C54" i="5" s="1"/>
  <c r="E37" i="5" a="1"/>
  <c r="E37" i="5" s="1"/>
  <c r="F38" i="5" a="1"/>
  <c r="F38" i="5" s="1"/>
  <c r="F42" i="5" a="1"/>
  <c r="F42" i="5" s="1"/>
  <c r="E46" i="5" a="1"/>
  <c r="E46" i="5" s="1"/>
  <c r="D51" i="5" a="1"/>
  <c r="D51" i="5" s="1"/>
  <c r="D55" i="5" a="1"/>
  <c r="D55" i="5" s="1"/>
  <c r="D38" i="5" a="1"/>
  <c r="D38" i="5" s="1"/>
  <c r="F44" i="5" a="1"/>
  <c r="F44" i="5" s="1"/>
  <c r="E52" i="5" a="1"/>
  <c r="E52" i="5" s="1"/>
  <c r="D41" i="5" a="1"/>
  <c r="D41" i="5" s="1"/>
  <c r="C45" i="5" a="1"/>
  <c r="C45" i="5" s="1"/>
  <c r="C49" i="5" a="1"/>
  <c r="C49" i="5" s="1"/>
  <c r="F52" i="5" a="1"/>
  <c r="F52" i="5" s="1"/>
  <c r="C57" i="5" a="1"/>
  <c r="C57" i="5" s="1"/>
  <c r="E38" i="5" a="1"/>
  <c r="E38" i="5" s="1"/>
  <c r="E42" i="5" a="1"/>
  <c r="E42" i="5" s="1"/>
  <c r="D47" i="5" a="1"/>
  <c r="D47" i="5" s="1"/>
  <c r="C51" i="5" a="1"/>
  <c r="C51" i="5" s="1"/>
  <c r="C55" i="5" a="1"/>
  <c r="C55" i="5" s="1"/>
  <c r="F39" i="5" a="1"/>
  <c r="F39" i="5" s="1"/>
  <c r="F43" i="5" a="1"/>
  <c r="F43" i="5" s="1"/>
  <c r="E47" i="5" a="1"/>
  <c r="E47" i="5" s="1"/>
  <c r="D52" i="5" a="1"/>
  <c r="D52" i="5" s="1"/>
  <c r="D56" i="5" a="1"/>
  <c r="D56" i="5" s="1"/>
  <c r="C40" i="5" a="1"/>
  <c r="C40" i="5" s="1"/>
  <c r="C44" i="5" a="1"/>
  <c r="C44" i="5" s="1"/>
  <c r="D42" i="5" a="1"/>
  <c r="D42" i="5" s="1"/>
  <c r="C46" i="5" a="1"/>
  <c r="C46" i="5" s="1"/>
  <c r="C50" i="5" a="1"/>
  <c r="C50" i="5" s="1"/>
  <c r="F53" i="5" a="1"/>
  <c r="F53" i="5" s="1"/>
  <c r="F37" i="5" a="1"/>
  <c r="F37" i="5" s="1"/>
  <c r="G37" i="5" s="1" a="1"/>
  <c r="G37" i="5" s="1"/>
  <c r="E39" i="5" a="1"/>
  <c r="E39" i="5" s="1"/>
  <c r="E43" i="5" a="1"/>
  <c r="E43" i="5" s="1"/>
  <c r="D48" i="5" a="1"/>
  <c r="D48" i="5" s="1"/>
  <c r="C52" i="5" a="1"/>
  <c r="C52" i="5" s="1"/>
  <c r="C56" i="5" a="1"/>
  <c r="C56" i="5" s="1"/>
  <c r="F40" i="5" a="1"/>
  <c r="F40" i="5" s="1"/>
  <c r="E44" i="5" a="1"/>
  <c r="E44" i="5" s="1"/>
  <c r="E48" i="5" a="1"/>
  <c r="E48" i="5" s="1"/>
  <c r="D53" i="5" a="1"/>
  <c r="D53" i="5" s="1"/>
  <c r="E57" i="5" a="1"/>
  <c r="E57" i="5" s="1"/>
  <c r="F48" i="5" a="1"/>
  <c r="F48" i="5" s="1"/>
  <c r="I6" i="5"/>
  <c r="E12" i="5" a="1"/>
  <c r="E12" i="5" s="1"/>
  <c r="I3" i="5"/>
  <c r="E27" i="5" a="1"/>
  <c r="E27" i="5" s="1"/>
  <c r="E28" i="5" a="1"/>
  <c r="E28" i="5" s="1"/>
  <c r="E14" i="5" a="1"/>
  <c r="E14" i="5" s="1"/>
  <c r="D14" i="5" a="1"/>
  <c r="D14" i="5" s="1"/>
  <c r="C27" i="5" a="1"/>
  <c r="C27" i="5" s="1"/>
  <c r="C26" i="5" a="1"/>
  <c r="C26" i="5" s="1"/>
  <c r="D21" i="5" a="1"/>
  <c r="D21" i="5" s="1"/>
  <c r="D27" i="5" a="1"/>
  <c r="D27" i="5" s="1"/>
  <c r="C20" i="5" a="1"/>
  <c r="C20" i="5" s="1"/>
  <c r="E31" i="5" a="1"/>
  <c r="E31" i="5" s="1"/>
  <c r="C18" i="5" a="1"/>
  <c r="C18" i="5" s="1"/>
  <c r="E15" i="5" a="1"/>
  <c r="E15" i="5" s="1"/>
  <c r="C23" i="5" a="1"/>
  <c r="C23" i="5" s="1"/>
  <c r="D24" i="5" a="1"/>
  <c r="D24" i="5" s="1"/>
  <c r="D17" i="5" a="1"/>
  <c r="D17" i="5" s="1"/>
  <c r="E30" i="5" a="1"/>
  <c r="E30" i="5" s="1"/>
  <c r="D22" i="5" a="1"/>
  <c r="D22" i="5" s="1"/>
  <c r="C13" i="5" a="1"/>
  <c r="C13" i="5" s="1"/>
  <c r="C25" i="5" a="1"/>
  <c r="C25" i="5" s="1"/>
  <c r="D15" i="5" a="1"/>
  <c r="D15" i="5" s="1"/>
  <c r="D31" i="5" a="1"/>
  <c r="D31" i="5" s="1"/>
  <c r="E13" i="5" a="1"/>
  <c r="E13" i="5" s="1"/>
  <c r="E11" i="5" a="1"/>
  <c r="E11" i="5" s="1"/>
  <c r="E24" i="5" a="1"/>
  <c r="E24" i="5" s="1"/>
  <c r="E20" i="5" a="1"/>
  <c r="E20" i="5" s="1"/>
  <c r="E16" i="5" a="1"/>
  <c r="E16" i="5" s="1"/>
  <c r="D16" i="5" a="1"/>
  <c r="D16" i="5" s="1"/>
  <c r="D28" i="5" a="1"/>
  <c r="D28" i="5" s="1"/>
  <c r="D18" i="5" a="1"/>
  <c r="D18" i="5" s="1"/>
  <c r="C24" i="5" a="1"/>
  <c r="C24" i="5" s="1"/>
  <c r="C21" i="5" a="1"/>
  <c r="C21" i="5" s="1"/>
  <c r="C11" i="5" a="1"/>
  <c r="C11" i="5" s="1"/>
  <c r="E26" i="5" a="1"/>
  <c r="E26" i="5" s="1"/>
  <c r="D29" i="5" a="1"/>
  <c r="D29" i="5" s="1"/>
  <c r="D13" i="5" a="1"/>
  <c r="D13" i="5" s="1"/>
  <c r="D26" i="5" a="1"/>
  <c r="D26" i="5" s="1"/>
  <c r="C19" i="5" a="1"/>
  <c r="C19" i="5" s="1"/>
  <c r="C17" i="5" a="1"/>
  <c r="C17" i="5" s="1"/>
  <c r="E18" i="5" a="1"/>
  <c r="E18" i="5" s="1"/>
  <c r="C12" i="5" a="1"/>
  <c r="C12" i="5" s="1"/>
  <c r="W39" i="4"/>
  <c r="E19" i="5" a="1"/>
  <c r="E19" i="5" s="1"/>
  <c r="C29" i="5" a="1"/>
  <c r="C29" i="5" s="1"/>
  <c r="C22" i="5" a="1"/>
  <c r="C22" i="5" s="1"/>
  <c r="C30" i="5" a="1"/>
  <c r="C30" i="5" s="1"/>
  <c r="C15" i="5" a="1"/>
  <c r="C15" i="5" s="1"/>
  <c r="E25" i="5" a="1"/>
  <c r="E25" i="5" s="1"/>
  <c r="D11" i="5" a="1"/>
  <c r="D11" i="5" s="1"/>
  <c r="E22" i="5" a="1"/>
  <c r="E22" i="5" s="1"/>
  <c r="D20" i="5" a="1"/>
  <c r="D20" i="5" s="1"/>
  <c r="D12" i="5" a="1"/>
  <c r="D12" i="5" s="1"/>
  <c r="D19" i="5" a="1"/>
  <c r="D19" i="5" s="1"/>
  <c r="C28" i="5" a="1"/>
  <c r="C28" i="5" s="1"/>
  <c r="D23" i="5" a="1"/>
  <c r="D23" i="5" s="1"/>
  <c r="C14" i="5" a="1"/>
  <c r="C14" i="5" s="1"/>
  <c r="D30" i="5" a="1"/>
  <c r="D30" i="5" s="1"/>
  <c r="E17" i="5" a="1"/>
  <c r="E17" i="5" s="1"/>
  <c r="E29" i="5" a="1"/>
  <c r="E29" i="5" s="1"/>
  <c r="E23" i="5" a="1"/>
  <c r="E23" i="5" s="1"/>
  <c r="E21" i="5" a="1"/>
  <c r="E21" i="5" s="1"/>
  <c r="C16" i="5" a="1"/>
  <c r="C16" i="5" s="1"/>
  <c r="D25" i="5" a="1"/>
  <c r="D25" i="5" s="1"/>
  <c r="F84" i="5" l="1"/>
  <c r="K67" i="5" s="1"/>
  <c r="K69" i="5" s="1"/>
  <c r="G63" i="5"/>
  <c r="G84" i="5" s="1"/>
  <c r="E58" i="5"/>
  <c r="J41" i="5" s="1"/>
  <c r="J43" i="5" s="1"/>
  <c r="G27" i="5" a="1"/>
  <c r="G27" i="5" s="1"/>
  <c r="G31" i="5" a="1"/>
  <c r="G31" i="5" s="1"/>
  <c r="G25" i="5" a="1"/>
  <c r="G25" i="5" s="1"/>
  <c r="G15" i="5" a="1"/>
  <c r="G15" i="5" s="1"/>
  <c r="G23" i="5" a="1"/>
  <c r="G23" i="5" s="1"/>
  <c r="G30" i="5" a="1"/>
  <c r="G30" i="5" s="1"/>
  <c r="G17" i="5" a="1"/>
  <c r="G17" i="5" s="1"/>
  <c r="E32" i="5"/>
  <c r="J15" i="5" s="1"/>
  <c r="J17" i="5" s="1"/>
  <c r="H4" i="4" l="1"/>
  <c r="G4" i="4"/>
  <c r="N32" i="3"/>
  <c r="N39" i="3"/>
  <c r="N24" i="3"/>
  <c r="N41" i="3"/>
  <c r="N25" i="3"/>
  <c r="N31" i="3"/>
  <c r="N36" i="3"/>
  <c r="N29" i="3"/>
  <c r="N40" i="3"/>
  <c r="N27" i="3"/>
  <c r="N23" i="3"/>
  <c r="N37" i="3"/>
  <c r="N35" i="3"/>
  <c r="N38" i="3"/>
  <c r="N26" i="3"/>
  <c r="N33" i="3"/>
  <c r="N28" i="3"/>
  <c r="N30" i="3"/>
  <c r="N22" i="3"/>
  <c r="N42" i="3"/>
  <c r="N34" i="3"/>
  <c r="N21" i="3"/>
  <c r="U35" i="4"/>
  <c r="AA35" i="4" l="1"/>
  <c r="V35" i="4"/>
  <c r="N7" i="3"/>
  <c r="M7" i="3"/>
  <c r="AA34" i="4"/>
  <c r="U34" i="4"/>
  <c r="N6" i="3"/>
  <c r="M6" i="3"/>
  <c r="AA32" i="4"/>
  <c r="N4" i="3"/>
  <c r="M4" i="3"/>
  <c r="U32" i="4"/>
  <c r="N5" i="3"/>
  <c r="M5" i="3"/>
  <c r="U33" i="4"/>
  <c r="AA33" i="4"/>
</calcChain>
</file>

<file path=xl/sharedStrings.xml><?xml version="1.0" encoding="utf-8"?>
<sst xmlns="http://schemas.openxmlformats.org/spreadsheetml/2006/main" count="931" uniqueCount="224">
  <si>
    <t>CONTRÔLE DOCS ADM SOUS TRAITANT</t>
  </si>
  <si>
    <t>SOUS TRAITANT</t>
  </si>
  <si>
    <t>FORME JURIDIQUE</t>
  </si>
  <si>
    <t>LISTE PERSONNEL</t>
  </si>
  <si>
    <t>RIB</t>
  </si>
  <si>
    <t>OUI</t>
  </si>
  <si>
    <t>NON</t>
  </si>
  <si>
    <t>ECHEANCIER</t>
  </si>
  <si>
    <t>ATT S/ L'HONNEUR</t>
  </si>
  <si>
    <t>QUALIF / REF CHANTIER</t>
  </si>
  <si>
    <t>PI PERSONNEL</t>
  </si>
  <si>
    <t>PU MARCHE</t>
  </si>
  <si>
    <t>15J</t>
  </si>
  <si>
    <t>MARCHE</t>
  </si>
  <si>
    <t>BASE</t>
  </si>
  <si>
    <t>€</t>
  </si>
  <si>
    <t>RESTE</t>
  </si>
  <si>
    <t>FACT</t>
  </si>
  <si>
    <t>PAYEE LE</t>
  </si>
  <si>
    <t>CHANTIER</t>
  </si>
  <si>
    <t>PUTEAUX</t>
  </si>
  <si>
    <t>CT</t>
  </si>
  <si>
    <t>ARTHUR</t>
  </si>
  <si>
    <t>MO</t>
  </si>
  <si>
    <t>E 3%</t>
  </si>
  <si>
    <t>AUTRE</t>
  </si>
  <si>
    <t>BASE :</t>
  </si>
  <si>
    <t>FACT N°</t>
  </si>
  <si>
    <t>REF FACT</t>
  </si>
  <si>
    <t>DATE FACT</t>
  </si>
  <si>
    <t>OBS</t>
  </si>
  <si>
    <t>PAYEE</t>
  </si>
  <si>
    <t>TOTAL</t>
  </si>
  <si>
    <t>PRESENTE SUR SITU N°</t>
  </si>
  <si>
    <t>BC brut</t>
  </si>
  <si>
    <t>PAYEE :</t>
  </si>
  <si>
    <t>RESTE :</t>
  </si>
  <si>
    <t>DELAIS PAIEMENT</t>
  </si>
  <si>
    <t>Colonne1</t>
  </si>
  <si>
    <t>aujourdhui</t>
  </si>
  <si>
    <t>45J</t>
  </si>
  <si>
    <t>RG_5%</t>
  </si>
  <si>
    <t>BFT_5%</t>
  </si>
  <si>
    <t>LAURENT</t>
  </si>
  <si>
    <t>SUIVI FACTURATION SOUS TRAITANT</t>
  </si>
  <si>
    <t>FACTURES SOUS TRAITANT</t>
  </si>
  <si>
    <t>MOIS</t>
  </si>
  <si>
    <t>REF</t>
  </si>
  <si>
    <t>Sous Traitant</t>
  </si>
  <si>
    <t>Adresse chantier</t>
  </si>
  <si>
    <t>CP</t>
  </si>
  <si>
    <t>fact n°</t>
  </si>
  <si>
    <t>date fact</t>
  </si>
  <si>
    <t>date paiement provisoir</t>
  </si>
  <si>
    <t>marché</t>
  </si>
  <si>
    <t>montant</t>
  </si>
  <si>
    <t>validé par</t>
  </si>
  <si>
    <t>payé / présenté le</t>
  </si>
  <si>
    <t>Observations</t>
  </si>
  <si>
    <t>MONTANT BC</t>
  </si>
  <si>
    <t>JANV</t>
  </si>
  <si>
    <t>FEV</t>
  </si>
  <si>
    <t>MARS</t>
  </si>
  <si>
    <t>AVRIL</t>
  </si>
  <si>
    <t>MAI</t>
  </si>
  <si>
    <t>JUIN</t>
  </si>
  <si>
    <t>JUIL</t>
  </si>
  <si>
    <t>AOUT</t>
  </si>
  <si>
    <t>BOBIGNY</t>
  </si>
  <si>
    <t>2020/0790</t>
  </si>
  <si>
    <t>ST MICHEL SUR ORGE</t>
  </si>
  <si>
    <t>2020/0795</t>
  </si>
  <si>
    <t xml:space="preserve">ST CYR </t>
  </si>
  <si>
    <t>PUTEAU CORDELIA</t>
  </si>
  <si>
    <t>CHATENAY MALABRY - IRENA</t>
  </si>
  <si>
    <t>ST MAUR</t>
  </si>
  <si>
    <t>019/2020</t>
  </si>
  <si>
    <t>CHATENAY MALABRY - ANDREA 2</t>
  </si>
  <si>
    <t>018/2020</t>
  </si>
  <si>
    <t>CLAMART - LORENA</t>
  </si>
  <si>
    <t>017/2020</t>
  </si>
  <si>
    <t>SAINT PIERRE LES NEMOURS</t>
  </si>
  <si>
    <t>NANDY</t>
  </si>
  <si>
    <t>180183</t>
  </si>
  <si>
    <t>180184</t>
  </si>
  <si>
    <t>BRETIGNU SUR ORGE</t>
  </si>
  <si>
    <t>37/07/2020</t>
  </si>
  <si>
    <t>38/07/2020</t>
  </si>
  <si>
    <t>SAINT FARGEAU</t>
  </si>
  <si>
    <t>39/07/2020</t>
  </si>
  <si>
    <t>SERVON</t>
  </si>
  <si>
    <t>60/07/2020</t>
  </si>
  <si>
    <t>ROISSY EN BRIE</t>
  </si>
  <si>
    <t>RB008</t>
  </si>
  <si>
    <t>ATHIS MONS F1</t>
  </si>
  <si>
    <t>2020/0780</t>
  </si>
  <si>
    <t>EN ATTENTE MODIFICATION</t>
  </si>
  <si>
    <t>ATHIS MONS E2</t>
  </si>
  <si>
    <t>2020/0785</t>
  </si>
  <si>
    <t>2020/0305</t>
  </si>
  <si>
    <t>CLAMART</t>
  </si>
  <si>
    <t>202CLMT082020</t>
  </si>
  <si>
    <t>LOGNES</t>
  </si>
  <si>
    <t>60/07/2021</t>
  </si>
  <si>
    <t>MOISSY</t>
  </si>
  <si>
    <t>058/05/2020</t>
  </si>
  <si>
    <t>59/06/2020</t>
  </si>
  <si>
    <t>SARCELLES</t>
  </si>
  <si>
    <t>2020/516</t>
  </si>
  <si>
    <t>MONTFERMEIL</t>
  </si>
  <si>
    <t>10,620</t>
  </si>
  <si>
    <t>FA0036</t>
  </si>
  <si>
    <t>BONDOUFLE</t>
  </si>
  <si>
    <t>20/08/1</t>
  </si>
  <si>
    <t>COMBS ICADE</t>
  </si>
  <si>
    <t>F10-174</t>
  </si>
  <si>
    <t>F10-175</t>
  </si>
  <si>
    <t>SEPT</t>
  </si>
  <si>
    <t>OCT</t>
  </si>
  <si>
    <t>NOV</t>
  </si>
  <si>
    <t>DEC</t>
  </si>
  <si>
    <t>ref fact2</t>
  </si>
  <si>
    <t>SUIVI CHANTIER</t>
  </si>
  <si>
    <t>LIEN DOSSIER</t>
  </si>
  <si>
    <t>CONTRAT</t>
  </si>
  <si>
    <t>PV RECEPTION</t>
  </si>
  <si>
    <t>Ref</t>
  </si>
  <si>
    <t>MOE</t>
  </si>
  <si>
    <t>ADRESSE</t>
  </si>
  <si>
    <t>PU SOUS TRAITANT</t>
  </si>
  <si>
    <t>INDICE BC</t>
  </si>
  <si>
    <t>OBSERVATION</t>
  </si>
  <si>
    <t>STATUT</t>
  </si>
  <si>
    <t xml:space="preserve">SIGNATURE </t>
  </si>
  <si>
    <t>ENVOIE</t>
  </si>
  <si>
    <t>ACCEPTATION</t>
  </si>
  <si>
    <t>DATE</t>
  </si>
  <si>
    <t>RESERVES</t>
  </si>
  <si>
    <t>ARCADE</t>
  </si>
  <si>
    <t>13 BIS RUE DU PONT</t>
  </si>
  <si>
    <t>a</t>
  </si>
  <si>
    <t>AVANCEMENT ST</t>
  </si>
  <si>
    <t>TX</t>
  </si>
  <si>
    <t>Tx</t>
  </si>
  <si>
    <t>CFO</t>
  </si>
  <si>
    <t>TS/TMA/CFA</t>
  </si>
  <si>
    <t>spirit</t>
  </si>
  <si>
    <t>P_2%</t>
  </si>
  <si>
    <t>delais paim</t>
  </si>
  <si>
    <t>MARCHE INIT</t>
  </si>
  <si>
    <t>E_3%</t>
  </si>
  <si>
    <t>Fact</t>
  </si>
  <si>
    <t>payé(e) le</t>
  </si>
  <si>
    <t>payee le</t>
  </si>
  <si>
    <t>VALIDATION</t>
  </si>
  <si>
    <t>b</t>
  </si>
  <si>
    <t>RECEP</t>
  </si>
  <si>
    <t>BC INITIAL</t>
  </si>
  <si>
    <t>MARCHEINT</t>
  </si>
  <si>
    <t>MARCHEEXT</t>
  </si>
  <si>
    <t>ARNAUD</t>
  </si>
  <si>
    <t>FRED</t>
  </si>
  <si>
    <t>JONATHAN</t>
  </si>
  <si>
    <t>LORINE</t>
  </si>
  <si>
    <t>SEB</t>
  </si>
  <si>
    <t>TOM</t>
  </si>
  <si>
    <t>CONTACT</t>
  </si>
  <si>
    <t>TEL 1</t>
  </si>
  <si>
    <t>TEL 2</t>
  </si>
  <si>
    <t>MAIL 1</t>
  </si>
  <si>
    <t>MAIL 2</t>
  </si>
  <si>
    <t>A</t>
  </si>
  <si>
    <t>B</t>
  </si>
  <si>
    <t>C</t>
  </si>
  <si>
    <t>D</t>
  </si>
  <si>
    <t>E</t>
  </si>
  <si>
    <t>F</t>
  </si>
  <si>
    <t>G</t>
  </si>
  <si>
    <t>I</t>
  </si>
  <si>
    <t>K</t>
  </si>
  <si>
    <t>M</t>
  </si>
  <si>
    <t>L</t>
  </si>
  <si>
    <t>J</t>
  </si>
  <si>
    <t>H</t>
  </si>
  <si>
    <t>N</t>
  </si>
  <si>
    <t>O</t>
  </si>
  <si>
    <t>P</t>
  </si>
  <si>
    <t>Q</t>
  </si>
  <si>
    <t>R</t>
  </si>
  <si>
    <t>S</t>
  </si>
  <si>
    <t>U</t>
  </si>
  <si>
    <t>V</t>
  </si>
  <si>
    <t>T</t>
  </si>
  <si>
    <t>W</t>
  </si>
  <si>
    <t>X</t>
  </si>
  <si>
    <t>Y</t>
  </si>
  <si>
    <t>Z</t>
  </si>
  <si>
    <t>ST / CHANTIER</t>
  </si>
  <si>
    <t>INDIRECT CHANTIER</t>
  </si>
  <si>
    <t>INDIRECT CT</t>
  </si>
  <si>
    <t>INDIRECT ST</t>
  </si>
  <si>
    <t>H2O</t>
  </si>
  <si>
    <t>OPALE</t>
  </si>
  <si>
    <t>ZORG</t>
  </si>
  <si>
    <t>KBIS/RM 3mois</t>
  </si>
  <si>
    <t>ASSUANCE échéance</t>
  </si>
  <si>
    <t>URSSAF /RSI      3mois</t>
  </si>
  <si>
    <t>CONGES PAYEE        3mois</t>
  </si>
  <si>
    <t xml:space="preserve">IMPOTS  3mois </t>
  </si>
  <si>
    <t>RETRAITE 3mois</t>
  </si>
  <si>
    <t>LISTE ST</t>
  </si>
  <si>
    <t>NOM CHANTIER
INDIRECT ST</t>
  </si>
  <si>
    <t>CT
INDIRECT CHANTIER</t>
  </si>
  <si>
    <t>MO
INDIRECT CT</t>
  </si>
  <si>
    <t>critere obligatoire</t>
  </si>
  <si>
    <t>MARCHE INT</t>
  </si>
  <si>
    <t>MARCHE EXT</t>
  </si>
  <si>
    <t>moins value</t>
  </si>
  <si>
    <t>ST CYR</t>
  </si>
  <si>
    <t>En faisant une base de données séparée de colonnes vous pourriez éventuellement ajouter une 5ieme colonne reprenant la Reference et faire une liste déroulante sur cette donnée dans la feuille suivi de chantier. cela permettrait de compléter les colonnes souhaitées ST, chantier, conducteur, MO. Bien entendu on peut se passer de cette colonne référence et ne conserver colonnes.</t>
  </si>
  <si>
    <t>pour info, les colonnes "références" créer avec la formule CONCATERNER servent "juste" a relié les tableau en eux... je ne sais pas si en supprimant cette information, le lien pourra être fait... mais du coup vous intriguer ma curiosité</t>
  </si>
  <si>
    <t>SPIRIT</t>
  </si>
  <si>
    <t>=DECALER(DONNEES!$P$1;19;EQUIV($H5;DONNEES!$P$1:AO$1;0)-1;NBVAL(DECALER(DONNEES!$P$1;;EQUIV($H5;DONNEES!$P$1:AO$1;0)-1;20;1000)))</t>
  </si>
  <si>
    <t>=DECALER(DONNEES!$P$1;20;EQUIV($H4;DONNEES!$P$1:AO$1;0)-1;NBVAL(DECALER(DONNEES!$P$1;20;EQUIV($H4;DONNEES!$P$1:AO$1;0)-1;10;1000)))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</si>
</sst>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quot;€&quot;"/>
    <numFmt numFmtId="165" formatCode="d/m/yy;@"/>
    <numFmt numFmtId="166" formatCode="#,##0.00&quot; &quot;[$€-40C]"/>
    <numFmt numFmtId="167" formatCode="#.##0\.00\ &quot;€&quot;"/>
  </numFmts>
  <fonts count="58">
    <font>
      <sz val="11"/>
      <color theme="1"/>
      <name val="Calibri"/>
      <family val="2"/>
      <scheme val="minor"/>
    </font>
    <font>
      <sz val="11"/>
      <color rgb="FFFF0000"/>
      <name val="Calibri"/>
      <family val="2"/>
      <scheme val="minor"/>
    </font>
    <font>
      <sz val="36"/>
      <name val="Verdana"/>
      <family val="2"/>
    </font>
    <font>
      <sz val="11"/>
      <color theme="1"/>
      <name val="Verdana"/>
      <family val="2"/>
    </font>
    <font>
      <sz val="11"/>
      <name val="Verdana"/>
      <family val="2"/>
    </font>
    <font>
      <sz val="14"/>
      <name val="Calibri Light"/>
      <family val="2"/>
      <scheme val="major"/>
    </font>
    <font>
      <b/>
      <sz val="20"/>
      <name val="Calibri"/>
      <family val="2"/>
      <scheme val="minor"/>
    </font>
    <font>
      <sz val="11"/>
      <color theme="2" tint="-0.89992980742820516"/>
      <name val="Calibri"/>
      <family val="2"/>
      <scheme val="minor"/>
    </font>
    <font>
      <b/>
      <sz val="20"/>
      <color rgb="FFFF0000"/>
      <name val="Calibri"/>
      <family val="2"/>
      <scheme val="minor"/>
    </font>
    <font>
      <b/>
      <sz val="20"/>
      <name val="Century Gothic"/>
      <family val="2"/>
    </font>
    <font>
      <sz val="11"/>
      <name val="Calibri"/>
      <family val="2"/>
      <scheme val="minor"/>
    </font>
    <font>
      <b/>
      <sz val="18"/>
      <color theme="0"/>
      <name val="Montserrat"/>
    </font>
    <font>
      <sz val="10"/>
      <color rgb="FFFF0000"/>
      <name val="Montserrat"/>
      <family val="2"/>
    </font>
    <font>
      <sz val="10"/>
      <name val="Montserrat"/>
      <family val="2"/>
    </font>
    <font>
      <b/>
      <sz val="18"/>
      <color theme="1"/>
      <name val="Montserrat"/>
    </font>
    <font>
      <b/>
      <sz val="18"/>
      <color rgb="FFFF0000"/>
      <name val="Montserrat"/>
    </font>
    <font>
      <sz val="18"/>
      <color theme="1"/>
      <name val="Montserrat"/>
      <family val="2"/>
    </font>
    <font>
      <b/>
      <sz val="26"/>
      <color theme="1"/>
      <name val="Montserrat"/>
    </font>
    <font>
      <b/>
      <sz val="24"/>
      <color theme="0"/>
      <name val="Montserrat"/>
    </font>
    <font>
      <b/>
      <sz val="11"/>
      <color theme="0"/>
      <name val="Verdana"/>
      <family val="2"/>
    </font>
    <font>
      <sz val="11"/>
      <color rgb="FFFFFFFF"/>
      <name val="Verdana"/>
      <family val="2"/>
    </font>
    <font>
      <b/>
      <sz val="11"/>
      <color rgb="FF00B0F0"/>
      <name val="Verdana"/>
      <family val="2"/>
    </font>
    <font>
      <sz val="11"/>
      <color rgb="FFFF0000"/>
      <name val="Verdana"/>
      <family val="2"/>
    </font>
    <font>
      <sz val="22"/>
      <name val="Montserrat"/>
      <family val="2"/>
    </font>
    <font>
      <sz val="12"/>
      <color rgb="FF000000"/>
      <name val="Garamond"/>
      <family val="1"/>
    </font>
    <font>
      <b/>
      <sz val="12"/>
      <color rgb="FF000000"/>
      <name val="Garamond"/>
      <family val="1"/>
    </font>
    <font>
      <b/>
      <sz val="12"/>
      <color rgb="FF00B0F0"/>
      <name val="Garamond"/>
      <family val="1"/>
    </font>
    <font>
      <sz val="12"/>
      <color rgb="FFFF0000"/>
      <name val="Garamond"/>
      <family val="1"/>
    </font>
    <font>
      <sz val="12"/>
      <name val="Garamond"/>
      <family val="1"/>
    </font>
    <font>
      <b/>
      <sz val="12"/>
      <name val="Garamond"/>
      <family val="1"/>
    </font>
    <font>
      <b/>
      <sz val="11"/>
      <name val="Arial1"/>
    </font>
    <font>
      <sz val="12"/>
      <color rgb="FF00B0F0"/>
      <name val="Garamond"/>
      <family val="1"/>
    </font>
    <font>
      <b/>
      <sz val="11"/>
      <color rgb="FFFF0000"/>
      <name val="Verdana"/>
      <family val="2"/>
    </font>
    <font>
      <sz val="36"/>
      <color theme="1"/>
      <name val="Montserrat"/>
      <family val="2"/>
    </font>
    <font>
      <b/>
      <sz val="10"/>
      <color theme="1"/>
      <name val="Montserrat"/>
    </font>
    <font>
      <sz val="22"/>
      <color theme="1"/>
      <name val="Montserrat"/>
      <family val="2"/>
    </font>
    <font>
      <sz val="10"/>
      <color rgb="FF0070C0"/>
      <name val="Montserrat"/>
      <family val="2"/>
    </font>
    <font>
      <sz val="12"/>
      <color theme="1"/>
      <name val="Montserrat"/>
      <family val="2"/>
    </font>
    <font>
      <sz val="12"/>
      <color rgb="FFFF0000"/>
      <name val="Montserrat"/>
      <family val="2"/>
    </font>
    <font>
      <sz val="11"/>
      <color rgb="FF0070C0"/>
      <name val="Verdana"/>
      <family val="2"/>
    </font>
    <font>
      <sz val="11"/>
      <color theme="0"/>
      <name val="Verdana"/>
      <family val="2"/>
    </font>
    <font>
      <sz val="11"/>
      <color rgb="FF00B0F0"/>
      <name val="Calibri"/>
      <family val="2"/>
      <scheme val="minor"/>
    </font>
    <font>
      <sz val="11"/>
      <color rgb="FF00B0F0"/>
      <name val="Verdana"/>
      <family val="2"/>
    </font>
    <font>
      <sz val="8"/>
      <color rgb="FFFF0000"/>
      <name val="Montserrat"/>
      <family val="2"/>
    </font>
    <font>
      <sz val="36"/>
      <color rgb="FFFF0000"/>
      <name val="Montserrat"/>
      <family val="2"/>
    </font>
    <font>
      <sz val="10"/>
      <color rgb="FFFF0000"/>
      <name val="Montserrat"/>
    </font>
    <font>
      <sz val="36"/>
      <color rgb="FF0070C0"/>
      <name val="Montserrat"/>
      <family val="2"/>
    </font>
    <font>
      <sz val="11"/>
      <color rgb="FF0070C0"/>
      <name val="Calibri"/>
      <family val="2"/>
      <scheme val="minor"/>
    </font>
    <font>
      <sz val="12"/>
      <color rgb="FFFF0000"/>
      <name val="Montserrat"/>
    </font>
    <font>
      <sz val="12"/>
      <color theme="1"/>
      <name val="Montserrat"/>
    </font>
    <font>
      <b/>
      <sz val="24"/>
      <color rgb="FFFF0000"/>
      <name val="Montserrat"/>
    </font>
    <font>
      <sz val="18"/>
      <color rgb="FFFF0000"/>
      <name val="Montserrat"/>
      <family val="2"/>
    </font>
    <font>
      <b/>
      <sz val="24"/>
      <name val="Montserrat"/>
    </font>
    <font>
      <b/>
      <sz val="20"/>
      <color rgb="FF00B0F0"/>
      <name val="Calibri"/>
      <family val="2"/>
      <scheme val="minor"/>
    </font>
    <font>
      <b/>
      <sz val="20"/>
      <color rgb="FF00B0F0"/>
      <name val="Century Gothic"/>
      <family val="2"/>
    </font>
    <font>
      <b/>
      <sz val="11"/>
      <color rgb="FF00B0F0"/>
      <name val="Calibri"/>
      <family val="2"/>
      <scheme val="minor"/>
    </font>
    <font>
      <b/>
      <sz val="11"/>
      <color theme="0"/>
      <name val="Calibri"/>
      <family val="2"/>
      <scheme val="minor"/>
    </font>
    <font>
      <b/>
      <sz val="11"/>
      <color theme="1"/>
      <name val="Calibri"/>
      <family val="2"/>
      <scheme val="minor"/>
    </font>
  </fonts>
  <fills count="31">
    <fill>
      <patternFill patternType="none"/>
    </fill>
    <fill>
      <patternFill patternType="gray125"/>
    </fill>
    <fill>
      <patternFill patternType="solid">
        <fgColor theme="4" tint="0.39997558519241921"/>
        <bgColor indexed="64"/>
      </patternFill>
    </fill>
    <fill>
      <patternFill patternType="solid">
        <fgColor theme="0"/>
        <bgColor indexed="64"/>
      </patternFill>
    </fill>
    <fill>
      <patternFill patternType="solid">
        <fgColor theme="8" tint="-0.249977111117893"/>
        <bgColor indexed="64"/>
      </patternFill>
    </fill>
    <fill>
      <patternFill patternType="solid">
        <fgColor theme="8" tint="0.59999389629810485"/>
        <bgColor indexed="64"/>
      </patternFill>
    </fill>
    <fill>
      <patternFill patternType="solid">
        <fgColor rgb="FFFFFF00"/>
        <bgColor indexed="64"/>
      </patternFill>
    </fill>
    <fill>
      <patternFill patternType="solid">
        <fgColor theme="7" tint="0.59999389629810485"/>
        <bgColor indexed="64"/>
      </patternFill>
    </fill>
    <fill>
      <patternFill patternType="solid">
        <fgColor rgb="FF92D050"/>
        <bgColor indexed="64"/>
      </patternFill>
    </fill>
    <fill>
      <patternFill patternType="solid">
        <fgColor theme="9" tint="0.59999389629810485"/>
        <bgColor indexed="64"/>
      </patternFill>
    </fill>
    <fill>
      <patternFill patternType="solid">
        <fgColor rgb="FFFFC000"/>
        <bgColor indexed="64"/>
      </patternFill>
    </fill>
    <fill>
      <patternFill patternType="solid">
        <fgColor theme="5" tint="0.59999389629810485"/>
        <bgColor indexed="64"/>
      </patternFill>
    </fill>
    <fill>
      <patternFill patternType="solid">
        <fgColor rgb="FFC00000"/>
        <bgColor indexed="64"/>
      </patternFill>
    </fill>
    <fill>
      <patternFill patternType="solid">
        <fgColor theme="8" tint="-0.249977111117893"/>
        <bgColor rgb="FF000000"/>
      </patternFill>
    </fill>
    <fill>
      <patternFill patternType="solid">
        <fgColor rgb="FFC00000"/>
        <bgColor rgb="FF000000"/>
      </patternFill>
    </fill>
    <fill>
      <patternFill patternType="solid">
        <fgColor theme="0" tint="-0.249977111117893"/>
        <bgColor indexed="64"/>
      </patternFill>
    </fill>
    <fill>
      <patternFill patternType="solid">
        <fgColor rgb="FF00B0F0"/>
        <bgColor indexed="64"/>
      </patternFill>
    </fill>
    <fill>
      <patternFill patternType="solid">
        <fgColor theme="0" tint="-0.34998626667073579"/>
        <bgColor indexed="64"/>
      </patternFill>
    </fill>
    <fill>
      <patternFill patternType="solid">
        <fgColor theme="5" tint="0.39997558519241921"/>
        <bgColor indexed="64"/>
      </patternFill>
    </fill>
    <fill>
      <patternFill patternType="solid">
        <fgColor rgb="FF00CC00"/>
        <bgColor indexed="64"/>
      </patternFill>
    </fill>
    <fill>
      <patternFill patternType="solid">
        <fgColor theme="7" tint="0.39997558519241921"/>
        <bgColor indexed="64"/>
      </patternFill>
    </fill>
    <fill>
      <patternFill patternType="solid">
        <fgColor rgb="FF00B050"/>
        <bgColor indexed="64"/>
      </patternFill>
    </fill>
    <fill>
      <patternFill patternType="solid">
        <fgColor rgb="FF00B050"/>
        <bgColor rgb="FF000000"/>
      </patternFill>
    </fill>
    <fill>
      <patternFill patternType="solid">
        <fgColor rgb="FFFF0000"/>
        <bgColor indexed="64"/>
      </patternFill>
    </fill>
    <fill>
      <patternFill patternType="solid">
        <fgColor rgb="FFFF0000"/>
        <bgColor rgb="FF000000"/>
      </patternFill>
    </fill>
    <fill>
      <patternFill patternType="solid">
        <fgColor theme="4" tint="0.79998168889431442"/>
        <bgColor theme="4" tint="0.79998168889431442"/>
      </patternFill>
    </fill>
    <fill>
      <patternFill patternType="solid">
        <fgColor theme="4" tint="-0.249977111117893"/>
        <bgColor indexed="64"/>
      </patternFill>
    </fill>
    <fill>
      <patternFill patternType="solid">
        <fgColor theme="4"/>
        <bgColor theme="4"/>
      </patternFill>
    </fill>
    <fill>
      <patternFill patternType="solid">
        <fgColor theme="5"/>
        <bgColor indexed="64"/>
      </patternFill>
    </fill>
    <fill>
      <patternFill patternType="solid">
        <fgColor theme="6" tint="0.59999389629810485"/>
        <bgColor indexed="64"/>
      </patternFill>
    </fill>
    <fill>
      <patternFill patternType="solid">
        <fgColor theme="4" tint="0.79998168889431442"/>
        <bgColor indexed="64"/>
      </patternFill>
    </fill>
  </fills>
  <borders count="37">
    <border>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style="thin">
        <color theme="4" tint="0.39997558519241921"/>
      </top>
      <bottom style="thin">
        <color theme="4" tint="0.39997558519241921"/>
      </bottom>
      <diagonal/>
    </border>
    <border>
      <left/>
      <right/>
      <top/>
      <bottom style="thin">
        <color theme="4" tint="0.39997558519241921"/>
      </bottom>
      <diagonal/>
    </border>
    <border>
      <left/>
      <right/>
      <top style="thin">
        <color theme="4" tint="0.39997558519241921"/>
      </top>
      <bottom/>
      <diagonal/>
    </border>
    <border>
      <left/>
      <right/>
      <top/>
      <bottom style="double">
        <color indexed="64"/>
      </bottom>
      <diagonal/>
    </border>
    <border>
      <left style="double">
        <color auto="1"/>
      </left>
      <right style="double">
        <color auto="1"/>
      </right>
      <top style="double">
        <color auto="1"/>
      </top>
      <bottom/>
      <diagonal/>
    </border>
    <border>
      <left style="double">
        <color auto="1"/>
      </left>
      <right style="double">
        <color auto="1"/>
      </right>
      <top/>
      <bottom/>
      <diagonal/>
    </border>
    <border>
      <left style="double">
        <color auto="1"/>
      </left>
      <right style="double">
        <color auto="1"/>
      </right>
      <top/>
      <bottom style="double">
        <color auto="1"/>
      </bottom>
      <diagonal/>
    </border>
    <border>
      <left style="double">
        <color auto="1"/>
      </left>
      <right style="thin">
        <color indexed="64"/>
      </right>
      <top style="double">
        <color auto="1"/>
      </top>
      <bottom style="double">
        <color auto="1"/>
      </bottom>
      <diagonal/>
    </border>
    <border>
      <left style="thin">
        <color indexed="64"/>
      </left>
      <right style="thin">
        <color indexed="64"/>
      </right>
      <top style="double">
        <color auto="1"/>
      </top>
      <bottom style="double">
        <color auto="1"/>
      </bottom>
      <diagonal/>
    </border>
    <border>
      <left style="thin">
        <color indexed="64"/>
      </left>
      <right style="double">
        <color auto="1"/>
      </right>
      <top style="double">
        <color auto="1"/>
      </top>
      <bottom style="double">
        <color auto="1"/>
      </bottom>
      <diagonal/>
    </border>
    <border>
      <left/>
      <right style="double">
        <color auto="1"/>
      </right>
      <top/>
      <bottom/>
      <diagonal/>
    </border>
    <border>
      <left/>
      <right style="double">
        <color auto="1"/>
      </right>
      <top/>
      <bottom style="double">
        <color indexed="64"/>
      </bottom>
      <diagonal/>
    </border>
  </borders>
  <cellStyleXfs count="2">
    <xf numFmtId="0" fontId="0" fillId="0" borderId="0"/>
    <xf numFmtId="14" fontId="7" fillId="0" borderId="0" applyFill="0" applyBorder="0" applyProtection="0">
      <alignment horizontal="right" vertical="center" indent="2"/>
    </xf>
  </cellStyleXfs>
  <cellXfs count="313">
    <xf numFmtId="0" fontId="0" fillId="0" borderId="0" xfId="0"/>
    <xf numFmtId="14" fontId="3" fillId="0" borderId="0" xfId="0" applyNumberFormat="1" applyFont="1" applyFill="1" applyBorder="1" applyAlignment="1" applyProtection="1">
      <alignment horizontal="center" vertical="center"/>
    </xf>
    <xf numFmtId="0" fontId="4" fillId="2" borderId="1" xfId="0" applyFont="1" applyFill="1" applyBorder="1" applyAlignment="1" applyProtection="1">
      <alignment horizontal="center" vertical="center" wrapText="1"/>
    </xf>
    <xf numFmtId="0" fontId="4" fillId="2" borderId="2" xfId="0" applyFont="1" applyFill="1" applyBorder="1" applyAlignment="1" applyProtection="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6" fillId="0" borderId="4" xfId="0" applyFont="1" applyBorder="1" applyAlignment="1" applyProtection="1">
      <alignment vertical="center"/>
    </xf>
    <xf numFmtId="0" fontId="0" fillId="0" borderId="5" xfId="0" applyBorder="1"/>
    <xf numFmtId="14" fontId="7" fillId="0" borderId="5" xfId="1" applyNumberFormat="1" applyFont="1" applyFill="1" applyBorder="1" applyAlignment="1">
      <alignment horizontal="center" vertical="center"/>
    </xf>
    <xf numFmtId="0" fontId="0" fillId="0" borderId="5" xfId="0" applyFill="1" applyBorder="1" applyAlignment="1">
      <alignment horizontal="center" vertical="center"/>
    </xf>
    <xf numFmtId="0" fontId="8" fillId="0" borderId="4" xfId="0" applyFont="1" applyBorder="1" applyAlignment="1" applyProtection="1">
      <alignment vertical="center"/>
    </xf>
    <xf numFmtId="0" fontId="6" fillId="3" borderId="4" xfId="0" applyFont="1" applyFill="1" applyBorder="1" applyAlignment="1" applyProtection="1">
      <alignment vertical="center"/>
    </xf>
    <xf numFmtId="0" fontId="6" fillId="0" borderId="6" xfId="0" applyFont="1" applyBorder="1" applyAlignment="1" applyProtection="1">
      <alignment vertical="center"/>
    </xf>
    <xf numFmtId="0" fontId="0" fillId="0" borderId="7" xfId="0" applyBorder="1"/>
    <xf numFmtId="0" fontId="0" fillId="0" borderId="7" xfId="0" applyFill="1" applyBorder="1" applyAlignment="1">
      <alignment horizontal="center" vertical="center"/>
    </xf>
    <xf numFmtId="0" fontId="0" fillId="0" borderId="5" xfId="0" applyBorder="1" applyAlignment="1">
      <alignment horizontal="left"/>
    </xf>
    <xf numFmtId="0" fontId="11" fillId="4" borderId="5" xfId="0" applyFont="1" applyFill="1" applyBorder="1" applyAlignment="1">
      <alignment horizontal="center" vertical="center"/>
    </xf>
    <xf numFmtId="164" fontId="0" fillId="0" borderId="5" xfId="0" applyNumberFormat="1" applyBorder="1"/>
    <xf numFmtId="164" fontId="0" fillId="5" borderId="5" xfId="0" applyNumberFormat="1" applyFill="1" applyBorder="1"/>
    <xf numFmtId="49" fontId="0" fillId="5" borderId="5" xfId="0" applyNumberFormat="1" applyFill="1" applyBorder="1"/>
    <xf numFmtId="164" fontId="12" fillId="0" borderId="5" xfId="0" applyNumberFormat="1" applyFont="1" applyBorder="1"/>
    <xf numFmtId="49" fontId="13" fillId="0" borderId="5" xfId="0" applyNumberFormat="1" applyFont="1" applyBorder="1"/>
    <xf numFmtId="164" fontId="13" fillId="0" borderId="5" xfId="0" applyNumberFormat="1" applyFont="1" applyBorder="1"/>
    <xf numFmtId="0" fontId="0" fillId="0" borderId="5" xfId="0" applyBorder="1" applyAlignment="1">
      <alignment horizontal="center"/>
    </xf>
    <xf numFmtId="49" fontId="13" fillId="5" borderId="5" xfId="0" applyNumberFormat="1" applyFont="1" applyFill="1" applyBorder="1"/>
    <xf numFmtId="164" fontId="13" fillId="5" borderId="5" xfId="0" applyNumberFormat="1" applyFont="1" applyFill="1" applyBorder="1"/>
    <xf numFmtId="0" fontId="0" fillId="0" borderId="0" xfId="0" applyAlignment="1">
      <alignment horizontal="center"/>
    </xf>
    <xf numFmtId="0" fontId="0" fillId="0" borderId="0" xfId="0" applyBorder="1"/>
    <xf numFmtId="49" fontId="13" fillId="0" borderId="7" xfId="0" applyNumberFormat="1" applyFont="1" applyBorder="1"/>
    <xf numFmtId="164" fontId="13" fillId="0" borderId="7" xfId="0" applyNumberFormat="1" applyFont="1" applyBorder="1"/>
    <xf numFmtId="0" fontId="0" fillId="0" borderId="0" xfId="0" applyFill="1"/>
    <xf numFmtId="0" fontId="0" fillId="0" borderId="0" xfId="0" applyFill="1" applyBorder="1" applyAlignment="1">
      <alignment horizontal="center"/>
    </xf>
    <xf numFmtId="0" fontId="0" fillId="6" borderId="2" xfId="0" applyFill="1" applyBorder="1" applyAlignment="1">
      <alignment horizontal="center"/>
    </xf>
    <xf numFmtId="0" fontId="0" fillId="0" borderId="0" xfId="0" applyFill="1" applyAlignment="1">
      <alignment horizontal="center"/>
    </xf>
    <xf numFmtId="0" fontId="0" fillId="0" borderId="5" xfId="0" applyFill="1" applyBorder="1"/>
    <xf numFmtId="0" fontId="0" fillId="0" borderId="0" xfId="0" applyFill="1" applyBorder="1"/>
    <xf numFmtId="0" fontId="0" fillId="8" borderId="5" xfId="0" applyFill="1" applyBorder="1" applyAlignment="1">
      <alignment horizontal="center"/>
    </xf>
    <xf numFmtId="0" fontId="0" fillId="10" borderId="2" xfId="0" applyFill="1" applyBorder="1" applyAlignment="1">
      <alignment horizontal="center"/>
    </xf>
    <xf numFmtId="0" fontId="0" fillId="0" borderId="5" xfId="0" applyBorder="1" applyAlignment="1"/>
    <xf numFmtId="0" fontId="0" fillId="0" borderId="0" xfId="0" applyBorder="1" applyAlignment="1">
      <alignment horizontal="left"/>
    </xf>
    <xf numFmtId="0" fontId="14" fillId="6" borderId="11" xfId="0" applyFont="1" applyFill="1" applyBorder="1" applyAlignment="1"/>
    <xf numFmtId="0" fontId="14" fillId="6" borderId="13" xfId="0" applyFont="1" applyFill="1" applyBorder="1" applyAlignment="1">
      <alignment horizontal="center"/>
    </xf>
    <xf numFmtId="0" fontId="14" fillId="10" borderId="11" xfId="0" applyFont="1" applyFill="1" applyBorder="1" applyAlignment="1"/>
    <xf numFmtId="0" fontId="14" fillId="10" borderId="13" xfId="0" applyFont="1" applyFill="1" applyBorder="1" applyAlignment="1">
      <alignment horizontal="center"/>
    </xf>
    <xf numFmtId="0" fontId="0" fillId="0" borderId="0" xfId="0" applyAlignment="1">
      <alignment horizontal="center" vertical="center" wrapText="1"/>
    </xf>
    <xf numFmtId="14" fontId="0" fillId="0" borderId="0" xfId="0" applyNumberFormat="1"/>
    <xf numFmtId="0" fontId="0" fillId="0" borderId="0" xfId="0" applyAlignment="1">
      <alignment wrapText="1"/>
    </xf>
    <xf numFmtId="0" fontId="21" fillId="13" borderId="2" xfId="0" applyFont="1" applyFill="1" applyBorder="1" applyAlignment="1" applyProtection="1">
      <alignment horizontal="center" vertical="center" wrapText="1"/>
    </xf>
    <xf numFmtId="0" fontId="20" fillId="13" borderId="2" xfId="0" quotePrefix="1" applyNumberFormat="1" applyFont="1" applyFill="1" applyBorder="1" applyAlignment="1" applyProtection="1">
      <alignment horizontal="center" vertical="center" wrapText="1"/>
    </xf>
    <xf numFmtId="49" fontId="20" fillId="13" borderId="2" xfId="0" quotePrefix="1" applyNumberFormat="1" applyFont="1" applyFill="1" applyBorder="1" applyAlignment="1" applyProtection="1">
      <alignment horizontal="center" vertical="center" wrapText="1"/>
    </xf>
    <xf numFmtId="165" fontId="20" fillId="13" borderId="2" xfId="0" quotePrefix="1" applyNumberFormat="1" applyFont="1" applyFill="1" applyBorder="1" applyAlignment="1" applyProtection="1">
      <alignment horizontal="center" vertical="center" wrapText="1"/>
    </xf>
    <xf numFmtId="0" fontId="22" fillId="13" borderId="2" xfId="0" applyFont="1" applyFill="1" applyBorder="1" applyAlignment="1" applyProtection="1">
      <alignment horizontal="center" vertical="center" wrapText="1"/>
    </xf>
    <xf numFmtId="165" fontId="22" fillId="13" borderId="2" xfId="0" applyNumberFormat="1" applyFont="1" applyFill="1" applyBorder="1" applyAlignment="1" applyProtection="1">
      <alignment horizontal="center" vertical="center" wrapText="1"/>
    </xf>
    <xf numFmtId="164" fontId="20" fillId="13" borderId="2" xfId="0" quotePrefix="1" applyNumberFormat="1" applyFont="1" applyFill="1" applyBorder="1" applyAlignment="1" applyProtection="1">
      <alignment horizontal="center" vertical="center" wrapText="1"/>
    </xf>
    <xf numFmtId="164" fontId="25" fillId="0" borderId="5" xfId="0" applyNumberFormat="1" applyFont="1" applyFill="1" applyBorder="1" applyAlignment="1">
      <alignment horizontal="center" vertical="center"/>
    </xf>
    <xf numFmtId="0" fontId="0" fillId="0" borderId="7" xfId="0" applyBorder="1" applyAlignment="1"/>
    <xf numFmtId="0" fontId="0" fillId="0" borderId="0" xfId="0" applyAlignment="1"/>
    <xf numFmtId="0" fontId="21" fillId="0" borderId="5" xfId="0" applyFont="1" applyFill="1" applyBorder="1" applyAlignment="1" applyProtection="1">
      <alignment horizontal="center" vertical="center"/>
    </xf>
    <xf numFmtId="0" fontId="22" fillId="0" borderId="5" xfId="0" applyFont="1" applyFill="1" applyBorder="1" applyAlignment="1" applyProtection="1">
      <alignment horizontal="center" vertical="center"/>
    </xf>
    <xf numFmtId="165" fontId="22" fillId="0" borderId="5" xfId="0" applyNumberFormat="1" applyFont="1" applyFill="1" applyBorder="1" applyAlignment="1" applyProtection="1">
      <alignment horizontal="center" vertical="center"/>
    </xf>
    <xf numFmtId="0" fontId="26" fillId="0" borderId="5" xfId="0" applyFont="1" applyFill="1" applyBorder="1" applyAlignment="1">
      <alignment horizontal="center" vertical="center"/>
    </xf>
    <xf numFmtId="49" fontId="24" fillId="0" borderId="5" xfId="0" applyNumberFormat="1" applyFont="1" applyFill="1" applyBorder="1" applyAlignment="1">
      <alignment horizontal="center" vertical="center"/>
    </xf>
    <xf numFmtId="14" fontId="24" fillId="0" borderId="5" xfId="0" applyNumberFormat="1" applyFont="1" applyFill="1" applyBorder="1" applyAlignment="1">
      <alignment horizontal="center" vertical="center"/>
    </xf>
    <xf numFmtId="14" fontId="27" fillId="0" borderId="5" xfId="0" applyNumberFormat="1" applyFont="1" applyFill="1" applyBorder="1" applyAlignment="1">
      <alignment horizontal="center" vertical="center"/>
    </xf>
    <xf numFmtId="164" fontId="24" fillId="0" borderId="5" xfId="0" applyNumberFormat="1" applyFont="1" applyFill="1" applyBorder="1" applyAlignment="1">
      <alignment horizontal="center" vertical="center"/>
    </xf>
    <xf numFmtId="164" fontId="22" fillId="0" borderId="5" xfId="0" applyNumberFormat="1" applyFont="1" applyFill="1" applyBorder="1" applyAlignment="1" applyProtection="1">
      <alignment horizontal="center" vertical="center"/>
    </xf>
    <xf numFmtId="0" fontId="28" fillId="0" borderId="5" xfId="0" applyFont="1" applyFill="1" applyBorder="1" applyAlignment="1">
      <alignment horizontal="center" vertical="center"/>
    </xf>
    <xf numFmtId="164" fontId="22" fillId="15" borderId="5" xfId="0" applyNumberFormat="1" applyFont="1" applyFill="1" applyBorder="1" applyAlignment="1" applyProtection="1">
      <alignment vertical="center"/>
    </xf>
    <xf numFmtId="0" fontId="29" fillId="0" borderId="5" xfId="0" applyFont="1" applyFill="1" applyBorder="1" applyAlignment="1">
      <alignment horizontal="center" vertical="center"/>
    </xf>
    <xf numFmtId="165" fontId="0" fillId="0" borderId="5" xfId="0" applyNumberFormat="1" applyBorder="1" applyAlignment="1">
      <alignment horizontal="center" vertical="center"/>
    </xf>
    <xf numFmtId="0" fontId="30" fillId="0" borderId="5" xfId="0" applyFont="1" applyFill="1" applyBorder="1" applyAlignment="1">
      <alignment horizontal="center" vertical="center"/>
    </xf>
    <xf numFmtId="166" fontId="25" fillId="0" borderId="5" xfId="0" applyNumberFormat="1" applyFont="1" applyFill="1" applyBorder="1" applyAlignment="1">
      <alignment horizontal="center" vertical="center"/>
    </xf>
    <xf numFmtId="49" fontId="24" fillId="0" borderId="5" xfId="0" quotePrefix="1" applyNumberFormat="1" applyFont="1" applyFill="1" applyBorder="1" applyAlignment="1">
      <alignment horizontal="center" vertical="center"/>
    </xf>
    <xf numFmtId="49" fontId="0" fillId="0" borderId="5" xfId="0" applyNumberFormat="1" applyBorder="1" applyAlignment="1"/>
    <xf numFmtId="0" fontId="12" fillId="0" borderId="5" xfId="0" applyFont="1" applyBorder="1" applyAlignment="1"/>
    <xf numFmtId="49" fontId="0" fillId="0" borderId="7" xfId="0" applyNumberFormat="1" applyBorder="1" applyAlignment="1"/>
    <xf numFmtId="165" fontId="0" fillId="0" borderId="7" xfId="0" applyNumberFormat="1" applyBorder="1" applyAlignment="1">
      <alignment horizontal="center" vertical="center"/>
    </xf>
    <xf numFmtId="0" fontId="12" fillId="0" borderId="7" xfId="0" applyFont="1" applyBorder="1" applyAlignment="1"/>
    <xf numFmtId="0" fontId="33" fillId="17" borderId="0" xfId="0" applyFont="1" applyFill="1" applyBorder="1" applyAlignment="1"/>
    <xf numFmtId="0" fontId="33" fillId="17" borderId="12" xfId="0" applyFont="1" applyFill="1" applyBorder="1" applyAlignment="1"/>
    <xf numFmtId="0" fontId="13" fillId="8" borderId="1" xfId="0" applyFont="1" applyFill="1" applyBorder="1" applyAlignment="1">
      <alignment horizontal="center" vertical="center" wrapText="1"/>
    </xf>
    <xf numFmtId="0" fontId="13" fillId="8" borderId="2" xfId="0" applyFont="1" applyFill="1" applyBorder="1" applyAlignment="1">
      <alignment horizontal="center" vertical="center" wrapText="1"/>
    </xf>
    <xf numFmtId="0" fontId="13" fillId="8" borderId="3" xfId="0" applyFont="1" applyFill="1" applyBorder="1" applyAlignment="1">
      <alignment horizontal="center" vertical="center" wrapText="1"/>
    </xf>
    <xf numFmtId="164" fontId="12" fillId="16" borderId="2" xfId="0" applyNumberFormat="1" applyFont="1" applyFill="1" applyBorder="1" applyAlignment="1">
      <alignment horizontal="center" vertical="center" wrapText="1"/>
    </xf>
    <xf numFmtId="0" fontId="13" fillId="16" borderId="2" xfId="0" applyFont="1" applyFill="1" applyBorder="1" applyAlignment="1">
      <alignment horizontal="center" vertical="center" wrapText="1"/>
    </xf>
    <xf numFmtId="164" fontId="13" fillId="16" borderId="2" xfId="0" applyNumberFormat="1" applyFont="1" applyFill="1" applyBorder="1" applyAlignment="1">
      <alignment horizontal="center" vertical="center" wrapText="1"/>
    </xf>
    <xf numFmtId="14" fontId="13" fillId="16" borderId="2" xfId="0" applyNumberFormat="1" applyFont="1" applyFill="1" applyBorder="1" applyAlignment="1">
      <alignment horizontal="center" vertical="center" wrapText="1"/>
    </xf>
    <xf numFmtId="14" fontId="12" fillId="16" borderId="2" xfId="0" applyNumberFormat="1" applyFont="1" applyFill="1" applyBorder="1" applyAlignment="1">
      <alignment horizontal="center" vertical="center" wrapText="1"/>
    </xf>
    <xf numFmtId="14" fontId="13" fillId="20" borderId="1" xfId="0" applyNumberFormat="1" applyFont="1" applyFill="1" applyBorder="1" applyAlignment="1">
      <alignment horizontal="center" vertical="center" wrapText="1"/>
    </xf>
    <xf numFmtId="0" fontId="36" fillId="20" borderId="3" xfId="0" applyFont="1" applyFill="1" applyBorder="1" applyAlignment="1">
      <alignment horizontal="center" vertical="center" wrapText="1"/>
    </xf>
    <xf numFmtId="0" fontId="37" fillId="0" borderId="5" xfId="0" applyFont="1" applyBorder="1" applyAlignment="1">
      <alignment horizontal="center"/>
    </xf>
    <xf numFmtId="0" fontId="37" fillId="0" borderId="5" xfId="0" applyFont="1" applyBorder="1" applyAlignment="1">
      <alignment horizontal="center" vertical="center"/>
    </xf>
    <xf numFmtId="14" fontId="4" fillId="0" borderId="5" xfId="0" applyNumberFormat="1" applyFont="1" applyFill="1" applyBorder="1" applyAlignment="1" applyProtection="1">
      <alignment vertical="center"/>
    </xf>
    <xf numFmtId="14" fontId="22" fillId="0" borderId="5" xfId="0" applyNumberFormat="1" applyFont="1" applyFill="1" applyBorder="1" applyAlignment="1" applyProtection="1">
      <alignment vertical="center"/>
    </xf>
    <xf numFmtId="14" fontId="22" fillId="0" borderId="4" xfId="0" applyNumberFormat="1" applyFont="1" applyFill="1" applyBorder="1" applyAlignment="1" applyProtection="1">
      <alignment vertical="center"/>
    </xf>
    <xf numFmtId="164" fontId="39" fillId="0" borderId="11" xfId="0" applyNumberFormat="1" applyFont="1" applyFill="1" applyBorder="1" applyAlignment="1" applyProtection="1">
      <alignment horizontal="center" vertical="center"/>
    </xf>
    <xf numFmtId="0" fontId="37" fillId="0" borderId="5" xfId="0" applyFont="1" applyBorder="1" applyAlignment="1"/>
    <xf numFmtId="0" fontId="37" fillId="0" borderId="11" xfId="0" applyFont="1" applyBorder="1" applyAlignment="1"/>
    <xf numFmtId="164" fontId="38" fillId="0" borderId="5" xfId="0" applyNumberFormat="1" applyFont="1" applyBorder="1" applyAlignment="1"/>
    <xf numFmtId="164" fontId="37" fillId="0" borderId="5" xfId="0" applyNumberFormat="1" applyFont="1" applyBorder="1" applyAlignment="1"/>
    <xf numFmtId="14" fontId="37" fillId="0" borderId="5" xfId="0" applyNumberFormat="1" applyFont="1" applyBorder="1" applyAlignment="1"/>
    <xf numFmtId="14" fontId="37" fillId="0" borderId="4" xfId="0" applyNumberFormat="1" applyFont="1" applyBorder="1" applyAlignment="1"/>
    <xf numFmtId="14" fontId="22" fillId="0" borderId="11" xfId="0" applyNumberFormat="1" applyFont="1" applyFill="1" applyBorder="1" applyAlignment="1" applyProtection="1">
      <alignment vertical="center"/>
    </xf>
    <xf numFmtId="14" fontId="37" fillId="0" borderId="11" xfId="0" applyNumberFormat="1" applyFont="1" applyBorder="1" applyAlignment="1"/>
    <xf numFmtId="0" fontId="37" fillId="0" borderId="7" xfId="0" applyFont="1" applyBorder="1" applyAlignment="1"/>
    <xf numFmtId="0" fontId="37" fillId="0" borderId="8" xfId="0" applyFont="1" applyBorder="1" applyAlignment="1"/>
    <xf numFmtId="164" fontId="38" fillId="0" borderId="7" xfId="0" applyNumberFormat="1" applyFont="1" applyBorder="1" applyAlignment="1"/>
    <xf numFmtId="0" fontId="37" fillId="0" borderId="7" xfId="0" applyFont="1" applyBorder="1" applyAlignment="1">
      <alignment horizontal="center" vertical="center"/>
    </xf>
    <xf numFmtId="164" fontId="22" fillId="15" borderId="7" xfId="0" applyNumberFormat="1" applyFont="1" applyFill="1" applyBorder="1" applyAlignment="1" applyProtection="1">
      <alignment vertical="center"/>
    </xf>
    <xf numFmtId="164" fontId="37" fillId="0" borderId="7" xfId="0" applyNumberFormat="1" applyFont="1" applyBorder="1" applyAlignment="1"/>
    <xf numFmtId="164" fontId="22" fillId="0" borderId="7" xfId="0" applyNumberFormat="1" applyFont="1" applyFill="1" applyBorder="1" applyAlignment="1" applyProtection="1">
      <alignment horizontal="center" vertical="center"/>
    </xf>
    <xf numFmtId="14" fontId="37" fillId="0" borderId="7" xfId="0" applyNumberFormat="1" applyFont="1" applyBorder="1" applyAlignment="1"/>
    <xf numFmtId="14" fontId="37" fillId="0" borderId="8" xfId="0" applyNumberFormat="1" applyFont="1" applyBorder="1" applyAlignment="1"/>
    <xf numFmtId="165" fontId="4" fillId="0" borderId="5" xfId="0" applyNumberFormat="1" applyFont="1" applyFill="1" applyBorder="1" applyAlignment="1" applyProtection="1">
      <alignment horizontal="center" vertical="center"/>
    </xf>
    <xf numFmtId="165" fontId="10" fillId="0" borderId="5" xfId="0" applyNumberFormat="1" applyFont="1" applyFill="1" applyBorder="1" applyAlignment="1">
      <alignment horizontal="center" vertical="center"/>
    </xf>
    <xf numFmtId="0" fontId="10" fillId="0" borderId="0" xfId="0" applyFont="1" applyAlignment="1"/>
    <xf numFmtId="165" fontId="40" fillId="13" borderId="2" xfId="0" applyNumberFormat="1" applyFont="1" applyFill="1" applyBorder="1" applyAlignment="1" applyProtection="1">
      <alignment horizontal="center" vertical="center" wrapText="1"/>
    </xf>
    <xf numFmtId="0" fontId="4" fillId="0" borderId="5" xfId="0" applyFont="1" applyFill="1" applyBorder="1" applyAlignment="1" applyProtection="1">
      <alignment horizontal="center" vertical="center"/>
    </xf>
    <xf numFmtId="49" fontId="4" fillId="0" borderId="5" xfId="0" quotePrefix="1" applyNumberFormat="1" applyFont="1" applyFill="1" applyBorder="1" applyAlignment="1" applyProtection="1">
      <alignment horizontal="center" vertical="center"/>
    </xf>
    <xf numFmtId="165" fontId="4" fillId="0" borderId="5" xfId="0" quotePrefix="1" applyNumberFormat="1" applyFont="1" applyFill="1" applyBorder="1" applyAlignment="1" applyProtection="1">
      <alignment horizontal="center" vertical="center"/>
    </xf>
    <xf numFmtId="164" fontId="4" fillId="0" borderId="5" xfId="0" quotePrefix="1" applyNumberFormat="1" applyFont="1" applyFill="1" applyBorder="1" applyAlignment="1" applyProtection="1">
      <alignment horizontal="center" vertical="center"/>
    </xf>
    <xf numFmtId="0" fontId="10" fillId="0" borderId="0" xfId="0" applyFont="1"/>
    <xf numFmtId="0" fontId="41" fillId="0" borderId="0" xfId="0" applyFont="1" applyAlignment="1"/>
    <xf numFmtId="0" fontId="1" fillId="0" borderId="0" xfId="0" applyFont="1" applyAlignment="1"/>
    <xf numFmtId="0" fontId="1" fillId="0" borderId="5" xfId="0" applyFont="1" applyBorder="1" applyAlignment="1"/>
    <xf numFmtId="0" fontId="1" fillId="0" borderId="7" xfId="0" applyFont="1" applyBorder="1" applyAlignment="1"/>
    <xf numFmtId="164" fontId="42" fillId="13" borderId="2" xfId="0" quotePrefix="1" applyNumberFormat="1" applyFont="1" applyFill="1" applyBorder="1" applyAlignment="1" applyProtection="1">
      <alignment horizontal="center" vertical="center" wrapText="1"/>
    </xf>
    <xf numFmtId="0" fontId="22" fillId="0" borderId="5" xfId="0" applyFont="1" applyFill="1" applyBorder="1" applyAlignment="1" applyProtection="1">
      <alignment vertical="center"/>
    </xf>
    <xf numFmtId="0" fontId="1" fillId="0" borderId="5" xfId="0" applyFont="1" applyFill="1" applyBorder="1" applyAlignment="1"/>
    <xf numFmtId="0" fontId="32" fillId="13" borderId="1" xfId="0" applyFont="1" applyFill="1" applyBorder="1" applyAlignment="1" applyProtection="1">
      <alignment horizontal="center" vertical="center" wrapText="1"/>
    </xf>
    <xf numFmtId="0" fontId="43" fillId="0" borderId="12" xfId="0" applyFont="1" applyBorder="1" applyAlignment="1">
      <alignment horizontal="center" vertical="center"/>
    </xf>
    <xf numFmtId="0" fontId="44" fillId="17" borderId="0" xfId="0" applyFont="1" applyFill="1" applyBorder="1" applyAlignment="1"/>
    <xf numFmtId="0" fontId="38" fillId="0" borderId="4" xfId="0" applyFont="1" applyBorder="1" applyAlignment="1"/>
    <xf numFmtId="0" fontId="38" fillId="0" borderId="6" xfId="0" applyFont="1" applyBorder="1" applyAlignment="1"/>
    <xf numFmtId="0" fontId="1" fillId="0" borderId="0" xfId="0" applyFont="1"/>
    <xf numFmtId="0" fontId="45" fillId="8" borderId="4" xfId="0" applyFont="1" applyFill="1" applyBorder="1" applyAlignment="1">
      <alignment horizontal="center" vertical="center" wrapText="1"/>
    </xf>
    <xf numFmtId="14" fontId="12" fillId="16" borderId="3" xfId="0" applyNumberFormat="1" applyFont="1" applyFill="1" applyBorder="1" applyAlignment="1">
      <alignment horizontal="center" vertical="center" wrapText="1"/>
    </xf>
    <xf numFmtId="0" fontId="46" fillId="17" borderId="0" xfId="0" applyFont="1" applyFill="1" applyBorder="1" applyAlignment="1"/>
    <xf numFmtId="0" fontId="47" fillId="0" borderId="0" xfId="0" applyFont="1"/>
    <xf numFmtId="0" fontId="36" fillId="8" borderId="2" xfId="0" applyFont="1" applyFill="1" applyBorder="1" applyAlignment="1">
      <alignment horizontal="center" vertical="center" wrapText="1"/>
    </xf>
    <xf numFmtId="14" fontId="42" fillId="13" borderId="2" xfId="0" quotePrefix="1" applyNumberFormat="1" applyFont="1" applyFill="1" applyBorder="1" applyAlignment="1" applyProtection="1">
      <alignment horizontal="center" vertical="center" wrapText="1"/>
    </xf>
    <xf numFmtId="164" fontId="26" fillId="0" borderId="5" xfId="0" applyNumberFormat="1" applyFont="1" applyFill="1" applyBorder="1" applyAlignment="1">
      <alignment horizontal="center" vertical="center"/>
    </xf>
    <xf numFmtId="164" fontId="0" fillId="0" borderId="0" xfId="0" applyNumberFormat="1"/>
    <xf numFmtId="0" fontId="48" fillId="0" borderId="4" xfId="0" applyNumberFormat="1" applyFont="1" applyBorder="1" applyAlignment="1"/>
    <xf numFmtId="0" fontId="49" fillId="0" borderId="5" xfId="0" applyFont="1" applyBorder="1" applyAlignment="1"/>
    <xf numFmtId="0" fontId="49" fillId="0" borderId="11" xfId="0" applyFont="1" applyBorder="1" applyAlignment="1"/>
    <xf numFmtId="164" fontId="48" fillId="0" borderId="5" xfId="0" applyNumberFormat="1" applyFont="1" applyBorder="1" applyAlignment="1"/>
    <xf numFmtId="0" fontId="49" fillId="0" borderId="5" xfId="0" applyFont="1" applyBorder="1" applyAlignment="1">
      <alignment horizontal="center" vertical="center"/>
    </xf>
    <xf numFmtId="164" fontId="49" fillId="0" borderId="5" xfId="0" applyNumberFormat="1" applyFont="1" applyBorder="1" applyAlignment="1"/>
    <xf numFmtId="14" fontId="49" fillId="0" borderId="5" xfId="0" applyNumberFormat="1" applyFont="1" applyBorder="1" applyAlignment="1"/>
    <xf numFmtId="14" fontId="49" fillId="0" borderId="11" xfId="0" applyNumberFormat="1" applyFont="1" applyBorder="1" applyAlignment="1"/>
    <xf numFmtId="164" fontId="22" fillId="14" borderId="2" xfId="0" applyNumberFormat="1" applyFont="1" applyFill="1" applyBorder="1" applyAlignment="1" applyProtection="1">
      <alignment horizontal="center" vertical="center" wrapText="1"/>
    </xf>
    <xf numFmtId="0" fontId="22" fillId="14" borderId="3" xfId="0" applyFont="1" applyFill="1" applyBorder="1" applyAlignment="1" applyProtection="1">
      <alignment horizontal="center" vertical="center" wrapText="1"/>
    </xf>
    <xf numFmtId="0" fontId="22" fillId="14" borderId="2" xfId="0" applyFont="1" applyFill="1" applyBorder="1" applyAlignment="1" applyProtection="1">
      <alignment horizontal="center" vertical="center" wrapText="1"/>
    </xf>
    <xf numFmtId="0" fontId="10" fillId="0" borderId="5" xfId="0" applyFont="1" applyFill="1" applyBorder="1" applyAlignment="1"/>
    <xf numFmtId="165" fontId="10" fillId="0" borderId="7" xfId="0" applyNumberFormat="1" applyFont="1" applyFill="1" applyBorder="1" applyAlignment="1">
      <alignment horizontal="center" vertical="center"/>
    </xf>
    <xf numFmtId="0" fontId="10" fillId="0" borderId="7" xfId="0" applyFont="1" applyFill="1" applyBorder="1" applyAlignment="1"/>
    <xf numFmtId="167" fontId="22" fillId="0" borderId="5" xfId="0" applyNumberFormat="1" applyFont="1" applyFill="1" applyBorder="1" applyAlignment="1" applyProtection="1"/>
    <xf numFmtId="167" fontId="22" fillId="0" borderId="2" xfId="0" applyNumberFormat="1" applyFont="1" applyFill="1" applyBorder="1" applyAlignment="1" applyProtection="1"/>
    <xf numFmtId="0" fontId="19" fillId="13" borderId="2" xfId="0" applyFont="1" applyFill="1" applyBorder="1" applyAlignment="1" applyProtection="1">
      <alignment horizontal="center" vertical="center" wrapText="1"/>
    </xf>
    <xf numFmtId="0" fontId="40" fillId="13" borderId="3" xfId="0" applyFont="1" applyFill="1" applyBorder="1" applyAlignment="1" applyProtection="1">
      <alignment horizontal="center" vertical="center" wrapText="1"/>
    </xf>
    <xf numFmtId="164" fontId="22" fillId="0" borderId="2" xfId="0" applyNumberFormat="1" applyFont="1" applyFill="1" applyBorder="1" applyAlignment="1" applyProtection="1">
      <alignment horizontal="center" vertical="center"/>
    </xf>
    <xf numFmtId="0" fontId="50" fillId="21" borderId="7" xfId="0" applyFont="1" applyFill="1" applyBorder="1" applyAlignment="1"/>
    <xf numFmtId="0" fontId="22" fillId="22" borderId="5" xfId="0" applyFont="1" applyFill="1" applyBorder="1" applyAlignment="1" applyProtection="1">
      <alignment horizontal="center" vertical="center" wrapText="1"/>
    </xf>
    <xf numFmtId="167" fontId="1" fillId="0" borderId="5" xfId="0" applyNumberFormat="1" applyFont="1" applyBorder="1" applyAlignment="1"/>
    <xf numFmtId="0" fontId="14" fillId="8" borderId="11" xfId="0" applyFont="1" applyFill="1" applyBorder="1" applyAlignment="1"/>
    <xf numFmtId="0" fontId="0" fillId="0" borderId="0" xfId="0" applyBorder="1" applyAlignment="1">
      <alignment horizontal="center"/>
    </xf>
    <xf numFmtId="14" fontId="0" fillId="8" borderId="5" xfId="0" applyNumberFormat="1" applyFill="1" applyBorder="1" applyAlignment="1">
      <alignment horizontal="center"/>
    </xf>
    <xf numFmtId="164" fontId="14" fillId="6" borderId="4" xfId="0" applyNumberFormat="1" applyFont="1" applyFill="1" applyBorder="1" applyAlignment="1"/>
    <xf numFmtId="164" fontId="14" fillId="8" borderId="4" xfId="0" applyNumberFormat="1" applyFont="1" applyFill="1" applyBorder="1" applyAlignment="1"/>
    <xf numFmtId="164" fontId="0" fillId="8" borderId="5" xfId="0" applyNumberFormat="1" applyFill="1" applyBorder="1" applyAlignment="1">
      <alignment horizontal="center"/>
    </xf>
    <xf numFmtId="164" fontId="14" fillId="10" borderId="4" xfId="0" applyNumberFormat="1" applyFont="1" applyFill="1" applyBorder="1" applyAlignment="1"/>
    <xf numFmtId="164" fontId="0" fillId="0" borderId="5" xfId="0" applyNumberFormat="1" applyBorder="1" applyAlignment="1"/>
    <xf numFmtId="0" fontId="14" fillId="8" borderId="13" xfId="0" applyFont="1" applyFill="1" applyBorder="1" applyAlignment="1">
      <alignment horizontal="center"/>
    </xf>
    <xf numFmtId="14" fontId="0" fillId="0" borderId="0" xfId="0" applyNumberFormat="1" applyAlignment="1">
      <alignment horizontal="center"/>
    </xf>
    <xf numFmtId="14" fontId="0" fillId="0" borderId="0" xfId="0" applyNumberFormat="1" applyBorder="1" applyAlignment="1">
      <alignment horizontal="center"/>
    </xf>
    <xf numFmtId="14" fontId="14" fillId="6" borderId="13" xfId="0" applyNumberFormat="1" applyFont="1" applyFill="1" applyBorder="1" applyAlignment="1">
      <alignment horizontal="center"/>
    </xf>
    <xf numFmtId="14" fontId="0" fillId="0" borderId="5" xfId="0" applyNumberFormat="1" applyBorder="1" applyAlignment="1">
      <alignment horizontal="center"/>
    </xf>
    <xf numFmtId="14" fontId="14" fillId="8" borderId="13" xfId="0" applyNumberFormat="1" applyFont="1" applyFill="1" applyBorder="1" applyAlignment="1">
      <alignment horizontal="center"/>
    </xf>
    <xf numFmtId="14" fontId="14" fillId="10" borderId="13" xfId="0" applyNumberFormat="1" applyFont="1" applyFill="1" applyBorder="1" applyAlignment="1">
      <alignment horizontal="center"/>
    </xf>
    <xf numFmtId="14" fontId="11" fillId="4" borderId="5" xfId="0" applyNumberFormat="1" applyFont="1" applyFill="1" applyBorder="1" applyAlignment="1">
      <alignment horizontal="left" vertical="center"/>
    </xf>
    <xf numFmtId="14" fontId="0" fillId="0" borderId="5" xfId="0" applyNumberFormat="1" applyBorder="1" applyAlignment="1">
      <alignment horizontal="left"/>
    </xf>
    <xf numFmtId="14" fontId="0" fillId="0" borderId="7" xfId="0" applyNumberFormat="1" applyBorder="1" applyAlignment="1">
      <alignment horizontal="left"/>
    </xf>
    <xf numFmtId="164" fontId="1" fillId="0" borderId="5" xfId="0" applyNumberFormat="1" applyFont="1" applyBorder="1"/>
    <xf numFmtId="14" fontId="1" fillId="5" borderId="5" xfId="0" applyNumberFormat="1" applyFont="1" applyFill="1" applyBorder="1"/>
    <xf numFmtId="164" fontId="1" fillId="5" borderId="5" xfId="0" applyNumberFormat="1" applyFont="1" applyFill="1" applyBorder="1"/>
    <xf numFmtId="14" fontId="12" fillId="5" borderId="5" xfId="0" applyNumberFormat="1" applyFont="1" applyFill="1" applyBorder="1"/>
    <xf numFmtId="0" fontId="15" fillId="4" borderId="5" xfId="0" applyFont="1" applyFill="1" applyBorder="1" applyAlignment="1">
      <alignment horizontal="center" vertical="center"/>
    </xf>
    <xf numFmtId="164" fontId="0" fillId="0" borderId="5" xfId="0" applyNumberFormat="1" applyFill="1" applyBorder="1"/>
    <xf numFmtId="14" fontId="1" fillId="10" borderId="2" xfId="0" applyNumberFormat="1" applyFont="1" applyFill="1" applyBorder="1" applyAlignment="1">
      <alignment horizontal="center"/>
    </xf>
    <xf numFmtId="164" fontId="1" fillId="10" borderId="2" xfId="0" applyNumberFormat="1" applyFont="1" applyFill="1" applyBorder="1" applyAlignment="1">
      <alignment horizontal="center"/>
    </xf>
    <xf numFmtId="0" fontId="1" fillId="0" borderId="5" xfId="0" applyFont="1" applyBorder="1" applyAlignment="1">
      <alignment horizontal="center"/>
    </xf>
    <xf numFmtId="14" fontId="1" fillId="0" borderId="5" xfId="0" applyNumberFormat="1" applyFont="1" applyBorder="1" applyAlignment="1">
      <alignment horizontal="center"/>
    </xf>
    <xf numFmtId="164" fontId="1" fillId="0" borderId="5" xfId="0" applyNumberFormat="1" applyFont="1" applyBorder="1" applyAlignment="1">
      <alignment horizontal="center"/>
    </xf>
    <xf numFmtId="49" fontId="1" fillId="0" borderId="5" xfId="0" applyNumberFormat="1" applyFont="1" applyBorder="1" applyAlignment="1">
      <alignment horizontal="center"/>
    </xf>
    <xf numFmtId="164" fontId="1" fillId="0" borderId="5" xfId="0" applyNumberFormat="1" applyFont="1" applyBorder="1" applyAlignment="1"/>
    <xf numFmtId="0" fontId="1" fillId="10" borderId="2" xfId="0" applyFont="1" applyFill="1" applyBorder="1" applyAlignment="1">
      <alignment horizontal="center"/>
    </xf>
    <xf numFmtId="0" fontId="1" fillId="0" borderId="5" xfId="0" applyFont="1" applyFill="1" applyBorder="1"/>
    <xf numFmtId="0" fontId="1" fillId="0" borderId="5" xfId="0" applyFont="1" applyBorder="1"/>
    <xf numFmtId="0" fontId="1" fillId="6" borderId="2" xfId="0" applyFont="1" applyFill="1" applyBorder="1" applyAlignment="1">
      <alignment horizontal="center"/>
    </xf>
    <xf numFmtId="14" fontId="1" fillId="6" borderId="2" xfId="0" applyNumberFormat="1" applyFont="1" applyFill="1" applyBorder="1" applyAlignment="1">
      <alignment horizontal="center"/>
    </xf>
    <xf numFmtId="164" fontId="1" fillId="6" borderId="2" xfId="0" applyNumberFormat="1" applyFont="1" applyFill="1" applyBorder="1" applyAlignment="1">
      <alignment horizontal="center"/>
    </xf>
    <xf numFmtId="0" fontId="41" fillId="0" borderId="5" xfId="0" applyFont="1" applyBorder="1" applyAlignment="1">
      <alignment horizontal="left"/>
    </xf>
    <xf numFmtId="0" fontId="52" fillId="23" borderId="0" xfId="0" applyFont="1" applyFill="1" applyBorder="1" applyAlignment="1"/>
    <xf numFmtId="164" fontId="4" fillId="24" borderId="5" xfId="0" applyNumberFormat="1" applyFont="1" applyFill="1" applyBorder="1" applyAlignment="1" applyProtection="1">
      <alignment horizontal="center" vertical="center" wrapText="1"/>
    </xf>
    <xf numFmtId="0" fontId="22" fillId="9" borderId="5" xfId="0" applyFont="1" applyFill="1" applyBorder="1" applyAlignment="1" applyProtection="1">
      <alignment horizontal="center" vertical="center"/>
    </xf>
    <xf numFmtId="14" fontId="13" fillId="16" borderId="3" xfId="0" applyNumberFormat="1" applyFont="1" applyFill="1" applyBorder="1" applyAlignment="1">
      <alignment horizontal="center" vertical="center" wrapText="1"/>
    </xf>
    <xf numFmtId="0" fontId="1" fillId="0" borderId="0" xfId="0" applyFont="1" applyFill="1"/>
    <xf numFmtId="0" fontId="6" fillId="25" borderId="5" xfId="0" applyFont="1" applyFill="1" applyBorder="1" applyAlignment="1">
      <alignment vertical="center"/>
    </xf>
    <xf numFmtId="0" fontId="6" fillId="0" borderId="5" xfId="0" applyFont="1" applyBorder="1" applyAlignment="1">
      <alignment vertical="center"/>
    </xf>
    <xf numFmtId="0" fontId="8" fillId="25" borderId="5" xfId="0" applyFont="1" applyFill="1" applyBorder="1" applyAlignment="1">
      <alignment vertical="center"/>
    </xf>
    <xf numFmtId="0" fontId="8" fillId="0" borderId="5" xfId="0" applyFont="1" applyBorder="1" applyAlignment="1">
      <alignment vertical="center"/>
    </xf>
    <xf numFmtId="0" fontId="13" fillId="16" borderId="1" xfId="0" applyFont="1" applyFill="1" applyBorder="1" applyAlignment="1">
      <alignment horizontal="center" vertical="center" wrapText="1"/>
    </xf>
    <xf numFmtId="0" fontId="53" fillId="0" borderId="4" xfId="0" applyFont="1" applyBorder="1" applyAlignment="1" applyProtection="1">
      <alignment vertical="center"/>
    </xf>
    <xf numFmtId="0" fontId="53" fillId="3" borderId="4" xfId="0" applyFont="1" applyFill="1" applyBorder="1" applyAlignment="1" applyProtection="1">
      <alignment vertical="center"/>
    </xf>
    <xf numFmtId="0" fontId="53" fillId="0" borderId="6" xfId="0" applyFont="1" applyBorder="1" applyAlignment="1" applyProtection="1">
      <alignment vertical="center"/>
    </xf>
    <xf numFmtId="0" fontId="41" fillId="0" borderId="0" xfId="0" applyFont="1"/>
    <xf numFmtId="0" fontId="9" fillId="0" borderId="4" xfId="0" applyFont="1" applyFill="1" applyBorder="1" applyAlignment="1">
      <alignment vertical="center" wrapText="1"/>
    </xf>
    <xf numFmtId="0" fontId="54" fillId="0" borderId="4" xfId="0" applyFont="1" applyFill="1" applyBorder="1" applyAlignment="1">
      <alignment vertical="center" wrapText="1"/>
    </xf>
    <xf numFmtId="164" fontId="6" fillId="0" borderId="4" xfId="0" applyNumberFormat="1" applyFont="1" applyBorder="1" applyAlignment="1" applyProtection="1">
      <alignment vertical="center"/>
    </xf>
    <xf numFmtId="164" fontId="8" fillId="0" borderId="4" xfId="0" applyNumberFormat="1" applyFont="1" applyBorder="1" applyAlignment="1" applyProtection="1">
      <alignment vertical="center"/>
    </xf>
    <xf numFmtId="164" fontId="9" fillId="0" borderId="4" xfId="0" applyNumberFormat="1" applyFont="1" applyFill="1" applyBorder="1" applyAlignment="1">
      <alignment vertical="center" wrapText="1"/>
    </xf>
    <xf numFmtId="164" fontId="6" fillId="3" borderId="4" xfId="0" applyNumberFormat="1" applyFont="1" applyFill="1" applyBorder="1" applyAlignment="1" applyProtection="1">
      <alignment vertical="center"/>
    </xf>
    <xf numFmtId="164" fontId="6" fillId="0" borderId="6" xfId="0" applyNumberFormat="1" applyFont="1" applyBorder="1" applyAlignment="1" applyProtection="1">
      <alignment vertical="center"/>
    </xf>
    <xf numFmtId="0" fontId="21" fillId="13" borderId="1" xfId="0" applyFont="1" applyFill="1" applyBorder="1" applyAlignment="1" applyProtection="1">
      <alignment horizontal="center" vertical="center" wrapText="1"/>
    </xf>
    <xf numFmtId="0" fontId="21" fillId="0" borderId="4" xfId="0" applyFont="1" applyFill="1" applyBorder="1" applyAlignment="1" applyProtection="1">
      <alignment horizontal="center" vertical="center"/>
    </xf>
    <xf numFmtId="0" fontId="55" fillId="0" borderId="0" xfId="0" applyFont="1" applyAlignment="1"/>
    <xf numFmtId="0" fontId="42" fillId="0" borderId="5" xfId="0" applyFont="1" applyFill="1" applyBorder="1" applyAlignment="1" applyProtection="1">
      <alignment horizontal="center" vertical="center"/>
    </xf>
    <xf numFmtId="0" fontId="42" fillId="13" borderId="2" xfId="0" applyFont="1" applyFill="1" applyBorder="1" applyAlignment="1" applyProtection="1">
      <alignment horizontal="center" vertical="center" wrapText="1"/>
    </xf>
    <xf numFmtId="0" fontId="42" fillId="14" borderId="2" xfId="0" applyFont="1" applyFill="1" applyBorder="1" applyAlignment="1" applyProtection="1">
      <alignment horizontal="center" vertical="center" wrapText="1"/>
    </xf>
    <xf numFmtId="164" fontId="12" fillId="26" borderId="2" xfId="0" applyNumberFormat="1" applyFont="1" applyFill="1" applyBorder="1" applyAlignment="1">
      <alignment horizontal="center" vertical="center" wrapText="1"/>
    </xf>
    <xf numFmtId="0" fontId="26" fillId="6" borderId="4" xfId="0" applyFont="1" applyFill="1" applyBorder="1" applyAlignment="1">
      <alignment horizontal="center" vertical="center"/>
    </xf>
    <xf numFmtId="0" fontId="26" fillId="6" borderId="5" xfId="0" applyFont="1" applyFill="1" applyBorder="1" applyAlignment="1">
      <alignment horizontal="center" vertical="center"/>
    </xf>
    <xf numFmtId="0" fontId="42" fillId="6" borderId="5" xfId="0" applyFont="1" applyFill="1" applyBorder="1" applyAlignment="1" applyProtection="1">
      <alignment horizontal="center" vertical="center"/>
    </xf>
    <xf numFmtId="0" fontId="55" fillId="6" borderId="4" xfId="0" applyFont="1" applyFill="1" applyBorder="1" applyAlignment="1"/>
    <xf numFmtId="0" fontId="41" fillId="6" borderId="5" xfId="0" applyFont="1" applyFill="1" applyBorder="1" applyAlignment="1"/>
    <xf numFmtId="0" fontId="55" fillId="6" borderId="6" xfId="0" applyFont="1" applyFill="1" applyBorder="1" applyAlignment="1"/>
    <xf numFmtId="0" fontId="41" fillId="6" borderId="7" xfId="0" applyFont="1" applyFill="1" applyBorder="1" applyAlignment="1"/>
    <xf numFmtId="0" fontId="10" fillId="6" borderId="0" xfId="0" applyFont="1" applyFill="1" applyAlignment="1"/>
    <xf numFmtId="0" fontId="4" fillId="6" borderId="5" xfId="0" applyFont="1" applyFill="1" applyBorder="1" applyAlignment="1" applyProtection="1">
      <alignment horizontal="center" vertical="center"/>
    </xf>
    <xf numFmtId="0" fontId="25" fillId="6" borderId="5" xfId="0" applyFont="1" applyFill="1" applyBorder="1" applyAlignment="1">
      <alignment horizontal="center" vertical="center"/>
    </xf>
    <xf numFmtId="0" fontId="31" fillId="6" borderId="4" xfId="0" applyFont="1" applyFill="1" applyBorder="1" applyAlignment="1">
      <alignment horizontal="center" vertical="center"/>
    </xf>
    <xf numFmtId="164" fontId="4" fillId="6" borderId="5" xfId="0" applyNumberFormat="1" applyFont="1" applyFill="1" applyBorder="1" applyAlignment="1" applyProtection="1">
      <alignment vertical="center"/>
    </xf>
    <xf numFmtId="0" fontId="10" fillId="6" borderId="0" xfId="0" applyFont="1" applyFill="1"/>
    <xf numFmtId="0" fontId="18" fillId="12" borderId="0" xfId="0" applyFont="1" applyFill="1" applyBorder="1" applyAlignment="1"/>
    <xf numFmtId="0" fontId="0" fillId="25" borderId="25" xfId="0" applyFont="1" applyFill="1" applyBorder="1"/>
    <xf numFmtId="0" fontId="0" fillId="0" borderId="25" xfId="0" applyFont="1" applyBorder="1"/>
    <xf numFmtId="0" fontId="56" fillId="27" borderId="26" xfId="0" applyFont="1" applyFill="1" applyBorder="1" applyAlignment="1">
      <alignment horizontal="center" vertical="center" wrapText="1"/>
    </xf>
    <xf numFmtId="0" fontId="0" fillId="25" borderId="27" xfId="0" applyFont="1" applyFill="1" applyBorder="1"/>
    <xf numFmtId="0" fontId="0" fillId="0" borderId="0" xfId="0" quotePrefix="1"/>
    <xf numFmtId="0" fontId="0" fillId="0" borderId="28" xfId="0" applyBorder="1"/>
    <xf numFmtId="0" fontId="6" fillId="25" borderId="32" xfId="0" applyFont="1" applyFill="1" applyBorder="1" applyAlignment="1">
      <alignment horizontal="center" vertical="center"/>
    </xf>
    <xf numFmtId="0" fontId="6" fillId="0" borderId="33" xfId="0" applyFont="1" applyBorder="1" applyAlignment="1">
      <alignment horizontal="center" vertical="center"/>
    </xf>
    <xf numFmtId="0" fontId="8" fillId="25" borderId="33" xfId="0" applyFont="1" applyFill="1" applyBorder="1" applyAlignment="1">
      <alignment horizontal="center" vertical="center"/>
    </xf>
    <xf numFmtId="0" fontId="6" fillId="25" borderId="33" xfId="0" applyFont="1" applyFill="1" applyBorder="1" applyAlignment="1">
      <alignment horizontal="center" vertical="center"/>
    </xf>
    <xf numFmtId="0" fontId="8" fillId="0" borderId="33" xfId="0" applyFont="1" applyBorder="1" applyAlignment="1">
      <alignment horizontal="center" vertical="center"/>
    </xf>
    <xf numFmtId="0" fontId="6" fillId="0" borderId="34" xfId="0" applyFont="1" applyBorder="1" applyAlignment="1">
      <alignment horizontal="center" vertical="center"/>
    </xf>
    <xf numFmtId="0" fontId="0" fillId="0" borderId="35" xfId="0" applyBorder="1"/>
    <xf numFmtId="0" fontId="0" fillId="0" borderId="36" xfId="0" applyBorder="1"/>
    <xf numFmtId="0" fontId="34" fillId="18" borderId="7" xfId="0" applyFont="1" applyFill="1" applyBorder="1" applyAlignment="1">
      <alignment horizontal="center" vertical="center" wrapText="1"/>
    </xf>
    <xf numFmtId="0" fontId="34" fillId="18" borderId="19" xfId="0" applyFont="1" applyFill="1" applyBorder="1" applyAlignment="1">
      <alignment horizontal="center" vertical="center" wrapText="1"/>
    </xf>
    <xf numFmtId="0" fontId="34" fillId="18" borderId="2" xfId="0" applyFont="1" applyFill="1" applyBorder="1" applyAlignment="1">
      <alignment horizontal="center" vertical="center" wrapText="1"/>
    </xf>
    <xf numFmtId="0" fontId="35" fillId="8" borderId="20" xfId="0" applyFont="1" applyFill="1" applyBorder="1" applyAlignment="1">
      <alignment horizontal="center"/>
    </xf>
    <xf numFmtId="0" fontId="35" fillId="8" borderId="1" xfId="0" applyFont="1" applyFill="1" applyBorder="1" applyAlignment="1">
      <alignment horizontal="center"/>
    </xf>
    <xf numFmtId="0" fontId="0" fillId="19" borderId="6" xfId="0" applyFont="1" applyFill="1" applyBorder="1" applyAlignment="1">
      <alignment horizontal="center" vertical="center" wrapText="1"/>
    </xf>
    <xf numFmtId="0" fontId="0" fillId="19" borderId="1" xfId="0" applyFont="1" applyFill="1" applyBorder="1" applyAlignment="1">
      <alignment horizontal="center" vertical="center" wrapText="1"/>
    </xf>
    <xf numFmtId="0" fontId="35" fillId="20" borderId="8" xfId="0" applyFont="1" applyFill="1" applyBorder="1" applyAlignment="1">
      <alignment horizontal="center"/>
    </xf>
    <xf numFmtId="0" fontId="35" fillId="20" borderId="6" xfId="0" applyFont="1" applyFill="1" applyBorder="1" applyAlignment="1">
      <alignment horizontal="center"/>
    </xf>
    <xf numFmtId="0" fontId="35" fillId="16" borderId="9" xfId="0" applyFont="1" applyFill="1" applyBorder="1" applyAlignment="1">
      <alignment horizontal="center"/>
    </xf>
    <xf numFmtId="0" fontId="35" fillId="16" borderId="8" xfId="0" applyFont="1" applyFill="1" applyBorder="1" applyAlignment="1">
      <alignment horizontal="center"/>
    </xf>
    <xf numFmtId="0" fontId="17" fillId="0" borderId="0" xfId="0" applyFont="1" applyAlignment="1">
      <alignment horizontal="center" vertical="center"/>
    </xf>
    <xf numFmtId="0" fontId="18" fillId="4" borderId="5" xfId="0" applyFont="1" applyFill="1" applyBorder="1" applyAlignment="1">
      <alignment horizontal="center"/>
    </xf>
    <xf numFmtId="0" fontId="18" fillId="4" borderId="11" xfId="0" applyFont="1" applyFill="1" applyBorder="1" applyAlignment="1">
      <alignment horizontal="center"/>
    </xf>
    <xf numFmtId="0" fontId="4" fillId="0" borderId="7" xfId="0" applyFont="1" applyFill="1" applyBorder="1" applyAlignment="1" applyProtection="1">
      <alignment horizontal="center" vertical="center" textRotation="90"/>
    </xf>
    <xf numFmtId="0" fontId="4" fillId="0" borderId="19" xfId="0" applyFont="1" applyFill="1" applyBorder="1" applyAlignment="1" applyProtection="1">
      <alignment horizontal="center" vertical="center" textRotation="90"/>
    </xf>
    <xf numFmtId="0" fontId="4" fillId="0" borderId="2" xfId="0" applyFont="1" applyFill="1" applyBorder="1" applyAlignment="1" applyProtection="1">
      <alignment horizontal="center" vertical="center" textRotation="90"/>
    </xf>
    <xf numFmtId="0" fontId="13" fillId="0" borderId="7" xfId="0" applyFont="1" applyBorder="1" applyAlignment="1">
      <alignment horizontal="center" textRotation="90"/>
    </xf>
    <xf numFmtId="0" fontId="13" fillId="0" borderId="19" xfId="0" applyFont="1" applyBorder="1" applyAlignment="1">
      <alignment horizontal="center" textRotation="90"/>
    </xf>
    <xf numFmtId="0" fontId="13" fillId="0" borderId="2" xfId="0" applyFont="1" applyBorder="1" applyAlignment="1">
      <alignment horizontal="center" textRotation="90"/>
    </xf>
    <xf numFmtId="0" fontId="23" fillId="0" borderId="7" xfId="0" applyFont="1" applyBorder="1" applyAlignment="1">
      <alignment horizontal="center" vertical="center" textRotation="90"/>
    </xf>
    <xf numFmtId="0" fontId="23" fillId="0" borderId="19" xfId="0" applyFont="1" applyBorder="1" applyAlignment="1">
      <alignment horizontal="center" vertical="center" textRotation="90"/>
    </xf>
    <xf numFmtId="0" fontId="23" fillId="0" borderId="2" xfId="0" applyFont="1" applyBorder="1" applyAlignment="1">
      <alignment horizontal="center" vertical="center" textRotation="90"/>
    </xf>
    <xf numFmtId="164" fontId="15" fillId="6" borderId="14" xfId="0" applyNumberFormat="1" applyFont="1" applyFill="1" applyBorder="1" applyAlignment="1">
      <alignment horizontal="right"/>
    </xf>
    <xf numFmtId="164" fontId="15" fillId="6" borderId="15" xfId="0" applyNumberFormat="1" applyFont="1" applyFill="1" applyBorder="1" applyAlignment="1">
      <alignment horizontal="right"/>
    </xf>
    <xf numFmtId="0" fontId="16" fillId="7" borderId="17" xfId="0" applyFont="1" applyFill="1" applyBorder="1" applyAlignment="1">
      <alignment vertical="center"/>
    </xf>
    <xf numFmtId="0" fontId="16" fillId="7" borderId="18" xfId="0" applyFont="1" applyFill="1" applyBorder="1" applyAlignment="1">
      <alignment vertical="center"/>
    </xf>
    <xf numFmtId="0" fontId="10" fillId="0" borderId="5" xfId="0" applyFont="1" applyBorder="1" applyAlignment="1">
      <alignment horizontal="center"/>
    </xf>
    <xf numFmtId="0" fontId="16" fillId="9" borderId="16" xfId="0" applyFont="1" applyFill="1" applyBorder="1" applyAlignment="1">
      <alignment horizontal="left" vertical="center"/>
    </xf>
    <xf numFmtId="0" fontId="16" fillId="9" borderId="17" xfId="0" applyFont="1" applyFill="1" applyBorder="1" applyAlignment="1">
      <alignment horizontal="left" vertical="center"/>
    </xf>
    <xf numFmtId="164" fontId="51" fillId="7" borderId="5" xfId="0" applyNumberFormat="1" applyFont="1" applyFill="1" applyBorder="1" applyAlignment="1">
      <alignment horizontal="right"/>
    </xf>
    <xf numFmtId="164" fontId="51" fillId="9" borderId="5" xfId="0" applyNumberFormat="1" applyFont="1" applyFill="1" applyBorder="1" applyAlignment="1">
      <alignment horizontal="right"/>
    </xf>
    <xf numFmtId="164" fontId="14" fillId="8" borderId="11" xfId="0" applyNumberFormat="1" applyFont="1" applyFill="1" applyBorder="1" applyAlignment="1">
      <alignment horizontal="right"/>
    </xf>
    <xf numFmtId="164" fontId="14" fillId="8" borderId="4" xfId="0" applyNumberFormat="1" applyFont="1" applyFill="1" applyBorder="1" applyAlignment="1">
      <alignment horizontal="right"/>
    </xf>
    <xf numFmtId="0" fontId="16" fillId="7" borderId="16" xfId="0" applyFont="1" applyFill="1" applyBorder="1" applyAlignment="1">
      <alignment vertical="center"/>
    </xf>
    <xf numFmtId="0" fontId="16" fillId="9" borderId="18" xfId="0" applyFont="1" applyFill="1" applyBorder="1" applyAlignment="1">
      <alignment horizontal="left" vertical="center"/>
    </xf>
    <xf numFmtId="0" fontId="1" fillId="0" borderId="5" xfId="0" applyFont="1" applyBorder="1" applyAlignment="1">
      <alignment horizontal="center"/>
    </xf>
    <xf numFmtId="0" fontId="16" fillId="11" borderId="21" xfId="0" applyFont="1" applyFill="1" applyBorder="1" applyAlignment="1">
      <alignment horizontal="center" vertical="center"/>
    </xf>
    <xf numFmtId="0" fontId="16" fillId="11" borderId="22" xfId="0" applyFont="1" applyFill="1" applyBorder="1" applyAlignment="1">
      <alignment horizontal="center" vertical="center"/>
    </xf>
    <xf numFmtId="0" fontId="16" fillId="11" borderId="24" xfId="0" applyFont="1" applyFill="1" applyBorder="1" applyAlignment="1">
      <alignment horizontal="center" vertical="center"/>
    </xf>
    <xf numFmtId="164" fontId="51" fillId="11" borderId="10" xfId="0" applyNumberFormat="1" applyFont="1" applyFill="1" applyBorder="1" applyAlignment="1">
      <alignment horizontal="center" vertical="center"/>
    </xf>
    <xf numFmtId="164" fontId="51" fillId="11" borderId="0" xfId="0" applyNumberFormat="1" applyFont="1" applyFill="1" applyBorder="1" applyAlignment="1">
      <alignment horizontal="center" vertical="center"/>
    </xf>
    <xf numFmtId="164" fontId="15" fillId="10" borderId="5" xfId="0" applyNumberFormat="1" applyFont="1" applyFill="1" applyBorder="1" applyAlignment="1">
      <alignment horizontal="right"/>
    </xf>
    <xf numFmtId="0" fontId="16" fillId="11" borderId="23" xfId="0" applyFont="1" applyFill="1" applyBorder="1" applyAlignment="1">
      <alignment horizontal="center" vertical="center"/>
    </xf>
    <xf numFmtId="0" fontId="2" fillId="0" borderId="0" xfId="0" applyFont="1" applyFill="1" applyBorder="1" applyAlignment="1" applyProtection="1">
      <alignment horizontal="center" vertical="center"/>
    </xf>
    <xf numFmtId="0" fontId="57" fillId="28" borderId="29" xfId="0" applyFont="1" applyFill="1" applyBorder="1" applyAlignment="1">
      <alignment horizontal="center" vertical="center"/>
    </xf>
    <xf numFmtId="0" fontId="57" fillId="28" borderId="30" xfId="0" applyFont="1" applyFill="1" applyBorder="1" applyAlignment="1">
      <alignment horizontal="center" vertical="center"/>
    </xf>
    <xf numFmtId="0" fontId="57" fillId="28" borderId="31" xfId="0" applyFont="1" applyFill="1" applyBorder="1" applyAlignment="1">
      <alignment horizontal="center" vertical="center"/>
    </xf>
    <xf numFmtId="0" fontId="57" fillId="30" borderId="29" xfId="0" applyFont="1" applyFill="1" applyBorder="1" applyAlignment="1">
      <alignment horizontal="center" vertical="center" textRotation="90"/>
    </xf>
    <xf numFmtId="0" fontId="57" fillId="30" borderId="30" xfId="0" applyFont="1" applyFill="1" applyBorder="1" applyAlignment="1">
      <alignment horizontal="center" vertical="center" textRotation="90"/>
    </xf>
    <xf numFmtId="0" fontId="57" fillId="30" borderId="31" xfId="0" applyFont="1" applyFill="1" applyBorder="1" applyAlignment="1">
      <alignment horizontal="center" vertical="center" textRotation="90"/>
    </xf>
    <xf numFmtId="0" fontId="57" fillId="29" borderId="29" xfId="0" applyFont="1" applyFill="1" applyBorder="1" applyAlignment="1">
      <alignment horizontal="center" vertical="center"/>
    </xf>
    <xf numFmtId="0" fontId="57" fillId="29" borderId="30" xfId="0" applyFont="1" applyFill="1" applyBorder="1" applyAlignment="1">
      <alignment horizontal="center" vertical="center"/>
    </xf>
    <xf numFmtId="0" fontId="57" fillId="29" borderId="31" xfId="0" applyFont="1" applyFill="1" applyBorder="1" applyAlignment="1">
      <alignment horizontal="center" vertical="center"/>
    </xf>
  </cellXfs>
  <cellStyles count="2">
    <cellStyle name="Date" xfId="1" xr:uid="{00000000-0005-0000-0000-000000000000}"/>
    <cellStyle name="Normal" xfId="0" builtinId="0"/>
  </cellStyles>
  <dxfs count="114">
    <dxf>
      <fill>
        <patternFill>
          <bgColor rgb="FFFF5050"/>
        </patternFill>
      </fill>
    </dxf>
    <dxf>
      <fill>
        <patternFill>
          <bgColor rgb="FFFF5050"/>
        </patternFill>
      </fill>
    </dxf>
    <dxf>
      <fill>
        <patternFill>
          <bgColor rgb="FFFF5050"/>
        </patternFill>
      </fill>
    </dxf>
    <dxf>
      <font>
        <color theme="0"/>
      </font>
    </dxf>
    <dxf>
      <fill>
        <patternFill>
          <bgColor theme="9" tint="0.39994506668294322"/>
        </patternFill>
      </fill>
    </dxf>
    <dxf>
      <fill>
        <patternFill>
          <bgColor theme="5" tint="0.39994506668294322"/>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7CE"/>
        </patternFill>
      </fill>
    </dxf>
    <dxf>
      <fill>
        <patternFill>
          <bgColor theme="7" tint="0.39994506668294322"/>
        </patternFill>
      </fill>
    </dxf>
    <dxf>
      <fill>
        <patternFill>
          <bgColor theme="9" tint="0.39994506668294322"/>
        </patternFill>
      </fill>
    </dxf>
    <dxf>
      <fill>
        <patternFill>
          <bgColor theme="8" tint="0.39994506668294322"/>
        </patternFill>
      </fill>
    </dxf>
    <dxf>
      <fill>
        <patternFill>
          <bgColor rgb="FF00B0F0"/>
        </patternFill>
      </fill>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border outline="0">
        <top style="thin">
          <color theme="4" tint="0.39997558519241921"/>
        </top>
      </border>
    </dxf>
    <dxf>
      <border outline="0">
        <left style="thin">
          <color theme="4" tint="0.39997558519241921"/>
        </left>
        <right style="thin">
          <color theme="4" tint="0.39997558519241921"/>
        </right>
        <top style="thin">
          <color theme="4" tint="0.39997558519241921"/>
        </top>
        <bottom style="thin">
          <color theme="4" tint="0.39997558519241921"/>
        </bottom>
      </border>
    </dxf>
    <dxf>
      <border outline="0">
        <bottom style="thin">
          <color theme="4" tint="0.39997558519241921"/>
        </bottom>
      </border>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fill>
        <patternFill patternType="none">
          <fgColor indexed="64"/>
          <bgColor auto="1"/>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alignment horizontal="center" vertical="center" textRotation="0" indent="0" justifyLastLine="0" shrinkToFit="0" readingOrder="0"/>
      <border diagonalUp="0" diagonalDown="0" outline="0">
        <left style="thin">
          <color indexed="64"/>
        </left>
        <right/>
        <top style="thin">
          <color indexed="64"/>
        </top>
        <bottom style="thin">
          <color indexed="64"/>
        </bottom>
      </border>
    </dxf>
    <dxf>
      <fill>
        <patternFill patternType="none">
          <fgColor indexed="64"/>
          <bgColor auto="1"/>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sz val="11"/>
        <color theme="2" tint="-0.89992980742820516"/>
        <name val="Calibri"/>
        <scheme val="minor"/>
      </font>
      <numFmt numFmtId="168" formatCode="dd/mm/yyyy"/>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2" tint="-0.89992980742820516"/>
        <name val="Calibri"/>
        <scheme val="minor"/>
      </font>
      <numFmt numFmtId="168" formatCode="dd/mm/yyyy"/>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2" tint="-0.89992980742820516"/>
        <name val="Calibri"/>
        <scheme val="minor"/>
      </font>
      <numFmt numFmtId="168" formatCode="dd/mm/yyyy"/>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2" tint="-0.89992980742820516"/>
        <name val="Calibri"/>
        <scheme val="minor"/>
      </font>
      <numFmt numFmtId="168" formatCode="dd/mm/yyyy"/>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2" tint="-0.89992980742820516"/>
        <name val="Calibri"/>
        <scheme val="minor"/>
      </font>
      <numFmt numFmtId="168" formatCode="dd/mm/yyyy"/>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2" tint="-0.89992980742820516"/>
        <name val="Calibri"/>
        <scheme val="minor"/>
      </font>
      <numFmt numFmtId="168" formatCode="dd/mm/yyyy"/>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20"/>
        <color auto="1"/>
        <name val="Calibri"/>
        <scheme val="minor"/>
      </font>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1" hidden="0"/>
    </dxf>
    <dxf>
      <font>
        <b/>
        <i val="0"/>
        <strike val="0"/>
        <condense val="0"/>
        <extend val="0"/>
        <outline val="0"/>
        <shadow val="0"/>
        <u val="none"/>
        <vertAlign val="baseline"/>
        <sz val="20"/>
        <color auto="1"/>
        <name val="Calibri"/>
        <scheme val="minor"/>
      </font>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1" hidden="0"/>
    </dxf>
    <dxf>
      <font>
        <b/>
        <i val="0"/>
        <strike val="0"/>
        <condense val="0"/>
        <extend val="0"/>
        <outline val="0"/>
        <shadow val="0"/>
        <u val="none"/>
        <vertAlign val="baseline"/>
        <sz val="20"/>
        <color auto="1"/>
        <name val="Calibri"/>
        <scheme val="minor"/>
      </font>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1" hidden="0"/>
    </dxf>
    <dxf>
      <font>
        <b/>
        <i val="0"/>
        <strike val="0"/>
        <condense val="0"/>
        <extend val="0"/>
        <outline val="0"/>
        <shadow val="0"/>
        <u val="none"/>
        <vertAlign val="baseline"/>
        <sz val="20"/>
        <color auto="1"/>
        <name val="Calibri"/>
        <scheme val="minor"/>
      </font>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1" hidden="0"/>
    </dxf>
    <dxf>
      <font>
        <b/>
        <i val="0"/>
        <strike val="0"/>
        <condense val="0"/>
        <extend val="0"/>
        <outline val="0"/>
        <shadow val="0"/>
        <u val="none"/>
        <vertAlign val="baseline"/>
        <sz val="20"/>
        <color rgb="FF00B0F0"/>
        <name val="Calibri"/>
        <scheme val="minor"/>
      </font>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i val="0"/>
        <strike val="0"/>
        <condense val="0"/>
        <extend val="0"/>
        <outline val="0"/>
        <shadow val="0"/>
        <u val="none"/>
        <vertAlign val="baseline"/>
        <sz val="20"/>
        <color auto="1"/>
        <name val="Calibri"/>
        <scheme val="minor"/>
      </font>
      <numFmt numFmtId="164" formatCode="#,##0.00\ &quot;€&quot;"/>
      <alignment horizontal="general" vertical="center" textRotation="0" wrapText="0" indent="0" justifyLastLine="0" shrinkToFit="0" readingOrder="0"/>
      <border diagonalUp="0" diagonalDown="0" outline="0">
        <left/>
        <right/>
        <top style="thin">
          <color indexed="64"/>
        </top>
        <bottom style="thin">
          <color indexed="64"/>
        </bottom>
      </border>
      <protection locked="1" hidden="0"/>
    </dxf>
    <dxf>
      <font>
        <b/>
        <i val="0"/>
        <strike val="0"/>
        <condense val="0"/>
        <extend val="0"/>
        <outline val="0"/>
        <shadow val="0"/>
        <u val="none"/>
        <vertAlign val="baseline"/>
        <sz val="20"/>
        <color auto="1"/>
        <name val="Calibri"/>
        <scheme val="minor"/>
      </font>
      <alignment horizontal="general" vertical="center" textRotation="0" wrapText="0" indent="0" justifyLastLine="0" shrinkToFit="0" readingOrder="0"/>
      <border diagonalUp="0" diagonalDown="0" outline="0">
        <left/>
        <right/>
        <top style="thin">
          <color indexed="64"/>
        </top>
        <bottom style="thin">
          <color indexed="64"/>
        </bottom>
      </border>
      <protection locked="1" hidden="0"/>
    </dxf>
    <dxf>
      <font>
        <b/>
        <i val="0"/>
        <strike val="0"/>
        <condense val="0"/>
        <extend val="0"/>
        <outline val="0"/>
        <shadow val="0"/>
        <u val="none"/>
        <vertAlign val="baseline"/>
        <sz val="20"/>
        <color auto="1"/>
        <name val="Calibri"/>
        <scheme val="minor"/>
      </font>
      <alignment horizontal="general"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protection locked="1" hidden="0"/>
    </dxf>
    <dxf>
      <border>
        <top style="thin">
          <color indexed="64"/>
        </top>
      </border>
    </dxf>
    <dxf>
      <border diagonalUp="0" diagonalDown="0">
        <left style="thin">
          <color indexed="64"/>
        </left>
        <right style="thin">
          <color indexed="64"/>
        </right>
        <top style="thin">
          <color indexed="64"/>
        </top>
        <bottom style="thin">
          <color indexed="64"/>
        </bottom>
      </border>
    </dxf>
    <dxf>
      <border>
        <bottom style="thin">
          <color indexed="64"/>
        </bottom>
      </border>
    </dxf>
    <dxf>
      <font>
        <b val="0"/>
        <i val="0"/>
        <strike val="0"/>
        <condense val="0"/>
        <extend val="0"/>
        <outline val="0"/>
        <shadow val="0"/>
        <u val="none"/>
        <vertAlign val="baseline"/>
        <sz val="14"/>
        <color auto="1"/>
        <name val="Calibri Light"/>
        <scheme val="major"/>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rgb="FFFF0000"/>
        <name val="Calibri"/>
        <scheme val="minor"/>
      </font>
      <numFmt numFmtId="167" formatCode="#.##0\.00\ &quot;€&quot;"/>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color rgb="FFFF0000"/>
      </font>
      <numFmt numFmtId="164" formatCode="#,##0.00\ &quot;€&quot;"/>
      <alignment horizontal="general" vertical="bottom" textRotation="0" wrapText="0"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color rgb="FFFF0000"/>
      </font>
      <numFmt numFmtId="164" formatCode="#,##0.00\ &quot;€&quot;"/>
      <alignment horizontal="general" vertical="bottom" textRotation="0" wrapText="0" indent="0" justifyLastLine="0" shrinkToFit="0" readingOrder="0"/>
      <border diagonalUp="0" diagonalDown="0">
        <left style="thin">
          <color indexed="64"/>
        </left>
        <right/>
        <top style="thin">
          <color indexed="64"/>
        </top>
        <bottom style="thin">
          <color indexed="64"/>
        </bottom>
      </border>
    </dxf>
    <dxf>
      <font>
        <strike val="0"/>
        <outline val="0"/>
        <shadow val="0"/>
        <u val="none"/>
        <vertAlign val="baseline"/>
        <color rgb="FFFF0000"/>
      </font>
      <numFmt numFmtId="164" formatCode="#,##0.00\ &quot;€&quot;"/>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color rgb="FFFF0000"/>
      </font>
      <numFmt numFmtId="164" formatCode="#,##0.00\ &quot;€&quot;"/>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color rgb="FFFF0000"/>
      </font>
      <numFmt numFmtId="164" formatCode="#,##0.00\ &quot;€&quot;"/>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color rgb="FFFF0000"/>
      </font>
      <numFmt numFmtId="164" formatCode="#,##0.00\ &quot;€&quot;"/>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color rgb="FFFF0000"/>
        <name val="Verdana"/>
        <scheme val="none"/>
      </font>
      <numFmt numFmtId="164" formatCode="#,##0.00\ &quot;€&quo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strike val="0"/>
        <outline val="0"/>
        <shadow val="0"/>
        <u val="none"/>
        <vertAlign val="baseline"/>
        <color auto="1"/>
      </font>
      <fill>
        <patternFill patternType="none">
          <fgColor indexed="64"/>
          <bgColor auto="1"/>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color auto="1"/>
      </font>
      <numFmt numFmtId="165" formatCode="d/m/yy;@"/>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color rgb="FF00B0F0"/>
      </font>
      <fill>
        <patternFill patternType="none">
          <fgColor indexed="64"/>
          <bgColor auto="1"/>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color rgb="FF00B0F0"/>
      </font>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color rgb="FFFF0000"/>
      </font>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color rgb="FFFF0000"/>
      </font>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5" formatCode="d/m/yy;@"/>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30" formatCode="@"/>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rgb="FFFF0000"/>
        <name val="Verdana"/>
        <scheme val="none"/>
      </font>
      <numFmt numFmtId="0" formatCode="Genera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color rgb="FFFF0000"/>
      </font>
      <numFmt numFmtId="0" formatCode="Genera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color rgb="FFFF0000"/>
      </font>
      <numFmt numFmtId="0" formatCode="Genera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color rgb="FFFF0000"/>
      </font>
      <numFmt numFmtId="0" formatCode="Genera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color rgb="FF00B0F0"/>
      </font>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0"/>
        <color rgb="FF00B0F0"/>
        <name val="Montserrat"/>
        <scheme val="none"/>
      </font>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color rgb="FF00B0F0"/>
      </font>
      <alignment horizontal="general" vertical="bottom" textRotation="0" wrapText="0"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color rgb="FF00B0F0"/>
      </font>
      <alignment horizontal="general"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numFmt numFmtId="164" formatCode="#,##0.00\ &quot;€&quot;"/>
      <alignment horizontal="general" vertical="bottom" textRotation="0" wrapText="0" indent="0" justifyLastLine="0" shrinkToFit="0" readingOrder="0"/>
    </dxf>
    <dxf>
      <border outline="0">
        <bottom style="thin">
          <color indexed="64"/>
        </bottom>
      </border>
    </dxf>
    <dxf>
      <font>
        <b val="0"/>
        <i val="0"/>
        <strike val="0"/>
        <condense val="0"/>
        <extend val="0"/>
        <outline val="0"/>
        <shadow val="0"/>
        <u val="none"/>
        <vertAlign val="baseline"/>
        <sz val="11"/>
        <color rgb="FFFFFFFF"/>
        <name val="Verdana"/>
        <scheme val="none"/>
      </font>
      <numFmt numFmtId="164" formatCode="#,##0.00\ &quot;€&quot;"/>
      <fill>
        <patternFill patternType="solid">
          <fgColor rgb="FF000000"/>
          <bgColor rgb="FFC00000"/>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1" hidden="0"/>
    </dxf>
    <dxf>
      <font>
        <b val="0"/>
        <i val="0"/>
        <strike val="0"/>
        <condense val="0"/>
        <extend val="0"/>
        <outline val="0"/>
        <shadow val="0"/>
        <u val="none"/>
        <vertAlign val="baseline"/>
        <sz val="12"/>
        <color theme="1"/>
        <name val="Montserrat"/>
        <scheme val="none"/>
      </font>
      <numFmt numFmtId="168" formatCode="dd/mm/yyyy"/>
      <alignment horizontal="general"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2"/>
        <color theme="1"/>
        <name val="Montserrat"/>
        <scheme val="none"/>
      </font>
      <numFmt numFmtId="168" formatCode="dd/mm/yyyy"/>
      <alignment horizontal="general"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2"/>
        <color theme="1"/>
        <name val="Montserrat"/>
        <scheme val="none"/>
      </font>
      <numFmt numFmtId="168" formatCode="dd/mm/yyyy"/>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theme="1"/>
        <name val="Montserrat"/>
        <scheme val="none"/>
      </font>
      <numFmt numFmtId="168" formatCode="dd/mm/yyyy"/>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rgb="FFFF0000"/>
        <name val="Verdana"/>
        <scheme val="none"/>
      </font>
      <numFmt numFmtId="164" formatCode="#,##0.00\ &quot;€&quo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2"/>
        <color theme="1"/>
        <name val="Montserrat"/>
        <scheme val="none"/>
      </font>
      <numFmt numFmtId="164" formatCode="#,##0.00\ &quot;€&quot;"/>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theme="1"/>
        <name val="Montserrat"/>
        <scheme val="none"/>
      </font>
      <numFmt numFmtId="164" formatCode="#,##0.00\ &quot;€&quot;"/>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rgb="FFFF0000"/>
        <name val="Verdana"/>
        <scheme val="none"/>
      </font>
      <numFmt numFmtId="164" formatCode="#,##0.00\ &quot;€&quot;"/>
      <fill>
        <patternFill patternType="solid">
          <fgColor indexed="64"/>
          <bgColor theme="0" tint="-0.249977111117893"/>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rgb="FFFF0000"/>
        <name val="Verdana"/>
        <scheme val="none"/>
      </font>
      <numFmt numFmtId="164" formatCode="#,##0.00\ &quot;€&quot;"/>
      <fill>
        <patternFill patternType="solid">
          <fgColor indexed="64"/>
          <bgColor theme="0" tint="-0.249977111117893"/>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rgb="FFFF0000"/>
        <name val="Verdana"/>
        <scheme val="none"/>
      </font>
      <numFmt numFmtId="164" formatCode="#,##0.00\ &quot;€&quot;"/>
      <fill>
        <patternFill patternType="solid">
          <fgColor indexed="64"/>
          <bgColor theme="0" tint="-0.249977111117893"/>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rgb="FFFF0000"/>
        <name val="Verdana"/>
        <scheme val="none"/>
      </font>
      <numFmt numFmtId="164" formatCode="#,##0.00\ &quot;€&quot;"/>
      <fill>
        <patternFill patternType="solid">
          <fgColor indexed="64"/>
          <bgColor theme="0" tint="-0.249977111117893"/>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rgb="FFFF0000"/>
        <name val="Verdana"/>
        <scheme val="none"/>
      </font>
      <numFmt numFmtId="164" formatCode="#,##0.00\ &quot;€&quot;"/>
      <fill>
        <patternFill patternType="solid">
          <fgColor indexed="64"/>
          <bgColor theme="0" tint="-0.249977111117893"/>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rgb="FFFF0000"/>
        <name val="Verdana"/>
        <scheme val="none"/>
      </font>
      <numFmt numFmtId="164" formatCode="#,##0.00\ &quot;€&quot;"/>
      <fill>
        <patternFill patternType="solid">
          <fgColor indexed="64"/>
          <bgColor theme="0" tint="-0.249977111117893"/>
        </patternFill>
      </fill>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auto="1"/>
        <name val="Verdana"/>
        <scheme val="none"/>
      </font>
      <numFmt numFmtId="164" formatCode="#,##0.00\ &quot;€&quot;"/>
      <fill>
        <patternFill patternType="solid">
          <fgColor indexed="64"/>
          <bgColor rgb="FFFFFF00"/>
        </patternFill>
      </fill>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theme="1"/>
        <name val="Montserrat"/>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Montserrat"/>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rgb="FFFF0000"/>
        <name val="Montserrat"/>
        <scheme val="none"/>
      </font>
      <numFmt numFmtId="164" formatCode="#,##0.00\ &quot;€&quot;"/>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rgb="FF00B0F0"/>
        <name val="Garamond"/>
        <scheme val="none"/>
      </font>
      <fill>
        <patternFill patternType="solid">
          <fgColor indexed="64"/>
          <bgColor rgb="FFFFFF00"/>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2"/>
        <color theme="1"/>
        <name val="Montserrat"/>
        <scheme val="none"/>
      </font>
      <numFmt numFmtId="0" formatCode="General"/>
      <alignment horizontal="general" vertical="bottom" textRotation="0" wrapText="0" indent="0" justifyLastLine="0" shrinkToFit="0" readingOrder="0"/>
      <border diagonalUp="0" diagonalDown="0">
        <left style="thin">
          <color indexed="64"/>
        </left>
        <right/>
        <top style="thin">
          <color indexed="64"/>
        </top>
        <bottom style="thin">
          <color indexed="64"/>
        </bottom>
      </border>
    </dxf>
    <dxf>
      <font>
        <b val="0"/>
        <i val="0"/>
        <strike val="0"/>
        <condense val="0"/>
        <extend val="0"/>
        <outline val="0"/>
        <shadow val="0"/>
        <u val="none"/>
        <vertAlign val="baseline"/>
        <sz val="12"/>
        <color theme="1"/>
        <name val="Montserrat"/>
        <scheme val="none"/>
      </font>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rgb="FF000000"/>
        <name val="Garamond"/>
        <scheme val="none"/>
      </font>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rgb="FF00B0F0"/>
        <name val="Garamond"/>
        <scheme val="none"/>
      </font>
      <numFmt numFmtId="30" formatCode="@"/>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Montserrat"/>
        <scheme val="none"/>
      </font>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Verdana"/>
        <scheme val="none"/>
      </font>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rgb="FFFF0000"/>
        <name val="Montserrat"/>
        <scheme val="none"/>
      </font>
      <numFmt numFmtId="0" formatCode="General"/>
      <alignment horizontal="general"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bottom style="thin">
          <color indexed="64"/>
        </bottom>
      </border>
    </dxf>
    <dxf>
      <font>
        <b val="0"/>
        <i val="0"/>
        <strike val="0"/>
        <condense val="0"/>
        <extend val="0"/>
        <outline val="0"/>
        <shadow val="0"/>
        <u val="none"/>
        <vertAlign val="baseline"/>
        <sz val="12"/>
        <color theme="1"/>
        <name val="Montserrat"/>
        <scheme val="none"/>
      </font>
      <alignment horizontal="general" vertical="bottom" textRotation="0" wrapText="0" indent="0" justifyLastLine="0" shrinkToFit="0" readingOrder="0"/>
    </dxf>
    <dxf>
      <border outline="0">
        <bottom style="thin">
          <color indexed="64"/>
        </bottom>
      </border>
    </dxf>
    <dxf>
      <alignment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SUIVI%20COMPLET%20CHANTIER%20SOUS%20TRAITAN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RCHE.CONTRAT.PVRECEP"/>
      <sheetName val="FACT ST"/>
      <sheetName val="RECAP FACT"/>
      <sheetName val="DOCS ADM"/>
      <sheetName val="CONTACT et INFOS"/>
      <sheetName val="DONNEES"/>
    </sheetNames>
    <sheetDataSet>
      <sheetData sheetId="0"/>
      <sheetData sheetId="1"/>
      <sheetData sheetId="2"/>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0000000}" name="Tableau16" displayName="Tableau16" ref="A3:Y42" totalsRowShown="0" headerRowDxfId="113" dataDxfId="111" headerRowBorderDxfId="112" tableBorderDxfId="110" totalsRowBorderDxfId="109">
  <autoFilter ref="A3:Y42" xr:uid="{00000000-0009-0000-0100-000010000000}">
    <filterColumn colId="7">
      <filters>
        <filter val="D"/>
      </filters>
    </filterColumn>
  </autoFilter>
  <tableColumns count="25">
    <tableColumn id="1" xr3:uid="{00000000-0010-0000-0000-000001000000}" name="Ref" dataDxfId="108">
      <calculatedColumnFormula>CONCATENATE(Tableau16[[#This Row],[CT]],Tableau16[[#This Row],[CHANTIER]],Tableau16[[#This Row],[SOUS TRAITANT]],Tableau16[[#This Row],[MO]])</calculatedColumnFormula>
    </tableColumn>
    <tableColumn id="2" xr3:uid="{00000000-0010-0000-0000-000002000000}" name="MO" dataDxfId="107"/>
    <tableColumn id="3" xr3:uid="{00000000-0010-0000-0000-000003000000}" name="MOE" dataDxfId="106"/>
    <tableColumn id="4" xr3:uid="{00000000-0010-0000-0000-000004000000}" name="CT" dataDxfId="105"/>
    <tableColumn id="5" xr3:uid="{00000000-0010-0000-0000-000005000000}" name="CHANTIER" dataDxfId="104"/>
    <tableColumn id="6" xr3:uid="{00000000-0010-0000-0000-000006000000}" name="ADRESSE" dataDxfId="103"/>
    <tableColumn id="7" xr3:uid="{00000000-0010-0000-0000-000007000000}" name="CP" dataDxfId="102">
      <calculatedColumnFormula>COLUMNS(MATCH(Tableau16[[#This Row],[SOUS TRAITANT]],DONNEES!P1:AO1,))+14</calculatedColumnFormula>
    </tableColumn>
    <tableColumn id="8" xr3:uid="{00000000-0010-0000-0000-000008000000}" name="SOUS TRAITANT" dataDxfId="101"/>
    <tableColumn id="9" xr3:uid="{00000000-0010-0000-0000-000009000000}" name="PU SOUS TRAITANT" dataDxfId="100">
      <calculatedColumnFormula>VLOOKUP(H4,Tableau11[[SOUS TRAITANT]:[PU MARCHE]],3,FALSE)</calculatedColumnFormula>
    </tableColumn>
    <tableColumn id="10" xr3:uid="{00000000-0010-0000-0000-00000A000000}" name="INDICE BC" dataDxfId="99"/>
    <tableColumn id="24" xr3:uid="{00000000-0010-0000-0000-000018000000}" name="TX" dataDxfId="98"/>
    <tableColumn id="11" xr3:uid="{00000000-0010-0000-0000-00000B000000}" name="MONTANT BC" dataDxfId="97"/>
    <tableColumn id="26" xr3:uid="{00000000-0010-0000-0000-00001A000000}" name="MARCHEEXT" dataDxfId="96"/>
    <tableColumn id="12" xr3:uid="{00000000-0010-0000-0000-00000C000000}" name="MARCHEINT" dataDxfId="95">
      <calculatedColumnFormula>IF(Tableau16[[#This Row],[MARCHEEXT]]&gt;=1,((Tableau16[[#This Row],[MONTANT BC]]*70%)-(Tableau16[[#This Row],[RG_5%]]+Tableau16[[#This Row],[P_2%]]+Tableau16[[#This Row],[BFT_5%]]+Tableau16[[#This Row],[E 3%]]+Tableau16[[#This Row],[AUTRE]])),(Tableau16[[#This Row],[MONTANT BC]]-(Tableau16[[#This Row],[RG_5%]]+Tableau16[[#This Row],[P_2%]]+Tableau16[[#This Row],[BFT_5%]]+Tableau16[[#This Row],[E 3%]]+Tableau16[[#This Row],[AUTRE]])))</calculatedColumnFormula>
    </tableColumn>
    <tableColumn id="14" xr3:uid="{00000000-0010-0000-0000-00000E000000}" name="RG_5%" dataDxfId="94">
      <calculatedColumnFormula>Tableau16[MONTANT BC]*5%</calculatedColumnFormula>
    </tableColumn>
    <tableColumn id="15" xr3:uid="{00000000-0010-0000-0000-00000F000000}" name="P_2%" dataDxfId="93">
      <calculatedColumnFormula>Tableau16[[#This Row],[MONTANT BC]]*2%</calculatedColumnFormula>
    </tableColumn>
    <tableColumn id="16" xr3:uid="{00000000-0010-0000-0000-000010000000}" name="BFT_5%" dataDxfId="92">
      <calculatedColumnFormula>Tableau16[[#This Row],[MONTANT BC]]*5%</calculatedColumnFormula>
    </tableColumn>
    <tableColumn id="17" xr3:uid="{00000000-0010-0000-0000-000011000000}" name="E 3%" dataDxfId="91">
      <calculatedColumnFormula>(Tableau16[[#This Row],[MONTANT BC]]*3%)</calculatedColumnFormula>
    </tableColumn>
    <tableColumn id="18" xr3:uid="{00000000-0010-0000-0000-000012000000}" name="AUTRE" dataDxfId="90"/>
    <tableColumn id="19" xr3:uid="{00000000-0010-0000-0000-000013000000}" name="OBSERVATION" dataDxfId="89"/>
    <tableColumn id="20" xr3:uid="{00000000-0010-0000-0000-000014000000}" name="STATUT" dataDxfId="88">
      <calculatedColumnFormula>IF(AND(J4="",W4="",Y4=""),"",IF(AND(J4&gt;1,W4=""),"EN_COURS",IF(AND(W4&gt;1,Y4="",W4+21&lt;=TODAY()),"VALIDER_PAR_DEFFAUT",IF(AND(W4&gt;1,Y4=""),"ENVOYER",IF(Y4&gt;1,"VALIDER","")))))</calculatedColumnFormula>
    </tableColumn>
    <tableColumn id="21" xr3:uid="{00000000-0010-0000-0000-000015000000}" name="SIGNATURE " dataDxfId="87"/>
    <tableColumn id="22" xr3:uid="{00000000-0010-0000-0000-000016000000}" name="ENVOIE" dataDxfId="86"/>
    <tableColumn id="25" xr3:uid="{00000000-0010-0000-0000-000019000000}" name="RECEP" dataDxfId="85"/>
    <tableColumn id="23" xr3:uid="{00000000-0010-0000-0000-000017000000}" name="ACCEPTATION" dataDxfId="8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1000000}" name="Tableau8" displayName="Tableau8" ref="C3:AA91" totalsRowShown="0" headerRowDxfId="83" dataDxfId="81" headerRowBorderDxfId="82" tableBorderDxfId="80" totalsRowBorderDxfId="79">
  <tableColumns count="25">
    <tableColumn id="1" xr3:uid="{00000000-0010-0000-0100-000001000000}" name="Sous Traitant" dataDxfId="78"/>
    <tableColumn id="2" xr3:uid="{00000000-0010-0000-0100-000002000000}" name="NOM CHANTIER_x000a_INDIRECT ST" dataDxfId="77"/>
    <tableColumn id="3" xr3:uid="{00000000-0010-0000-0100-000003000000}" name="CT_x000a_INDIRECT CHANTIER" dataDxfId="76"/>
    <tableColumn id="4" xr3:uid="{00000000-0010-0000-0100-000004000000}" name="MO_x000a_INDIRECT CT" dataDxfId="75"/>
    <tableColumn id="5" xr3:uid="{00000000-0010-0000-0100-000005000000}" name="Adresse chantier" dataDxfId="74">
      <calculatedColumnFormula>IFERROR(IF(B4="","",VLOOKUP(B4,Tableau16[[Ref]:[CP]],6,FALSE)),"")</calculatedColumnFormula>
    </tableColumn>
    <tableColumn id="7" xr3:uid="{00000000-0010-0000-0100-000007000000}" name="CP" dataDxfId="73">
      <calculatedColumnFormula>IFERROR(IF(B4="","",VLOOKUP(B4,Tableau16[[Ref]:[CP]],7,FALSE)),"")</calculatedColumnFormula>
    </tableColumn>
    <tableColumn id="28" xr3:uid="{00000000-0010-0000-0100-00001C000000}" name="REF FACT" dataDxfId="72">
      <calculatedColumnFormula>CONCATENATE(Tableau8[[#This Row],[CT
INDIRECT CHANTIER]],Tableau8[[#This Row],[NOM CHANTIER
INDIRECT ST]],Tableau8[[#This Row],[Sous Traitant]],Tableau8[[#This Row],[MO
INDIRECT CT]],Tableau8[[#This Row],[marché]])</calculatedColumnFormula>
    </tableColumn>
    <tableColumn id="8" xr3:uid="{00000000-0010-0000-0100-000008000000}" name="fact n°" dataDxfId="71">
      <calculatedColumnFormula>IF(Tableau8[[#This Row],[REF FACT]]&gt;=0,MAX($J3:J$4)+1,"")</calculatedColumnFormula>
    </tableColumn>
    <tableColumn id="9" xr3:uid="{00000000-0010-0000-0100-000009000000}" name="ref fact2" dataDxfId="70"/>
    <tableColumn id="10" xr3:uid="{00000000-0010-0000-0100-00000A000000}" name="date fact" dataDxfId="69"/>
    <tableColumn id="11" xr3:uid="{00000000-0010-0000-0100-00000B000000}" name="delais paim" dataDxfId="68">
      <calculatedColumnFormula>IF(Tableau8[[#This Row],[Sous Traitant]]&gt;1,VLOOKUP(Tableau8[[#This Row],[Sous Traitant]],#REF!,3,FALSE),"")</calculatedColumnFormula>
    </tableColumn>
    <tableColumn id="12" xr3:uid="{00000000-0010-0000-0100-00000C000000}" name="date paiement provisoir" dataDxfId="67"/>
    <tableColumn id="13" xr3:uid="{00000000-0010-0000-0100-00000D000000}" name="marché" dataDxfId="66"/>
    <tableColumn id="14" xr3:uid="{00000000-0010-0000-0100-00000E000000}" name="montant" dataDxfId="65"/>
    <tableColumn id="16" xr3:uid="{00000000-0010-0000-0100-000010000000}" name="validé par" dataDxfId="64"/>
    <tableColumn id="17" xr3:uid="{00000000-0010-0000-0100-000011000000}" name="payé / présenté le" dataDxfId="63"/>
    <tableColumn id="18" xr3:uid="{00000000-0010-0000-0100-000012000000}" name="Observations" dataDxfId="62"/>
    <tableColumn id="32" xr3:uid="{00000000-0010-0000-0100-000020000000}" name="PAYEE" dataDxfId="61">
      <calculatedColumnFormula>SUMIFS($P$4:P4,$I$4:I4,I4)</calculatedColumnFormula>
    </tableColumn>
    <tableColumn id="21" xr3:uid="{00000000-0010-0000-0100-000015000000}" name="MARCHE INT" dataDxfId="60">
      <calculatedColumnFormula>IF(Tableau8[[#This Row],[marché]]="MARCHEINT",VLOOKUP($B4,Tableau16[[Ref]:[AUTRE]],13,FALSE)-Tableau8[[#This Row],[PAYEE]],"")</calculatedColumnFormula>
    </tableColumn>
    <tableColumn id="22" xr3:uid="{00000000-0010-0000-0100-000016000000}" name="MARCHE EXT" dataDxfId="59">
      <calculatedColumnFormula>IF(Tableau8[[#This Row],[marché]]="MARCHEEXT",VLOOKUP($B4,Tableau16[[Ref]:[AUTRE]],14,FALSE)-Tableau8[[#This Row],[PAYEE]],"")</calculatedColumnFormula>
    </tableColumn>
    <tableColumn id="23" xr3:uid="{00000000-0010-0000-0100-000017000000}" name="RG_5%" dataDxfId="58">
      <calculatedColumnFormula>IF(Tableau8[[#This Row],[marché]]="RG_5%",VLOOKUP($B4,Tableau16[[Ref]:[AUTRE]],15,FALSE)-Tableau8[[#This Row],[PAYEE]],"")</calculatedColumnFormula>
    </tableColumn>
    <tableColumn id="25" xr3:uid="{00000000-0010-0000-0100-000019000000}" name="BFT_5%" dataDxfId="57">
      <calculatedColumnFormula>IF(Tableau8[[#This Row],[marché]]="BFT_5%",VLOOKUP($B4,Tableau16[[Ref]:[AUTRE]],17,FALSE)-Tableau8[[#This Row],[PAYEE]],"")</calculatedColumnFormula>
    </tableColumn>
    <tableColumn id="27" xr3:uid="{00000000-0010-0000-0100-00001B000000}" name="AUTRE" dataDxfId="56">
      <calculatedColumnFormula>IF(Tableau8[[#This Row],[marché]]="AUTRE",VLOOKUP($B4,Tableau16[[Ref]:[AUTRE]],19,FALSE)-Tableau8[[#This Row],[PAYEE]],"")</calculatedColumnFormula>
    </tableColumn>
    <tableColumn id="33" xr3:uid="{00000000-0010-0000-0100-000021000000}" name="TS/TMA/CFA" dataDxfId="55"/>
    <tableColumn id="34" xr3:uid="{00000000-0010-0000-0100-000022000000}" name="MARCHE INIT" dataDxfId="54">
      <calculatedColumnFormula>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calculatedColumnFormula>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Tableau11" displayName="Tableau11" ref="A2:T56" totalsRowShown="0" headerRowDxfId="53" headerRowBorderDxfId="52" tableBorderDxfId="51" totalsRowBorderDxfId="50">
  <autoFilter ref="A2:T56" xr:uid="{00000000-0009-0000-0100-000002000000}"/>
  <sortState xmlns:xlrd2="http://schemas.microsoft.com/office/spreadsheetml/2017/richdata2" ref="A3:M56">
    <sortCondition ref="A2:A56"/>
  </sortState>
  <tableColumns count="20">
    <tableColumn id="1" xr3:uid="{00000000-0010-0000-0200-000001000000}" name="SOUS TRAITANT" dataDxfId="49"/>
    <tableColumn id="17" xr3:uid="{00000000-0010-0000-0200-000011000000}" name="CONTACT" dataDxfId="48"/>
    <tableColumn id="19" xr3:uid="{00000000-0010-0000-0200-000013000000}" name="PU MARCHE" dataDxfId="47"/>
    <tableColumn id="18" xr3:uid="{00000000-0010-0000-0200-000012000000}" name="DELAIS PAIEMENT" dataDxfId="46"/>
    <tableColumn id="16" xr3:uid="{00000000-0010-0000-0200-000010000000}" name="TEL 1" dataDxfId="45"/>
    <tableColumn id="15" xr3:uid="{00000000-0010-0000-0200-00000F000000}" name="TEL 2" dataDxfId="44"/>
    <tableColumn id="14" xr3:uid="{00000000-0010-0000-0200-00000E000000}" name="MAIL 1" dataDxfId="43"/>
    <tableColumn id="7" xr3:uid="{00000000-0010-0000-0200-000007000000}" name="MAIL 2" dataDxfId="42"/>
    <tableColumn id="2" xr3:uid="{00000000-0010-0000-0200-000002000000}" name="FORME JURIDIQUE" dataDxfId="41"/>
    <tableColumn id="27" xr3:uid="{00000000-0010-0000-0200-00001B000000}" name="KBIS/RM 3mois" dataDxfId="40" dataCellStyle="Date"/>
    <tableColumn id="26" xr3:uid="{00000000-0010-0000-0200-00001A000000}" name="ASSUANCE échéance" dataDxfId="39" dataCellStyle="Date"/>
    <tableColumn id="25" xr3:uid="{00000000-0010-0000-0200-000019000000}" name="URSSAF /RSI      3mois" dataDxfId="38" dataCellStyle="Date"/>
    <tableColumn id="24" xr3:uid="{00000000-0010-0000-0200-000018000000}" name="CONGES PAYEE        3mois" dataDxfId="37" dataCellStyle="Date"/>
    <tableColumn id="23" xr3:uid="{00000000-0010-0000-0200-000017000000}" name="IMPOTS  3mois " dataDxfId="36" dataCellStyle="Date"/>
    <tableColumn id="8" xr3:uid="{00000000-0010-0000-0200-000008000000}" name="RETRAITE 3mois" dataDxfId="35" dataCellStyle="Date"/>
    <tableColumn id="9" xr3:uid="{00000000-0010-0000-0200-000009000000}" name="ATT S/ L'HONNEUR" dataDxfId="34"/>
    <tableColumn id="10" xr3:uid="{00000000-0010-0000-0200-00000A000000}" name="QUALIF / REF CHANTIER" dataDxfId="33"/>
    <tableColumn id="11" xr3:uid="{00000000-0010-0000-0200-00000B000000}" name="LISTE PERSONNEL" dataDxfId="32"/>
    <tableColumn id="12" xr3:uid="{00000000-0010-0000-0200-00000C000000}" name="PI PERSONNEL" dataDxfId="31"/>
    <tableColumn id="13" xr3:uid="{00000000-0010-0000-0200-00000D000000}" name="RIB" dataDxfId="3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3000000}" name="Tableau1" displayName="Tableau1" ref="B1:B11" totalsRowShown="0" headerRowDxfId="29">
  <autoFilter ref="B1:B11" xr:uid="{00000000-0009-0000-0100-00000A000000}"/>
  <sortState xmlns:xlrd2="http://schemas.microsoft.com/office/spreadsheetml/2017/richdata2" ref="B2:B12">
    <sortCondition ref="B1:B12"/>
  </sortState>
  <tableColumns count="1">
    <tableColumn id="1" xr3:uid="{00000000-0010-0000-0300-000001000000}" name="CT"/>
  </tableColumns>
  <tableStyleInfo name="TableStyleMedium10"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4000000}" name="Tableau2" displayName="Tableau2" ref="D1:D11" totalsRowShown="0" headerRowDxfId="28">
  <autoFilter ref="D1:D11" xr:uid="{00000000-0009-0000-0100-00000B000000}"/>
  <sortState xmlns:xlrd2="http://schemas.microsoft.com/office/spreadsheetml/2017/richdata2" ref="D2:D5">
    <sortCondition ref="D1:D5"/>
  </sortState>
  <tableColumns count="1">
    <tableColumn id="1" xr3:uid="{00000000-0010-0000-0400-000001000000}" name="FACT"/>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5000000}" name="Tableau3" displayName="Tableau3" ref="F1:F4" totalsRowShown="0" headerRowDxfId="27">
  <autoFilter ref="F1:F4" xr:uid="{00000000-0009-0000-0100-00000C000000}"/>
  <sortState xmlns:xlrd2="http://schemas.microsoft.com/office/spreadsheetml/2017/richdata2" ref="F2:F4">
    <sortCondition ref="F1:F4"/>
  </sortState>
  <tableColumns count="1">
    <tableColumn id="1" xr3:uid="{00000000-0010-0000-0500-000001000000}" name="DELAIS PAIEMENT"/>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6000000}" name="Tableau4" displayName="Tableau4" ref="H1:H4" totalsRowShown="0" headerRowDxfId="26">
  <autoFilter ref="H1:H4" xr:uid="{00000000-0009-0000-0100-00000D000000}"/>
  <sortState xmlns:xlrd2="http://schemas.microsoft.com/office/spreadsheetml/2017/richdata2" ref="H2:H4">
    <sortCondition ref="H1:H4"/>
  </sortState>
  <tableColumns count="1">
    <tableColumn id="1" xr3:uid="{00000000-0010-0000-0600-000001000000}" name="Colonne1"/>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7000000}" name="Tableau5" displayName="Tableau5" ref="J1:J4" totalsRowShown="0" headerRowDxfId="25">
  <autoFilter ref="J1:J4" xr:uid="{00000000-0009-0000-0100-000011000000}"/>
  <sortState xmlns:xlrd2="http://schemas.microsoft.com/office/spreadsheetml/2017/richdata2" ref="J2:J4">
    <sortCondition ref="J1:J4"/>
  </sortState>
  <tableColumns count="1">
    <tableColumn id="1" xr3:uid="{00000000-0010-0000-0700-000001000000}" name="Tx"/>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A22025E1-1291-42D1-8EDE-CAB3DC2F19CC}" name="Tableau7" displayName="Tableau7" ref="L1:L5" totalsRowShown="0" headerRowDxfId="24" headerRowBorderDxfId="23" tableBorderDxfId="22" totalsRowBorderDxfId="21">
  <autoFilter ref="L1:L5" xr:uid="{094F1097-FFCE-4BCA-AA54-123447F5F155}"/>
  <tableColumns count="1">
    <tableColumn id="1" xr3:uid="{7BC41991-D7BE-4C9F-9E15-FF919996EBB8}" name="MO"/>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AFF2192-04EF-417A-B6DB-71A497454AE3}" name="Tableau12" displayName="Tableau12" ref="B1:B11" totalsRowShown="0" headerRowDxfId="20">
  <autoFilter ref="B1:B11" xr:uid="{00000000-0009-0000-0100-00000A000000}"/>
  <sortState xmlns:xlrd2="http://schemas.microsoft.com/office/spreadsheetml/2017/richdata2" ref="B2:B12">
    <sortCondition ref="B1:B12"/>
  </sortState>
  <tableColumns count="1">
    <tableColumn id="1" xr3:uid="{6B3CBE73-D334-407B-B803-4310F267091B}" name="CT"/>
  </tableColumns>
  <tableStyleInfo name="TableStyleMedium10"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6B95C5C2-4D36-47A6-927A-669C139648F5}" name="Tableau24" displayName="Tableau24" ref="D1:D11" totalsRowShown="0" headerRowDxfId="19">
  <autoFilter ref="D1:D11" xr:uid="{00000000-0009-0000-0100-00000B000000}"/>
  <sortState xmlns:xlrd2="http://schemas.microsoft.com/office/spreadsheetml/2017/richdata2" ref="D2:D5">
    <sortCondition ref="D1:D5"/>
  </sortState>
  <tableColumns count="1">
    <tableColumn id="1" xr3:uid="{168FE29D-3D01-401F-9EA5-B2460D7AF416}" name="FACT"/>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6A54F54E-269E-4100-8F9D-709BD25A4C2F}" name="Tableau35" displayName="Tableau35" ref="F1:F4" totalsRowShown="0" headerRowDxfId="18">
  <autoFilter ref="F1:F4" xr:uid="{00000000-0009-0000-0100-00000C000000}"/>
  <sortState xmlns:xlrd2="http://schemas.microsoft.com/office/spreadsheetml/2017/richdata2" ref="F2:F4">
    <sortCondition ref="F1:F4"/>
  </sortState>
  <tableColumns count="1">
    <tableColumn id="1" xr3:uid="{9D701A8F-30EF-4D2A-9AFA-6416F70BE462}" name="DELAIS PAIEMENT"/>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54E272C-A9E0-49CE-9F32-B9C300EADC15}" name="Tableau46" displayName="Tableau46" ref="H1:H4" totalsRowShown="0" headerRowDxfId="17">
  <autoFilter ref="H1:H4" xr:uid="{00000000-0009-0000-0100-00000D000000}"/>
  <sortState xmlns:xlrd2="http://schemas.microsoft.com/office/spreadsheetml/2017/richdata2" ref="H2:H4">
    <sortCondition ref="H1:H4"/>
  </sortState>
  <tableColumns count="1">
    <tableColumn id="1" xr3:uid="{151F1304-A11F-446D-BA11-312BCFFD451A}" name="Colonne1"/>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C714915C-2115-4F7F-9EC5-276DBFDDE3ED}" name="Tableau57" displayName="Tableau57" ref="J1:J4" totalsRowShown="0" headerRowDxfId="16">
  <autoFilter ref="J1:J4" xr:uid="{00000000-0009-0000-0100-000011000000}"/>
  <sortState xmlns:xlrd2="http://schemas.microsoft.com/office/spreadsheetml/2017/richdata2" ref="J2:J4">
    <sortCondition ref="J1:J4"/>
  </sortState>
  <tableColumns count="1">
    <tableColumn id="1" xr3:uid="{3F28D515-DD8D-4620-98B4-CD9251949D41}" name="Tx"/>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table" Target="../tables/table3.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7" Type="http://schemas.openxmlformats.org/officeDocument/2006/relationships/table" Target="../tables/table9.xml"/><Relationship Id="rId2" Type="http://schemas.openxmlformats.org/officeDocument/2006/relationships/table" Target="../tables/table4.xml"/><Relationship Id="rId1" Type="http://schemas.openxmlformats.org/officeDocument/2006/relationships/printerSettings" Target="../printerSettings/printerSettings4.bin"/><Relationship Id="rId6" Type="http://schemas.openxmlformats.org/officeDocument/2006/relationships/table" Target="../tables/table8.xml"/><Relationship Id="rId5" Type="http://schemas.openxmlformats.org/officeDocument/2006/relationships/table" Target="../tables/table7.xml"/><Relationship Id="rId4" Type="http://schemas.openxmlformats.org/officeDocument/2006/relationships/table" Target="../tables/table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12.xml"/><Relationship Id="rId2" Type="http://schemas.openxmlformats.org/officeDocument/2006/relationships/table" Target="../tables/table11.xml"/><Relationship Id="rId1" Type="http://schemas.openxmlformats.org/officeDocument/2006/relationships/table" Target="../tables/table10.xml"/><Relationship Id="rId5" Type="http://schemas.openxmlformats.org/officeDocument/2006/relationships/table" Target="../tables/table14.xml"/><Relationship Id="rId4" Type="http://schemas.openxmlformats.org/officeDocument/2006/relationships/table" Target="../tables/table1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AC56"/>
  <sheetViews>
    <sheetView topLeftCell="A7" zoomScale="70" zoomScaleNormal="70" workbookViewId="0">
      <selection activeCell="D8" sqref="D8"/>
    </sheetView>
  </sheetViews>
  <sheetFormatPr baseColWidth="10" defaultRowHeight="15"/>
  <cols>
    <col min="1" max="1" width="10.85546875" style="134" customWidth="1"/>
    <col min="4" max="4" width="15.85546875" style="138" bestFit="1" customWidth="1"/>
    <col min="5" max="5" width="40.85546875" bestFit="1" customWidth="1"/>
    <col min="6" max="6" width="24.140625" bestFit="1" customWidth="1"/>
    <col min="8" max="8" width="18.140625" style="138" customWidth="1"/>
    <col min="9" max="9" width="12.85546875" customWidth="1"/>
    <col min="10" max="11" width="12.42578125" customWidth="1"/>
    <col min="12" max="14" width="16.42578125" bestFit="1" customWidth="1"/>
    <col min="15" max="18" width="13.42578125" bestFit="1" customWidth="1"/>
    <col min="19" max="19" width="15.42578125" customWidth="1"/>
    <col min="20" max="20" width="16.5703125" customWidth="1"/>
    <col min="21" max="21" width="27.42578125" bestFit="1" customWidth="1"/>
    <col min="22" max="22" width="14.42578125" customWidth="1"/>
    <col min="23" max="23" width="14.7109375" bestFit="1" customWidth="1"/>
    <col min="24" max="24" width="14.7109375" customWidth="1"/>
    <col min="25" max="25" width="16.28515625" customWidth="1"/>
    <col min="26" max="26" width="14" customWidth="1"/>
    <col min="27" max="28" width="18.5703125" customWidth="1"/>
  </cols>
  <sheetData>
    <row r="1" spans="1:29" ht="44.25">
      <c r="A1" s="131"/>
      <c r="B1" s="131" t="s">
        <v>122</v>
      </c>
      <c r="C1" s="78"/>
      <c r="D1" s="137"/>
      <c r="E1" s="78"/>
      <c r="F1" s="78"/>
      <c r="G1" s="78"/>
      <c r="H1" s="137"/>
      <c r="I1" s="78"/>
      <c r="J1" s="78"/>
      <c r="K1" s="78"/>
      <c r="L1" s="78"/>
      <c r="M1" s="78"/>
      <c r="N1" s="78"/>
      <c r="O1" s="78"/>
      <c r="P1" s="78"/>
      <c r="Q1" s="78"/>
      <c r="R1" s="78"/>
      <c r="S1" s="78"/>
      <c r="T1" s="78"/>
      <c r="U1" s="78"/>
      <c r="V1" s="78"/>
      <c r="W1" s="78"/>
      <c r="X1" s="78"/>
      <c r="Y1" s="78"/>
      <c r="Z1" s="78"/>
      <c r="AA1" s="78"/>
      <c r="AB1" s="79"/>
      <c r="AC1" s="259" t="s">
        <v>123</v>
      </c>
    </row>
    <row r="2" spans="1:29" ht="27">
      <c r="A2" s="262" t="s">
        <v>19</v>
      </c>
      <c r="B2" s="262"/>
      <c r="C2" s="262"/>
      <c r="D2" s="262"/>
      <c r="E2" s="262"/>
      <c r="F2" s="262"/>
      <c r="G2" s="263"/>
      <c r="H2" s="269" t="s">
        <v>124</v>
      </c>
      <c r="I2" s="268"/>
      <c r="J2" s="268"/>
      <c r="K2" s="268"/>
      <c r="L2" s="268"/>
      <c r="M2" s="268"/>
      <c r="N2" s="268"/>
      <c r="O2" s="268"/>
      <c r="P2" s="268"/>
      <c r="Q2" s="268"/>
      <c r="R2" s="268"/>
      <c r="S2" s="268"/>
      <c r="T2" s="268"/>
      <c r="U2" s="268" t="s">
        <v>154</v>
      </c>
      <c r="V2" s="268"/>
      <c r="W2" s="268"/>
      <c r="X2" s="268"/>
      <c r="Y2" s="268"/>
      <c r="Z2" s="264" t="s">
        <v>141</v>
      </c>
      <c r="AA2" s="266" t="s">
        <v>125</v>
      </c>
      <c r="AB2" s="267"/>
      <c r="AC2" s="260"/>
    </row>
    <row r="3" spans="1:29" s="46" customFormat="1" ht="31.5" customHeight="1">
      <c r="A3" s="135" t="s">
        <v>126</v>
      </c>
      <c r="B3" s="80" t="s">
        <v>23</v>
      </c>
      <c r="C3" s="81" t="s">
        <v>127</v>
      </c>
      <c r="D3" s="139" t="s">
        <v>21</v>
      </c>
      <c r="E3" s="81" t="s">
        <v>19</v>
      </c>
      <c r="F3" s="81" t="s">
        <v>128</v>
      </c>
      <c r="G3" s="82" t="s">
        <v>50</v>
      </c>
      <c r="H3" s="212" t="s">
        <v>1</v>
      </c>
      <c r="I3" s="83" t="s">
        <v>129</v>
      </c>
      <c r="J3" s="84" t="s">
        <v>130</v>
      </c>
      <c r="K3" s="84" t="s">
        <v>142</v>
      </c>
      <c r="L3" s="85" t="s">
        <v>59</v>
      </c>
      <c r="M3" s="230" t="s">
        <v>159</v>
      </c>
      <c r="N3" s="83" t="s">
        <v>158</v>
      </c>
      <c r="O3" s="83" t="s">
        <v>41</v>
      </c>
      <c r="P3" s="83" t="s">
        <v>147</v>
      </c>
      <c r="Q3" s="83" t="s">
        <v>42</v>
      </c>
      <c r="R3" s="83" t="s">
        <v>24</v>
      </c>
      <c r="S3" s="85" t="s">
        <v>25</v>
      </c>
      <c r="T3" s="85" t="s">
        <v>131</v>
      </c>
      <c r="U3" s="83" t="s">
        <v>132</v>
      </c>
      <c r="V3" s="86" t="s">
        <v>133</v>
      </c>
      <c r="W3" s="87" t="s">
        <v>134</v>
      </c>
      <c r="X3" s="206" t="s">
        <v>156</v>
      </c>
      <c r="Y3" s="136" t="s">
        <v>135</v>
      </c>
      <c r="Z3" s="265"/>
      <c r="AA3" s="88" t="s">
        <v>136</v>
      </c>
      <c r="AB3" s="89" t="s">
        <v>137</v>
      </c>
      <c r="AC3" s="261"/>
    </row>
    <row r="4" spans="1:29" s="56" customFormat="1" ht="15.75">
      <c r="A4" s="132" t="str">
        <f>CONCATENATE(Tableau16[[#This Row],[CT]],Tableau16[[#This Row],[CHANTIER]],Tableau16[[#This Row],[SOUS TRAITANT]],Tableau16[[#This Row],[MO]])</f>
        <v>ARNAUDBOBIGNYASPIRIT</v>
      </c>
      <c r="B4" s="239" t="s">
        <v>221</v>
      </c>
      <c r="C4" s="90" t="s">
        <v>138</v>
      </c>
      <c r="D4" s="232" t="s">
        <v>160</v>
      </c>
      <c r="E4" s="240" t="s">
        <v>68</v>
      </c>
      <c r="F4" s="96" t="s">
        <v>139</v>
      </c>
      <c r="G4" s="97">
        <v>7700</v>
      </c>
      <c r="H4" s="241" t="s">
        <v>171</v>
      </c>
      <c r="I4" s="98">
        <f>VLOOKUP(H4,Tableau11[[SOUS TRAITANT]:[PU MARCHE]],3,FALSE)</f>
        <v>1100</v>
      </c>
      <c r="J4" s="91" t="s">
        <v>140</v>
      </c>
      <c r="K4" s="91" t="s">
        <v>144</v>
      </c>
      <c r="L4" s="242">
        <v>100000</v>
      </c>
      <c r="M4" s="67">
        <f ca="1">IF(Tableau16[[#This Row],[MARCHEINT]]&gt;1,Tableau16[[#This Row],[MONTANT BC]]*30%,Tableau16[[#This Row],[MONTANT BC]])</f>
        <v>0</v>
      </c>
      <c r="N4" s="67">
        <f ca="1">IF(Tableau16[[#This Row],[MARCHEEXT]]&gt;=1,((Tableau16[[#This Row],[MONTANT BC]]*70%)-(Tableau16[[#This Row],[RG_5%]]+Tableau16[[#This Row],[P_2%]]+Tableau16[[#This Row],[BFT_5%]]+Tableau16[[#This Row],[E 3%]]+Tableau16[[#This Row],[AUTRE]])),(Tableau16[[#This Row],[MONTANT BC]]-(Tableau16[[#This Row],[RG_5%]]+Tableau16[[#This Row],[P_2%]]+Tableau16[[#This Row],[BFT_5%]]+Tableau16[[#This Row],[E 3%]]+Tableau16[[#This Row],[AUTRE]])))</f>
        <v>55000</v>
      </c>
      <c r="O4" s="67">
        <f>Tableau16[MONTANT BC]*5%</f>
        <v>5000</v>
      </c>
      <c r="P4" s="67">
        <f>Tableau16[[#This Row],[MONTANT BC]]*2%</f>
        <v>2000</v>
      </c>
      <c r="Q4" s="67">
        <f>Tableau16[[#This Row],[MONTANT BC]]*5%</f>
        <v>5000</v>
      </c>
      <c r="R4" s="67">
        <f>(Tableau16[[#This Row],[MONTANT BC]]*3%)</f>
        <v>3000</v>
      </c>
      <c r="S4" s="67"/>
      <c r="T4" s="67"/>
      <c r="U4" s="65" t="str">
        <f t="shared" ref="U4:U42" ca="1" si="0">IF(AND(J4="",W4="",Y4=""),"",IF(AND(J4&gt;1,W4=""),"EN_COURS",IF(AND(W4&gt;1,Y4="",W4+21&lt;=TODAY()),"VALIDER_PAR_DEFFAUT",IF(AND(W4&gt;1,Y4=""),"ENVOYER",IF(Y4&gt;1,"VALIDER","")))))</f>
        <v>VALIDER_PAR_DEFFAUT</v>
      </c>
      <c r="V4" s="92"/>
      <c r="W4" s="93">
        <v>43831</v>
      </c>
      <c r="X4" s="102"/>
      <c r="Y4" s="102"/>
      <c r="Z4" s="94"/>
      <c r="AA4" s="94"/>
      <c r="AB4" s="95" t="s">
        <v>6</v>
      </c>
      <c r="AC4" s="96"/>
    </row>
    <row r="5" spans="1:29" s="56" customFormat="1" ht="15.75">
      <c r="A5" s="132" t="str">
        <f>CONCATENATE(Tableau16[[#This Row],[CT]],Tableau16[[#This Row],[CHANTIER]],Tableau16[[#This Row],[SOUS TRAITANT]],Tableau16[[#This Row],[MO]])</f>
        <v>ARNAUDST MICHEL SUR ORGEASPIRIT</v>
      </c>
      <c r="B5" s="239" t="s">
        <v>221</v>
      </c>
      <c r="C5" s="90"/>
      <c r="D5" s="232" t="s">
        <v>160</v>
      </c>
      <c r="E5" s="240" t="s">
        <v>70</v>
      </c>
      <c r="F5" s="96"/>
      <c r="G5" s="97"/>
      <c r="H5" s="241" t="s">
        <v>171</v>
      </c>
      <c r="I5" s="98">
        <f>VLOOKUP(H5,Tableau11[[SOUS TRAITANT]:[PU MARCHE]],3,FALSE)</f>
        <v>1100</v>
      </c>
      <c r="J5" s="91" t="s">
        <v>140</v>
      </c>
      <c r="K5" s="91" t="s">
        <v>144</v>
      </c>
      <c r="L5" s="242">
        <v>100000</v>
      </c>
      <c r="M5" s="67">
        <f ca="1">IF(Tableau16[[#This Row],[MARCHEINT]]&gt;1,Tableau16[[#This Row],[MONTANT BC]]*30%,Tableau16[[#This Row],[MONTANT BC]])</f>
        <v>0</v>
      </c>
      <c r="N5" s="67">
        <f ca="1">IF(Tableau16[[#This Row],[MARCHEEXT]]&gt;=1,((Tableau16[[#This Row],[MONTANT BC]]*70%)-(Tableau16[[#This Row],[RG_5%]]+Tableau16[[#This Row],[P_2%]]+Tableau16[[#This Row],[BFT_5%]]+Tableau16[[#This Row],[E 3%]]+Tableau16[[#This Row],[AUTRE]])),(Tableau16[[#This Row],[MONTANT BC]]-(Tableau16[[#This Row],[RG_5%]]+Tableau16[[#This Row],[P_2%]]+Tableau16[[#This Row],[BFT_5%]]+Tableau16[[#This Row],[E 3%]]+Tableau16[[#This Row],[AUTRE]])))</f>
        <v>55000</v>
      </c>
      <c r="O5" s="67">
        <f>Tableau16[MONTANT BC]*5%</f>
        <v>5000</v>
      </c>
      <c r="P5" s="67">
        <f>Tableau16[[#This Row],[MONTANT BC]]*2%</f>
        <v>2000</v>
      </c>
      <c r="Q5" s="67">
        <f>Tableau16[[#This Row],[MONTANT BC]]*5%</f>
        <v>5000</v>
      </c>
      <c r="R5" s="67">
        <f>(Tableau16[[#This Row],[MONTANT BC]]*3%)</f>
        <v>3000</v>
      </c>
      <c r="S5" s="99"/>
      <c r="T5" s="99"/>
      <c r="U5" s="65" t="str">
        <f t="shared" ca="1" si="0"/>
        <v>VALIDER</v>
      </c>
      <c r="V5" s="100"/>
      <c r="W5" s="100">
        <v>44032</v>
      </c>
      <c r="X5" s="103"/>
      <c r="Y5" s="102">
        <v>44042</v>
      </c>
      <c r="Z5" s="94"/>
      <c r="AA5" s="101"/>
      <c r="AB5" s="95"/>
      <c r="AC5" s="96"/>
    </row>
    <row r="6" spans="1:29" s="56" customFormat="1" ht="15.75">
      <c r="A6" s="132" t="str">
        <f>CONCATENATE(Tableau16[[#This Row],[CT]],Tableau16[[#This Row],[CHANTIER]],Tableau16[[#This Row],[SOUS TRAITANT]],Tableau16[[#This Row],[MO]])</f>
        <v>ARNAUDST MICHEL SUR ORGEASPIRIT</v>
      </c>
      <c r="B6" s="239" t="s">
        <v>221</v>
      </c>
      <c r="C6" s="90"/>
      <c r="D6" s="232" t="s">
        <v>160</v>
      </c>
      <c r="E6" s="240" t="s">
        <v>70</v>
      </c>
      <c r="F6" s="96"/>
      <c r="G6" s="97"/>
      <c r="H6" s="241" t="s">
        <v>171</v>
      </c>
      <c r="I6" s="98">
        <f>VLOOKUP(H6,Tableau11[[SOUS TRAITANT]:[PU MARCHE]],3,FALSE)</f>
        <v>1100</v>
      </c>
      <c r="J6" s="91" t="s">
        <v>140</v>
      </c>
      <c r="K6" s="91" t="s">
        <v>144</v>
      </c>
      <c r="L6" s="242">
        <v>100000</v>
      </c>
      <c r="M6" s="67">
        <f ca="1">IF(Tableau16[[#This Row],[MARCHEINT]]&gt;1,Tableau16[[#This Row],[MONTANT BC]]*30%,Tableau16[[#This Row],[MONTANT BC]])</f>
        <v>0</v>
      </c>
      <c r="N6" s="67">
        <f ca="1">IF(Tableau16[[#This Row],[MARCHEEXT]]&gt;=1,((Tableau16[[#This Row],[MONTANT BC]]*70%)-(Tableau16[[#This Row],[RG_5%]]+Tableau16[[#This Row],[P_2%]]+Tableau16[[#This Row],[BFT_5%]]+Tableau16[[#This Row],[E 3%]]+Tableau16[[#This Row],[AUTRE]])),(Tableau16[[#This Row],[MONTANT BC]]-(Tableau16[[#This Row],[RG_5%]]+Tableau16[[#This Row],[P_2%]]+Tableau16[[#This Row],[BFT_5%]]+Tableau16[[#This Row],[E 3%]]+Tableau16[[#This Row],[AUTRE]])))</f>
        <v>85000</v>
      </c>
      <c r="O6" s="67">
        <f>Tableau16[MONTANT BC]*5%</f>
        <v>5000</v>
      </c>
      <c r="P6" s="67">
        <f>Tableau16[[#This Row],[MONTANT BC]]*2%</f>
        <v>2000</v>
      </c>
      <c r="Q6" s="67">
        <f>Tableau16[[#This Row],[MONTANT BC]]*5%</f>
        <v>5000</v>
      </c>
      <c r="R6" s="67">
        <f>(Tableau16[[#This Row],[MONTANT BC]]*3%)</f>
        <v>3000</v>
      </c>
      <c r="S6" s="99"/>
      <c r="T6" s="99"/>
      <c r="U6" s="65" t="str">
        <f t="shared" ca="1" si="0"/>
        <v>VALIDER_PAR_DEFFAUT</v>
      </c>
      <c r="V6" s="100"/>
      <c r="W6" s="100">
        <v>44063</v>
      </c>
      <c r="X6" s="103"/>
      <c r="Y6" s="102"/>
      <c r="Z6" s="94"/>
      <c r="AA6" s="101"/>
      <c r="AB6" s="95"/>
      <c r="AC6" s="96"/>
    </row>
    <row r="7" spans="1:29" s="56" customFormat="1" ht="15.75">
      <c r="A7" s="132" t="str">
        <f>CONCATENATE(Tableau16[[#This Row],[CT]],Tableau16[[#This Row],[CHANTIER]],Tableau16[[#This Row],[SOUS TRAITANT]],Tableau16[[#This Row],[MO]])</f>
        <v>ARNAUDST CYR ASPIRIT</v>
      </c>
      <c r="B7" s="239" t="s">
        <v>221</v>
      </c>
      <c r="C7" s="90"/>
      <c r="D7" s="232" t="s">
        <v>160</v>
      </c>
      <c r="E7" s="240" t="s">
        <v>72</v>
      </c>
      <c r="F7" s="96"/>
      <c r="G7" s="97"/>
      <c r="H7" s="241" t="s">
        <v>171</v>
      </c>
      <c r="I7" s="98">
        <f>VLOOKUP(H7,Tableau11[[SOUS TRAITANT]:[PU MARCHE]],3,FALSE)</f>
        <v>1100</v>
      </c>
      <c r="J7" s="91" t="s">
        <v>140</v>
      </c>
      <c r="K7" s="91" t="s">
        <v>144</v>
      </c>
      <c r="L7" s="242">
        <v>100000</v>
      </c>
      <c r="M7" s="67">
        <f ca="1">IF(Tableau16[[#This Row],[MARCHEINT]]&gt;1,Tableau16[[#This Row],[MONTANT BC]]*30%,Tableau16[[#This Row],[MONTANT BC]])</f>
        <v>0</v>
      </c>
      <c r="N7" s="67">
        <f ca="1">IF(Tableau16[[#This Row],[MARCHEEXT]]&gt;=1,((Tableau16[[#This Row],[MONTANT BC]]*70%)-(Tableau16[[#This Row],[RG_5%]]+Tableau16[[#This Row],[P_2%]]+Tableau16[[#This Row],[BFT_5%]]+Tableau16[[#This Row],[E 3%]]+Tableau16[[#This Row],[AUTRE]])),(Tableau16[[#This Row],[MONTANT BC]]-(Tableau16[[#This Row],[RG_5%]]+Tableau16[[#This Row],[P_2%]]+Tableau16[[#This Row],[BFT_5%]]+Tableau16[[#This Row],[E 3%]]+Tableau16[[#This Row],[AUTRE]])))</f>
        <v>55000</v>
      </c>
      <c r="O7" s="67">
        <f>Tableau16[MONTANT BC]*5%</f>
        <v>5000</v>
      </c>
      <c r="P7" s="67">
        <f>Tableau16[[#This Row],[MONTANT BC]]*2%</f>
        <v>2000</v>
      </c>
      <c r="Q7" s="67">
        <f>Tableau16[[#This Row],[MONTANT BC]]*5%</f>
        <v>5000</v>
      </c>
      <c r="R7" s="67">
        <f>(Tableau16[[#This Row],[MONTANT BC]]*3%)</f>
        <v>3000</v>
      </c>
      <c r="S7" s="99"/>
      <c r="T7" s="99"/>
      <c r="U7" s="65" t="str">
        <f t="shared" ca="1" si="0"/>
        <v>EN_COURS</v>
      </c>
      <c r="V7" s="100"/>
      <c r="W7" s="100"/>
      <c r="X7" s="103"/>
      <c r="Y7" s="102"/>
      <c r="Z7" s="94"/>
      <c r="AA7" s="101"/>
      <c r="AB7" s="95"/>
      <c r="AC7" s="96"/>
    </row>
    <row r="8" spans="1:29" s="56" customFormat="1" ht="15.75">
      <c r="A8" s="132" t="str">
        <f>CONCATENATE(Tableau16[[#This Row],[CT]],Tableau16[[#This Row],[CHANTIER]],Tableau16[[#This Row],[SOUS TRAITANT]],Tableau16[[#This Row],[MO]])</f>
        <v>ARNAUDPUTEAU CORDELIAASPIRIT</v>
      </c>
      <c r="B8" s="239" t="s">
        <v>221</v>
      </c>
      <c r="C8" s="90"/>
      <c r="D8" s="232" t="s">
        <v>160</v>
      </c>
      <c r="E8" s="240" t="s">
        <v>73</v>
      </c>
      <c r="F8" s="96"/>
      <c r="G8" s="97"/>
      <c r="H8" s="241" t="s">
        <v>171</v>
      </c>
      <c r="I8" s="98">
        <f>VLOOKUP(H8,Tableau11[[SOUS TRAITANT]:[PU MARCHE]],3,FALSE)</f>
        <v>1100</v>
      </c>
      <c r="J8" s="91" t="s">
        <v>140</v>
      </c>
      <c r="K8" s="91" t="s">
        <v>144</v>
      </c>
      <c r="L8" s="242">
        <v>100000</v>
      </c>
      <c r="M8" s="67">
        <f>Tableau16[[#This Row],[MONTANT BC]]*30%</f>
        <v>30000</v>
      </c>
      <c r="N8" s="67">
        <f>IF(Tableau16[[#This Row],[MARCHEEXT]]&gt;=1,((Tableau16[[#This Row],[MONTANT BC]]*70%)-(Tableau16[[#This Row],[RG_5%]]+Tableau16[[#This Row],[P_2%]]+Tableau16[[#This Row],[BFT_5%]]+Tableau16[[#This Row],[E 3%]]+Tableau16[[#This Row],[AUTRE]])),(Tableau16[[#This Row],[MONTANT BC]]-(Tableau16[[#This Row],[RG_5%]]+Tableau16[[#This Row],[P_2%]]+Tableau16[[#This Row],[BFT_5%]]+Tableau16[[#This Row],[E 3%]]+Tableau16[[#This Row],[AUTRE]])))</f>
        <v>55000</v>
      </c>
      <c r="O8" s="67">
        <f>Tableau16[MONTANT BC]*5%</f>
        <v>5000</v>
      </c>
      <c r="P8" s="67">
        <f>Tableau16[[#This Row],[MONTANT BC]]*2%</f>
        <v>2000</v>
      </c>
      <c r="Q8" s="67">
        <f>Tableau16[[#This Row],[MONTANT BC]]*5%</f>
        <v>5000</v>
      </c>
      <c r="R8" s="67">
        <f>(Tableau16[[#This Row],[MONTANT BC]]*3%)</f>
        <v>3000</v>
      </c>
      <c r="S8" s="99"/>
      <c r="T8" s="99"/>
      <c r="U8" s="65" t="str">
        <f t="shared" ca="1" si="0"/>
        <v>EN_COURS</v>
      </c>
      <c r="V8" s="100"/>
      <c r="W8" s="100"/>
      <c r="X8" s="103"/>
      <c r="Y8" s="102"/>
      <c r="Z8" s="94"/>
      <c r="AA8" s="101"/>
      <c r="AB8" s="95"/>
      <c r="AC8" s="96"/>
    </row>
    <row r="9" spans="1:29" s="56" customFormat="1" ht="15.75">
      <c r="A9" s="132" t="str">
        <f>CONCATENATE(Tableau16[[#This Row],[CT]],Tableau16[[#This Row],[CHANTIER]],Tableau16[[#This Row],[SOUS TRAITANT]],Tableau16[[#This Row],[MO]])</f>
        <v>ARNAUDPUTEAU CORDELIAASPIRIT</v>
      </c>
      <c r="B9" s="239" t="s">
        <v>221</v>
      </c>
      <c r="C9" s="90"/>
      <c r="D9" s="232" t="s">
        <v>160</v>
      </c>
      <c r="E9" s="240" t="s">
        <v>73</v>
      </c>
      <c r="F9" s="96"/>
      <c r="G9" s="97"/>
      <c r="H9" s="241" t="s">
        <v>171</v>
      </c>
      <c r="I9" s="98">
        <f>VLOOKUP(H9,Tableau11[[SOUS TRAITANT]:[PU MARCHE]],3,FALSE)</f>
        <v>1100</v>
      </c>
      <c r="J9" s="91" t="s">
        <v>140</v>
      </c>
      <c r="K9" s="91" t="s">
        <v>144</v>
      </c>
      <c r="L9" s="242">
        <v>100000</v>
      </c>
      <c r="M9" s="67">
        <f>Tableau16[[#This Row],[MONTANT BC]]*30%</f>
        <v>30000</v>
      </c>
      <c r="N9" s="67">
        <f>IF(Tableau16[[#This Row],[MARCHEEXT]]&gt;=1,((Tableau16[[#This Row],[MONTANT BC]]*70%)-(Tableau16[[#This Row],[RG_5%]]+Tableau16[[#This Row],[P_2%]]+Tableau16[[#This Row],[BFT_5%]]+Tableau16[[#This Row],[E 3%]]+Tableau16[[#This Row],[AUTRE]])),(Tableau16[[#This Row],[MONTANT BC]]-(Tableau16[[#This Row],[RG_5%]]+Tableau16[[#This Row],[P_2%]]+Tableau16[[#This Row],[BFT_5%]]+Tableau16[[#This Row],[E 3%]]+Tableau16[[#This Row],[AUTRE]])))</f>
        <v>55000</v>
      </c>
      <c r="O9" s="67">
        <f>Tableau16[MONTANT BC]*5%</f>
        <v>5000</v>
      </c>
      <c r="P9" s="67">
        <f>Tableau16[[#This Row],[MONTANT BC]]*2%</f>
        <v>2000</v>
      </c>
      <c r="Q9" s="67">
        <f>Tableau16[[#This Row],[MONTANT BC]]*5%</f>
        <v>5000</v>
      </c>
      <c r="R9" s="67">
        <f>(Tableau16[[#This Row],[MONTANT BC]]*3%)</f>
        <v>3000</v>
      </c>
      <c r="S9" s="99"/>
      <c r="T9" s="99"/>
      <c r="U9" s="65" t="str">
        <f t="shared" ca="1" si="0"/>
        <v>VALIDER_PAR_DEFFAUT</v>
      </c>
      <c r="V9" s="100"/>
      <c r="W9" s="100">
        <v>44089</v>
      </c>
      <c r="X9" s="103"/>
      <c r="Y9" s="102"/>
      <c r="Z9" s="94"/>
      <c r="AA9" s="101"/>
      <c r="AB9" s="95"/>
      <c r="AC9" s="96"/>
    </row>
    <row r="10" spans="1:29" s="56" customFormat="1" ht="15.75">
      <c r="A10" s="132" t="str">
        <f>CONCATENATE(Tableau16[[#This Row],[CT]],Tableau16[[#This Row],[CHANTIER]],Tableau16[[#This Row],[SOUS TRAITANT]],Tableau16[[#This Row],[MO]])</f>
        <v>ARNAUDPUTEAU CORDELIAASPIRIT</v>
      </c>
      <c r="B10" s="239" t="s">
        <v>221</v>
      </c>
      <c r="C10" s="90"/>
      <c r="D10" s="232" t="s">
        <v>160</v>
      </c>
      <c r="E10" s="240" t="s">
        <v>73</v>
      </c>
      <c r="F10" s="96"/>
      <c r="G10" s="97"/>
      <c r="H10" s="241" t="s">
        <v>171</v>
      </c>
      <c r="I10" s="98">
        <f>VLOOKUP(H10,Tableau11[[SOUS TRAITANT]:[PU MARCHE]],3,FALSE)</f>
        <v>1100</v>
      </c>
      <c r="J10" s="91" t="s">
        <v>140</v>
      </c>
      <c r="K10" s="91" t="s">
        <v>144</v>
      </c>
      <c r="L10" s="242">
        <v>100000</v>
      </c>
      <c r="M10" s="67">
        <f>Tableau16[[#This Row],[MONTANT BC]]*30%</f>
        <v>30000</v>
      </c>
      <c r="N10" s="67">
        <f>IF(Tableau16[[#This Row],[MARCHEEXT]]&gt;=1,((Tableau16[[#This Row],[MONTANT BC]]*70%)-(Tableau16[[#This Row],[RG_5%]]+Tableau16[[#This Row],[P_2%]]+Tableau16[[#This Row],[BFT_5%]]+Tableau16[[#This Row],[E 3%]]+Tableau16[[#This Row],[AUTRE]])),(Tableau16[[#This Row],[MONTANT BC]]-(Tableau16[[#This Row],[RG_5%]]+Tableau16[[#This Row],[P_2%]]+Tableau16[[#This Row],[BFT_5%]]+Tableau16[[#This Row],[E 3%]]+Tableau16[[#This Row],[AUTRE]])))</f>
        <v>55000</v>
      </c>
      <c r="O10" s="67">
        <f>Tableau16[MONTANT BC]*5%</f>
        <v>5000</v>
      </c>
      <c r="P10" s="67">
        <f>Tableau16[[#This Row],[MONTANT BC]]*2%</f>
        <v>2000</v>
      </c>
      <c r="Q10" s="67">
        <f>Tableau16[[#This Row],[MONTANT BC]]*5%</f>
        <v>5000</v>
      </c>
      <c r="R10" s="67">
        <f>(Tableau16[[#This Row],[MONTANT BC]]*3%)</f>
        <v>3000</v>
      </c>
      <c r="S10" s="99"/>
      <c r="T10" s="99"/>
      <c r="U10" s="65" t="str">
        <f t="shared" ca="1" si="0"/>
        <v>EN_COURS</v>
      </c>
      <c r="V10" s="100"/>
      <c r="W10" s="100"/>
      <c r="X10" s="103"/>
      <c r="Y10" s="102"/>
      <c r="Z10" s="94"/>
      <c r="AA10" s="101"/>
      <c r="AB10" s="95"/>
      <c r="AC10" s="96"/>
    </row>
    <row r="11" spans="1:29" s="56" customFormat="1" ht="15.75">
      <c r="A11" s="132" t="str">
        <f>CONCATENATE(Tableau16[[#This Row],[CT]],Tableau16[[#This Row],[CHANTIER]],Tableau16[[#This Row],[SOUS TRAITANT]],Tableau16[[#This Row],[MO]])</f>
        <v>FREDCHATENAY MALABRY - IRENADH2O</v>
      </c>
      <c r="B11" s="239" t="s">
        <v>201</v>
      </c>
      <c r="C11" s="90"/>
      <c r="D11" s="232" t="s">
        <v>161</v>
      </c>
      <c r="E11" s="240" t="s">
        <v>74</v>
      </c>
      <c r="F11" s="96"/>
      <c r="G11" s="97"/>
      <c r="H11" s="241" t="s">
        <v>174</v>
      </c>
      <c r="I11" s="98">
        <f>VLOOKUP(H11,Tableau11[[SOUS TRAITANT]:[PU MARCHE]],3,FALSE)</f>
        <v>1103</v>
      </c>
      <c r="J11" s="91" t="s">
        <v>140</v>
      </c>
      <c r="K11" s="91" t="s">
        <v>144</v>
      </c>
      <c r="L11" s="242">
        <v>100000</v>
      </c>
      <c r="M11" s="67">
        <f>Tableau16[[#This Row],[MONTANT BC]]*30%</f>
        <v>30000</v>
      </c>
      <c r="N11" s="67">
        <f>IF(Tableau16[[#This Row],[MARCHEEXT]]&gt;=1,((Tableau16[[#This Row],[MONTANT BC]]*70%)-(Tableau16[[#This Row],[RG_5%]]+Tableau16[[#This Row],[P_2%]]+Tableau16[[#This Row],[BFT_5%]]+Tableau16[[#This Row],[E 3%]]+Tableau16[[#This Row],[AUTRE]])),(Tableau16[[#This Row],[MONTANT BC]]-(Tableau16[[#This Row],[RG_5%]]+Tableau16[[#This Row],[P_2%]]+Tableau16[[#This Row],[BFT_5%]]+Tableau16[[#This Row],[E 3%]]+Tableau16[[#This Row],[AUTRE]])))</f>
        <v>55000</v>
      </c>
      <c r="O11" s="67">
        <f>Tableau16[MONTANT BC]*5%</f>
        <v>5000</v>
      </c>
      <c r="P11" s="67">
        <f>Tableau16[[#This Row],[MONTANT BC]]*2%</f>
        <v>2000</v>
      </c>
      <c r="Q11" s="67">
        <f>Tableau16[[#This Row],[MONTANT BC]]*5%</f>
        <v>5000</v>
      </c>
      <c r="R11" s="67">
        <f>(Tableau16[[#This Row],[MONTANT BC]]*3%)</f>
        <v>3000</v>
      </c>
      <c r="S11" s="99"/>
      <c r="T11" s="99"/>
      <c r="U11" s="65" t="str">
        <f t="shared" ca="1" si="0"/>
        <v>EN_COURS</v>
      </c>
      <c r="V11" s="100"/>
      <c r="W11" s="100"/>
      <c r="X11" s="103"/>
      <c r="Y11" s="103"/>
      <c r="Z11" s="101"/>
      <c r="AA11" s="101"/>
      <c r="AB11" s="95"/>
      <c r="AC11" s="96"/>
    </row>
    <row r="12" spans="1:29" s="56" customFormat="1" ht="15.75">
      <c r="A12" s="132" t="str">
        <f>CONCATENATE(Tableau16[[#This Row],[CT]],Tableau16[[#This Row],[CHANTIER]],Tableau16[[#This Row],[SOUS TRAITANT]],Tableau16[[#This Row],[MO]])</f>
        <v>FREDCHATENAY MALABRY - IRENADH2O</v>
      </c>
      <c r="B12" s="239" t="s">
        <v>201</v>
      </c>
      <c r="C12" s="90"/>
      <c r="D12" s="232" t="s">
        <v>161</v>
      </c>
      <c r="E12" s="240" t="s">
        <v>74</v>
      </c>
      <c r="F12" s="96"/>
      <c r="G12" s="97"/>
      <c r="H12" s="241" t="s">
        <v>174</v>
      </c>
      <c r="I12" s="98">
        <f>VLOOKUP(H12,Tableau11[[SOUS TRAITANT]:[PU MARCHE]],3,FALSE)</f>
        <v>1103</v>
      </c>
      <c r="J12" s="91" t="s">
        <v>140</v>
      </c>
      <c r="K12" s="91" t="s">
        <v>144</v>
      </c>
      <c r="L12" s="242">
        <v>100000</v>
      </c>
      <c r="M12" s="67">
        <f>Tableau16[[#This Row],[MONTANT BC]]*30%</f>
        <v>30000</v>
      </c>
      <c r="N12" s="67">
        <f>IF(Tableau16[[#This Row],[MARCHEEXT]]&gt;=1,((Tableau16[[#This Row],[MONTANT BC]]*70%)-(Tableau16[[#This Row],[RG_5%]]+Tableau16[[#This Row],[P_2%]]+Tableau16[[#This Row],[BFT_5%]]+Tableau16[[#This Row],[E 3%]]+Tableau16[[#This Row],[AUTRE]])),(Tableau16[[#This Row],[MONTANT BC]]-(Tableau16[[#This Row],[RG_5%]]+Tableau16[[#This Row],[P_2%]]+Tableau16[[#This Row],[BFT_5%]]+Tableau16[[#This Row],[E 3%]]+Tableau16[[#This Row],[AUTRE]])))</f>
        <v>55000</v>
      </c>
      <c r="O12" s="67">
        <f>Tableau16[MONTANT BC]*5%</f>
        <v>5000</v>
      </c>
      <c r="P12" s="67">
        <f>Tableau16[[#This Row],[MONTANT BC]]*2%</f>
        <v>2000</v>
      </c>
      <c r="Q12" s="67">
        <f>Tableau16[[#This Row],[MONTANT BC]]*5%</f>
        <v>5000</v>
      </c>
      <c r="R12" s="67">
        <f>(Tableau16[[#This Row],[MONTANT BC]]*3%)</f>
        <v>3000</v>
      </c>
      <c r="S12" s="99"/>
      <c r="T12" s="99"/>
      <c r="U12" s="65" t="str">
        <f t="shared" ca="1" si="0"/>
        <v>EN_COURS</v>
      </c>
      <c r="V12" s="100"/>
      <c r="W12" s="100"/>
      <c r="X12" s="103"/>
      <c r="Y12" s="103"/>
      <c r="Z12" s="101"/>
      <c r="AA12" s="101"/>
      <c r="AB12" s="95"/>
      <c r="AC12" s="96"/>
    </row>
    <row r="13" spans="1:29" s="56" customFormat="1" ht="15.75">
      <c r="A13" s="132" t="str">
        <f>CONCATENATE(Tableau16[[#This Row],[CT]],Tableau16[[#This Row],[CHANTIER]],Tableau16[[#This Row],[SOUS TRAITANT]],Tableau16[[#This Row],[MO]])</f>
        <v>FREDCHATENAY MALABRY - IRENADH2O</v>
      </c>
      <c r="B13" s="239" t="s">
        <v>201</v>
      </c>
      <c r="C13" s="90"/>
      <c r="D13" s="232" t="s">
        <v>161</v>
      </c>
      <c r="E13" s="240" t="s">
        <v>74</v>
      </c>
      <c r="F13" s="96"/>
      <c r="G13" s="97"/>
      <c r="H13" s="241" t="s">
        <v>174</v>
      </c>
      <c r="I13" s="98">
        <f>VLOOKUP(H13,Tableau11[[SOUS TRAITANT]:[PU MARCHE]],3,FALSE)</f>
        <v>1103</v>
      </c>
      <c r="J13" s="91" t="s">
        <v>140</v>
      </c>
      <c r="K13" s="91" t="s">
        <v>144</v>
      </c>
      <c r="L13" s="242">
        <v>100000</v>
      </c>
      <c r="M13" s="67">
        <f>Tableau16[[#This Row],[MONTANT BC]]*30%</f>
        <v>30000</v>
      </c>
      <c r="N13" s="67">
        <f>IF(Tableau16[[#This Row],[MARCHEEXT]]&gt;=1,((Tableau16[[#This Row],[MONTANT BC]]*70%)-(Tableau16[[#This Row],[RG_5%]]+Tableau16[[#This Row],[P_2%]]+Tableau16[[#This Row],[BFT_5%]]+Tableau16[[#This Row],[E 3%]]+Tableau16[[#This Row],[AUTRE]])),(Tableau16[[#This Row],[MONTANT BC]]-(Tableau16[[#This Row],[RG_5%]]+Tableau16[[#This Row],[P_2%]]+Tableau16[[#This Row],[BFT_5%]]+Tableau16[[#This Row],[E 3%]]+Tableau16[[#This Row],[AUTRE]])))</f>
        <v>55000</v>
      </c>
      <c r="O13" s="67">
        <f>Tableau16[MONTANT BC]*5%</f>
        <v>5000</v>
      </c>
      <c r="P13" s="67">
        <f>Tableau16[[#This Row],[MONTANT BC]]*2%</f>
        <v>2000</v>
      </c>
      <c r="Q13" s="67">
        <f>Tableau16[[#This Row],[MONTANT BC]]*5%</f>
        <v>5000</v>
      </c>
      <c r="R13" s="67">
        <f>(Tableau16[[#This Row],[MONTANT BC]]*3%)</f>
        <v>3000</v>
      </c>
      <c r="S13" s="99"/>
      <c r="T13" s="99"/>
      <c r="U13" s="65" t="str">
        <f t="shared" ca="1" si="0"/>
        <v>EN_COURS</v>
      </c>
      <c r="V13" s="100"/>
      <c r="W13" s="100"/>
      <c r="X13" s="103"/>
      <c r="Y13" s="103"/>
      <c r="Z13" s="101"/>
      <c r="AA13" s="101"/>
      <c r="AB13" s="95"/>
      <c r="AC13" s="96"/>
    </row>
    <row r="14" spans="1:29" s="56" customFormat="1" ht="15.75">
      <c r="A14" s="132" t="str">
        <f>CONCATENATE(Tableau16[[#This Row],[CT]],Tableau16[[#This Row],[CHANTIER]],Tableau16[[#This Row],[SOUS TRAITANT]],Tableau16[[#This Row],[MO]])</f>
        <v>FREDCHATENAY MALABRY - IRENAFH2O</v>
      </c>
      <c r="B14" s="239" t="s">
        <v>201</v>
      </c>
      <c r="C14" s="96"/>
      <c r="D14" s="232" t="s">
        <v>161</v>
      </c>
      <c r="E14" s="240" t="s">
        <v>74</v>
      </c>
      <c r="F14" s="96"/>
      <c r="G14" s="97"/>
      <c r="H14" s="241" t="s">
        <v>176</v>
      </c>
      <c r="I14" s="98">
        <f>VLOOKUP(H14,Tableau11[[SOUS TRAITANT]:[PU MARCHE]],3,FALSE)</f>
        <v>1105</v>
      </c>
      <c r="J14" s="91" t="s">
        <v>140</v>
      </c>
      <c r="K14" s="91" t="s">
        <v>144</v>
      </c>
      <c r="L14" s="242">
        <v>100000</v>
      </c>
      <c r="M14" s="67">
        <f>Tableau16[[#This Row],[MONTANT BC]]*30%</f>
        <v>30000</v>
      </c>
      <c r="N14" s="67">
        <f>IF(Tableau16[[#This Row],[MARCHEEXT]]&gt;=1,((Tableau16[[#This Row],[MONTANT BC]]*70%)-(Tableau16[[#This Row],[RG_5%]]+Tableau16[[#This Row],[P_2%]]+Tableau16[[#This Row],[BFT_5%]]+Tableau16[[#This Row],[E 3%]]+Tableau16[[#This Row],[AUTRE]])),(Tableau16[[#This Row],[MONTANT BC]]-(Tableau16[[#This Row],[RG_5%]]+Tableau16[[#This Row],[P_2%]]+Tableau16[[#This Row],[BFT_5%]]+Tableau16[[#This Row],[E 3%]]+Tableau16[[#This Row],[AUTRE]])))</f>
        <v>55000</v>
      </c>
      <c r="O14" s="67">
        <f>Tableau16[MONTANT BC]*5%</f>
        <v>5000</v>
      </c>
      <c r="P14" s="67">
        <f>Tableau16[[#This Row],[MONTANT BC]]*2%</f>
        <v>2000</v>
      </c>
      <c r="Q14" s="67">
        <f>Tableau16[[#This Row],[MONTANT BC]]*5%</f>
        <v>5000</v>
      </c>
      <c r="R14" s="67">
        <f>(Tableau16[[#This Row],[MONTANT BC]]*3%)</f>
        <v>3000</v>
      </c>
      <c r="S14" s="99"/>
      <c r="T14" s="99"/>
      <c r="U14" s="65" t="str">
        <f t="shared" ca="1" si="0"/>
        <v>EN_COURS</v>
      </c>
      <c r="V14" s="100"/>
      <c r="W14" s="100"/>
      <c r="X14" s="103"/>
      <c r="Y14" s="103"/>
      <c r="Z14" s="101"/>
      <c r="AA14" s="101"/>
      <c r="AB14" s="95"/>
      <c r="AC14" s="96"/>
    </row>
    <row r="15" spans="1:29" s="56" customFormat="1" ht="15.75">
      <c r="A15" s="132" t="str">
        <f>CONCATENATE(Tableau16[[#This Row],[CT]],Tableau16[[#This Row],[CHANTIER]],Tableau16[[#This Row],[SOUS TRAITANT]],Tableau16[[#This Row],[MO]])</f>
        <v>FREDCHATENAY MALABRY - IRENAFH2O</v>
      </c>
      <c r="B15" s="239" t="s">
        <v>201</v>
      </c>
      <c r="C15" s="96"/>
      <c r="D15" s="232" t="s">
        <v>161</v>
      </c>
      <c r="E15" s="240" t="s">
        <v>74</v>
      </c>
      <c r="F15" s="96"/>
      <c r="G15" s="97"/>
      <c r="H15" s="241" t="s">
        <v>176</v>
      </c>
      <c r="I15" s="98">
        <f>VLOOKUP(H15,Tableau11[[SOUS TRAITANT]:[PU MARCHE]],3,FALSE)</f>
        <v>1105</v>
      </c>
      <c r="J15" s="91"/>
      <c r="K15" s="91" t="s">
        <v>144</v>
      </c>
      <c r="L15" s="242">
        <v>100000</v>
      </c>
      <c r="M15" s="67">
        <f>Tableau16[[#This Row],[MONTANT BC]]*30%</f>
        <v>30000</v>
      </c>
      <c r="N15" s="67">
        <f>IF(Tableau16[[#This Row],[MARCHEEXT]]&gt;=1,((Tableau16[[#This Row],[MONTANT BC]]*70%)-(Tableau16[[#This Row],[RG_5%]]+Tableau16[[#This Row],[P_2%]]+Tableau16[[#This Row],[BFT_5%]]+Tableau16[[#This Row],[E 3%]]+Tableau16[[#This Row],[AUTRE]])),(Tableau16[[#This Row],[MONTANT BC]]-(Tableau16[[#This Row],[RG_5%]]+Tableau16[[#This Row],[P_2%]]+Tableau16[[#This Row],[BFT_5%]]+Tableau16[[#This Row],[E 3%]]+Tableau16[[#This Row],[AUTRE]])))</f>
        <v>55000</v>
      </c>
      <c r="O15" s="67">
        <f>Tableau16[MONTANT BC]*5%</f>
        <v>5000</v>
      </c>
      <c r="P15" s="67">
        <f>Tableau16[[#This Row],[MONTANT BC]]*2%</f>
        <v>2000</v>
      </c>
      <c r="Q15" s="67">
        <f>Tableau16[[#This Row],[MONTANT BC]]*5%</f>
        <v>5000</v>
      </c>
      <c r="R15" s="67">
        <f>(Tableau16[[#This Row],[MONTANT BC]]*3%)</f>
        <v>3000</v>
      </c>
      <c r="S15" s="99"/>
      <c r="T15" s="99"/>
      <c r="U15" s="65" t="str">
        <f t="shared" ca="1" si="0"/>
        <v/>
      </c>
      <c r="V15" s="100"/>
      <c r="W15" s="100"/>
      <c r="X15" s="103"/>
      <c r="Y15" s="103"/>
      <c r="Z15" s="101"/>
      <c r="AA15" s="101"/>
      <c r="AB15" s="95"/>
      <c r="AC15" s="96"/>
    </row>
    <row r="16" spans="1:29" s="56" customFormat="1" ht="15.75">
      <c r="A16" s="132" t="str">
        <f>CONCATENATE(Tableau16[[#This Row],[CT]],Tableau16[[#This Row],[CHANTIER]],Tableau16[[#This Row],[SOUS TRAITANT]],Tableau16[[#This Row],[MO]])</f>
        <v>JONATHANST MAURDH2O</v>
      </c>
      <c r="B16" s="239" t="s">
        <v>201</v>
      </c>
      <c r="C16" s="96"/>
      <c r="D16" s="232" t="s">
        <v>162</v>
      </c>
      <c r="E16" s="240" t="s">
        <v>75</v>
      </c>
      <c r="F16" s="96"/>
      <c r="G16" s="97"/>
      <c r="H16" s="241" t="s">
        <v>174</v>
      </c>
      <c r="I16" s="98">
        <f>VLOOKUP(H16,Tableau11[[SOUS TRAITANT]:[PU MARCHE]],3,FALSE)</f>
        <v>1103</v>
      </c>
      <c r="J16" s="91"/>
      <c r="K16" s="91" t="s">
        <v>144</v>
      </c>
      <c r="L16" s="242">
        <v>100000</v>
      </c>
      <c r="M16" s="67">
        <f>Tableau16[[#This Row],[MONTANT BC]]*30%</f>
        <v>30000</v>
      </c>
      <c r="N16" s="67">
        <f>IF(Tableau16[[#This Row],[MARCHEEXT]]&gt;=1,((Tableau16[[#This Row],[MONTANT BC]]*70%)-(Tableau16[[#This Row],[RG_5%]]+Tableau16[[#This Row],[P_2%]]+Tableau16[[#This Row],[BFT_5%]]+Tableau16[[#This Row],[E 3%]]+Tableau16[[#This Row],[AUTRE]])),(Tableau16[[#This Row],[MONTANT BC]]-(Tableau16[[#This Row],[RG_5%]]+Tableau16[[#This Row],[P_2%]]+Tableau16[[#This Row],[BFT_5%]]+Tableau16[[#This Row],[E 3%]]+Tableau16[[#This Row],[AUTRE]])))</f>
        <v>55000</v>
      </c>
      <c r="O16" s="67">
        <f>Tableau16[MONTANT BC]*5%</f>
        <v>5000</v>
      </c>
      <c r="P16" s="67">
        <f>Tableau16[[#This Row],[MONTANT BC]]*2%</f>
        <v>2000</v>
      </c>
      <c r="Q16" s="67">
        <f>Tableau16[[#This Row],[MONTANT BC]]*5%</f>
        <v>5000</v>
      </c>
      <c r="R16" s="67">
        <f>(Tableau16[[#This Row],[MONTANT BC]]*3%)</f>
        <v>3000</v>
      </c>
      <c r="S16" s="99"/>
      <c r="T16" s="99"/>
      <c r="U16" s="65" t="str">
        <f t="shared" ca="1" si="0"/>
        <v/>
      </c>
      <c r="V16" s="100"/>
      <c r="W16" s="100"/>
      <c r="X16" s="103"/>
      <c r="Y16" s="103"/>
      <c r="Z16" s="101"/>
      <c r="AA16" s="101"/>
      <c r="AB16" s="95"/>
      <c r="AC16" s="96"/>
    </row>
    <row r="17" spans="1:29" s="56" customFormat="1" ht="15.75">
      <c r="A17" s="132" t="str">
        <f>CONCATENATE(Tableau16[[#This Row],[CT]],Tableau16[[#This Row],[CHANTIER]],Tableau16[[#This Row],[SOUS TRAITANT]],Tableau16[[#This Row],[MO]])</f>
        <v>JONATHANCHATENAY MALABRY - ANDREA 2DH2O</v>
      </c>
      <c r="B17" s="239" t="s">
        <v>201</v>
      </c>
      <c r="C17" s="96"/>
      <c r="D17" s="232" t="s">
        <v>162</v>
      </c>
      <c r="E17" s="240" t="s">
        <v>77</v>
      </c>
      <c r="F17" s="96"/>
      <c r="G17" s="97"/>
      <c r="H17" s="241" t="s">
        <v>174</v>
      </c>
      <c r="I17" s="98">
        <f>VLOOKUP(H17,Tableau11[[SOUS TRAITANT]:[PU MARCHE]],3,FALSE)</f>
        <v>1103</v>
      </c>
      <c r="J17" s="91"/>
      <c r="K17" s="91" t="s">
        <v>144</v>
      </c>
      <c r="L17" s="242">
        <v>100000</v>
      </c>
      <c r="M17" s="67">
        <f>Tableau16[[#This Row],[MONTANT BC]]*30%</f>
        <v>30000</v>
      </c>
      <c r="N17" s="67">
        <f>IF(Tableau16[[#This Row],[MARCHEEXT]]&gt;=1,((Tableau16[[#This Row],[MONTANT BC]]*70%)-(Tableau16[[#This Row],[RG_5%]]+Tableau16[[#This Row],[P_2%]]+Tableau16[[#This Row],[BFT_5%]]+Tableau16[[#This Row],[E 3%]]+Tableau16[[#This Row],[AUTRE]])),(Tableau16[[#This Row],[MONTANT BC]]-(Tableau16[[#This Row],[RG_5%]]+Tableau16[[#This Row],[P_2%]]+Tableau16[[#This Row],[BFT_5%]]+Tableau16[[#This Row],[E 3%]]+Tableau16[[#This Row],[AUTRE]])))</f>
        <v>55000</v>
      </c>
      <c r="O17" s="67">
        <f>Tableau16[MONTANT BC]*5%</f>
        <v>5000</v>
      </c>
      <c r="P17" s="67">
        <f>Tableau16[[#This Row],[MONTANT BC]]*2%</f>
        <v>2000</v>
      </c>
      <c r="Q17" s="67">
        <f>Tableau16[[#This Row],[MONTANT BC]]*5%</f>
        <v>5000</v>
      </c>
      <c r="R17" s="67">
        <f>(Tableau16[[#This Row],[MONTANT BC]]*3%)</f>
        <v>3000</v>
      </c>
      <c r="S17" s="99"/>
      <c r="T17" s="99"/>
      <c r="U17" s="65" t="str">
        <f t="shared" ca="1" si="0"/>
        <v/>
      </c>
      <c r="V17" s="100"/>
      <c r="W17" s="100"/>
      <c r="X17" s="103"/>
      <c r="Y17" s="103"/>
      <c r="Z17" s="101"/>
      <c r="AA17" s="101"/>
      <c r="AB17" s="95"/>
      <c r="AC17" s="96"/>
    </row>
    <row r="18" spans="1:29" s="56" customFormat="1" ht="15.75">
      <c r="A18" s="133" t="str">
        <f>CONCATENATE(Tableau16[[#This Row],[CT]],Tableau16[[#This Row],[CHANTIER]],Tableau16[[#This Row],[SOUS TRAITANT]],Tableau16[[#This Row],[MO]])</f>
        <v>JONATHANCLAMART - LORENADH2O</v>
      </c>
      <c r="B18" s="239" t="s">
        <v>201</v>
      </c>
      <c r="C18" s="104"/>
      <c r="D18" s="232" t="s">
        <v>162</v>
      </c>
      <c r="E18" s="240" t="s">
        <v>79</v>
      </c>
      <c r="F18" s="104"/>
      <c r="G18" s="105"/>
      <c r="H18" s="241" t="s">
        <v>174</v>
      </c>
      <c r="I18" s="106">
        <f>VLOOKUP(H18,Tableau11[[SOUS TRAITANT]:[PU MARCHE]],3,FALSE)</f>
        <v>1103</v>
      </c>
      <c r="J18" s="107" t="s">
        <v>155</v>
      </c>
      <c r="K18" s="91" t="s">
        <v>144</v>
      </c>
      <c r="L18" s="242">
        <v>100000</v>
      </c>
      <c r="M18" s="67">
        <f>Tableau16[[#This Row],[MONTANT BC]]*30%</f>
        <v>30000</v>
      </c>
      <c r="N18" s="67">
        <f>IF(Tableau16[[#This Row],[MARCHEEXT]]&gt;=1,((Tableau16[[#This Row],[MONTANT BC]]*70%)-(Tableau16[[#This Row],[RG_5%]]+Tableau16[[#This Row],[P_2%]]+Tableau16[[#This Row],[BFT_5%]]+Tableau16[[#This Row],[E 3%]]+Tableau16[[#This Row],[AUTRE]])),(Tableau16[[#This Row],[MONTANT BC]]-(Tableau16[[#This Row],[RG_5%]]+Tableau16[[#This Row],[P_2%]]+Tableau16[[#This Row],[BFT_5%]]+Tableau16[[#This Row],[E 3%]]+Tableau16[[#This Row],[AUTRE]])))</f>
        <v>55000</v>
      </c>
      <c r="O18" s="108">
        <f>Tableau16[MONTANT BC]*5%</f>
        <v>5000</v>
      </c>
      <c r="P18" s="108">
        <f>Tableau16[[#This Row],[MONTANT BC]]*2%</f>
        <v>2000</v>
      </c>
      <c r="Q18" s="108">
        <f>Tableau16[[#This Row],[MONTANT BC]]*5%</f>
        <v>5000</v>
      </c>
      <c r="R18" s="108">
        <f>(Tableau16[[#This Row],[MONTANT BC]]*3%)</f>
        <v>3000</v>
      </c>
      <c r="S18" s="109"/>
      <c r="T18" s="109"/>
      <c r="U18" s="110" t="str">
        <f t="shared" ca="1" si="0"/>
        <v>VALIDER_PAR_DEFFAUT</v>
      </c>
      <c r="V18" s="111"/>
      <c r="W18" s="111">
        <v>44046</v>
      </c>
      <c r="X18" s="112"/>
      <c r="Y18" s="112"/>
      <c r="Z18" s="101"/>
      <c r="AA18" s="101"/>
      <c r="AB18" s="95"/>
      <c r="AC18" s="96"/>
    </row>
    <row r="19" spans="1:29" s="56" customFormat="1" ht="15.75">
      <c r="A19" s="143" t="str">
        <f>CONCATENATE(Tableau16[[#This Row],[CT]],Tableau16[[#This Row],[CHANTIER]],Tableau16[[#This Row],[SOUS TRAITANT]],Tableau16[[#This Row],[MO]])</f>
        <v>JONATHANSAINT PIERRE LES NEMOURSDH2O</v>
      </c>
      <c r="B19" s="239" t="s">
        <v>201</v>
      </c>
      <c r="C19" s="144"/>
      <c r="D19" s="232" t="s">
        <v>162</v>
      </c>
      <c r="E19" s="240" t="s">
        <v>81</v>
      </c>
      <c r="F19" s="144"/>
      <c r="G19" s="145"/>
      <c r="H19" s="241" t="s">
        <v>174</v>
      </c>
      <c r="I19" s="146">
        <f>VLOOKUP(H19,Tableau11[[SOUS TRAITANT]:[PU MARCHE]],3,FALSE)</f>
        <v>1103</v>
      </c>
      <c r="J19" s="147"/>
      <c r="K19" s="91" t="s">
        <v>144</v>
      </c>
      <c r="L19" s="242">
        <v>100000</v>
      </c>
      <c r="M19" s="67">
        <f>Tableau16[[#This Row],[MONTANT BC]]*30%</f>
        <v>30000</v>
      </c>
      <c r="N19" s="67">
        <f>IF(Tableau16[[#This Row],[MARCHEEXT]]&gt;=1,((Tableau16[[#This Row],[MONTANT BC]]*70%)-(Tableau16[[#This Row],[RG_5%]]+Tableau16[[#This Row],[P_2%]]+Tableau16[[#This Row],[BFT_5%]]+Tableau16[[#This Row],[E 3%]]+Tableau16[[#This Row],[AUTRE]])),(Tableau16[[#This Row],[MONTANT BC]]-(Tableau16[[#This Row],[RG_5%]]+Tableau16[[#This Row],[P_2%]]+Tableau16[[#This Row],[BFT_5%]]+Tableau16[[#This Row],[E 3%]]+Tableau16[[#This Row],[AUTRE]])))</f>
        <v>55000</v>
      </c>
      <c r="O19" s="67">
        <f>Tableau16[MONTANT BC]*5%</f>
        <v>5000</v>
      </c>
      <c r="P19" s="67">
        <f>Tableau16[[#This Row],[MONTANT BC]]*2%</f>
        <v>2000</v>
      </c>
      <c r="Q19" s="67">
        <f>Tableau16[[#This Row],[MONTANT BC]]*5%</f>
        <v>5000</v>
      </c>
      <c r="R19" s="67">
        <f>(Tableau16[[#This Row],[MONTANT BC]]*3%)</f>
        <v>3000</v>
      </c>
      <c r="S19" s="148"/>
      <c r="T19" s="148"/>
      <c r="U19" s="65" t="str">
        <f t="shared" ca="1" si="0"/>
        <v/>
      </c>
      <c r="V19" s="149"/>
      <c r="W19" s="149"/>
      <c r="X19" s="150"/>
      <c r="Y19" s="150"/>
    </row>
    <row r="20" spans="1:29" s="56" customFormat="1" ht="15.75">
      <c r="A20" s="143" t="str">
        <f>CONCATENATE(Tableau16[[#This Row],[CT]],Tableau16[[#This Row],[CHANTIER]],Tableau16[[#This Row],[SOUS TRAITANT]],Tableau16[[#This Row],[MO]])</f>
        <v>JONATHANNANDYDOPALE</v>
      </c>
      <c r="B20" s="239" t="s">
        <v>202</v>
      </c>
      <c r="C20" s="144"/>
      <c r="D20" s="232" t="s">
        <v>162</v>
      </c>
      <c r="E20" s="240" t="s">
        <v>82</v>
      </c>
      <c r="F20" s="144"/>
      <c r="G20" s="145"/>
      <c r="H20" s="241" t="s">
        <v>174</v>
      </c>
      <c r="I20" s="146">
        <f>VLOOKUP(H20,Tableau11[[SOUS TRAITANT]:[PU MARCHE]],3,FALSE)</f>
        <v>1103</v>
      </c>
      <c r="J20" s="147"/>
      <c r="K20" s="91" t="s">
        <v>144</v>
      </c>
      <c r="L20" s="242">
        <v>100000</v>
      </c>
      <c r="M20" s="67">
        <f>Tableau16[[#This Row],[MONTANT BC]]*30%</f>
        <v>30000</v>
      </c>
      <c r="N20" s="67">
        <f>IF(Tableau16[[#This Row],[MARCHEEXT]]&gt;=1,((Tableau16[[#This Row],[MONTANT BC]]*70%)-(Tableau16[[#This Row],[RG_5%]]+Tableau16[[#This Row],[P_2%]]+Tableau16[[#This Row],[BFT_5%]]+Tableau16[[#This Row],[E 3%]]+Tableau16[[#This Row],[AUTRE]])),(Tableau16[[#This Row],[MONTANT BC]]-(Tableau16[[#This Row],[RG_5%]]+Tableau16[[#This Row],[P_2%]]+Tableau16[[#This Row],[BFT_5%]]+Tableau16[[#This Row],[E 3%]]+Tableau16[[#This Row],[AUTRE]])))</f>
        <v>55000</v>
      </c>
      <c r="O20" s="67">
        <f>Tableau16[MONTANT BC]*5%</f>
        <v>5000</v>
      </c>
      <c r="P20" s="67">
        <f>Tableau16[[#This Row],[MONTANT BC]]*2%</f>
        <v>2000</v>
      </c>
      <c r="Q20" s="67">
        <f>Tableau16[[#This Row],[MONTANT BC]]*5%</f>
        <v>5000</v>
      </c>
      <c r="R20" s="67">
        <f>(Tableau16[[#This Row],[MONTANT BC]]*3%)</f>
        <v>3000</v>
      </c>
      <c r="S20" s="148"/>
      <c r="T20" s="148"/>
      <c r="U20" s="65" t="str">
        <f t="shared" ca="1" si="0"/>
        <v/>
      </c>
      <c r="V20" s="149"/>
      <c r="W20" s="149"/>
      <c r="X20" s="150"/>
      <c r="Y20" s="150"/>
    </row>
    <row r="21" spans="1:29" ht="15.75">
      <c r="A21" s="143" t="str">
        <f>CONCATENATE(Tableau16[[#This Row],[CT]],Tableau16[[#This Row],[CHANTIER]],Tableau16[[#This Row],[SOUS TRAITANT]],Tableau16[[#This Row],[MO]])</f>
        <v>JONATHANNANDYDOPALE</v>
      </c>
      <c r="B21" s="239" t="s">
        <v>202</v>
      </c>
      <c r="C21" s="144"/>
      <c r="D21" s="232" t="s">
        <v>162</v>
      </c>
      <c r="E21" s="240" t="s">
        <v>82</v>
      </c>
      <c r="F21" s="144"/>
      <c r="G21" s="145"/>
      <c r="H21" s="241" t="s">
        <v>174</v>
      </c>
      <c r="I21" s="146">
        <f>VLOOKUP(H21,Tableau11[[SOUS TRAITANT]:[PU MARCHE]],3,FALSE)</f>
        <v>1103</v>
      </c>
      <c r="J21" s="147"/>
      <c r="K21" s="91" t="s">
        <v>144</v>
      </c>
      <c r="L21" s="242">
        <v>100000</v>
      </c>
      <c r="M21" s="67">
        <f>Tableau16[[#This Row],[MONTANT BC]]*30%</f>
        <v>30000</v>
      </c>
      <c r="N21" s="67">
        <f>IF(Tableau16[[#This Row],[MARCHEEXT]]&gt;=1,((Tableau16[[#This Row],[MONTANT BC]]*70%)-(Tableau16[[#This Row],[RG_5%]]+Tableau16[[#This Row],[P_2%]]+Tableau16[[#This Row],[BFT_5%]]+Tableau16[[#This Row],[E 3%]]+Tableau16[[#This Row],[AUTRE]])),(Tableau16[[#This Row],[MONTANT BC]]-(Tableau16[[#This Row],[RG_5%]]+Tableau16[[#This Row],[P_2%]]+Tableau16[[#This Row],[BFT_5%]]+Tableau16[[#This Row],[E 3%]]+Tableau16[[#This Row],[AUTRE]])))</f>
        <v>55000</v>
      </c>
      <c r="O21" s="67">
        <f>Tableau16[MONTANT BC]*5%</f>
        <v>5000</v>
      </c>
      <c r="P21" s="67">
        <f>Tableau16[[#This Row],[MONTANT BC]]*2%</f>
        <v>2000</v>
      </c>
      <c r="Q21" s="67">
        <f>Tableau16[[#This Row],[MONTANT BC]]*5%</f>
        <v>5000</v>
      </c>
      <c r="R21" s="67">
        <f>(Tableau16[[#This Row],[MONTANT BC]]*3%)</f>
        <v>3000</v>
      </c>
      <c r="S21" s="148"/>
      <c r="T21" s="148"/>
      <c r="U21" s="65" t="str">
        <f t="shared" ca="1" si="0"/>
        <v/>
      </c>
      <c r="V21" s="149"/>
      <c r="W21" s="149"/>
      <c r="X21" s="150"/>
      <c r="Y21" s="150"/>
    </row>
    <row r="22" spans="1:29" ht="15.75">
      <c r="A22" s="143" t="str">
        <f>CONCATENATE(Tableau16[[#This Row],[CT]],Tableau16[[#This Row],[CHANTIER]],Tableau16[[#This Row],[SOUS TRAITANT]],Tableau16[[#This Row],[MO]])</f>
        <v>JONATHANBRETIGNU SUR ORGEIOPALE</v>
      </c>
      <c r="B22" s="239" t="s">
        <v>202</v>
      </c>
      <c r="C22" s="144"/>
      <c r="D22" s="232" t="s">
        <v>162</v>
      </c>
      <c r="E22" s="240" t="s">
        <v>85</v>
      </c>
      <c r="F22" s="144"/>
      <c r="G22" s="145"/>
      <c r="H22" s="241" t="s">
        <v>178</v>
      </c>
      <c r="I22" s="146">
        <f>VLOOKUP(H22,Tableau11[[SOUS TRAITANT]:[PU MARCHE]],3,FALSE)</f>
        <v>1108</v>
      </c>
      <c r="J22" s="147"/>
      <c r="K22" s="91" t="s">
        <v>144</v>
      </c>
      <c r="L22" s="242">
        <v>100000</v>
      </c>
      <c r="M22" s="67">
        <f>Tableau16[[#This Row],[MONTANT BC]]*30%</f>
        <v>30000</v>
      </c>
      <c r="N22" s="67">
        <f>IF(Tableau16[[#This Row],[MARCHEEXT]]&gt;=1,((Tableau16[[#This Row],[MONTANT BC]]*70%)-(Tableau16[[#This Row],[RG_5%]]+Tableau16[[#This Row],[P_2%]]+Tableau16[[#This Row],[BFT_5%]]+Tableau16[[#This Row],[E 3%]]+Tableau16[[#This Row],[AUTRE]])),(Tableau16[[#This Row],[MONTANT BC]]-(Tableau16[[#This Row],[RG_5%]]+Tableau16[[#This Row],[P_2%]]+Tableau16[[#This Row],[BFT_5%]]+Tableau16[[#This Row],[E 3%]]+Tableau16[[#This Row],[AUTRE]])))</f>
        <v>55000</v>
      </c>
      <c r="O22" s="67">
        <f>Tableau16[MONTANT BC]*5%</f>
        <v>5000</v>
      </c>
      <c r="P22" s="67">
        <f>Tableau16[[#This Row],[MONTANT BC]]*2%</f>
        <v>2000</v>
      </c>
      <c r="Q22" s="67">
        <f>Tableau16[[#This Row],[MONTANT BC]]*5%</f>
        <v>5000</v>
      </c>
      <c r="R22" s="67">
        <f>(Tableau16[[#This Row],[MONTANT BC]]*3%)</f>
        <v>3000</v>
      </c>
      <c r="S22" s="148"/>
      <c r="T22" s="148"/>
      <c r="U22" s="65" t="str">
        <f t="shared" ca="1" si="0"/>
        <v/>
      </c>
      <c r="V22" s="149"/>
      <c r="W22" s="149"/>
      <c r="X22" s="150"/>
      <c r="Y22" s="150"/>
    </row>
    <row r="23" spans="1:29" ht="15.75">
      <c r="A23" s="143" t="str">
        <f>CONCATENATE(Tableau16[[#This Row],[CT]],Tableau16[[#This Row],[CHANTIER]],Tableau16[[#This Row],[SOUS TRAITANT]],Tableau16[[#This Row],[MO]])</f>
        <v>JONATHANBRETIGNU SUR ORGEIOPALE</v>
      </c>
      <c r="B23" s="239" t="s">
        <v>202</v>
      </c>
      <c r="C23" s="144"/>
      <c r="D23" s="232" t="s">
        <v>162</v>
      </c>
      <c r="E23" s="240" t="s">
        <v>85</v>
      </c>
      <c r="F23" s="144"/>
      <c r="G23" s="145"/>
      <c r="H23" s="241" t="s">
        <v>178</v>
      </c>
      <c r="I23" s="146">
        <f>VLOOKUP(H23,Tableau11[[SOUS TRAITANT]:[PU MARCHE]],3,FALSE)</f>
        <v>1108</v>
      </c>
      <c r="J23" s="147"/>
      <c r="K23" s="91" t="s">
        <v>144</v>
      </c>
      <c r="L23" s="242">
        <v>100000</v>
      </c>
      <c r="M23" s="67">
        <f>Tableau16[[#This Row],[MONTANT BC]]*30%</f>
        <v>30000</v>
      </c>
      <c r="N23" s="67">
        <f>IF(Tableau16[[#This Row],[MARCHEEXT]]&gt;=1,((Tableau16[[#This Row],[MONTANT BC]]*70%)-(Tableau16[[#This Row],[RG_5%]]+Tableau16[[#This Row],[P_2%]]+Tableau16[[#This Row],[BFT_5%]]+Tableau16[[#This Row],[E 3%]]+Tableau16[[#This Row],[AUTRE]])),(Tableau16[[#This Row],[MONTANT BC]]-(Tableau16[[#This Row],[RG_5%]]+Tableau16[[#This Row],[P_2%]]+Tableau16[[#This Row],[BFT_5%]]+Tableau16[[#This Row],[E 3%]]+Tableau16[[#This Row],[AUTRE]])))</f>
        <v>55000</v>
      </c>
      <c r="O23" s="67">
        <f>Tableau16[MONTANT BC]*5%</f>
        <v>5000</v>
      </c>
      <c r="P23" s="67">
        <f>Tableau16[[#This Row],[MONTANT BC]]*2%</f>
        <v>2000</v>
      </c>
      <c r="Q23" s="67">
        <f>Tableau16[[#This Row],[MONTANT BC]]*5%</f>
        <v>5000</v>
      </c>
      <c r="R23" s="67">
        <f>(Tableau16[[#This Row],[MONTANT BC]]*3%)</f>
        <v>3000</v>
      </c>
      <c r="S23" s="148"/>
      <c r="T23" s="148"/>
      <c r="U23" s="65" t="str">
        <f t="shared" ca="1" si="0"/>
        <v/>
      </c>
      <c r="V23" s="149"/>
      <c r="W23" s="149"/>
      <c r="X23" s="150"/>
      <c r="Y23" s="150"/>
    </row>
    <row r="24" spans="1:29" ht="15.75">
      <c r="A24" s="143" t="str">
        <f>CONCATENATE(Tableau16[[#This Row],[CT]],Tableau16[[#This Row],[CHANTIER]],Tableau16[[#This Row],[SOUS TRAITANT]],Tableau16[[#This Row],[MO]])</f>
        <v>JONATHANSAINT FARGEAUIOPALE</v>
      </c>
      <c r="B24" s="239" t="s">
        <v>202</v>
      </c>
      <c r="C24" s="144"/>
      <c r="D24" s="232" t="s">
        <v>162</v>
      </c>
      <c r="E24" s="240" t="s">
        <v>88</v>
      </c>
      <c r="F24" s="144"/>
      <c r="G24" s="145"/>
      <c r="H24" s="241" t="s">
        <v>178</v>
      </c>
      <c r="I24" s="146">
        <f>VLOOKUP(H24,Tableau11[[SOUS TRAITANT]:[PU MARCHE]],3,FALSE)</f>
        <v>1108</v>
      </c>
      <c r="J24" s="147"/>
      <c r="K24" s="91" t="s">
        <v>144</v>
      </c>
      <c r="L24" s="242">
        <v>100000</v>
      </c>
      <c r="M24" s="67">
        <f>Tableau16[[#This Row],[MONTANT BC]]*30%</f>
        <v>30000</v>
      </c>
      <c r="N24" s="67">
        <f>IF(Tableau16[[#This Row],[MARCHEEXT]]&gt;=1,((Tableau16[[#This Row],[MONTANT BC]]*70%)-(Tableau16[[#This Row],[RG_5%]]+Tableau16[[#This Row],[P_2%]]+Tableau16[[#This Row],[BFT_5%]]+Tableau16[[#This Row],[E 3%]]+Tableau16[[#This Row],[AUTRE]])),(Tableau16[[#This Row],[MONTANT BC]]-(Tableau16[[#This Row],[RG_5%]]+Tableau16[[#This Row],[P_2%]]+Tableau16[[#This Row],[BFT_5%]]+Tableau16[[#This Row],[E 3%]]+Tableau16[[#This Row],[AUTRE]])))</f>
        <v>55000</v>
      </c>
      <c r="O24" s="67">
        <f>Tableau16[MONTANT BC]*5%</f>
        <v>5000</v>
      </c>
      <c r="P24" s="67">
        <f>Tableau16[[#This Row],[MONTANT BC]]*2%</f>
        <v>2000</v>
      </c>
      <c r="Q24" s="67">
        <f>Tableau16[[#This Row],[MONTANT BC]]*5%</f>
        <v>5000</v>
      </c>
      <c r="R24" s="67">
        <f>(Tableau16[[#This Row],[MONTANT BC]]*3%)</f>
        <v>3000</v>
      </c>
      <c r="S24" s="148"/>
      <c r="T24" s="148"/>
      <c r="U24" s="65" t="str">
        <f t="shared" ca="1" si="0"/>
        <v/>
      </c>
      <c r="V24" s="149"/>
      <c r="W24" s="149"/>
      <c r="X24" s="150"/>
      <c r="Y24" s="150"/>
    </row>
    <row r="25" spans="1:29" ht="15.75">
      <c r="A25" s="143" t="str">
        <f>CONCATENATE(Tableau16[[#This Row],[CT]],Tableau16[[#This Row],[CHANTIER]],Tableau16[[#This Row],[SOUS TRAITANT]],Tableau16[[#This Row],[MO]])</f>
        <v>JONATHANSERVONIOPALE</v>
      </c>
      <c r="B25" s="239" t="s">
        <v>202</v>
      </c>
      <c r="C25" s="144"/>
      <c r="D25" s="232" t="s">
        <v>162</v>
      </c>
      <c r="E25" s="240" t="s">
        <v>90</v>
      </c>
      <c r="F25" s="144"/>
      <c r="G25" s="145"/>
      <c r="H25" s="241" t="s">
        <v>178</v>
      </c>
      <c r="I25" s="146">
        <f>VLOOKUP(H25,Tableau11[[SOUS TRAITANT]:[PU MARCHE]],3,FALSE)</f>
        <v>1108</v>
      </c>
      <c r="J25" s="147"/>
      <c r="K25" s="91" t="s">
        <v>144</v>
      </c>
      <c r="L25" s="242">
        <v>100000</v>
      </c>
      <c r="M25" s="67">
        <f>Tableau16[[#This Row],[MONTANT BC]]*30%</f>
        <v>30000</v>
      </c>
      <c r="N25" s="67">
        <f>IF(Tableau16[[#This Row],[MARCHEEXT]]&gt;=1,((Tableau16[[#This Row],[MONTANT BC]]*70%)-(Tableau16[[#This Row],[RG_5%]]+Tableau16[[#This Row],[P_2%]]+Tableau16[[#This Row],[BFT_5%]]+Tableau16[[#This Row],[E 3%]]+Tableau16[[#This Row],[AUTRE]])),(Tableau16[[#This Row],[MONTANT BC]]-(Tableau16[[#This Row],[RG_5%]]+Tableau16[[#This Row],[P_2%]]+Tableau16[[#This Row],[BFT_5%]]+Tableau16[[#This Row],[E 3%]]+Tableau16[[#This Row],[AUTRE]])))</f>
        <v>55000</v>
      </c>
      <c r="O25" s="67">
        <f>Tableau16[MONTANT BC]*5%</f>
        <v>5000</v>
      </c>
      <c r="P25" s="67">
        <f>Tableau16[[#This Row],[MONTANT BC]]*2%</f>
        <v>2000</v>
      </c>
      <c r="Q25" s="67">
        <f>Tableau16[[#This Row],[MONTANT BC]]*5%</f>
        <v>5000</v>
      </c>
      <c r="R25" s="67">
        <f>(Tableau16[[#This Row],[MONTANT BC]]*3%)</f>
        <v>3000</v>
      </c>
      <c r="S25" s="148"/>
      <c r="T25" s="148"/>
      <c r="U25" s="65" t="str">
        <f t="shared" ca="1" si="0"/>
        <v/>
      </c>
      <c r="V25" s="149"/>
      <c r="W25" s="149"/>
      <c r="X25" s="150"/>
      <c r="Y25" s="150"/>
    </row>
    <row r="26" spans="1:29" ht="15.75">
      <c r="A26" s="143" t="str">
        <f>CONCATENATE(Tableau16[[#This Row],[CT]],Tableau16[[#This Row],[CHANTIER]],Tableau16[[#This Row],[SOUS TRAITANT]],Tableau16[[#This Row],[MO]])</f>
        <v>JONATHANROISSY EN BRIEIOPALE</v>
      </c>
      <c r="B26" s="239" t="s">
        <v>202</v>
      </c>
      <c r="C26" s="144"/>
      <c r="D26" s="232" t="s">
        <v>162</v>
      </c>
      <c r="E26" s="240" t="s">
        <v>92</v>
      </c>
      <c r="F26" s="144"/>
      <c r="G26" s="145"/>
      <c r="H26" s="241" t="s">
        <v>178</v>
      </c>
      <c r="I26" s="146">
        <f>VLOOKUP(H26,Tableau11[[SOUS TRAITANT]:[PU MARCHE]],3,FALSE)</f>
        <v>1108</v>
      </c>
      <c r="J26" s="147"/>
      <c r="K26" s="91" t="s">
        <v>144</v>
      </c>
      <c r="L26" s="242">
        <v>100000</v>
      </c>
      <c r="M26" s="67">
        <f>Tableau16[[#This Row],[MONTANT BC]]*30%</f>
        <v>30000</v>
      </c>
      <c r="N26" s="67">
        <f>IF(Tableau16[[#This Row],[MARCHEEXT]]&gt;=1,((Tableau16[[#This Row],[MONTANT BC]]*70%)-(Tableau16[[#This Row],[RG_5%]]+Tableau16[[#This Row],[P_2%]]+Tableau16[[#This Row],[BFT_5%]]+Tableau16[[#This Row],[E 3%]]+Tableau16[[#This Row],[AUTRE]])),(Tableau16[[#This Row],[MONTANT BC]]-(Tableau16[[#This Row],[RG_5%]]+Tableau16[[#This Row],[P_2%]]+Tableau16[[#This Row],[BFT_5%]]+Tableau16[[#This Row],[E 3%]]+Tableau16[[#This Row],[AUTRE]])))</f>
        <v>55000</v>
      </c>
      <c r="O26" s="67">
        <f>Tableau16[MONTANT BC]*5%</f>
        <v>5000</v>
      </c>
      <c r="P26" s="67">
        <f>Tableau16[[#This Row],[MONTANT BC]]*2%</f>
        <v>2000</v>
      </c>
      <c r="Q26" s="67">
        <f>Tableau16[[#This Row],[MONTANT BC]]*5%</f>
        <v>5000</v>
      </c>
      <c r="R26" s="67">
        <f>(Tableau16[[#This Row],[MONTANT BC]]*3%)</f>
        <v>3000</v>
      </c>
      <c r="S26" s="148"/>
      <c r="T26" s="148"/>
      <c r="U26" s="65" t="str">
        <f t="shared" ca="1" si="0"/>
        <v/>
      </c>
      <c r="V26" s="149"/>
      <c r="W26" s="149"/>
      <c r="X26" s="150"/>
      <c r="Y26" s="150"/>
    </row>
    <row r="27" spans="1:29" ht="15.75">
      <c r="A27" s="143" t="str">
        <f>CONCATENATE(Tableau16[[#This Row],[CT]],Tableau16[[#This Row],[CHANTIER]],Tableau16[[#This Row],[SOUS TRAITANT]],Tableau16[[#This Row],[MO]])</f>
        <v>JONATHANATHIS MONS F1IOPALE</v>
      </c>
      <c r="B27" s="239" t="s">
        <v>202</v>
      </c>
      <c r="C27" s="144"/>
      <c r="D27" s="232" t="s">
        <v>162</v>
      </c>
      <c r="E27" s="240" t="s">
        <v>94</v>
      </c>
      <c r="F27" s="144"/>
      <c r="G27" s="145"/>
      <c r="H27" s="241" t="s">
        <v>178</v>
      </c>
      <c r="I27" s="146">
        <f>VLOOKUP(H27,Tableau11[[SOUS TRAITANT]:[PU MARCHE]],3,FALSE)</f>
        <v>1108</v>
      </c>
      <c r="J27" s="147"/>
      <c r="K27" s="91" t="s">
        <v>144</v>
      </c>
      <c r="L27" s="242">
        <v>100000</v>
      </c>
      <c r="M27" s="67">
        <f>Tableau16[[#This Row],[MONTANT BC]]*30%</f>
        <v>30000</v>
      </c>
      <c r="N27" s="67">
        <f>IF(Tableau16[[#This Row],[MARCHEEXT]]&gt;=1,((Tableau16[[#This Row],[MONTANT BC]]*70%)-(Tableau16[[#This Row],[RG_5%]]+Tableau16[[#This Row],[P_2%]]+Tableau16[[#This Row],[BFT_5%]]+Tableau16[[#This Row],[E 3%]]+Tableau16[[#This Row],[AUTRE]])),(Tableau16[[#This Row],[MONTANT BC]]-(Tableau16[[#This Row],[RG_5%]]+Tableau16[[#This Row],[P_2%]]+Tableau16[[#This Row],[BFT_5%]]+Tableau16[[#This Row],[E 3%]]+Tableau16[[#This Row],[AUTRE]])))</f>
        <v>55000</v>
      </c>
      <c r="O27" s="67">
        <f>Tableau16[MONTANT BC]*5%</f>
        <v>5000</v>
      </c>
      <c r="P27" s="67">
        <f>Tableau16[[#This Row],[MONTANT BC]]*2%</f>
        <v>2000</v>
      </c>
      <c r="Q27" s="67">
        <f>Tableau16[[#This Row],[MONTANT BC]]*5%</f>
        <v>5000</v>
      </c>
      <c r="R27" s="67">
        <f>(Tableau16[[#This Row],[MONTANT BC]]*3%)</f>
        <v>3000</v>
      </c>
      <c r="S27" s="148"/>
      <c r="T27" s="148"/>
      <c r="U27" s="65" t="str">
        <f t="shared" ca="1" si="0"/>
        <v/>
      </c>
      <c r="V27" s="149"/>
      <c r="W27" s="149"/>
      <c r="X27" s="150"/>
      <c r="Y27" s="150"/>
    </row>
    <row r="28" spans="1:29" ht="15.75">
      <c r="A28" s="143" t="str">
        <f>CONCATENATE(Tableau16[[#This Row],[CT]],Tableau16[[#This Row],[CHANTIER]],Tableau16[[#This Row],[SOUS TRAITANT]],Tableau16[[#This Row],[MO]])</f>
        <v>JONATHANATHIS MONS E2IOPALE</v>
      </c>
      <c r="B28" s="239" t="s">
        <v>202</v>
      </c>
      <c r="C28" s="144"/>
      <c r="D28" s="232" t="s">
        <v>162</v>
      </c>
      <c r="E28" s="240" t="s">
        <v>97</v>
      </c>
      <c r="F28" s="144"/>
      <c r="G28" s="145"/>
      <c r="H28" s="241" t="s">
        <v>178</v>
      </c>
      <c r="I28" s="146">
        <f>VLOOKUP(H28,Tableau11[[SOUS TRAITANT]:[PU MARCHE]],3,FALSE)</f>
        <v>1108</v>
      </c>
      <c r="J28" s="147"/>
      <c r="K28" s="91" t="s">
        <v>144</v>
      </c>
      <c r="L28" s="242">
        <v>100000</v>
      </c>
      <c r="M28" s="67">
        <f>Tableau16[[#This Row],[MONTANT BC]]*30%</f>
        <v>30000</v>
      </c>
      <c r="N28" s="67">
        <f>IF(Tableau16[[#This Row],[MARCHEEXT]]&gt;=1,((Tableau16[[#This Row],[MONTANT BC]]*70%)-(Tableau16[[#This Row],[RG_5%]]+Tableau16[[#This Row],[P_2%]]+Tableau16[[#This Row],[BFT_5%]]+Tableau16[[#This Row],[E 3%]]+Tableau16[[#This Row],[AUTRE]])),(Tableau16[[#This Row],[MONTANT BC]]-(Tableau16[[#This Row],[RG_5%]]+Tableau16[[#This Row],[P_2%]]+Tableau16[[#This Row],[BFT_5%]]+Tableau16[[#This Row],[E 3%]]+Tableau16[[#This Row],[AUTRE]])))</f>
        <v>55000</v>
      </c>
      <c r="O28" s="67">
        <f>Tableau16[MONTANT BC]*5%</f>
        <v>5000</v>
      </c>
      <c r="P28" s="67">
        <f>Tableau16[[#This Row],[MONTANT BC]]*2%</f>
        <v>2000</v>
      </c>
      <c r="Q28" s="67">
        <f>Tableau16[[#This Row],[MONTANT BC]]*5%</f>
        <v>5000</v>
      </c>
      <c r="R28" s="67">
        <f>(Tableau16[[#This Row],[MONTANT BC]]*3%)</f>
        <v>3000</v>
      </c>
      <c r="S28" s="148"/>
      <c r="T28" s="148"/>
      <c r="U28" s="65" t="str">
        <f t="shared" ca="1" si="0"/>
        <v/>
      </c>
      <c r="V28" s="149"/>
      <c r="W28" s="149"/>
      <c r="X28" s="150"/>
      <c r="Y28" s="150"/>
    </row>
    <row r="29" spans="1:29" ht="15.75">
      <c r="A29" s="143" t="str">
        <f>CONCATENATE(Tableau16[[#This Row],[CT]],Tableau16[[#This Row],[CHANTIER]],Tableau16[[#This Row],[SOUS TRAITANT]],Tableau16[[#This Row],[MO]])</f>
        <v>JONATHANATHIS MONS E2IOPALE</v>
      </c>
      <c r="B29" s="239" t="s">
        <v>202</v>
      </c>
      <c r="C29" s="144"/>
      <c r="D29" s="232" t="s">
        <v>162</v>
      </c>
      <c r="E29" s="240" t="s">
        <v>97</v>
      </c>
      <c r="F29" s="144"/>
      <c r="G29" s="145"/>
      <c r="H29" s="241" t="s">
        <v>178</v>
      </c>
      <c r="I29" s="146">
        <f>VLOOKUP(H29,Tableau11[[SOUS TRAITANT]:[PU MARCHE]],3,FALSE)</f>
        <v>1108</v>
      </c>
      <c r="J29" s="147"/>
      <c r="K29" s="91" t="s">
        <v>144</v>
      </c>
      <c r="L29" s="242">
        <v>100000</v>
      </c>
      <c r="M29" s="67">
        <f>Tableau16[[#This Row],[MONTANT BC]]*30%</f>
        <v>30000</v>
      </c>
      <c r="N29" s="67">
        <f>IF(Tableau16[[#This Row],[MARCHEEXT]]&gt;=1,((Tableau16[[#This Row],[MONTANT BC]]*70%)-(Tableau16[[#This Row],[RG_5%]]+Tableau16[[#This Row],[P_2%]]+Tableau16[[#This Row],[BFT_5%]]+Tableau16[[#This Row],[E 3%]]+Tableau16[[#This Row],[AUTRE]])),(Tableau16[[#This Row],[MONTANT BC]]-(Tableau16[[#This Row],[RG_5%]]+Tableau16[[#This Row],[P_2%]]+Tableau16[[#This Row],[BFT_5%]]+Tableau16[[#This Row],[E 3%]]+Tableau16[[#This Row],[AUTRE]])))</f>
        <v>55000</v>
      </c>
      <c r="O29" s="67">
        <f>Tableau16[MONTANT BC]*5%</f>
        <v>5000</v>
      </c>
      <c r="P29" s="67">
        <f>Tableau16[[#This Row],[MONTANT BC]]*2%</f>
        <v>2000</v>
      </c>
      <c r="Q29" s="67">
        <f>Tableau16[[#This Row],[MONTANT BC]]*5%</f>
        <v>5000</v>
      </c>
      <c r="R29" s="67">
        <f>(Tableau16[[#This Row],[MONTANT BC]]*3%)</f>
        <v>3000</v>
      </c>
      <c r="S29" s="148"/>
      <c r="T29" s="148"/>
      <c r="U29" s="65" t="str">
        <f t="shared" ca="1" si="0"/>
        <v/>
      </c>
      <c r="V29" s="149"/>
      <c r="W29" s="149"/>
      <c r="X29" s="150"/>
      <c r="Y29" s="150"/>
    </row>
    <row r="30" spans="1:29" ht="15.75">
      <c r="A30" s="143" t="str">
        <f>CONCATENATE(Tableau16[[#This Row],[CT]],Tableau16[[#This Row],[CHANTIER]],Tableau16[[#This Row],[SOUS TRAITANT]],Tableau16[[#This Row],[MO]])</f>
        <v>LAURENTCLAMARTMOPALE</v>
      </c>
      <c r="B30" s="239" t="s">
        <v>202</v>
      </c>
      <c r="C30" s="144"/>
      <c r="D30" s="232" t="s">
        <v>43</v>
      </c>
      <c r="E30" s="240" t="s">
        <v>100</v>
      </c>
      <c r="F30" s="144"/>
      <c r="G30" s="145"/>
      <c r="H30" s="241" t="s">
        <v>180</v>
      </c>
      <c r="I30" s="146">
        <f>VLOOKUP(H30,Tableau11[[SOUS TRAITANT]:[PU MARCHE]],3,FALSE)</f>
        <v>1112</v>
      </c>
      <c r="J30" s="147"/>
      <c r="K30" s="91" t="s">
        <v>144</v>
      </c>
      <c r="L30" s="242">
        <v>100000</v>
      </c>
      <c r="M30" s="67">
        <f>Tableau16[[#This Row],[MONTANT BC]]*30%</f>
        <v>30000</v>
      </c>
      <c r="N30" s="67">
        <f>IF(Tableau16[[#This Row],[MARCHEEXT]]&gt;=1,((Tableau16[[#This Row],[MONTANT BC]]*70%)-(Tableau16[[#This Row],[RG_5%]]+Tableau16[[#This Row],[P_2%]]+Tableau16[[#This Row],[BFT_5%]]+Tableau16[[#This Row],[E 3%]]+Tableau16[[#This Row],[AUTRE]])),(Tableau16[[#This Row],[MONTANT BC]]-(Tableau16[[#This Row],[RG_5%]]+Tableau16[[#This Row],[P_2%]]+Tableau16[[#This Row],[BFT_5%]]+Tableau16[[#This Row],[E 3%]]+Tableau16[[#This Row],[AUTRE]])))</f>
        <v>55000</v>
      </c>
      <c r="O30" s="67">
        <f>Tableau16[MONTANT BC]*5%</f>
        <v>5000</v>
      </c>
      <c r="P30" s="67">
        <f>Tableau16[[#This Row],[MONTANT BC]]*2%</f>
        <v>2000</v>
      </c>
      <c r="Q30" s="67">
        <f>Tableau16[[#This Row],[MONTANT BC]]*5%</f>
        <v>5000</v>
      </c>
      <c r="R30" s="67">
        <f>(Tableau16[[#This Row],[MONTANT BC]]*3%)</f>
        <v>3000</v>
      </c>
      <c r="S30" s="148"/>
      <c r="T30" s="148"/>
      <c r="U30" s="65" t="str">
        <f t="shared" ca="1" si="0"/>
        <v/>
      </c>
      <c r="V30" s="149"/>
      <c r="W30" s="149"/>
      <c r="X30" s="150"/>
      <c r="Y30" s="150"/>
    </row>
    <row r="31" spans="1:29" ht="15.75">
      <c r="A31" s="143" t="str">
        <f>CONCATENATE(Tableau16[[#This Row],[CT]],Tableau16[[#This Row],[CHANTIER]],Tableau16[[#This Row],[SOUS TRAITANT]],Tableau16[[#This Row],[MO]])</f>
        <v>LAURENTLOGNESMZORG</v>
      </c>
      <c r="B31" s="239" t="s">
        <v>203</v>
      </c>
      <c r="C31" s="144"/>
      <c r="D31" s="232" t="s">
        <v>43</v>
      </c>
      <c r="E31" s="240" t="s">
        <v>102</v>
      </c>
      <c r="F31" s="144"/>
      <c r="G31" s="145"/>
      <c r="H31" s="241" t="s">
        <v>180</v>
      </c>
      <c r="I31" s="146">
        <f>VLOOKUP(H31,Tableau11[[SOUS TRAITANT]:[PU MARCHE]],3,FALSE)</f>
        <v>1112</v>
      </c>
      <c r="J31" s="147"/>
      <c r="K31" s="91" t="s">
        <v>144</v>
      </c>
      <c r="L31" s="242">
        <v>100000</v>
      </c>
      <c r="M31" s="67">
        <f>Tableau16[[#This Row],[MONTANT BC]]*30%</f>
        <v>30000</v>
      </c>
      <c r="N31" s="67">
        <f>IF(Tableau16[[#This Row],[MARCHEEXT]]&gt;=1,((Tableau16[[#This Row],[MONTANT BC]]*70%)-(Tableau16[[#This Row],[RG_5%]]+Tableau16[[#This Row],[P_2%]]+Tableau16[[#This Row],[BFT_5%]]+Tableau16[[#This Row],[E 3%]]+Tableau16[[#This Row],[AUTRE]])),(Tableau16[[#This Row],[MONTANT BC]]-(Tableau16[[#This Row],[RG_5%]]+Tableau16[[#This Row],[P_2%]]+Tableau16[[#This Row],[BFT_5%]]+Tableau16[[#This Row],[E 3%]]+Tableau16[[#This Row],[AUTRE]])))</f>
        <v>55000</v>
      </c>
      <c r="O31" s="67">
        <f>Tableau16[MONTANT BC]*5%</f>
        <v>5000</v>
      </c>
      <c r="P31" s="67">
        <f>Tableau16[[#This Row],[MONTANT BC]]*2%</f>
        <v>2000</v>
      </c>
      <c r="Q31" s="67">
        <f>Tableau16[[#This Row],[MONTANT BC]]*5%</f>
        <v>5000</v>
      </c>
      <c r="R31" s="67">
        <f>(Tableau16[[#This Row],[MONTANT BC]]*3%)</f>
        <v>3000</v>
      </c>
      <c r="S31" s="148"/>
      <c r="T31" s="148"/>
      <c r="U31" s="65" t="str">
        <f t="shared" ca="1" si="0"/>
        <v/>
      </c>
      <c r="V31" s="149"/>
      <c r="W31" s="149"/>
      <c r="X31" s="150"/>
      <c r="Y31" s="150"/>
    </row>
    <row r="32" spans="1:29" ht="15.75">
      <c r="A32" s="143" t="str">
        <f>CONCATENATE(Tableau16[[#This Row],[CT]],Tableau16[[#This Row],[CHANTIER]],Tableau16[[#This Row],[SOUS TRAITANT]],Tableau16[[#This Row],[MO]])</f>
        <v>LAURENTSERVONMZORG</v>
      </c>
      <c r="B32" s="239" t="s">
        <v>203</v>
      </c>
      <c r="C32" s="144"/>
      <c r="D32" s="232" t="s">
        <v>43</v>
      </c>
      <c r="E32" s="240" t="s">
        <v>90</v>
      </c>
      <c r="F32" s="144"/>
      <c r="G32" s="145"/>
      <c r="H32" s="241" t="s">
        <v>180</v>
      </c>
      <c r="I32" s="146">
        <f>VLOOKUP(H32,Tableau11[[SOUS TRAITANT]:[PU MARCHE]],3,FALSE)</f>
        <v>1112</v>
      </c>
      <c r="J32" s="147"/>
      <c r="K32" s="91" t="s">
        <v>144</v>
      </c>
      <c r="L32" s="242">
        <v>100000</v>
      </c>
      <c r="M32" s="67">
        <f>Tableau16[[#This Row],[MONTANT BC]]*30%</f>
        <v>30000</v>
      </c>
      <c r="N32" s="67">
        <f>IF(Tableau16[[#This Row],[MARCHEEXT]]&gt;=1,((Tableau16[[#This Row],[MONTANT BC]]*70%)-(Tableau16[[#This Row],[RG_5%]]+Tableau16[[#This Row],[P_2%]]+Tableau16[[#This Row],[BFT_5%]]+Tableau16[[#This Row],[E 3%]]+Tableau16[[#This Row],[AUTRE]])),(Tableau16[[#This Row],[MONTANT BC]]-(Tableau16[[#This Row],[RG_5%]]+Tableau16[[#This Row],[P_2%]]+Tableau16[[#This Row],[BFT_5%]]+Tableau16[[#This Row],[E 3%]]+Tableau16[[#This Row],[AUTRE]])))</f>
        <v>55000</v>
      </c>
      <c r="O32" s="67">
        <f>Tableau16[MONTANT BC]*5%</f>
        <v>5000</v>
      </c>
      <c r="P32" s="67">
        <f>Tableau16[[#This Row],[MONTANT BC]]*2%</f>
        <v>2000</v>
      </c>
      <c r="Q32" s="67">
        <f>Tableau16[[#This Row],[MONTANT BC]]*5%</f>
        <v>5000</v>
      </c>
      <c r="R32" s="67">
        <f>(Tableau16[[#This Row],[MONTANT BC]]*3%)</f>
        <v>3000</v>
      </c>
      <c r="S32" s="148"/>
      <c r="T32" s="148"/>
      <c r="U32" s="65" t="str">
        <f t="shared" ca="1" si="0"/>
        <v/>
      </c>
      <c r="V32" s="149"/>
      <c r="W32" s="149"/>
      <c r="X32" s="150"/>
      <c r="Y32" s="150"/>
    </row>
    <row r="33" spans="1:25" ht="15.75">
      <c r="A33" s="143" t="str">
        <f>CONCATENATE(Tableau16[[#This Row],[CT]],Tableau16[[#This Row],[CHANTIER]],Tableau16[[#This Row],[SOUS TRAITANT]],Tableau16[[#This Row],[MO]])</f>
        <v>LAURENTMOISSYMZORG</v>
      </c>
      <c r="B33" s="239" t="s">
        <v>203</v>
      </c>
      <c r="C33" s="144"/>
      <c r="D33" s="232" t="s">
        <v>43</v>
      </c>
      <c r="E33" s="240" t="s">
        <v>104</v>
      </c>
      <c r="F33" s="144"/>
      <c r="G33" s="145"/>
      <c r="H33" s="241" t="s">
        <v>180</v>
      </c>
      <c r="I33" s="146">
        <f>VLOOKUP(H33,Tableau11[[SOUS TRAITANT]:[PU MARCHE]],3,FALSE)</f>
        <v>1112</v>
      </c>
      <c r="J33" s="147"/>
      <c r="K33" s="91" t="s">
        <v>144</v>
      </c>
      <c r="L33" s="242">
        <v>100000</v>
      </c>
      <c r="M33" s="67">
        <f>Tableau16[[#This Row],[MONTANT BC]]*30%</f>
        <v>30000</v>
      </c>
      <c r="N33" s="67">
        <f>IF(Tableau16[[#This Row],[MARCHEEXT]]&gt;=1,((Tableau16[[#This Row],[MONTANT BC]]*70%)-(Tableau16[[#This Row],[RG_5%]]+Tableau16[[#This Row],[P_2%]]+Tableau16[[#This Row],[BFT_5%]]+Tableau16[[#This Row],[E 3%]]+Tableau16[[#This Row],[AUTRE]])),(Tableau16[[#This Row],[MONTANT BC]]-(Tableau16[[#This Row],[RG_5%]]+Tableau16[[#This Row],[P_2%]]+Tableau16[[#This Row],[BFT_5%]]+Tableau16[[#This Row],[E 3%]]+Tableau16[[#This Row],[AUTRE]])))</f>
        <v>55000</v>
      </c>
      <c r="O33" s="67">
        <f>Tableau16[MONTANT BC]*5%</f>
        <v>5000</v>
      </c>
      <c r="P33" s="67">
        <f>Tableau16[[#This Row],[MONTANT BC]]*2%</f>
        <v>2000</v>
      </c>
      <c r="Q33" s="67">
        <f>Tableau16[[#This Row],[MONTANT BC]]*5%</f>
        <v>5000</v>
      </c>
      <c r="R33" s="67">
        <f>(Tableau16[[#This Row],[MONTANT BC]]*3%)</f>
        <v>3000</v>
      </c>
      <c r="S33" s="148"/>
      <c r="T33" s="148"/>
      <c r="U33" s="65" t="str">
        <f t="shared" ca="1" si="0"/>
        <v/>
      </c>
      <c r="V33" s="149"/>
      <c r="W33" s="149"/>
      <c r="X33" s="150"/>
      <c r="Y33" s="150"/>
    </row>
    <row r="34" spans="1:25" ht="15.75">
      <c r="A34" s="143" t="str">
        <f>CONCATENATE(Tableau16[[#This Row],[CT]],Tableau16[[#This Row],[CHANTIER]],Tableau16[[#This Row],[SOUS TRAITANT]],Tableau16[[#This Row],[MO]])</f>
        <v>LAURENTSERVONMZORG</v>
      </c>
      <c r="B34" s="239" t="s">
        <v>203</v>
      </c>
      <c r="C34" s="144"/>
      <c r="D34" s="232" t="s">
        <v>43</v>
      </c>
      <c r="E34" s="240" t="s">
        <v>90</v>
      </c>
      <c r="F34" s="144"/>
      <c r="G34" s="145"/>
      <c r="H34" s="241" t="s">
        <v>180</v>
      </c>
      <c r="I34" s="146">
        <f>VLOOKUP(H34,Tableau11[[SOUS TRAITANT]:[PU MARCHE]],3,FALSE)</f>
        <v>1112</v>
      </c>
      <c r="J34" s="147"/>
      <c r="K34" s="91" t="s">
        <v>144</v>
      </c>
      <c r="L34" s="242">
        <v>100000</v>
      </c>
      <c r="M34" s="67">
        <f>Tableau16[[#This Row],[MONTANT BC]]*30%</f>
        <v>30000</v>
      </c>
      <c r="N34" s="67">
        <f>IF(Tableau16[[#This Row],[MARCHEEXT]]&gt;=1,((Tableau16[[#This Row],[MONTANT BC]]*70%)-(Tableau16[[#This Row],[RG_5%]]+Tableau16[[#This Row],[P_2%]]+Tableau16[[#This Row],[BFT_5%]]+Tableau16[[#This Row],[E 3%]]+Tableau16[[#This Row],[AUTRE]])),(Tableau16[[#This Row],[MONTANT BC]]-(Tableau16[[#This Row],[RG_5%]]+Tableau16[[#This Row],[P_2%]]+Tableau16[[#This Row],[BFT_5%]]+Tableau16[[#This Row],[E 3%]]+Tableau16[[#This Row],[AUTRE]])))</f>
        <v>55000</v>
      </c>
      <c r="O34" s="67">
        <f>Tableau16[MONTANT BC]*5%</f>
        <v>5000</v>
      </c>
      <c r="P34" s="67">
        <f>Tableau16[[#This Row],[MONTANT BC]]*2%</f>
        <v>2000</v>
      </c>
      <c r="Q34" s="67">
        <f>Tableau16[[#This Row],[MONTANT BC]]*5%</f>
        <v>5000</v>
      </c>
      <c r="R34" s="67">
        <f>(Tableau16[[#This Row],[MONTANT BC]]*3%)</f>
        <v>3000</v>
      </c>
      <c r="S34" s="148"/>
      <c r="T34" s="148"/>
      <c r="U34" s="65" t="str">
        <f t="shared" ca="1" si="0"/>
        <v/>
      </c>
      <c r="V34" s="149"/>
      <c r="W34" s="149"/>
      <c r="X34" s="150"/>
      <c r="Y34" s="150"/>
    </row>
    <row r="35" spans="1:25" ht="15.75">
      <c r="A35" s="143" t="str">
        <f>CONCATENATE(Tableau16[[#This Row],[CT]],Tableau16[[#This Row],[CHANTIER]],Tableau16[[#This Row],[SOUS TRAITANT]],Tableau16[[#This Row],[MO]])</f>
        <v>LAURENTSARCELLESMZORG</v>
      </c>
      <c r="B35" s="239" t="s">
        <v>203</v>
      </c>
      <c r="C35" s="144"/>
      <c r="D35" s="232" t="s">
        <v>43</v>
      </c>
      <c r="E35" s="240" t="s">
        <v>107</v>
      </c>
      <c r="F35" s="144"/>
      <c r="G35" s="145"/>
      <c r="H35" s="241" t="s">
        <v>180</v>
      </c>
      <c r="I35" s="146">
        <f>VLOOKUP(H35,Tableau11[[SOUS TRAITANT]:[PU MARCHE]],3,FALSE)</f>
        <v>1112</v>
      </c>
      <c r="J35" s="147"/>
      <c r="K35" s="91" t="s">
        <v>144</v>
      </c>
      <c r="L35" s="242">
        <v>100000</v>
      </c>
      <c r="M35" s="67">
        <f>Tableau16[[#This Row],[MONTANT BC]]*30%</f>
        <v>30000</v>
      </c>
      <c r="N35" s="67">
        <f>IF(Tableau16[[#This Row],[MARCHEEXT]]&gt;=1,((Tableau16[[#This Row],[MONTANT BC]]*70%)-(Tableau16[[#This Row],[RG_5%]]+Tableau16[[#This Row],[P_2%]]+Tableau16[[#This Row],[BFT_5%]]+Tableau16[[#This Row],[E 3%]]+Tableau16[[#This Row],[AUTRE]])),(Tableau16[[#This Row],[MONTANT BC]]-(Tableau16[[#This Row],[RG_5%]]+Tableau16[[#This Row],[P_2%]]+Tableau16[[#This Row],[BFT_5%]]+Tableau16[[#This Row],[E 3%]]+Tableau16[[#This Row],[AUTRE]])))</f>
        <v>55000</v>
      </c>
      <c r="O35" s="67">
        <f>Tableau16[MONTANT BC]*5%</f>
        <v>5000</v>
      </c>
      <c r="P35" s="67">
        <f>Tableau16[[#This Row],[MONTANT BC]]*2%</f>
        <v>2000</v>
      </c>
      <c r="Q35" s="67">
        <f>Tableau16[[#This Row],[MONTANT BC]]*5%</f>
        <v>5000</v>
      </c>
      <c r="R35" s="67">
        <f>(Tableau16[[#This Row],[MONTANT BC]]*3%)</f>
        <v>3000</v>
      </c>
      <c r="S35" s="148"/>
      <c r="T35" s="148"/>
      <c r="U35" s="65" t="str">
        <f t="shared" ca="1" si="0"/>
        <v/>
      </c>
      <c r="V35" s="149"/>
      <c r="W35" s="149"/>
      <c r="X35" s="150"/>
      <c r="Y35" s="150"/>
    </row>
    <row r="36" spans="1:25" ht="15.75">
      <c r="A36" s="143" t="str">
        <f>CONCATENATE(Tableau16[[#This Row],[CT]],Tableau16[[#This Row],[CHANTIER]],Tableau16[[#This Row],[SOUS TRAITANT]],Tableau16[[#This Row],[MO]])</f>
        <v>LAURENTLOGNESMZORG</v>
      </c>
      <c r="B36" s="239" t="s">
        <v>203</v>
      </c>
      <c r="C36" s="144"/>
      <c r="D36" s="232" t="s">
        <v>43</v>
      </c>
      <c r="E36" s="240" t="s">
        <v>102</v>
      </c>
      <c r="F36" s="144"/>
      <c r="G36" s="145"/>
      <c r="H36" s="241" t="s">
        <v>180</v>
      </c>
      <c r="I36" s="146">
        <f>VLOOKUP(H36,Tableau11[[SOUS TRAITANT]:[PU MARCHE]],3,FALSE)</f>
        <v>1112</v>
      </c>
      <c r="J36" s="147"/>
      <c r="K36" s="91" t="s">
        <v>144</v>
      </c>
      <c r="L36" s="242">
        <v>100000</v>
      </c>
      <c r="M36" s="67">
        <f>Tableau16[[#This Row],[MONTANT BC]]*30%</f>
        <v>30000</v>
      </c>
      <c r="N36" s="67">
        <f>IF(Tableau16[[#This Row],[MARCHEEXT]]&gt;=1,((Tableau16[[#This Row],[MONTANT BC]]*70%)-(Tableau16[[#This Row],[RG_5%]]+Tableau16[[#This Row],[P_2%]]+Tableau16[[#This Row],[BFT_5%]]+Tableau16[[#This Row],[E 3%]]+Tableau16[[#This Row],[AUTRE]])),(Tableau16[[#This Row],[MONTANT BC]]-(Tableau16[[#This Row],[RG_5%]]+Tableau16[[#This Row],[P_2%]]+Tableau16[[#This Row],[BFT_5%]]+Tableau16[[#This Row],[E 3%]]+Tableau16[[#This Row],[AUTRE]])))</f>
        <v>55000</v>
      </c>
      <c r="O36" s="67">
        <f>Tableau16[MONTANT BC]*5%</f>
        <v>5000</v>
      </c>
      <c r="P36" s="67">
        <f>Tableau16[[#This Row],[MONTANT BC]]*2%</f>
        <v>2000</v>
      </c>
      <c r="Q36" s="67">
        <f>Tableau16[[#This Row],[MONTANT BC]]*5%</f>
        <v>5000</v>
      </c>
      <c r="R36" s="67">
        <f>(Tableau16[[#This Row],[MONTANT BC]]*3%)</f>
        <v>3000</v>
      </c>
      <c r="S36" s="148"/>
      <c r="T36" s="148"/>
      <c r="U36" s="65" t="str">
        <f t="shared" ca="1" si="0"/>
        <v/>
      </c>
      <c r="V36" s="149"/>
      <c r="W36" s="149"/>
      <c r="X36" s="150"/>
      <c r="Y36" s="150"/>
    </row>
    <row r="37" spans="1:25" ht="15.75">
      <c r="A37" s="143" t="str">
        <f>CONCATENATE(Tableau16[[#This Row],[CT]],Tableau16[[#This Row],[CHANTIER]],Tableau16[[#This Row],[SOUS TRAITANT]],Tableau16[[#This Row],[MO]])</f>
        <v>LAURENTLOGNESMZORG</v>
      </c>
      <c r="B37" s="239" t="s">
        <v>203</v>
      </c>
      <c r="C37" s="144"/>
      <c r="D37" s="232" t="s">
        <v>43</v>
      </c>
      <c r="E37" s="240" t="s">
        <v>102</v>
      </c>
      <c r="F37" s="144"/>
      <c r="G37" s="145"/>
      <c r="H37" s="241" t="s">
        <v>180</v>
      </c>
      <c r="I37" s="146">
        <f>VLOOKUP(H37,Tableau11[[SOUS TRAITANT]:[PU MARCHE]],3,FALSE)</f>
        <v>1112</v>
      </c>
      <c r="J37" s="147"/>
      <c r="K37" s="91" t="s">
        <v>144</v>
      </c>
      <c r="L37" s="242">
        <v>100000</v>
      </c>
      <c r="M37" s="67">
        <f>Tableau16[[#This Row],[MONTANT BC]]*30%</f>
        <v>30000</v>
      </c>
      <c r="N37" s="67">
        <f>IF(Tableau16[[#This Row],[MARCHEEXT]]&gt;=1,((Tableau16[[#This Row],[MONTANT BC]]*70%)-(Tableau16[[#This Row],[RG_5%]]+Tableau16[[#This Row],[P_2%]]+Tableau16[[#This Row],[BFT_5%]]+Tableau16[[#This Row],[E 3%]]+Tableau16[[#This Row],[AUTRE]])),(Tableau16[[#This Row],[MONTANT BC]]-(Tableau16[[#This Row],[RG_5%]]+Tableau16[[#This Row],[P_2%]]+Tableau16[[#This Row],[BFT_5%]]+Tableau16[[#This Row],[E 3%]]+Tableau16[[#This Row],[AUTRE]])))</f>
        <v>55000</v>
      </c>
      <c r="O37" s="67">
        <f>Tableau16[MONTANT BC]*5%</f>
        <v>5000</v>
      </c>
      <c r="P37" s="67">
        <f>Tableau16[[#This Row],[MONTANT BC]]*2%</f>
        <v>2000</v>
      </c>
      <c r="Q37" s="67">
        <f>Tableau16[[#This Row],[MONTANT BC]]*5%</f>
        <v>5000</v>
      </c>
      <c r="R37" s="67">
        <f>(Tableau16[[#This Row],[MONTANT BC]]*3%)</f>
        <v>3000</v>
      </c>
      <c r="S37" s="148"/>
      <c r="T37" s="148"/>
      <c r="U37" s="65" t="str">
        <f t="shared" ca="1" si="0"/>
        <v/>
      </c>
      <c r="V37" s="149"/>
      <c r="W37" s="149"/>
      <c r="X37" s="150"/>
      <c r="Y37" s="150"/>
    </row>
    <row r="38" spans="1:25" ht="15.75">
      <c r="A38" s="143" t="str">
        <f>CONCATENATE(Tableau16[[#This Row],[CT]],Tableau16[[#This Row],[CHANTIER]],Tableau16[[#This Row],[SOUS TRAITANT]],Tableau16[[#This Row],[MO]])</f>
        <v>SEBMONTFERMEILMZORG</v>
      </c>
      <c r="B38" s="239" t="s">
        <v>203</v>
      </c>
      <c r="C38" s="144"/>
      <c r="D38" s="232" t="s">
        <v>164</v>
      </c>
      <c r="E38" s="240" t="s">
        <v>109</v>
      </c>
      <c r="F38" s="144"/>
      <c r="G38" s="145"/>
      <c r="H38" s="241" t="s">
        <v>180</v>
      </c>
      <c r="I38" s="146">
        <f>VLOOKUP(H38,Tableau11[[SOUS TRAITANT]:[PU MARCHE]],3,FALSE)</f>
        <v>1112</v>
      </c>
      <c r="J38" s="147"/>
      <c r="K38" s="91" t="s">
        <v>144</v>
      </c>
      <c r="L38" s="242">
        <v>100000</v>
      </c>
      <c r="M38" s="67">
        <f>Tableau16[[#This Row],[MONTANT BC]]*30%</f>
        <v>30000</v>
      </c>
      <c r="N38" s="67">
        <f>IF(Tableau16[[#This Row],[MARCHEEXT]]&gt;=1,((Tableau16[[#This Row],[MONTANT BC]]*70%)-(Tableau16[[#This Row],[RG_5%]]+Tableau16[[#This Row],[P_2%]]+Tableau16[[#This Row],[BFT_5%]]+Tableau16[[#This Row],[E 3%]]+Tableau16[[#This Row],[AUTRE]])),(Tableau16[[#This Row],[MONTANT BC]]-(Tableau16[[#This Row],[RG_5%]]+Tableau16[[#This Row],[P_2%]]+Tableau16[[#This Row],[BFT_5%]]+Tableau16[[#This Row],[E 3%]]+Tableau16[[#This Row],[AUTRE]])))</f>
        <v>55000</v>
      </c>
      <c r="O38" s="67">
        <f>Tableau16[MONTANT BC]*5%</f>
        <v>5000</v>
      </c>
      <c r="P38" s="67">
        <f>Tableau16[[#This Row],[MONTANT BC]]*2%</f>
        <v>2000</v>
      </c>
      <c r="Q38" s="67">
        <f>Tableau16[[#This Row],[MONTANT BC]]*5%</f>
        <v>5000</v>
      </c>
      <c r="R38" s="67">
        <f>(Tableau16[[#This Row],[MONTANT BC]]*3%)</f>
        <v>3000</v>
      </c>
      <c r="S38" s="148"/>
      <c r="T38" s="148"/>
      <c r="U38" s="65" t="str">
        <f t="shared" ca="1" si="0"/>
        <v/>
      </c>
      <c r="V38" s="149"/>
      <c r="W38" s="149"/>
      <c r="X38" s="150"/>
      <c r="Y38" s="150"/>
    </row>
    <row r="39" spans="1:25" ht="15.75">
      <c r="A39" s="143" t="str">
        <f>CONCATENATE(Tableau16[[#This Row],[CT]],Tableau16[[#This Row],[CHANTIER]],Tableau16[[#This Row],[SOUS TRAITANT]],Tableau16[[#This Row],[MO]])</f>
        <v>SEBPUTEAUXMZORG</v>
      </c>
      <c r="B39" s="239" t="s">
        <v>203</v>
      </c>
      <c r="C39" s="144"/>
      <c r="D39" s="232" t="s">
        <v>164</v>
      </c>
      <c r="E39" s="240" t="s">
        <v>20</v>
      </c>
      <c r="F39" s="144"/>
      <c r="G39" s="145"/>
      <c r="H39" s="241" t="s">
        <v>180</v>
      </c>
      <c r="I39" s="146">
        <f>VLOOKUP(H39,Tableau11[[SOUS TRAITANT]:[PU MARCHE]],3,FALSE)</f>
        <v>1112</v>
      </c>
      <c r="J39" s="147"/>
      <c r="K39" s="91" t="s">
        <v>144</v>
      </c>
      <c r="L39" s="242">
        <v>100000</v>
      </c>
      <c r="M39" s="67">
        <f>Tableau16[[#This Row],[MONTANT BC]]*30%</f>
        <v>30000</v>
      </c>
      <c r="N39" s="67">
        <f>IF(Tableau16[[#This Row],[MARCHEEXT]]&gt;=1,((Tableau16[[#This Row],[MONTANT BC]]*70%)-(Tableau16[[#This Row],[RG_5%]]+Tableau16[[#This Row],[P_2%]]+Tableau16[[#This Row],[BFT_5%]]+Tableau16[[#This Row],[E 3%]]+Tableau16[[#This Row],[AUTRE]])),(Tableau16[[#This Row],[MONTANT BC]]-(Tableau16[[#This Row],[RG_5%]]+Tableau16[[#This Row],[P_2%]]+Tableau16[[#This Row],[BFT_5%]]+Tableau16[[#This Row],[E 3%]]+Tableau16[[#This Row],[AUTRE]])))</f>
        <v>55000</v>
      </c>
      <c r="O39" s="67">
        <f>Tableau16[MONTANT BC]*5%</f>
        <v>5000</v>
      </c>
      <c r="P39" s="67">
        <f>Tableau16[[#This Row],[MONTANT BC]]*2%</f>
        <v>2000</v>
      </c>
      <c r="Q39" s="67">
        <f>Tableau16[[#This Row],[MONTANT BC]]*5%</f>
        <v>5000</v>
      </c>
      <c r="R39" s="67">
        <f>(Tableau16[[#This Row],[MONTANT BC]]*3%)</f>
        <v>3000</v>
      </c>
      <c r="S39" s="148"/>
      <c r="T39" s="148"/>
      <c r="U39" s="65" t="str">
        <f t="shared" ca="1" si="0"/>
        <v/>
      </c>
      <c r="V39" s="149"/>
      <c r="W39" s="149"/>
      <c r="X39" s="150"/>
      <c r="Y39" s="150"/>
    </row>
    <row r="40" spans="1:25" ht="15.75">
      <c r="A40" s="143" t="str">
        <f>CONCATENATE(Tableau16[[#This Row],[CT]],Tableau16[[#This Row],[CHANTIER]],Tableau16[[#This Row],[SOUS TRAITANT]],Tableau16[[#This Row],[MO]])</f>
        <v>SEBBONDOUFLEMZORG</v>
      </c>
      <c r="B40" s="239" t="s">
        <v>203</v>
      </c>
      <c r="C40" s="144"/>
      <c r="D40" s="232" t="s">
        <v>164</v>
      </c>
      <c r="E40" s="240" t="s">
        <v>112</v>
      </c>
      <c r="F40" s="144"/>
      <c r="G40" s="145"/>
      <c r="H40" s="241" t="s">
        <v>180</v>
      </c>
      <c r="I40" s="146">
        <f>VLOOKUP(H40,Tableau11[[SOUS TRAITANT]:[PU MARCHE]],3,FALSE)</f>
        <v>1112</v>
      </c>
      <c r="J40" s="147"/>
      <c r="K40" s="91" t="s">
        <v>144</v>
      </c>
      <c r="L40" s="242">
        <v>100000</v>
      </c>
      <c r="M40" s="67">
        <f>Tableau16[[#This Row],[MONTANT BC]]*30%</f>
        <v>30000</v>
      </c>
      <c r="N40" s="67">
        <f>IF(Tableau16[[#This Row],[MARCHEEXT]]&gt;=1,((Tableau16[[#This Row],[MONTANT BC]]*70%)-(Tableau16[[#This Row],[RG_5%]]+Tableau16[[#This Row],[P_2%]]+Tableau16[[#This Row],[BFT_5%]]+Tableau16[[#This Row],[E 3%]]+Tableau16[[#This Row],[AUTRE]])),(Tableau16[[#This Row],[MONTANT BC]]-(Tableau16[[#This Row],[RG_5%]]+Tableau16[[#This Row],[P_2%]]+Tableau16[[#This Row],[BFT_5%]]+Tableau16[[#This Row],[E 3%]]+Tableau16[[#This Row],[AUTRE]])))</f>
        <v>55000</v>
      </c>
      <c r="O40" s="67">
        <f>Tableau16[MONTANT BC]*5%</f>
        <v>5000</v>
      </c>
      <c r="P40" s="67">
        <f>Tableau16[[#This Row],[MONTANT BC]]*2%</f>
        <v>2000</v>
      </c>
      <c r="Q40" s="67">
        <f>Tableau16[[#This Row],[MONTANT BC]]*5%</f>
        <v>5000</v>
      </c>
      <c r="R40" s="67">
        <f>(Tableau16[[#This Row],[MONTANT BC]]*3%)</f>
        <v>3000</v>
      </c>
      <c r="S40" s="148"/>
      <c r="T40" s="148"/>
      <c r="U40" s="65" t="str">
        <f t="shared" ca="1" si="0"/>
        <v/>
      </c>
      <c r="V40" s="149"/>
      <c r="W40" s="149"/>
      <c r="X40" s="150"/>
      <c r="Y40" s="150"/>
    </row>
    <row r="41" spans="1:25" ht="15.75">
      <c r="A41" s="143" t="str">
        <f>CONCATENATE(Tableau16[[#This Row],[CT]],Tableau16[[#This Row],[CHANTIER]],Tableau16[[#This Row],[SOUS TRAITANT]],Tableau16[[#This Row],[MO]])</f>
        <v>SEBCOMBS ICADEMZORG</v>
      </c>
      <c r="B41" s="239" t="s">
        <v>203</v>
      </c>
      <c r="C41" s="144"/>
      <c r="D41" s="232" t="s">
        <v>164</v>
      </c>
      <c r="E41" s="240" t="s">
        <v>114</v>
      </c>
      <c r="F41" s="144"/>
      <c r="G41" s="145"/>
      <c r="H41" s="241" t="s">
        <v>180</v>
      </c>
      <c r="I41" s="146">
        <f>VLOOKUP(H41,Tableau11[[SOUS TRAITANT]:[PU MARCHE]],3,FALSE)</f>
        <v>1112</v>
      </c>
      <c r="J41" s="147"/>
      <c r="K41" s="91" t="s">
        <v>144</v>
      </c>
      <c r="L41" s="242">
        <v>100000</v>
      </c>
      <c r="M41" s="67">
        <f>Tableau16[[#This Row],[MONTANT BC]]*30%</f>
        <v>30000</v>
      </c>
      <c r="N41" s="67">
        <f>IF(Tableau16[[#This Row],[MARCHEEXT]]&gt;=1,((Tableau16[[#This Row],[MONTANT BC]]*70%)-(Tableau16[[#This Row],[RG_5%]]+Tableau16[[#This Row],[P_2%]]+Tableau16[[#This Row],[BFT_5%]]+Tableau16[[#This Row],[E 3%]]+Tableau16[[#This Row],[AUTRE]])),(Tableau16[[#This Row],[MONTANT BC]]-(Tableau16[[#This Row],[RG_5%]]+Tableau16[[#This Row],[P_2%]]+Tableau16[[#This Row],[BFT_5%]]+Tableau16[[#This Row],[E 3%]]+Tableau16[[#This Row],[AUTRE]])))</f>
        <v>55000</v>
      </c>
      <c r="O41" s="67">
        <f>Tableau16[MONTANT BC]*5%</f>
        <v>5000</v>
      </c>
      <c r="P41" s="67">
        <f>Tableau16[[#This Row],[MONTANT BC]]*2%</f>
        <v>2000</v>
      </c>
      <c r="Q41" s="67">
        <f>Tableau16[[#This Row],[MONTANT BC]]*5%</f>
        <v>5000</v>
      </c>
      <c r="R41" s="67">
        <f>(Tableau16[[#This Row],[MONTANT BC]]*3%)</f>
        <v>3000</v>
      </c>
      <c r="S41" s="148"/>
      <c r="T41" s="148"/>
      <c r="U41" s="65" t="str">
        <f t="shared" ca="1" si="0"/>
        <v/>
      </c>
      <c r="V41" s="149"/>
      <c r="W41" s="149"/>
      <c r="X41" s="150"/>
      <c r="Y41" s="150"/>
    </row>
    <row r="42" spans="1:25" ht="15.75">
      <c r="A42" s="143" t="str">
        <f>CONCATENATE(Tableau16[[#This Row],[CT]],Tableau16[[#This Row],[CHANTIER]],Tableau16[[#This Row],[SOUS TRAITANT]],Tableau16[[#This Row],[MO]])</f>
        <v>SEBCOMBS ICADEMZORG</v>
      </c>
      <c r="B42" s="239" t="s">
        <v>203</v>
      </c>
      <c r="C42" s="144"/>
      <c r="D42" s="232" t="s">
        <v>164</v>
      </c>
      <c r="E42" s="240" t="s">
        <v>114</v>
      </c>
      <c r="F42" s="144"/>
      <c r="G42" s="145"/>
      <c r="H42" s="241" t="s">
        <v>180</v>
      </c>
      <c r="I42" s="146">
        <f>VLOOKUP(H42,Tableau11[[SOUS TRAITANT]:[PU MARCHE]],3,FALSE)</f>
        <v>1112</v>
      </c>
      <c r="J42" s="147"/>
      <c r="K42" s="91" t="s">
        <v>144</v>
      </c>
      <c r="L42" s="242">
        <v>100000</v>
      </c>
      <c r="M42" s="67">
        <f>Tableau16[[#This Row],[MONTANT BC]]*30%</f>
        <v>30000</v>
      </c>
      <c r="N42" s="67">
        <f>IF(Tableau16[[#This Row],[MARCHEEXT]]&gt;=1,((Tableau16[[#This Row],[MONTANT BC]]*70%)-(Tableau16[[#This Row],[RG_5%]]+Tableau16[[#This Row],[P_2%]]+Tableau16[[#This Row],[BFT_5%]]+Tableau16[[#This Row],[E 3%]]+Tableau16[[#This Row],[AUTRE]])),(Tableau16[[#This Row],[MONTANT BC]]-(Tableau16[[#This Row],[RG_5%]]+Tableau16[[#This Row],[P_2%]]+Tableau16[[#This Row],[BFT_5%]]+Tableau16[[#This Row],[E 3%]]+Tableau16[[#This Row],[AUTRE]])))</f>
        <v>55000</v>
      </c>
      <c r="O42" s="67">
        <f>Tableau16[MONTANT BC]*5%</f>
        <v>5000</v>
      </c>
      <c r="P42" s="67">
        <f>Tableau16[[#This Row],[MONTANT BC]]*2%</f>
        <v>2000</v>
      </c>
      <c r="Q42" s="67">
        <f>Tableau16[[#This Row],[MONTANT BC]]*5%</f>
        <v>5000</v>
      </c>
      <c r="R42" s="67">
        <f>(Tableau16[[#This Row],[MONTANT BC]]*3%)</f>
        <v>3000</v>
      </c>
      <c r="S42" s="148"/>
      <c r="T42" s="148"/>
      <c r="U42" s="65" t="str">
        <f t="shared" ca="1" si="0"/>
        <v/>
      </c>
      <c r="V42" s="149"/>
      <c r="W42" s="149"/>
      <c r="X42" s="150"/>
      <c r="Y42" s="150"/>
    </row>
    <row r="43" spans="1:25">
      <c r="W43" t="e">
        <f>VLOOKUP(B43,Tableau16[[Ref]:[MONTANT BC]],12,FALSE)</f>
        <v>#N/A</v>
      </c>
    </row>
    <row r="44" spans="1:25">
      <c r="A44" s="243" t="s">
        <v>214</v>
      </c>
    </row>
    <row r="48" spans="1:25">
      <c r="E48" s="249" t="s">
        <v>222</v>
      </c>
    </row>
    <row r="49" spans="5:5">
      <c r="E49">
        <f>MATCH($H4,DONNEES!$P$1:AO$1,0)</f>
        <v>1</v>
      </c>
    </row>
    <row r="50" spans="5:5">
      <c r="E50">
        <f ca="1">COUNTA(OFFSET(DONNEES!$P$21,,MATCH($H4,DONNEES!$P$1:AO$1,0)-1))</f>
        <v>1</v>
      </c>
    </row>
    <row r="51" spans="5:5">
      <c r="E51" s="249" t="s">
        <v>223</v>
      </c>
    </row>
    <row r="53" spans="5:5">
      <c r="E53">
        <f ca="1">COUNTA(OFFSET(DONNEES!$P$1,20,MATCH($H4,DONNEES!$P$1:AO$1,0)-1,15,1000))</f>
        <v>21</v>
      </c>
    </row>
    <row r="56" spans="5:5">
      <c r="E56">
        <f ca="1">COUNTA(OFFSET(DONNEES!$P$1,20,MATCH($H4,DONNEES!$P$1:AO$1,0)-1,11,))</f>
        <v>3</v>
      </c>
    </row>
  </sheetData>
  <mergeCells count="6">
    <mergeCell ref="AC1:AC3"/>
    <mergeCell ref="A2:G2"/>
    <mergeCell ref="Z2:Z3"/>
    <mergeCell ref="AA2:AB2"/>
    <mergeCell ref="U2:Y2"/>
    <mergeCell ref="H2:T2"/>
  </mergeCells>
  <conditionalFormatting sqref="AB5:AB18 Y5:Z10 U5:U18 L4:L42 O4:AB4 O5:R18 N4:N42">
    <cfRule type="expression" dxfId="15" priority="14">
      <formula>($AI4&gt;0)</formula>
    </cfRule>
  </conditionalFormatting>
  <conditionalFormatting sqref="U4:U42">
    <cfRule type="cellIs" dxfId="14" priority="10" operator="equal">
      <formula>"VALIDER_PAR_DEFFAUT"</formula>
    </cfRule>
    <cfRule type="cellIs" dxfId="13" priority="11" operator="equal">
      <formula>"VALIDER"</formula>
    </cfRule>
    <cfRule type="cellIs" dxfId="12" priority="12" operator="equal">
      <formula>"ENVOYER"</formula>
    </cfRule>
    <cfRule type="cellIs" dxfId="11" priority="13" operator="equal">
      <formula>"EN_COURS"</formula>
    </cfRule>
  </conditionalFormatting>
  <conditionalFormatting sqref="E4:E42">
    <cfRule type="expression" dxfId="10" priority="7">
      <formula>($T4&gt;0)</formula>
    </cfRule>
  </conditionalFormatting>
  <conditionalFormatting sqref="H4:H42">
    <cfRule type="expression" dxfId="9" priority="4">
      <formula>($T4&gt;0)</formula>
    </cfRule>
  </conditionalFormatting>
  <conditionalFormatting sqref="D4:D42">
    <cfRule type="expression" dxfId="8" priority="6">
      <formula>($T4&gt;0)</formula>
    </cfRule>
  </conditionalFormatting>
  <conditionalFormatting sqref="B11:B42">
    <cfRule type="expression" dxfId="7" priority="5">
      <formula>($T11&gt;0)</formula>
    </cfRule>
  </conditionalFormatting>
  <conditionalFormatting sqref="B4:B10">
    <cfRule type="expression" dxfId="6" priority="1">
      <formula>($T4&gt;0)</formula>
    </cfRule>
  </conditionalFormatting>
  <pageMargins left="0.7" right="0.7" top="0.75" bottom="0.75" header="0.3" footer="0.3"/>
  <pageSetup paperSize="9" orientation="portrait" horizontalDpi="4294967293" verticalDpi="0" r:id="rId1"/>
  <tableParts count="1">
    <tablePart r:id="rId2"/>
  </tablePart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0000-000000000000}">
          <x14:formula1>
            <xm:f>'E:\[SUIVI COMPLET CHANTIER SOUS TRAITANT.xlsx]DONNEES'!#REF!</xm:f>
          </x14:formula1>
          <xm:sqref>AB4:AB18</xm:sqref>
        </x14:dataValidation>
        <x14:dataValidation type="list" allowBlank="1" showInputMessage="1" showErrorMessage="1" xr:uid="{00000000-0002-0000-0000-000001000000}">
          <x14:formula1>
            <xm:f>DONNEES!$J$2:$J$3</xm:f>
          </x14:formula1>
          <xm:sqref>K4:K42</xm:sqref>
        </x14:dataValidation>
        <x14:dataValidation type="list" allowBlank="1" showInputMessage="1" showErrorMessage="1" xr:uid="{00000000-0002-0000-0000-000003000000}">
          <x14:formula1>
            <xm:f>DONNEES!$P$1:$AO$1</xm:f>
          </x14:formula1>
          <xm:sqref>H4:H42</xm:sqref>
        </x14:dataValidation>
        <x14:dataValidation type="list" allowBlank="1" showInputMessage="1" showErrorMessage="1" xr:uid="{DEFD7AD5-C435-4128-896D-3E2CB72D3942}">
          <x14:formula1>
            <xm:f>OFFSET(DONNEES!$P$1,1,MATCH($H4,DONNEES!$P$1:AO$1,0)-1,COUNTA(OFFSET(DONNEES!$P$1,,MATCH($H4,DONNEES!$P$1:AO$1,0)-1,1000)))</xm:f>
          </x14:formula1>
          <xm:sqref>E4:E42</xm:sqref>
        </x14:dataValidation>
        <x14:dataValidation type="list" allowBlank="1" showInputMessage="1" showErrorMessage="1" xr:uid="{CB38D4B3-B063-457B-8D94-F75861F7BD97}">
          <x14:formula1>
            <xm:f>OFFSET(DONNEES!$P$1,20,MATCH($H4,DONNEES!$P$1:AO$1,0)-1,COUNTA(OFFSET(DONNEES!$P$1,20,MATCH($H4,DONNEES!$P$1:AO$1,0)-1,11,1)))</xm:f>
          </x14:formula1>
          <xm:sqref>D4:D42</xm:sqref>
        </x14:dataValidation>
        <x14:dataValidation type="list" allowBlank="1" showInputMessage="1" showErrorMessage="1" xr:uid="{6BC6461B-E21D-4C0C-BB02-88E84EEDF686}">
          <x14:formula1>
            <xm:f>OFFSET(DONNEES!$P$1,30,MATCH($H5,DONNEES!$P$1:AM$1,0)-1,COUNTA(OFFSET(DONNEES!$P$1,30,MATCH($H5,DONNEES!$P$1:AM$1,0)-1,11,1)))</xm:f>
          </x14:formula1>
          <xm:sqref>B5:B6 B8:B42</xm:sqref>
        </x14:dataValidation>
        <x14:dataValidation type="list" allowBlank="1" showInputMessage="1" showErrorMessage="1" xr:uid="{EB39829A-70B1-4624-BAA5-3C02C65BD1EE}">
          <x14:formula1>
            <xm:f>OFFSET(DONNEES!$P$1,30,MATCH($H4,DONNEES!$P$1:AM$1,0)-1,COUNTA(OFFSET(DONNEES!$P$1,30,MATCH($H4,DONNEES!$P$1:AM$1,0)-1,17,1)))</xm:f>
          </x14:formula1>
          <xm:sqref>B4</xm:sqref>
        </x14:dataValidation>
        <x14:dataValidation type="list" allowBlank="1" showInputMessage="1" showErrorMessage="1" xr:uid="{7516B96E-B5C8-44D2-AAAF-1F74D8124B65}">
          <x14:formula1>
            <xm:f>OFFSET(DONNEES!$P$1,30,MATCH($H7,DONNEES!$P$1:AM$1,0)-1,COUNTA(OFFSET(DONNEES!$P$1,30,MATCH($H7,DONNEES!$P$1:AM$1,0)-1,20,1)))</xm:f>
          </x14:formula1>
          <xm:sqref>B7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AA94"/>
  <sheetViews>
    <sheetView zoomScale="80" zoomScaleNormal="80" workbookViewId="0">
      <selection activeCell="B32" sqref="B32"/>
    </sheetView>
  </sheetViews>
  <sheetFormatPr baseColWidth="10" defaultRowHeight="15"/>
  <cols>
    <col min="1" max="1" width="8.140625" style="56" bestFit="1" customWidth="1"/>
    <col min="2" max="2" width="48.42578125" style="123" customWidth="1"/>
    <col min="3" max="3" width="21" style="226" bestFit="1" customWidth="1"/>
    <col min="4" max="4" width="51.28515625" style="122" bestFit="1" customWidth="1"/>
    <col min="5" max="5" width="15" style="56" customWidth="1"/>
    <col min="6" max="6" width="23.42578125" style="122" customWidth="1"/>
    <col min="7" max="7" width="11.42578125" style="123" hidden="1" customWidth="1"/>
    <col min="8" max="8" width="6.140625" style="123" hidden="1" customWidth="1"/>
    <col min="9" max="9" width="11.42578125" style="56" hidden="1" customWidth="1"/>
    <col min="10" max="10" width="11.42578125" style="56" customWidth="1"/>
    <col min="11" max="11" width="15" style="56" customWidth="1"/>
    <col min="12" max="12" width="12.42578125" style="123" bestFit="1" customWidth="1"/>
    <col min="13" max="13" width="19.85546875" style="123" customWidth="1"/>
    <col min="14" max="14" width="17" style="56" bestFit="1" customWidth="1"/>
    <col min="15" max="15" width="16.140625" style="123" bestFit="1" customWidth="1"/>
    <col min="16" max="16" width="18.28515625" style="122" bestFit="1" customWidth="1"/>
    <col min="17" max="17" width="11.42578125" style="115"/>
    <col min="18" max="18" width="12.85546875" style="115" customWidth="1"/>
    <col min="19" max="19" width="43.5703125" style="123" customWidth="1"/>
    <col min="20" max="24" width="16" style="123" customWidth="1"/>
    <col min="25" max="25" width="16" customWidth="1"/>
    <col min="26" max="26" width="13.7109375" bestFit="1" customWidth="1"/>
    <col min="27" max="27" width="12.42578125" bestFit="1" customWidth="1"/>
  </cols>
  <sheetData>
    <row r="1" spans="1:27" ht="33.75">
      <c r="A1" s="270" t="s">
        <v>44</v>
      </c>
      <c r="B1" s="270"/>
      <c r="C1" s="270"/>
      <c r="D1" s="270"/>
      <c r="E1" s="270"/>
      <c r="F1" s="270"/>
      <c r="G1" s="270"/>
      <c r="H1" s="270"/>
      <c r="I1" s="270"/>
      <c r="J1" s="270"/>
      <c r="K1" s="270"/>
      <c r="L1" s="270"/>
      <c r="M1" s="270"/>
      <c r="N1" s="270"/>
      <c r="O1" s="270"/>
      <c r="P1" s="270"/>
      <c r="Q1" s="270"/>
      <c r="R1" s="270"/>
    </row>
    <row r="2" spans="1:27" ht="30">
      <c r="A2" s="271" t="s">
        <v>45</v>
      </c>
      <c r="B2" s="271"/>
      <c r="C2" s="271"/>
      <c r="D2" s="271"/>
      <c r="E2" s="271"/>
      <c r="F2" s="271"/>
      <c r="G2" s="271"/>
      <c r="H2" s="271"/>
      <c r="I2" s="271"/>
      <c r="J2" s="271"/>
      <c r="K2" s="271"/>
      <c r="L2" s="271"/>
      <c r="M2" s="271"/>
      <c r="N2" s="271"/>
      <c r="O2" s="271"/>
      <c r="P2" s="271"/>
      <c r="Q2" s="271"/>
      <c r="R2" s="272"/>
      <c r="S2" s="160"/>
      <c r="T2" s="162"/>
      <c r="U2" s="244"/>
      <c r="V2" s="244"/>
      <c r="W2" s="244"/>
      <c r="X2" s="244"/>
      <c r="Y2" s="244"/>
      <c r="Z2" s="244"/>
      <c r="AA2" s="203"/>
    </row>
    <row r="3" spans="1:27" s="46" customFormat="1" ht="42.75">
      <c r="A3" s="159" t="s">
        <v>46</v>
      </c>
      <c r="B3" s="129" t="s">
        <v>47</v>
      </c>
      <c r="C3" s="224" t="s">
        <v>48</v>
      </c>
      <c r="D3" s="228" t="s">
        <v>211</v>
      </c>
      <c r="E3" s="47" t="s">
        <v>212</v>
      </c>
      <c r="F3" s="229" t="s">
        <v>213</v>
      </c>
      <c r="G3" s="153" t="s">
        <v>49</v>
      </c>
      <c r="H3" s="153" t="s">
        <v>50</v>
      </c>
      <c r="I3" s="51" t="s">
        <v>28</v>
      </c>
      <c r="J3" s="48" t="s">
        <v>51</v>
      </c>
      <c r="K3" s="49" t="s">
        <v>121</v>
      </c>
      <c r="L3" s="50" t="s">
        <v>52</v>
      </c>
      <c r="M3" s="51" t="s">
        <v>148</v>
      </c>
      <c r="N3" s="52" t="s">
        <v>53</v>
      </c>
      <c r="O3" s="140" t="s">
        <v>54</v>
      </c>
      <c r="P3" s="53" t="s">
        <v>55</v>
      </c>
      <c r="Q3" s="126" t="s">
        <v>56</v>
      </c>
      <c r="R3" s="116" t="s">
        <v>57</v>
      </c>
      <c r="S3" s="160" t="s">
        <v>58</v>
      </c>
      <c r="T3" s="163" t="s">
        <v>31</v>
      </c>
      <c r="U3" s="151" t="s">
        <v>215</v>
      </c>
      <c r="V3" s="151" t="s">
        <v>216</v>
      </c>
      <c r="W3" s="151" t="s">
        <v>41</v>
      </c>
      <c r="X3" s="151" t="s">
        <v>42</v>
      </c>
      <c r="Y3" s="152" t="s">
        <v>25</v>
      </c>
      <c r="Z3" s="151" t="s">
        <v>145</v>
      </c>
      <c r="AA3" s="204" t="s">
        <v>149</v>
      </c>
    </row>
    <row r="4" spans="1:27" s="121" customFormat="1" ht="15.75" hidden="1">
      <c r="A4" s="273" t="s">
        <v>60</v>
      </c>
      <c r="B4" s="130" t="str">
        <f>CONCATENATE(Tableau8[[#This Row],[CT
INDIRECT CHANTIER]],Tableau8[[#This Row],[NOM CHANTIER
INDIRECT ST]],Tableau8[[#This Row],[Sous Traitant]],Tableau8[[#This Row],[MO
INDIRECT CT]])</f>
        <v/>
      </c>
      <c r="C4" s="225"/>
      <c r="D4" s="227"/>
      <c r="E4" s="57"/>
      <c r="F4" s="227"/>
      <c r="G4" s="58" t="str">
        <f>IFERROR(IF(B4="","",VLOOKUP(B4,Tableau16[[Ref]:[CP]],6,FALSE)),"")</f>
        <v/>
      </c>
      <c r="H4" s="58" t="str">
        <f>IFERROR(IF(B4="","",VLOOKUP(B4,Tableau16[[Ref]:[CP]],7,FALSE)),"")</f>
        <v/>
      </c>
      <c r="I4" s="127" t="str">
        <f>CONCATENATE(Tableau8[[#This Row],[CT
INDIRECT CHANTIER]],Tableau8[[#This Row],[NOM CHANTIER
INDIRECT ST]],Tableau8[[#This Row],[Sous Traitant]],Tableau8[[#This Row],[MO
INDIRECT CT]],Tableau8[[#This Row],[marché]])</f>
        <v/>
      </c>
      <c r="J4" s="205">
        <f>COUNTIF($I$4:I4,Tableau8[[#This Row],[REF FACT]])</f>
        <v>1</v>
      </c>
      <c r="K4" s="118"/>
      <c r="L4" s="119"/>
      <c r="M4" s="58" t="str">
        <f>IF(Tableau8[[#This Row],[Sous Traitant]]&gt;1,VLOOKUP(Tableau8[[#This Row],[Sous Traitant]],#REF!,3,FALSE),"")</f>
        <v/>
      </c>
      <c r="N4" s="59"/>
      <c r="O4" s="141"/>
      <c r="P4" s="120"/>
      <c r="Q4" s="60"/>
      <c r="R4" s="113"/>
      <c r="S4" s="117"/>
      <c r="T4" s="161">
        <f>SUMIFS($P$4:P4,$I$4:I4,I4)</f>
        <v>0</v>
      </c>
      <c r="U4" s="65" t="str">
        <f>IF(Tableau8[[#This Row],[marché]]="MARCHEINT",VLOOKUP($B4,Tableau16[[Ref]:[AUTRE]],13,FALSE)-Tableau8[[#This Row],[PAYEE]],"")</f>
        <v/>
      </c>
      <c r="V4" s="65" t="str">
        <f>IF(Tableau8[[#This Row],[marché]]="MARCHEEXT",VLOOKUP($B4,Tableau16[[Ref]:[AUTRE]],14,FALSE)-Tableau8[[#This Row],[PAYEE]],"")</f>
        <v/>
      </c>
      <c r="W4" s="65" t="str">
        <f>IF(Tableau8[[#This Row],[marché]]="RG_5%",VLOOKUP($B4,Tableau16[[Ref]:[AUTRE]],15,FALSE)-Tableau8[[#This Row],[PAYEE]],"")</f>
        <v/>
      </c>
      <c r="X4" s="65" t="str">
        <f>IF(Tableau8[[#This Row],[marché]]="BFT_5%",VLOOKUP($B4,Tableau16[[Ref]:[AUTRE]],17,FALSE)-Tableau8[[#This Row],[PAYEE]],"")</f>
        <v/>
      </c>
      <c r="Y4" s="65" t="str">
        <f>IF(Tableau8[[#This Row],[marché]]="AUTRE",VLOOKUP($B4,Tableau16[[Ref]:[AUTRE]],19,FALSE)-Tableau8[[#This Row],[PAYEE]],"")</f>
        <v/>
      </c>
      <c r="Z4" s="158"/>
      <c r="AA4"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5" spans="1:27" s="121" customFormat="1" ht="15.75" hidden="1">
      <c r="A5" s="274"/>
      <c r="B5" s="130" t="str">
        <f>CONCATENATE(Tableau8[[#This Row],[CT
INDIRECT CHANTIER]],Tableau8[[#This Row],[NOM CHANTIER
INDIRECT ST]],Tableau8[[#This Row],[Sous Traitant]],Tableau8[[#This Row],[MO
INDIRECT CT]])</f>
        <v/>
      </c>
      <c r="C5" s="225"/>
      <c r="D5" s="227"/>
      <c r="E5" s="57"/>
      <c r="F5" s="227"/>
      <c r="G5" s="58" t="str">
        <f>IFERROR(IF(B5="","",VLOOKUP(B5,Tableau16[[Ref]:[CP]],6,FALSE)),"")</f>
        <v/>
      </c>
      <c r="H5" s="58" t="str">
        <f>IFERROR(IF(B5="","",VLOOKUP(B5,Tableau16[[Ref]:[CP]],7,FALSE)),"")</f>
        <v/>
      </c>
      <c r="I5" s="127" t="str">
        <f>CONCATENATE(Tableau8[[#This Row],[CT
INDIRECT CHANTIER]],Tableau8[[#This Row],[NOM CHANTIER
INDIRECT ST]],Tableau8[[#This Row],[Sous Traitant]],Tableau8[[#This Row],[MO
INDIRECT CT]],Tableau8[[#This Row],[marché]])</f>
        <v/>
      </c>
      <c r="J5" s="205">
        <f>COUNTIF($I$4:I5,Tableau8[[#This Row],[REF FACT]])</f>
        <v>2</v>
      </c>
      <c r="K5" s="118"/>
      <c r="L5" s="119"/>
      <c r="M5" s="58" t="str">
        <f>IF(Tableau8[[#This Row],[Sous Traitant]]&gt;1,VLOOKUP(Tableau8[[#This Row],[Sous Traitant]],#REF!,3,FALSE),"")</f>
        <v/>
      </c>
      <c r="N5" s="59"/>
      <c r="O5" s="141"/>
      <c r="P5" s="120"/>
      <c r="Q5" s="60"/>
      <c r="R5" s="113"/>
      <c r="S5" s="117"/>
      <c r="T5" s="65">
        <f>SUMIFS($P$4:P5,$I$4:I5,I5)</f>
        <v>0</v>
      </c>
      <c r="U5" s="65" t="str">
        <f>IF(Tableau8[[#This Row],[marché]]="MARCHEINT",VLOOKUP($B5,Tableau16[[Ref]:[AUTRE]],13,FALSE)-Tableau8[[#This Row],[PAYEE]],"")</f>
        <v/>
      </c>
      <c r="V5" s="65" t="str">
        <f>IF(Tableau8[[#This Row],[marché]]="MARCHEEXT",VLOOKUP($B5,Tableau16[[Ref]:[AUTRE]],14,FALSE)-Tableau8[[#This Row],[PAYEE]],"")</f>
        <v/>
      </c>
      <c r="W5" s="65" t="str">
        <f>IF(Tableau8[[#This Row],[marché]]="RG_5%",VLOOKUP($B5,Tableau16[[Ref]:[AUTRE]],15,FALSE)-Tableau8[[#This Row],[PAYEE]],"")</f>
        <v/>
      </c>
      <c r="X5" s="65" t="str">
        <f>IF(Tableau8[[#This Row],[marché]]="BFT_5%",VLOOKUP($B5,Tableau16[[Ref]:[AUTRE]],17,FALSE)-Tableau8[[#This Row],[PAYEE]],"")</f>
        <v/>
      </c>
      <c r="Y5" s="65" t="str">
        <f>IF(Tableau8[[#This Row],[marché]]="AUTRE",VLOOKUP($B5,Tableau16[[Ref]:[AUTRE]],19,FALSE)-Tableau8[[#This Row],[PAYEE]],"")</f>
        <v/>
      </c>
      <c r="Z5" s="157"/>
      <c r="AA5"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6" spans="1:27" s="121" customFormat="1" ht="15.75" hidden="1">
      <c r="A6" s="274"/>
      <c r="B6" s="130" t="str">
        <f>CONCATENATE(Tableau8[[#This Row],[CT
INDIRECT CHANTIER]],Tableau8[[#This Row],[NOM CHANTIER
INDIRECT ST]],Tableau8[[#This Row],[Sous Traitant]],Tableau8[[#This Row],[MO
INDIRECT CT]])</f>
        <v/>
      </c>
      <c r="C6" s="225"/>
      <c r="D6" s="227"/>
      <c r="E6" s="57"/>
      <c r="F6" s="227"/>
      <c r="G6" s="58" t="str">
        <f>IFERROR(IF(B6="","",VLOOKUP(B6,Tableau16[[Ref]:[CP]],6,FALSE)),"")</f>
        <v/>
      </c>
      <c r="H6" s="58" t="str">
        <f>IFERROR(IF(B6="","",VLOOKUP(B6,Tableau16[[Ref]:[CP]],7,FALSE)),"")</f>
        <v/>
      </c>
      <c r="I6" s="127" t="str">
        <f>CONCATENATE(Tableau8[[#This Row],[CT
INDIRECT CHANTIER]],Tableau8[[#This Row],[NOM CHANTIER
INDIRECT ST]],Tableau8[[#This Row],[Sous Traitant]],Tableau8[[#This Row],[MO
INDIRECT CT]],Tableau8[[#This Row],[marché]])</f>
        <v/>
      </c>
      <c r="J6" s="205">
        <f>COUNTIF($I$4:I6,Tableau8[[#This Row],[REF FACT]])</f>
        <v>3</v>
      </c>
      <c r="K6" s="118"/>
      <c r="L6" s="119"/>
      <c r="M6" s="58" t="str">
        <f>IF(Tableau8[[#This Row],[Sous Traitant]]&gt;1,VLOOKUP(Tableau8[[#This Row],[Sous Traitant]],#REF!,3,FALSE),"")</f>
        <v/>
      </c>
      <c r="N6" s="59"/>
      <c r="O6" s="141"/>
      <c r="P6" s="120"/>
      <c r="Q6" s="60"/>
      <c r="R6" s="113"/>
      <c r="S6" s="117"/>
      <c r="T6" s="65">
        <f>SUMIFS($P$4:P6,$I$4:I6,I6)</f>
        <v>0</v>
      </c>
      <c r="U6" s="65" t="str">
        <f>IF(Tableau8[[#This Row],[marché]]="MARCHEINT",VLOOKUP($B6,Tableau16[[Ref]:[AUTRE]],13,FALSE)-Tableau8[[#This Row],[PAYEE]],"")</f>
        <v/>
      </c>
      <c r="V6" s="65" t="str">
        <f>IF(Tableau8[[#This Row],[marché]]="MARCHEEXT",VLOOKUP($B6,Tableau16[[Ref]:[AUTRE]],14,FALSE)-Tableau8[[#This Row],[PAYEE]],"")</f>
        <v/>
      </c>
      <c r="W6" s="65" t="str">
        <f>IF(Tableau8[[#This Row],[marché]]="RG_5%",VLOOKUP($B6,Tableau16[[Ref]:[AUTRE]],15,FALSE)-Tableau8[[#This Row],[PAYEE]],"")</f>
        <v/>
      </c>
      <c r="X6" s="65" t="str">
        <f>IF(Tableau8[[#This Row],[marché]]="BFT_5%",VLOOKUP($B6,Tableau16[[Ref]:[AUTRE]],17,FALSE)-Tableau8[[#This Row],[PAYEE]],"")</f>
        <v/>
      </c>
      <c r="Y6" s="65" t="str">
        <f>IF(Tableau8[[#This Row],[marché]]="AUTRE",VLOOKUP($B6,Tableau16[[Ref]:[AUTRE]],19,FALSE)-Tableau8[[#This Row],[PAYEE]],"")</f>
        <v/>
      </c>
      <c r="Z6" s="157"/>
      <c r="AA6"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7" spans="1:27" s="121" customFormat="1" ht="15.75" hidden="1">
      <c r="A7" s="275"/>
      <c r="B7" s="130" t="str">
        <f>CONCATENATE(Tableau8[[#This Row],[CT
INDIRECT CHANTIER]],Tableau8[[#This Row],[NOM CHANTIER
INDIRECT ST]],Tableau8[[#This Row],[Sous Traitant]],Tableau8[[#This Row],[MO
INDIRECT CT]])</f>
        <v/>
      </c>
      <c r="C7" s="225"/>
      <c r="D7" s="227"/>
      <c r="E7" s="57"/>
      <c r="F7" s="227"/>
      <c r="G7" s="58" t="str">
        <f>IFERROR(IF(B7="","",VLOOKUP(B7,Tableau16[[Ref]:[CP]],6,FALSE)),"")</f>
        <v/>
      </c>
      <c r="H7" s="58" t="str">
        <f>IFERROR(IF(B7="","",VLOOKUP(B7,Tableau16[[Ref]:[CP]],7,FALSE)),"")</f>
        <v/>
      </c>
      <c r="I7" s="127" t="str">
        <f>CONCATENATE(Tableau8[[#This Row],[CT
INDIRECT CHANTIER]],Tableau8[[#This Row],[NOM CHANTIER
INDIRECT ST]],Tableau8[[#This Row],[Sous Traitant]],Tableau8[[#This Row],[MO
INDIRECT CT]],Tableau8[[#This Row],[marché]])</f>
        <v/>
      </c>
      <c r="J7" s="205">
        <f>COUNTIF($I$4:I7,Tableau8[[#This Row],[REF FACT]])</f>
        <v>4</v>
      </c>
      <c r="K7" s="118"/>
      <c r="L7" s="119"/>
      <c r="M7" s="58" t="str">
        <f>IF(Tableau8[[#This Row],[Sous Traitant]]&gt;1,VLOOKUP(Tableau8[[#This Row],[Sous Traitant]],#REF!,3,FALSE),"")</f>
        <v/>
      </c>
      <c r="N7" s="59"/>
      <c r="O7" s="141"/>
      <c r="P7" s="120"/>
      <c r="Q7" s="60"/>
      <c r="R7" s="113"/>
      <c r="S7" s="117"/>
      <c r="T7" s="65">
        <f>SUMIFS($P$4:P7,$I$4:I7,I7)</f>
        <v>0</v>
      </c>
      <c r="U7" s="65" t="str">
        <f>IF(Tableau8[[#This Row],[marché]]="MARCHEINT",VLOOKUP($B7,Tableau16[[Ref]:[AUTRE]],13,FALSE)-Tableau8[[#This Row],[PAYEE]],"")</f>
        <v/>
      </c>
      <c r="V7" s="65" t="str">
        <f>IF(Tableau8[[#This Row],[marché]]="MARCHEEXT",VLOOKUP($B7,Tableau16[[Ref]:[AUTRE]],14,FALSE)-Tableau8[[#This Row],[PAYEE]],"")</f>
        <v/>
      </c>
      <c r="W7" s="65" t="str">
        <f>IF(Tableau8[[#This Row],[marché]]="RG_5%",VLOOKUP($B7,Tableau16[[Ref]:[AUTRE]],15,FALSE)-Tableau8[[#This Row],[PAYEE]],"")</f>
        <v/>
      </c>
      <c r="X7" s="65" t="str">
        <f>IF(Tableau8[[#This Row],[marché]]="BFT_5%",VLOOKUP($B7,Tableau16[[Ref]:[AUTRE]],17,FALSE)-Tableau8[[#This Row],[PAYEE]],"")</f>
        <v/>
      </c>
      <c r="Y7" s="65" t="str">
        <f>IF(Tableau8[[#This Row],[marché]]="AUTRE",VLOOKUP($B7,Tableau16[[Ref]:[AUTRE]],19,FALSE)-Tableau8[[#This Row],[PAYEE]],"")</f>
        <v/>
      </c>
      <c r="Z7" s="157"/>
      <c r="AA7"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8" spans="1:27" s="121" customFormat="1" ht="15.75" hidden="1">
      <c r="A8" s="273" t="s">
        <v>61</v>
      </c>
      <c r="B8" s="130" t="str">
        <f>CONCATENATE(Tableau8[[#This Row],[CT
INDIRECT CHANTIER]],Tableau8[[#This Row],[NOM CHANTIER
INDIRECT ST]],Tableau8[[#This Row],[Sous Traitant]],Tableau8[[#This Row],[MO
INDIRECT CT]])</f>
        <v/>
      </c>
      <c r="C8" s="225"/>
      <c r="D8" s="227"/>
      <c r="E8" s="57"/>
      <c r="F8" s="227"/>
      <c r="G8" s="58" t="str">
        <f>IFERROR(IF(B8="","",VLOOKUP(B8,Tableau16[[Ref]:[CP]],6,FALSE)),"")</f>
        <v/>
      </c>
      <c r="H8" s="58" t="str">
        <f>IFERROR(IF(B8="","",VLOOKUP(B8,Tableau16[[Ref]:[CP]],7,FALSE)),"")</f>
        <v/>
      </c>
      <c r="I8" s="127" t="str">
        <f>CONCATENATE(Tableau8[[#This Row],[CT
INDIRECT CHANTIER]],Tableau8[[#This Row],[NOM CHANTIER
INDIRECT ST]],Tableau8[[#This Row],[Sous Traitant]],Tableau8[[#This Row],[MO
INDIRECT CT]],Tableau8[[#This Row],[marché]])</f>
        <v/>
      </c>
      <c r="J8" s="205">
        <f>COUNTIF($I$4:I8,Tableau8[[#This Row],[REF FACT]])</f>
        <v>5</v>
      </c>
      <c r="K8" s="118"/>
      <c r="L8" s="119"/>
      <c r="M8" s="58" t="str">
        <f>IF(Tableau8[[#This Row],[Sous Traitant]]&gt;1,VLOOKUP(Tableau8[[#This Row],[Sous Traitant]],#REF!,3,FALSE),"")</f>
        <v/>
      </c>
      <c r="N8" s="59"/>
      <c r="O8" s="141"/>
      <c r="P8" s="120"/>
      <c r="Q8" s="60"/>
      <c r="R8" s="113"/>
      <c r="S8" s="117"/>
      <c r="T8" s="65">
        <f>SUMIFS($P$4:P8,$I$4:I8,I8)</f>
        <v>0</v>
      </c>
      <c r="U8" s="65" t="str">
        <f>IF(Tableau8[[#This Row],[marché]]="MARCHEINT",VLOOKUP($B8,Tableau16[[Ref]:[AUTRE]],13,FALSE)-Tableau8[[#This Row],[PAYEE]],"")</f>
        <v/>
      </c>
      <c r="V8" s="65" t="str">
        <f>IF(Tableau8[[#This Row],[marché]]="MARCHEEXT",VLOOKUP($B8,Tableau16[[Ref]:[AUTRE]],14,FALSE)-Tableau8[[#This Row],[PAYEE]],"")</f>
        <v/>
      </c>
      <c r="W8" s="65" t="str">
        <f>IF(Tableau8[[#This Row],[marché]]="RG_5%",VLOOKUP($B8,Tableau16[[Ref]:[AUTRE]],15,FALSE)-Tableau8[[#This Row],[PAYEE]],"")</f>
        <v/>
      </c>
      <c r="X8" s="65" t="str">
        <f>IF(Tableau8[[#This Row],[marché]]="BFT_5%",VLOOKUP($B8,Tableau16[[Ref]:[AUTRE]],17,FALSE)-Tableau8[[#This Row],[PAYEE]],"")</f>
        <v/>
      </c>
      <c r="Y8" s="65" t="str">
        <f>IF(Tableau8[[#This Row],[marché]]="AUTRE",VLOOKUP($B8,Tableau16[[Ref]:[AUTRE]],19,FALSE)-Tableau8[[#This Row],[PAYEE]],"")</f>
        <v/>
      </c>
      <c r="Z8" s="157"/>
      <c r="AA8"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9" spans="1:27" s="121" customFormat="1" ht="15.75" hidden="1">
      <c r="A9" s="274"/>
      <c r="B9" s="130" t="str">
        <f>CONCATENATE(Tableau8[[#This Row],[CT
INDIRECT CHANTIER]],Tableau8[[#This Row],[NOM CHANTIER
INDIRECT ST]],Tableau8[[#This Row],[Sous Traitant]],Tableau8[[#This Row],[MO
INDIRECT CT]])</f>
        <v/>
      </c>
      <c r="C9" s="225"/>
      <c r="D9" s="227"/>
      <c r="E9" s="57"/>
      <c r="F9" s="227"/>
      <c r="G9" s="58" t="str">
        <f>IFERROR(IF(B9="","",VLOOKUP(B9,Tableau16[[Ref]:[CP]],6,FALSE)),"")</f>
        <v/>
      </c>
      <c r="H9" s="58" t="str">
        <f>IFERROR(IF(B9="","",VLOOKUP(B9,Tableau16[[Ref]:[CP]],7,FALSE)),"")</f>
        <v/>
      </c>
      <c r="I9" s="127" t="str">
        <f>CONCATENATE(Tableau8[[#This Row],[CT
INDIRECT CHANTIER]],Tableau8[[#This Row],[NOM CHANTIER
INDIRECT ST]],Tableau8[[#This Row],[Sous Traitant]],Tableau8[[#This Row],[MO
INDIRECT CT]],Tableau8[[#This Row],[marché]])</f>
        <v/>
      </c>
      <c r="J9" s="205">
        <f>COUNTIF($I$4:I9,Tableau8[[#This Row],[REF FACT]])</f>
        <v>6</v>
      </c>
      <c r="K9" s="118"/>
      <c r="L9" s="119"/>
      <c r="M9" s="58" t="str">
        <f>IF(Tableau8[[#This Row],[Sous Traitant]]&gt;1,VLOOKUP(Tableau8[[#This Row],[Sous Traitant]],#REF!,3,FALSE),"")</f>
        <v/>
      </c>
      <c r="N9" s="59"/>
      <c r="O9" s="141"/>
      <c r="P9" s="120"/>
      <c r="Q9" s="60"/>
      <c r="R9" s="113"/>
      <c r="S9" s="117"/>
      <c r="T9" s="65">
        <f>SUMIFS($P$4:P9,$I$4:I9,I9)</f>
        <v>0</v>
      </c>
      <c r="U9" s="65" t="str">
        <f>IF(Tableau8[[#This Row],[marché]]="MARCHEINT",VLOOKUP($B9,Tableau16[[Ref]:[AUTRE]],13,FALSE)-Tableau8[[#This Row],[PAYEE]],"")</f>
        <v/>
      </c>
      <c r="V9" s="65" t="str">
        <f>IF(Tableau8[[#This Row],[marché]]="MARCHEEXT",VLOOKUP($B9,Tableau16[[Ref]:[AUTRE]],14,FALSE)-Tableau8[[#This Row],[PAYEE]],"")</f>
        <v/>
      </c>
      <c r="W9" s="65" t="str">
        <f>IF(Tableau8[[#This Row],[marché]]="RG_5%",VLOOKUP($B9,Tableau16[[Ref]:[AUTRE]],15,FALSE)-Tableau8[[#This Row],[PAYEE]],"")</f>
        <v/>
      </c>
      <c r="X9" s="65" t="str">
        <f>IF(Tableau8[[#This Row],[marché]]="BFT_5%",VLOOKUP($B9,Tableau16[[Ref]:[AUTRE]],17,FALSE)-Tableau8[[#This Row],[PAYEE]],"")</f>
        <v/>
      </c>
      <c r="Y9" s="65" t="str">
        <f>IF(Tableau8[[#This Row],[marché]]="AUTRE",VLOOKUP($B9,Tableau16[[Ref]:[AUTRE]],19,FALSE)-Tableau8[[#This Row],[PAYEE]],"")</f>
        <v/>
      </c>
      <c r="Z9" s="157"/>
      <c r="AA9"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10" spans="1:27" s="121" customFormat="1" ht="15.75" hidden="1">
      <c r="A10" s="274"/>
      <c r="B10" s="130" t="str">
        <f>CONCATENATE(Tableau8[[#This Row],[CT
INDIRECT CHANTIER]],Tableau8[[#This Row],[NOM CHANTIER
INDIRECT ST]],Tableau8[[#This Row],[Sous Traitant]],Tableau8[[#This Row],[MO
INDIRECT CT]])</f>
        <v/>
      </c>
      <c r="C10" s="225"/>
      <c r="D10" s="227"/>
      <c r="E10" s="57"/>
      <c r="F10" s="227"/>
      <c r="G10" s="58" t="str">
        <f>IFERROR(IF(B10="","",VLOOKUP(B10,Tableau16[[Ref]:[CP]],6,FALSE)),"")</f>
        <v/>
      </c>
      <c r="H10" s="58" t="str">
        <f>IFERROR(IF(B10="","",VLOOKUP(B10,Tableau16[[Ref]:[CP]],7,FALSE)),"")</f>
        <v/>
      </c>
      <c r="I10" s="127" t="str">
        <f>CONCATENATE(Tableau8[[#This Row],[CT
INDIRECT CHANTIER]],Tableau8[[#This Row],[NOM CHANTIER
INDIRECT ST]],Tableau8[[#This Row],[Sous Traitant]],Tableau8[[#This Row],[MO
INDIRECT CT]],Tableau8[[#This Row],[marché]])</f>
        <v/>
      </c>
      <c r="J10" s="205">
        <f>COUNTIF($I$4:I10,Tableau8[[#This Row],[REF FACT]])</f>
        <v>7</v>
      </c>
      <c r="K10" s="118"/>
      <c r="L10" s="119"/>
      <c r="M10" s="58" t="str">
        <f>IF(Tableau8[[#This Row],[Sous Traitant]]&gt;1,VLOOKUP(Tableau8[[#This Row],[Sous Traitant]],#REF!,3,FALSE),"")</f>
        <v/>
      </c>
      <c r="N10" s="59"/>
      <c r="O10" s="141"/>
      <c r="P10" s="120"/>
      <c r="Q10" s="60"/>
      <c r="R10" s="113"/>
      <c r="S10" s="117"/>
      <c r="T10" s="65">
        <f>SUMIFS($P$4:P10,$I$4:I10,I10)</f>
        <v>0</v>
      </c>
      <c r="U10" s="65" t="str">
        <f>IF(Tableau8[[#This Row],[marché]]="MARCHEINT",VLOOKUP($B10,Tableau16[[Ref]:[AUTRE]],13,FALSE)-Tableau8[[#This Row],[PAYEE]],"")</f>
        <v/>
      </c>
      <c r="V10" s="65" t="str">
        <f>IF(Tableau8[[#This Row],[marché]]="MARCHEEXT",VLOOKUP($B10,Tableau16[[Ref]:[AUTRE]],14,FALSE)-Tableau8[[#This Row],[PAYEE]],"")</f>
        <v/>
      </c>
      <c r="W10" s="65" t="str">
        <f>IF(Tableau8[[#This Row],[marché]]="RG_5%",VLOOKUP($B10,Tableau16[[Ref]:[AUTRE]],15,FALSE)-Tableau8[[#This Row],[PAYEE]],"")</f>
        <v/>
      </c>
      <c r="X10" s="65" t="str">
        <f>IF(Tableau8[[#This Row],[marché]]="BFT_5%",VLOOKUP($B10,Tableau16[[Ref]:[AUTRE]],17,FALSE)-Tableau8[[#This Row],[PAYEE]],"")</f>
        <v/>
      </c>
      <c r="Y10" s="65" t="str">
        <f>IF(Tableau8[[#This Row],[marché]]="AUTRE",VLOOKUP($B10,Tableau16[[Ref]:[AUTRE]],19,FALSE)-Tableau8[[#This Row],[PAYEE]],"")</f>
        <v/>
      </c>
      <c r="Z10" s="157"/>
      <c r="AA10"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11" spans="1:27" s="121" customFormat="1" ht="15.75" hidden="1">
      <c r="A11" s="275"/>
      <c r="B11" s="130" t="str">
        <f>CONCATENATE(Tableau8[[#This Row],[CT
INDIRECT CHANTIER]],Tableau8[[#This Row],[NOM CHANTIER
INDIRECT ST]],Tableau8[[#This Row],[Sous Traitant]],Tableau8[[#This Row],[MO
INDIRECT CT]])</f>
        <v/>
      </c>
      <c r="C11" s="225"/>
      <c r="D11" s="227"/>
      <c r="E11" s="57"/>
      <c r="F11" s="227"/>
      <c r="G11" s="58" t="str">
        <f>IFERROR(IF(B11="","",VLOOKUP(B11,Tableau16[[Ref]:[CP]],6,FALSE)),"")</f>
        <v/>
      </c>
      <c r="H11" s="58" t="str">
        <f>IFERROR(IF(B11="","",VLOOKUP(B11,Tableau16[[Ref]:[CP]],7,FALSE)),"")</f>
        <v/>
      </c>
      <c r="I11" s="127" t="str">
        <f>CONCATENATE(Tableau8[[#This Row],[CT
INDIRECT CHANTIER]],Tableau8[[#This Row],[NOM CHANTIER
INDIRECT ST]],Tableau8[[#This Row],[Sous Traitant]],Tableau8[[#This Row],[MO
INDIRECT CT]],Tableau8[[#This Row],[marché]])</f>
        <v/>
      </c>
      <c r="J11" s="205">
        <f>COUNTIF($I$4:I11,Tableau8[[#This Row],[REF FACT]])</f>
        <v>8</v>
      </c>
      <c r="K11" s="118"/>
      <c r="L11" s="119"/>
      <c r="M11" s="58" t="str">
        <f>IF(Tableau8[[#This Row],[Sous Traitant]]&gt;1,VLOOKUP(Tableau8[[#This Row],[Sous Traitant]],#REF!,3,FALSE),"")</f>
        <v/>
      </c>
      <c r="N11" s="59"/>
      <c r="O11" s="141"/>
      <c r="P11" s="120"/>
      <c r="Q11" s="60"/>
      <c r="R11" s="113"/>
      <c r="S11" s="117"/>
      <c r="T11" s="65">
        <f>SUMIFS($P$4:P11,$I$4:I11,I11)</f>
        <v>0</v>
      </c>
      <c r="U11" s="65" t="str">
        <f>IF(Tableau8[[#This Row],[marché]]="MARCHEINT",VLOOKUP($B11,Tableau16[[Ref]:[AUTRE]],13,FALSE)-Tableau8[[#This Row],[PAYEE]],"")</f>
        <v/>
      </c>
      <c r="V11" s="65" t="str">
        <f>IF(Tableau8[[#This Row],[marché]]="MARCHEEXT",VLOOKUP($B11,Tableau16[[Ref]:[AUTRE]],14,FALSE)-Tableau8[[#This Row],[PAYEE]],"")</f>
        <v/>
      </c>
      <c r="W11" s="65" t="str">
        <f>IF(Tableau8[[#This Row],[marché]]="RG_5%",VLOOKUP($B11,Tableau16[[Ref]:[AUTRE]],15,FALSE)-Tableau8[[#This Row],[PAYEE]],"")</f>
        <v/>
      </c>
      <c r="X11" s="65" t="str">
        <f>IF(Tableau8[[#This Row],[marché]]="BFT_5%",VLOOKUP($B11,Tableau16[[Ref]:[AUTRE]],17,FALSE)-Tableau8[[#This Row],[PAYEE]],"")</f>
        <v/>
      </c>
      <c r="Y11" s="65" t="str">
        <f>IF(Tableau8[[#This Row],[marché]]="AUTRE",VLOOKUP($B11,Tableau16[[Ref]:[AUTRE]],19,FALSE)-Tableau8[[#This Row],[PAYEE]],"")</f>
        <v/>
      </c>
      <c r="Z11" s="157"/>
      <c r="AA11"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12" spans="1:27" s="121" customFormat="1" ht="15.75" hidden="1">
      <c r="A12" s="273" t="s">
        <v>62</v>
      </c>
      <c r="B12" s="130" t="str">
        <f>CONCATENATE(Tableau8[[#This Row],[CT
INDIRECT CHANTIER]],Tableau8[[#This Row],[NOM CHANTIER
INDIRECT ST]],Tableau8[[#This Row],[Sous Traitant]],Tableau8[[#This Row],[MO
INDIRECT CT]])</f>
        <v/>
      </c>
      <c r="C12" s="225"/>
      <c r="D12" s="227"/>
      <c r="E12" s="57"/>
      <c r="F12" s="227"/>
      <c r="G12" s="58" t="str">
        <f>IFERROR(IF(B12="","",VLOOKUP(B12,Tableau16[[Ref]:[CP]],6,FALSE)),"")</f>
        <v/>
      </c>
      <c r="H12" s="58" t="str">
        <f>IFERROR(IF(B12="","",VLOOKUP(B12,Tableau16[[Ref]:[CP]],7,FALSE)),"")</f>
        <v/>
      </c>
      <c r="I12" s="127" t="str">
        <f>CONCATENATE(Tableau8[[#This Row],[CT
INDIRECT CHANTIER]],Tableau8[[#This Row],[NOM CHANTIER
INDIRECT ST]],Tableau8[[#This Row],[Sous Traitant]],Tableau8[[#This Row],[MO
INDIRECT CT]],Tableau8[[#This Row],[marché]])</f>
        <v/>
      </c>
      <c r="J12" s="205">
        <f>COUNTIF($I$4:I12,Tableau8[[#This Row],[REF FACT]])</f>
        <v>9</v>
      </c>
      <c r="K12" s="118"/>
      <c r="L12" s="119"/>
      <c r="M12" s="58" t="str">
        <f>IF(Tableau8[[#This Row],[Sous Traitant]]&gt;1,VLOOKUP(Tableau8[[#This Row],[Sous Traitant]],#REF!,3,FALSE),"")</f>
        <v/>
      </c>
      <c r="N12" s="59"/>
      <c r="O12" s="141"/>
      <c r="P12" s="120"/>
      <c r="Q12" s="60"/>
      <c r="R12" s="113"/>
      <c r="S12" s="117"/>
      <c r="T12" s="65">
        <f>SUMIFS($P$4:P12,$I$4:I12,I12)</f>
        <v>0</v>
      </c>
      <c r="U12" s="65" t="str">
        <f>IF(Tableau8[[#This Row],[marché]]="MARCHEINT",VLOOKUP($B12,Tableau16[[Ref]:[AUTRE]],13,FALSE)-Tableau8[[#This Row],[PAYEE]],"")</f>
        <v/>
      </c>
      <c r="V12" s="65" t="str">
        <f>IF(Tableau8[[#This Row],[marché]]="MARCHEEXT",VLOOKUP($B12,Tableau16[[Ref]:[AUTRE]],14,FALSE)-Tableau8[[#This Row],[PAYEE]],"")</f>
        <v/>
      </c>
      <c r="W12" s="65" t="str">
        <f>IF(Tableau8[[#This Row],[marché]]="RG_5%",VLOOKUP($B12,Tableau16[[Ref]:[AUTRE]],15,FALSE)-Tableau8[[#This Row],[PAYEE]],"")</f>
        <v/>
      </c>
      <c r="X12" s="65" t="str">
        <f>IF(Tableau8[[#This Row],[marché]]="BFT_5%",VLOOKUP($B12,Tableau16[[Ref]:[AUTRE]],17,FALSE)-Tableau8[[#This Row],[PAYEE]],"")</f>
        <v/>
      </c>
      <c r="Y12" s="65" t="str">
        <f>IF(Tableau8[[#This Row],[marché]]="AUTRE",VLOOKUP($B12,Tableau16[[Ref]:[AUTRE]],19,FALSE)-Tableau8[[#This Row],[PAYEE]],"")</f>
        <v/>
      </c>
      <c r="Z12" s="157"/>
      <c r="AA12"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13" spans="1:27" s="121" customFormat="1" ht="15.75" hidden="1">
      <c r="A13" s="274"/>
      <c r="B13" s="130" t="str">
        <f>CONCATENATE(Tableau8[[#This Row],[CT
INDIRECT CHANTIER]],Tableau8[[#This Row],[NOM CHANTIER
INDIRECT ST]],Tableau8[[#This Row],[Sous Traitant]],Tableau8[[#This Row],[MO
INDIRECT CT]])</f>
        <v/>
      </c>
      <c r="C13" s="225"/>
      <c r="D13" s="227"/>
      <c r="E13" s="57"/>
      <c r="F13" s="227"/>
      <c r="G13" s="58" t="str">
        <f>IFERROR(IF(B13="","",VLOOKUP(B13,Tableau16[[Ref]:[CP]],6,FALSE)),"")</f>
        <v/>
      </c>
      <c r="H13" s="58" t="str">
        <f>IFERROR(IF(B13="","",VLOOKUP(B13,Tableau16[[Ref]:[CP]],7,FALSE)),"")</f>
        <v/>
      </c>
      <c r="I13" s="127" t="str">
        <f>CONCATENATE(Tableau8[[#This Row],[CT
INDIRECT CHANTIER]],Tableau8[[#This Row],[NOM CHANTIER
INDIRECT ST]],Tableau8[[#This Row],[Sous Traitant]],Tableau8[[#This Row],[MO
INDIRECT CT]],Tableau8[[#This Row],[marché]])</f>
        <v/>
      </c>
      <c r="J13" s="205">
        <f>COUNTIF($I$4:I13,Tableau8[[#This Row],[REF FACT]])</f>
        <v>10</v>
      </c>
      <c r="K13" s="118"/>
      <c r="L13" s="119"/>
      <c r="M13" s="58" t="str">
        <f>IF(Tableau8[[#This Row],[Sous Traitant]]&gt;1,VLOOKUP(Tableau8[[#This Row],[Sous Traitant]],#REF!,3,FALSE),"")</f>
        <v/>
      </c>
      <c r="N13" s="59"/>
      <c r="O13" s="141"/>
      <c r="P13" s="120"/>
      <c r="Q13" s="60"/>
      <c r="R13" s="113"/>
      <c r="S13" s="117"/>
      <c r="T13" s="65">
        <f>SUMIFS($P$4:P13,$I$4:I13,I13)</f>
        <v>0</v>
      </c>
      <c r="U13" s="65" t="str">
        <f>IF(Tableau8[[#This Row],[marché]]="MARCHEINT",VLOOKUP($B13,Tableau16[[Ref]:[AUTRE]],13,FALSE)-Tableau8[[#This Row],[PAYEE]],"")</f>
        <v/>
      </c>
      <c r="V13" s="65" t="str">
        <f>IF(Tableau8[[#This Row],[marché]]="MARCHEEXT",VLOOKUP($B13,Tableau16[[Ref]:[AUTRE]],14,FALSE)-Tableau8[[#This Row],[PAYEE]],"")</f>
        <v/>
      </c>
      <c r="W13" s="65" t="str">
        <f>IF(Tableau8[[#This Row],[marché]]="RG_5%",VLOOKUP($B13,Tableau16[[Ref]:[AUTRE]],15,FALSE)-Tableau8[[#This Row],[PAYEE]],"")</f>
        <v/>
      </c>
      <c r="X13" s="65" t="str">
        <f>IF(Tableau8[[#This Row],[marché]]="BFT_5%",VLOOKUP($B13,Tableau16[[Ref]:[AUTRE]],17,FALSE)-Tableau8[[#This Row],[PAYEE]],"")</f>
        <v/>
      </c>
      <c r="Y13" s="65" t="str">
        <f>IF(Tableau8[[#This Row],[marché]]="AUTRE",VLOOKUP($B13,Tableau16[[Ref]:[AUTRE]],19,FALSE)-Tableau8[[#This Row],[PAYEE]],"")</f>
        <v/>
      </c>
      <c r="Z13" s="157"/>
      <c r="AA13"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14" spans="1:27" s="121" customFormat="1" ht="15.75" hidden="1">
      <c r="A14" s="274"/>
      <c r="B14" s="130" t="str">
        <f>CONCATENATE(Tableau8[[#This Row],[CT
INDIRECT CHANTIER]],Tableau8[[#This Row],[NOM CHANTIER
INDIRECT ST]],Tableau8[[#This Row],[Sous Traitant]],Tableau8[[#This Row],[MO
INDIRECT CT]])</f>
        <v/>
      </c>
      <c r="C14" s="225"/>
      <c r="D14" s="227"/>
      <c r="E14" s="57"/>
      <c r="F14" s="227"/>
      <c r="G14" s="58" t="str">
        <f>IFERROR(IF(B14="","",VLOOKUP(B14,Tableau16[[Ref]:[CP]],6,FALSE)),"")</f>
        <v/>
      </c>
      <c r="H14" s="58" t="str">
        <f>IFERROR(IF(B14="","",VLOOKUP(B14,Tableau16[[Ref]:[CP]],7,FALSE)),"")</f>
        <v/>
      </c>
      <c r="I14" s="127" t="str">
        <f>CONCATENATE(Tableau8[[#This Row],[CT
INDIRECT CHANTIER]],Tableau8[[#This Row],[NOM CHANTIER
INDIRECT ST]],Tableau8[[#This Row],[Sous Traitant]],Tableau8[[#This Row],[MO
INDIRECT CT]],Tableau8[[#This Row],[marché]])</f>
        <v/>
      </c>
      <c r="J14" s="205">
        <f>COUNTIF($I$4:I14,Tableau8[[#This Row],[REF FACT]])</f>
        <v>11</v>
      </c>
      <c r="K14" s="118"/>
      <c r="L14" s="119"/>
      <c r="M14" s="58" t="str">
        <f>IF(Tableau8[[#This Row],[Sous Traitant]]&gt;1,VLOOKUP(Tableau8[[#This Row],[Sous Traitant]],#REF!,3,FALSE),"")</f>
        <v/>
      </c>
      <c r="N14" s="59"/>
      <c r="O14" s="141"/>
      <c r="P14" s="120"/>
      <c r="Q14" s="60"/>
      <c r="R14" s="113"/>
      <c r="S14" s="117"/>
      <c r="T14" s="65">
        <f>SUMIFS($P$4:P14,$I$4:I14,I14)</f>
        <v>0</v>
      </c>
      <c r="U14" s="65" t="str">
        <f>IF(Tableau8[[#This Row],[marché]]="MARCHEINT",VLOOKUP($B14,Tableau16[[Ref]:[AUTRE]],13,FALSE)-Tableau8[[#This Row],[PAYEE]],"")</f>
        <v/>
      </c>
      <c r="V14" s="65" t="str">
        <f>IF(Tableau8[[#This Row],[marché]]="MARCHEEXT",VLOOKUP($B14,Tableau16[[Ref]:[AUTRE]],14,FALSE)-Tableau8[[#This Row],[PAYEE]],"")</f>
        <v/>
      </c>
      <c r="W14" s="65" t="str">
        <f>IF(Tableau8[[#This Row],[marché]]="RG_5%",VLOOKUP($B14,Tableau16[[Ref]:[AUTRE]],15,FALSE)-Tableau8[[#This Row],[PAYEE]],"")</f>
        <v/>
      </c>
      <c r="X14" s="65" t="str">
        <f>IF(Tableau8[[#This Row],[marché]]="BFT_5%",VLOOKUP($B14,Tableau16[[Ref]:[AUTRE]],17,FALSE)-Tableau8[[#This Row],[PAYEE]],"")</f>
        <v/>
      </c>
      <c r="Y14" s="65" t="str">
        <f>IF(Tableau8[[#This Row],[marché]]="AUTRE",VLOOKUP($B14,Tableau16[[Ref]:[AUTRE]],19,FALSE)-Tableau8[[#This Row],[PAYEE]],"")</f>
        <v/>
      </c>
      <c r="Z14" s="157"/>
      <c r="AA14"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15" spans="1:27" s="121" customFormat="1" ht="15.75" hidden="1">
      <c r="A15" s="275"/>
      <c r="B15" s="130" t="str">
        <f>CONCATENATE(Tableau8[[#This Row],[CT
INDIRECT CHANTIER]],Tableau8[[#This Row],[NOM CHANTIER
INDIRECT ST]],Tableau8[[#This Row],[Sous Traitant]],Tableau8[[#This Row],[MO
INDIRECT CT]])</f>
        <v/>
      </c>
      <c r="C15" s="225"/>
      <c r="D15" s="227"/>
      <c r="E15" s="57"/>
      <c r="F15" s="227"/>
      <c r="G15" s="58" t="str">
        <f>IFERROR(IF(B15="","",VLOOKUP(B15,Tableau16[[Ref]:[CP]],6,FALSE)),"")</f>
        <v/>
      </c>
      <c r="H15" s="58" t="str">
        <f>IFERROR(IF(B15="","",VLOOKUP(B15,Tableau16[[Ref]:[CP]],7,FALSE)),"")</f>
        <v/>
      </c>
      <c r="I15" s="127" t="str">
        <f>CONCATENATE(Tableau8[[#This Row],[CT
INDIRECT CHANTIER]],Tableau8[[#This Row],[NOM CHANTIER
INDIRECT ST]],Tableau8[[#This Row],[Sous Traitant]],Tableau8[[#This Row],[MO
INDIRECT CT]],Tableau8[[#This Row],[marché]])</f>
        <v/>
      </c>
      <c r="J15" s="205">
        <f>COUNTIF($I$4:I15,Tableau8[[#This Row],[REF FACT]])</f>
        <v>12</v>
      </c>
      <c r="K15" s="118"/>
      <c r="L15" s="119"/>
      <c r="M15" s="58" t="str">
        <f>IF(Tableau8[[#This Row],[Sous Traitant]]&gt;1,VLOOKUP(Tableau8[[#This Row],[Sous Traitant]],#REF!,3,FALSE),"")</f>
        <v/>
      </c>
      <c r="N15" s="59"/>
      <c r="O15" s="141"/>
      <c r="P15" s="120"/>
      <c r="Q15" s="60"/>
      <c r="R15" s="113"/>
      <c r="S15" s="117"/>
      <c r="T15" s="65">
        <f>SUMIFS($P$4:P15,$I$4:I15,I15)</f>
        <v>0</v>
      </c>
      <c r="U15" s="65" t="str">
        <f>IF(Tableau8[[#This Row],[marché]]="MARCHEINT",VLOOKUP($B15,Tableau16[[Ref]:[AUTRE]],13,FALSE)-Tableau8[[#This Row],[PAYEE]],"")</f>
        <v/>
      </c>
      <c r="V15" s="65" t="str">
        <f>IF(Tableau8[[#This Row],[marché]]="MARCHEEXT",VLOOKUP($B15,Tableau16[[Ref]:[AUTRE]],14,FALSE)-Tableau8[[#This Row],[PAYEE]],"")</f>
        <v/>
      </c>
      <c r="W15" s="65" t="str">
        <f>IF(Tableau8[[#This Row],[marché]]="RG_5%",VLOOKUP($B15,Tableau16[[Ref]:[AUTRE]],15,FALSE)-Tableau8[[#This Row],[PAYEE]],"")</f>
        <v/>
      </c>
      <c r="X15" s="65" t="str">
        <f>IF(Tableau8[[#This Row],[marché]]="BFT_5%",VLOOKUP($B15,Tableau16[[Ref]:[AUTRE]],17,FALSE)-Tableau8[[#This Row],[PAYEE]],"")</f>
        <v/>
      </c>
      <c r="Y15" s="65" t="str">
        <f>IF(Tableau8[[#This Row],[marché]]="AUTRE",VLOOKUP($B15,Tableau16[[Ref]:[AUTRE]],19,FALSE)-Tableau8[[#This Row],[PAYEE]],"")</f>
        <v/>
      </c>
      <c r="Z15" s="157"/>
      <c r="AA15"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16" spans="1:27" s="121" customFormat="1" ht="15.75" hidden="1">
      <c r="A16" s="273" t="s">
        <v>63</v>
      </c>
      <c r="B16" s="130" t="str">
        <f>CONCATENATE(Tableau8[[#This Row],[CT
INDIRECT CHANTIER]],Tableau8[[#This Row],[NOM CHANTIER
INDIRECT ST]],Tableau8[[#This Row],[Sous Traitant]],Tableau8[[#This Row],[MO
INDIRECT CT]])</f>
        <v/>
      </c>
      <c r="C16" s="225"/>
      <c r="D16" s="227"/>
      <c r="E16" s="57"/>
      <c r="F16" s="227"/>
      <c r="G16" s="58" t="str">
        <f>IFERROR(IF(B16="","",VLOOKUP(B16,Tableau16[[Ref]:[CP]],6,FALSE)),"")</f>
        <v/>
      </c>
      <c r="H16" s="58" t="str">
        <f>IFERROR(IF(B16="","",VLOOKUP(B16,Tableau16[[Ref]:[CP]],7,FALSE)),"")</f>
        <v/>
      </c>
      <c r="I16" s="127" t="str">
        <f>CONCATENATE(Tableau8[[#This Row],[CT
INDIRECT CHANTIER]],Tableau8[[#This Row],[NOM CHANTIER
INDIRECT ST]],Tableau8[[#This Row],[Sous Traitant]],Tableau8[[#This Row],[MO
INDIRECT CT]],Tableau8[[#This Row],[marché]])</f>
        <v/>
      </c>
      <c r="J16" s="205">
        <f>COUNTIF($I$4:I16,Tableau8[[#This Row],[REF FACT]])</f>
        <v>13</v>
      </c>
      <c r="K16" s="118"/>
      <c r="L16" s="119"/>
      <c r="M16" s="58" t="str">
        <f>IF(Tableau8[[#This Row],[Sous Traitant]]&gt;1,VLOOKUP(Tableau8[[#This Row],[Sous Traitant]],#REF!,3,FALSE),"")</f>
        <v/>
      </c>
      <c r="N16" s="59"/>
      <c r="O16" s="141"/>
      <c r="P16" s="120"/>
      <c r="Q16" s="60"/>
      <c r="R16" s="113"/>
      <c r="S16" s="117"/>
      <c r="T16" s="65">
        <f>SUMIFS($P$4:P16,$I$4:I16,I16)</f>
        <v>0</v>
      </c>
      <c r="U16" s="65" t="str">
        <f>IF(Tableau8[[#This Row],[marché]]="MARCHEINT",VLOOKUP($B16,Tableau16[[Ref]:[AUTRE]],13,FALSE)-Tableau8[[#This Row],[PAYEE]],"")</f>
        <v/>
      </c>
      <c r="V16" s="65" t="str">
        <f>IF(Tableau8[[#This Row],[marché]]="MARCHEEXT",VLOOKUP($B16,Tableau16[[Ref]:[AUTRE]],14,FALSE)-Tableau8[[#This Row],[PAYEE]],"")</f>
        <v/>
      </c>
      <c r="W16" s="65" t="str">
        <f>IF(Tableau8[[#This Row],[marché]]="RG_5%",VLOOKUP($B16,Tableau16[[Ref]:[AUTRE]],15,FALSE)-Tableau8[[#This Row],[PAYEE]],"")</f>
        <v/>
      </c>
      <c r="X16" s="65" t="str">
        <f>IF(Tableau8[[#This Row],[marché]]="BFT_5%",VLOOKUP($B16,Tableau16[[Ref]:[AUTRE]],17,FALSE)-Tableau8[[#This Row],[PAYEE]],"")</f>
        <v/>
      </c>
      <c r="Y16" s="65" t="str">
        <f>IF(Tableau8[[#This Row],[marché]]="AUTRE",VLOOKUP($B16,Tableau16[[Ref]:[AUTRE]],19,FALSE)-Tableau8[[#This Row],[PAYEE]],"")</f>
        <v/>
      </c>
      <c r="Z16" s="157"/>
      <c r="AA16"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17" spans="1:27" s="121" customFormat="1" ht="15.75" hidden="1">
      <c r="A17" s="274"/>
      <c r="B17" s="130" t="str">
        <f>CONCATENATE(Tableau8[[#This Row],[CT
INDIRECT CHANTIER]],Tableau8[[#This Row],[NOM CHANTIER
INDIRECT ST]],Tableau8[[#This Row],[Sous Traitant]],Tableau8[[#This Row],[MO
INDIRECT CT]])</f>
        <v/>
      </c>
      <c r="C17" s="225"/>
      <c r="D17" s="227"/>
      <c r="E17" s="57"/>
      <c r="F17" s="227"/>
      <c r="G17" s="58" t="str">
        <f>IFERROR(IF(B17="","",VLOOKUP(B17,Tableau16[[Ref]:[CP]],6,FALSE)),"")</f>
        <v/>
      </c>
      <c r="H17" s="58" t="str">
        <f>IFERROR(IF(B17="","",VLOOKUP(B17,Tableau16[[Ref]:[CP]],7,FALSE)),"")</f>
        <v/>
      </c>
      <c r="I17" s="127" t="str">
        <f>CONCATENATE(Tableau8[[#This Row],[CT
INDIRECT CHANTIER]],Tableau8[[#This Row],[NOM CHANTIER
INDIRECT ST]],Tableau8[[#This Row],[Sous Traitant]],Tableau8[[#This Row],[MO
INDIRECT CT]],Tableau8[[#This Row],[marché]])</f>
        <v/>
      </c>
      <c r="J17" s="205">
        <f>COUNTIF($I$4:I17,Tableau8[[#This Row],[REF FACT]])</f>
        <v>14</v>
      </c>
      <c r="K17" s="118"/>
      <c r="L17" s="119"/>
      <c r="M17" s="58" t="str">
        <f>IF(Tableau8[[#This Row],[Sous Traitant]]&gt;1,VLOOKUP(Tableau8[[#This Row],[Sous Traitant]],#REF!,3,FALSE),"")</f>
        <v/>
      </c>
      <c r="N17" s="59"/>
      <c r="O17" s="141"/>
      <c r="P17" s="120"/>
      <c r="Q17" s="60"/>
      <c r="R17" s="113"/>
      <c r="S17" s="117"/>
      <c r="T17" s="65">
        <f>SUMIFS($P$4:P17,$I$4:I17,I17)</f>
        <v>0</v>
      </c>
      <c r="U17" s="65" t="str">
        <f>IF(Tableau8[[#This Row],[marché]]="MARCHEINT",VLOOKUP($B17,Tableau16[[Ref]:[AUTRE]],13,FALSE)-Tableau8[[#This Row],[PAYEE]],"")</f>
        <v/>
      </c>
      <c r="V17" s="65" t="str">
        <f>IF(Tableau8[[#This Row],[marché]]="MARCHEEXT",VLOOKUP($B17,Tableau16[[Ref]:[AUTRE]],14,FALSE)-Tableau8[[#This Row],[PAYEE]],"")</f>
        <v/>
      </c>
      <c r="W17" s="65" t="str">
        <f>IF(Tableau8[[#This Row],[marché]]="RG_5%",VLOOKUP($B17,Tableau16[[Ref]:[AUTRE]],15,FALSE)-Tableau8[[#This Row],[PAYEE]],"")</f>
        <v/>
      </c>
      <c r="X17" s="65" t="str">
        <f>IF(Tableau8[[#This Row],[marché]]="BFT_5%",VLOOKUP($B17,Tableau16[[Ref]:[AUTRE]],17,FALSE)-Tableau8[[#This Row],[PAYEE]],"")</f>
        <v/>
      </c>
      <c r="Y17" s="65" t="str">
        <f>IF(Tableau8[[#This Row],[marché]]="AUTRE",VLOOKUP($B17,Tableau16[[Ref]:[AUTRE]],19,FALSE)-Tableau8[[#This Row],[PAYEE]],"")</f>
        <v/>
      </c>
      <c r="Z17" s="157"/>
      <c r="AA17"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18" spans="1:27" s="121" customFormat="1" ht="15.75" hidden="1">
      <c r="A18" s="274"/>
      <c r="B18" s="130" t="str">
        <f>CONCATENATE(Tableau8[[#This Row],[CT
INDIRECT CHANTIER]],Tableau8[[#This Row],[NOM CHANTIER
INDIRECT ST]],Tableau8[[#This Row],[Sous Traitant]],Tableau8[[#This Row],[MO
INDIRECT CT]])</f>
        <v/>
      </c>
      <c r="C18" s="225"/>
      <c r="D18" s="227"/>
      <c r="E18" s="57"/>
      <c r="F18" s="227"/>
      <c r="G18" s="58" t="str">
        <f>IFERROR(IF(B18="","",VLOOKUP(B18,Tableau16[[Ref]:[CP]],6,FALSE)),"")</f>
        <v/>
      </c>
      <c r="H18" s="58" t="str">
        <f>IFERROR(IF(B18="","",VLOOKUP(B18,Tableau16[[Ref]:[CP]],7,FALSE)),"")</f>
        <v/>
      </c>
      <c r="I18" s="127" t="str">
        <f>CONCATENATE(Tableau8[[#This Row],[CT
INDIRECT CHANTIER]],Tableau8[[#This Row],[NOM CHANTIER
INDIRECT ST]],Tableau8[[#This Row],[Sous Traitant]],Tableau8[[#This Row],[MO
INDIRECT CT]],Tableau8[[#This Row],[marché]])</f>
        <v/>
      </c>
      <c r="J18" s="205">
        <f>COUNTIF($I$4:I18,Tableau8[[#This Row],[REF FACT]])</f>
        <v>15</v>
      </c>
      <c r="K18" s="118"/>
      <c r="L18" s="119"/>
      <c r="M18" s="58" t="str">
        <f>IF(Tableau8[[#This Row],[Sous Traitant]]&gt;1,VLOOKUP(Tableau8[[#This Row],[Sous Traitant]],#REF!,3,FALSE),"")</f>
        <v/>
      </c>
      <c r="N18" s="59"/>
      <c r="O18" s="141"/>
      <c r="P18" s="120"/>
      <c r="Q18" s="60"/>
      <c r="R18" s="113"/>
      <c r="S18" s="117"/>
      <c r="T18" s="65">
        <f>SUMIFS($P$4:P18,$I$4:I18,I18)</f>
        <v>0</v>
      </c>
      <c r="U18" s="65" t="str">
        <f>IF(Tableau8[[#This Row],[marché]]="MARCHEINT",VLOOKUP($B18,Tableau16[[Ref]:[AUTRE]],13,FALSE)-Tableau8[[#This Row],[PAYEE]],"")</f>
        <v/>
      </c>
      <c r="V18" s="65" t="str">
        <f>IF(Tableau8[[#This Row],[marché]]="MARCHEEXT",VLOOKUP($B18,Tableau16[[Ref]:[AUTRE]],14,FALSE)-Tableau8[[#This Row],[PAYEE]],"")</f>
        <v/>
      </c>
      <c r="W18" s="65" t="str">
        <f>IF(Tableau8[[#This Row],[marché]]="RG_5%",VLOOKUP($B18,Tableau16[[Ref]:[AUTRE]],15,FALSE)-Tableau8[[#This Row],[PAYEE]],"")</f>
        <v/>
      </c>
      <c r="X18" s="65" t="str">
        <f>IF(Tableau8[[#This Row],[marché]]="BFT_5%",VLOOKUP($B18,Tableau16[[Ref]:[AUTRE]],17,FALSE)-Tableau8[[#This Row],[PAYEE]],"")</f>
        <v/>
      </c>
      <c r="Y18" s="65" t="str">
        <f>IF(Tableau8[[#This Row],[marché]]="AUTRE",VLOOKUP($B18,Tableau16[[Ref]:[AUTRE]],19,FALSE)-Tableau8[[#This Row],[PAYEE]],"")</f>
        <v/>
      </c>
      <c r="Z18" s="157"/>
      <c r="AA18"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19" spans="1:27" s="121" customFormat="1" ht="15.75" hidden="1">
      <c r="A19" s="275"/>
      <c r="B19" s="130" t="str">
        <f>CONCATENATE(Tableau8[[#This Row],[CT
INDIRECT CHANTIER]],Tableau8[[#This Row],[NOM CHANTIER
INDIRECT ST]],Tableau8[[#This Row],[Sous Traitant]],Tableau8[[#This Row],[MO
INDIRECT CT]])</f>
        <v/>
      </c>
      <c r="C19" s="225"/>
      <c r="D19" s="227"/>
      <c r="E19" s="57"/>
      <c r="F19" s="227"/>
      <c r="G19" s="58" t="str">
        <f>IFERROR(IF(B19="","",VLOOKUP(B19,Tableau16[[Ref]:[CP]],6,FALSE)),"")</f>
        <v/>
      </c>
      <c r="H19" s="58" t="str">
        <f>IFERROR(IF(B19="","",VLOOKUP(B19,Tableau16[[Ref]:[CP]],7,FALSE)),"")</f>
        <v/>
      </c>
      <c r="I19" s="127" t="str">
        <f>CONCATENATE(Tableau8[[#This Row],[CT
INDIRECT CHANTIER]],Tableau8[[#This Row],[NOM CHANTIER
INDIRECT ST]],Tableau8[[#This Row],[Sous Traitant]],Tableau8[[#This Row],[MO
INDIRECT CT]],Tableau8[[#This Row],[marché]])</f>
        <v/>
      </c>
      <c r="J19" s="205">
        <f>COUNTIF($I$4:I19,Tableau8[[#This Row],[REF FACT]])</f>
        <v>16</v>
      </c>
      <c r="K19" s="118"/>
      <c r="L19" s="119"/>
      <c r="M19" s="58" t="str">
        <f>IF(Tableau8[[#This Row],[Sous Traitant]]&gt;1,VLOOKUP(Tableau8[[#This Row],[Sous Traitant]],#REF!,3,FALSE),"")</f>
        <v/>
      </c>
      <c r="N19" s="59"/>
      <c r="O19" s="141"/>
      <c r="P19" s="120"/>
      <c r="Q19" s="60"/>
      <c r="R19" s="113"/>
      <c r="S19" s="117"/>
      <c r="T19" s="65">
        <f>SUMIFS($P$4:P19,$I$4:I19,I19)</f>
        <v>0</v>
      </c>
      <c r="U19" s="65" t="str">
        <f>IF(Tableau8[[#This Row],[marché]]="MARCHEINT",VLOOKUP($B19,Tableau16[[Ref]:[AUTRE]],13,FALSE)-Tableau8[[#This Row],[PAYEE]],"")</f>
        <v/>
      </c>
      <c r="V19" s="65" t="str">
        <f>IF(Tableau8[[#This Row],[marché]]="MARCHEEXT",VLOOKUP($B19,Tableau16[[Ref]:[AUTRE]],14,FALSE)-Tableau8[[#This Row],[PAYEE]],"")</f>
        <v/>
      </c>
      <c r="W19" s="65" t="str">
        <f>IF(Tableau8[[#This Row],[marché]]="RG_5%",VLOOKUP($B19,Tableau16[[Ref]:[AUTRE]],15,FALSE)-Tableau8[[#This Row],[PAYEE]],"")</f>
        <v/>
      </c>
      <c r="X19" s="65" t="str">
        <f>IF(Tableau8[[#This Row],[marché]]="BFT_5%",VLOOKUP($B19,Tableau16[[Ref]:[AUTRE]],17,FALSE)-Tableau8[[#This Row],[PAYEE]],"")</f>
        <v/>
      </c>
      <c r="Y19" s="65" t="str">
        <f>IF(Tableau8[[#This Row],[marché]]="AUTRE",VLOOKUP($B19,Tableau16[[Ref]:[AUTRE]],19,FALSE)-Tableau8[[#This Row],[PAYEE]],"")</f>
        <v/>
      </c>
      <c r="Z19" s="157"/>
      <c r="AA19"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20" spans="1:27" s="121" customFormat="1" ht="15.75" hidden="1">
      <c r="A20" s="273" t="s">
        <v>64</v>
      </c>
      <c r="B20" s="130" t="str">
        <f>CONCATENATE(Tableau8[[#This Row],[CT
INDIRECT CHANTIER]],Tableau8[[#This Row],[NOM CHANTIER
INDIRECT ST]],Tableau8[[#This Row],[Sous Traitant]],Tableau8[[#This Row],[MO
INDIRECT CT]])</f>
        <v/>
      </c>
      <c r="C20" s="225"/>
      <c r="D20" s="227"/>
      <c r="E20" s="57"/>
      <c r="F20" s="227"/>
      <c r="G20" s="58" t="str">
        <f>IFERROR(IF(B20="","",VLOOKUP(B20,Tableau16[[Ref]:[CP]],6,FALSE)),"")</f>
        <v/>
      </c>
      <c r="H20" s="58" t="str">
        <f>IFERROR(IF(B20="","",VLOOKUP(B20,Tableau16[[Ref]:[CP]],7,FALSE)),"")</f>
        <v/>
      </c>
      <c r="I20" s="127" t="str">
        <f>CONCATENATE(Tableau8[[#This Row],[CT
INDIRECT CHANTIER]],Tableau8[[#This Row],[NOM CHANTIER
INDIRECT ST]],Tableau8[[#This Row],[Sous Traitant]],Tableau8[[#This Row],[MO
INDIRECT CT]],Tableau8[[#This Row],[marché]])</f>
        <v/>
      </c>
      <c r="J20" s="205">
        <f>COUNTIF($I$4:I20,Tableau8[[#This Row],[REF FACT]])</f>
        <v>17</v>
      </c>
      <c r="K20" s="118"/>
      <c r="L20" s="119"/>
      <c r="M20" s="58" t="str">
        <f>IF(Tableau8[[#This Row],[Sous Traitant]]&gt;1,VLOOKUP(Tableau8[[#This Row],[Sous Traitant]],#REF!,3,FALSE),"")</f>
        <v/>
      </c>
      <c r="N20" s="59"/>
      <c r="O20" s="141"/>
      <c r="P20" s="120"/>
      <c r="Q20" s="60"/>
      <c r="R20" s="113"/>
      <c r="S20" s="117"/>
      <c r="T20" s="65">
        <f>SUMIFS($P$4:P20,$I$4:I20,I20)</f>
        <v>0</v>
      </c>
      <c r="U20" s="65" t="str">
        <f>IF(Tableau8[[#This Row],[marché]]="MARCHEINT",VLOOKUP($B20,Tableau16[[Ref]:[AUTRE]],13,FALSE)-Tableau8[[#This Row],[PAYEE]],"")</f>
        <v/>
      </c>
      <c r="V20" s="65" t="str">
        <f>IF(Tableau8[[#This Row],[marché]]="MARCHEEXT",VLOOKUP($B20,Tableau16[[Ref]:[AUTRE]],14,FALSE)-Tableau8[[#This Row],[PAYEE]],"")</f>
        <v/>
      </c>
      <c r="W20" s="65" t="str">
        <f>IF(Tableau8[[#This Row],[marché]]="RG_5%",VLOOKUP($B20,Tableau16[[Ref]:[AUTRE]],15,FALSE)-Tableau8[[#This Row],[PAYEE]],"")</f>
        <v/>
      </c>
      <c r="X20" s="65" t="str">
        <f>IF(Tableau8[[#This Row],[marché]]="BFT_5%",VLOOKUP($B20,Tableau16[[Ref]:[AUTRE]],17,FALSE)-Tableau8[[#This Row],[PAYEE]],"")</f>
        <v/>
      </c>
      <c r="Y20" s="65" t="str">
        <f>IF(Tableau8[[#This Row],[marché]]="AUTRE",VLOOKUP($B20,Tableau16[[Ref]:[AUTRE]],19,FALSE)-Tableau8[[#This Row],[PAYEE]],"")</f>
        <v/>
      </c>
      <c r="Z20" s="157"/>
      <c r="AA20"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21" spans="1:27" s="121" customFormat="1" ht="15.75" hidden="1">
      <c r="A21" s="274"/>
      <c r="B21" s="130" t="str">
        <f>CONCATENATE(Tableau8[[#This Row],[CT
INDIRECT CHANTIER]],Tableau8[[#This Row],[NOM CHANTIER
INDIRECT ST]],Tableau8[[#This Row],[Sous Traitant]],Tableau8[[#This Row],[MO
INDIRECT CT]])</f>
        <v/>
      </c>
      <c r="C21" s="225"/>
      <c r="D21" s="227"/>
      <c r="E21" s="57"/>
      <c r="F21" s="227"/>
      <c r="G21" s="58" t="str">
        <f>IFERROR(IF(B21="","",VLOOKUP(B21,Tableau16[[Ref]:[CP]],6,FALSE)),"")</f>
        <v/>
      </c>
      <c r="H21" s="58" t="str">
        <f>IFERROR(IF(B21="","",VLOOKUP(B21,Tableau16[[Ref]:[CP]],7,FALSE)),"")</f>
        <v/>
      </c>
      <c r="I21" s="127" t="str">
        <f>CONCATENATE(Tableau8[[#This Row],[CT
INDIRECT CHANTIER]],Tableau8[[#This Row],[NOM CHANTIER
INDIRECT ST]],Tableau8[[#This Row],[Sous Traitant]],Tableau8[[#This Row],[MO
INDIRECT CT]],Tableau8[[#This Row],[marché]])</f>
        <v/>
      </c>
      <c r="J21" s="205">
        <f>COUNTIF($I$4:I21,Tableau8[[#This Row],[REF FACT]])</f>
        <v>18</v>
      </c>
      <c r="K21" s="118"/>
      <c r="L21" s="119"/>
      <c r="M21" s="58" t="str">
        <f>IF(Tableau8[[#This Row],[Sous Traitant]]&gt;1,VLOOKUP(Tableau8[[#This Row],[Sous Traitant]],#REF!,3,FALSE),"")</f>
        <v/>
      </c>
      <c r="N21" s="59"/>
      <c r="O21" s="141"/>
      <c r="P21" s="120"/>
      <c r="Q21" s="60"/>
      <c r="R21" s="113"/>
      <c r="S21" s="117"/>
      <c r="T21" s="65">
        <f>SUMIFS($P$4:P21,$I$4:I21,I21)</f>
        <v>0</v>
      </c>
      <c r="U21" s="65" t="str">
        <f>IF(Tableau8[[#This Row],[marché]]="MARCHEINT",VLOOKUP($B21,Tableau16[[Ref]:[AUTRE]],13,FALSE)-Tableau8[[#This Row],[PAYEE]],"")</f>
        <v/>
      </c>
      <c r="V21" s="65" t="str">
        <f>IF(Tableau8[[#This Row],[marché]]="MARCHEEXT",VLOOKUP($B21,Tableau16[[Ref]:[AUTRE]],14,FALSE)-Tableau8[[#This Row],[PAYEE]],"")</f>
        <v/>
      </c>
      <c r="W21" s="65" t="str">
        <f>IF(Tableau8[[#This Row],[marché]]="RG_5%",VLOOKUP($B21,Tableau16[[Ref]:[AUTRE]],15,FALSE)-Tableau8[[#This Row],[PAYEE]],"")</f>
        <v/>
      </c>
      <c r="X21" s="65" t="str">
        <f>IF(Tableau8[[#This Row],[marché]]="BFT_5%",VLOOKUP($B21,Tableau16[[Ref]:[AUTRE]],17,FALSE)-Tableau8[[#This Row],[PAYEE]],"")</f>
        <v/>
      </c>
      <c r="Y21" s="65" t="str">
        <f>IF(Tableau8[[#This Row],[marché]]="AUTRE",VLOOKUP($B21,Tableau16[[Ref]:[AUTRE]],19,FALSE)-Tableau8[[#This Row],[PAYEE]],"")</f>
        <v/>
      </c>
      <c r="Z21" s="157"/>
      <c r="AA21"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22" spans="1:27" s="121" customFormat="1" ht="15.75" hidden="1">
      <c r="A22" s="274"/>
      <c r="B22" s="130" t="str">
        <f>CONCATENATE(Tableau8[[#This Row],[CT
INDIRECT CHANTIER]],Tableau8[[#This Row],[NOM CHANTIER
INDIRECT ST]],Tableau8[[#This Row],[Sous Traitant]],Tableau8[[#This Row],[MO
INDIRECT CT]])</f>
        <v/>
      </c>
      <c r="C22" s="225"/>
      <c r="D22" s="227"/>
      <c r="E22" s="57"/>
      <c r="F22" s="227"/>
      <c r="G22" s="58" t="str">
        <f>IFERROR(IF(B22="","",VLOOKUP(B22,Tableau16[[Ref]:[CP]],6,FALSE)),"")</f>
        <v/>
      </c>
      <c r="H22" s="58" t="str">
        <f>IFERROR(IF(B22="","",VLOOKUP(B22,Tableau16[[Ref]:[CP]],7,FALSE)),"")</f>
        <v/>
      </c>
      <c r="I22" s="127" t="str">
        <f>CONCATENATE(Tableau8[[#This Row],[CT
INDIRECT CHANTIER]],Tableau8[[#This Row],[NOM CHANTIER
INDIRECT ST]],Tableau8[[#This Row],[Sous Traitant]],Tableau8[[#This Row],[MO
INDIRECT CT]],Tableau8[[#This Row],[marché]])</f>
        <v/>
      </c>
      <c r="J22" s="205">
        <f>COUNTIF($I$4:I22,Tableau8[[#This Row],[REF FACT]])</f>
        <v>19</v>
      </c>
      <c r="K22" s="118"/>
      <c r="L22" s="119"/>
      <c r="M22" s="58" t="str">
        <f>IF(Tableau8[[#This Row],[Sous Traitant]]&gt;1,VLOOKUP(Tableau8[[#This Row],[Sous Traitant]],#REF!,3,FALSE),"")</f>
        <v/>
      </c>
      <c r="N22" s="59"/>
      <c r="O22" s="141"/>
      <c r="P22" s="120"/>
      <c r="Q22" s="60"/>
      <c r="R22" s="113"/>
      <c r="S22" s="117"/>
      <c r="T22" s="65">
        <f>SUMIFS($P$4:P22,$I$4:I22,I22)</f>
        <v>0</v>
      </c>
      <c r="U22" s="65" t="str">
        <f>IF(Tableau8[[#This Row],[marché]]="MARCHEINT",VLOOKUP($B22,Tableau16[[Ref]:[AUTRE]],13,FALSE)-Tableau8[[#This Row],[PAYEE]],"")</f>
        <v/>
      </c>
      <c r="V22" s="65" t="str">
        <f>IF(Tableau8[[#This Row],[marché]]="MARCHEEXT",VLOOKUP($B22,Tableau16[[Ref]:[AUTRE]],14,FALSE)-Tableau8[[#This Row],[PAYEE]],"")</f>
        <v/>
      </c>
      <c r="W22" s="65" t="str">
        <f>IF(Tableau8[[#This Row],[marché]]="RG_5%",VLOOKUP($B22,Tableau16[[Ref]:[AUTRE]],15,FALSE)-Tableau8[[#This Row],[PAYEE]],"")</f>
        <v/>
      </c>
      <c r="X22" s="65" t="str">
        <f>IF(Tableau8[[#This Row],[marché]]="BFT_5%",VLOOKUP($B22,Tableau16[[Ref]:[AUTRE]],17,FALSE)-Tableau8[[#This Row],[PAYEE]],"")</f>
        <v/>
      </c>
      <c r="Y22" s="65" t="str">
        <f>IF(Tableau8[[#This Row],[marché]]="AUTRE",VLOOKUP($B22,Tableau16[[Ref]:[AUTRE]],19,FALSE)-Tableau8[[#This Row],[PAYEE]],"")</f>
        <v/>
      </c>
      <c r="Z22" s="157"/>
      <c r="AA22"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23" spans="1:27" s="121" customFormat="1" ht="15.75" hidden="1">
      <c r="A23" s="275"/>
      <c r="B23" s="130" t="str">
        <f>CONCATENATE(Tableau8[[#This Row],[CT
INDIRECT CHANTIER]],Tableau8[[#This Row],[NOM CHANTIER
INDIRECT ST]],Tableau8[[#This Row],[Sous Traitant]],Tableau8[[#This Row],[MO
INDIRECT CT]])</f>
        <v/>
      </c>
      <c r="C23" s="225"/>
      <c r="D23" s="227"/>
      <c r="E23" s="57"/>
      <c r="F23" s="227"/>
      <c r="G23" s="58" t="str">
        <f>IFERROR(IF(B23="","",VLOOKUP(B23,Tableau16[[Ref]:[CP]],6,FALSE)),"")</f>
        <v/>
      </c>
      <c r="H23" s="58" t="str">
        <f>IFERROR(IF(B23="","",VLOOKUP(B23,Tableau16[[Ref]:[CP]],7,FALSE)),"")</f>
        <v/>
      </c>
      <c r="I23" s="127" t="str">
        <f>CONCATENATE(Tableau8[[#This Row],[CT
INDIRECT CHANTIER]],Tableau8[[#This Row],[NOM CHANTIER
INDIRECT ST]],Tableau8[[#This Row],[Sous Traitant]],Tableau8[[#This Row],[MO
INDIRECT CT]],Tableau8[[#This Row],[marché]])</f>
        <v/>
      </c>
      <c r="J23" s="205">
        <f>COUNTIF($I$4:I23,Tableau8[[#This Row],[REF FACT]])</f>
        <v>20</v>
      </c>
      <c r="K23" s="118"/>
      <c r="L23" s="119"/>
      <c r="M23" s="58" t="str">
        <f>IF(Tableau8[[#This Row],[Sous Traitant]]&gt;1,VLOOKUP(Tableau8[[#This Row],[Sous Traitant]],#REF!,3,FALSE),"")</f>
        <v/>
      </c>
      <c r="N23" s="59"/>
      <c r="O23" s="141"/>
      <c r="P23" s="120"/>
      <c r="Q23" s="60"/>
      <c r="R23" s="113"/>
      <c r="S23" s="117"/>
      <c r="T23" s="65">
        <f>SUMIFS($P$4:P23,$I$4:I23,I23)</f>
        <v>0</v>
      </c>
      <c r="U23" s="65" t="str">
        <f>IF(Tableau8[[#This Row],[marché]]="MARCHEINT",VLOOKUP($B23,Tableau16[[Ref]:[AUTRE]],13,FALSE)-Tableau8[[#This Row],[PAYEE]],"")</f>
        <v/>
      </c>
      <c r="V23" s="65" t="str">
        <f>IF(Tableau8[[#This Row],[marché]]="MARCHEEXT",VLOOKUP($B23,Tableau16[[Ref]:[AUTRE]],14,FALSE)-Tableau8[[#This Row],[PAYEE]],"")</f>
        <v/>
      </c>
      <c r="W23" s="65" t="str">
        <f>IF(Tableau8[[#This Row],[marché]]="RG_5%",VLOOKUP($B23,Tableau16[[Ref]:[AUTRE]],15,FALSE)-Tableau8[[#This Row],[PAYEE]],"")</f>
        <v/>
      </c>
      <c r="X23" s="65" t="str">
        <f>IF(Tableau8[[#This Row],[marché]]="BFT_5%",VLOOKUP($B23,Tableau16[[Ref]:[AUTRE]],17,FALSE)-Tableau8[[#This Row],[PAYEE]],"")</f>
        <v/>
      </c>
      <c r="Y23" s="65" t="str">
        <f>IF(Tableau8[[#This Row],[marché]]="AUTRE",VLOOKUP($B23,Tableau16[[Ref]:[AUTRE]],19,FALSE)-Tableau8[[#This Row],[PAYEE]],"")</f>
        <v/>
      </c>
      <c r="Z23" s="157"/>
      <c r="AA23"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24" spans="1:27" s="121" customFormat="1" ht="15.75" hidden="1">
      <c r="A24" s="273" t="s">
        <v>65</v>
      </c>
      <c r="B24" s="130" t="str">
        <f>CONCATENATE(Tableau8[[#This Row],[CT
INDIRECT CHANTIER]],Tableau8[[#This Row],[NOM CHANTIER
INDIRECT ST]],Tableau8[[#This Row],[Sous Traitant]],Tableau8[[#This Row],[MO
INDIRECT CT]])</f>
        <v/>
      </c>
      <c r="C24" s="225"/>
      <c r="D24" s="227"/>
      <c r="E24" s="57"/>
      <c r="F24" s="227"/>
      <c r="G24" s="58" t="str">
        <f>IFERROR(IF(B24="","",VLOOKUP(B24,Tableau16[[Ref]:[CP]],6,FALSE)),"")</f>
        <v/>
      </c>
      <c r="H24" s="58" t="str">
        <f>IFERROR(IF(B24="","",VLOOKUP(B24,Tableau16[[Ref]:[CP]],7,FALSE)),"")</f>
        <v/>
      </c>
      <c r="I24" s="127" t="str">
        <f>CONCATENATE(Tableau8[[#This Row],[CT
INDIRECT CHANTIER]],Tableau8[[#This Row],[NOM CHANTIER
INDIRECT ST]],Tableau8[[#This Row],[Sous Traitant]],Tableau8[[#This Row],[MO
INDIRECT CT]],Tableau8[[#This Row],[marché]])</f>
        <v/>
      </c>
      <c r="J24" s="205">
        <f>COUNTIF($I$4:I24,Tableau8[[#This Row],[REF FACT]])</f>
        <v>21</v>
      </c>
      <c r="K24" s="118"/>
      <c r="L24" s="119"/>
      <c r="M24" s="58" t="str">
        <f>IF(Tableau8[[#This Row],[Sous Traitant]]&gt;1,VLOOKUP(Tableau8[[#This Row],[Sous Traitant]],#REF!,3,FALSE),"")</f>
        <v/>
      </c>
      <c r="N24" s="59"/>
      <c r="O24" s="141"/>
      <c r="P24" s="120"/>
      <c r="Q24" s="60"/>
      <c r="R24" s="113"/>
      <c r="S24" s="117"/>
      <c r="T24" s="65">
        <f>SUMIFS($P$4:P24,$I$4:I24,I24)</f>
        <v>0</v>
      </c>
      <c r="U24" s="65" t="str">
        <f>IF(Tableau8[[#This Row],[marché]]="MARCHEINT",VLOOKUP($B24,Tableau16[[Ref]:[AUTRE]],13,FALSE)-Tableau8[[#This Row],[PAYEE]],"")</f>
        <v/>
      </c>
      <c r="V24" s="65" t="str">
        <f>IF(Tableau8[[#This Row],[marché]]="MARCHEEXT",VLOOKUP($B24,Tableau16[[Ref]:[AUTRE]],14,FALSE)-Tableau8[[#This Row],[PAYEE]],"")</f>
        <v/>
      </c>
      <c r="W24" s="65" t="str">
        <f>IF(Tableau8[[#This Row],[marché]]="RG_5%",VLOOKUP($B24,Tableau16[[Ref]:[AUTRE]],15,FALSE)-Tableau8[[#This Row],[PAYEE]],"")</f>
        <v/>
      </c>
      <c r="X24" s="65" t="str">
        <f>IF(Tableau8[[#This Row],[marché]]="BFT_5%",VLOOKUP($B24,Tableau16[[Ref]:[AUTRE]],17,FALSE)-Tableau8[[#This Row],[PAYEE]],"")</f>
        <v/>
      </c>
      <c r="Y24" s="65" t="str">
        <f>IF(Tableau8[[#This Row],[marché]]="AUTRE",VLOOKUP($B24,Tableau16[[Ref]:[AUTRE]],19,FALSE)-Tableau8[[#This Row],[PAYEE]],"")</f>
        <v/>
      </c>
      <c r="Z24" s="157"/>
      <c r="AA24"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25" spans="1:27" s="121" customFormat="1" ht="15.75" hidden="1">
      <c r="A25" s="274"/>
      <c r="B25" s="130" t="str">
        <f>CONCATENATE(Tableau8[[#This Row],[CT
INDIRECT CHANTIER]],Tableau8[[#This Row],[NOM CHANTIER
INDIRECT ST]],Tableau8[[#This Row],[Sous Traitant]],Tableau8[[#This Row],[MO
INDIRECT CT]])</f>
        <v/>
      </c>
      <c r="C25" s="225"/>
      <c r="D25" s="227"/>
      <c r="E25" s="57"/>
      <c r="F25" s="227"/>
      <c r="G25" s="58" t="str">
        <f>IFERROR(IF(B25="","",VLOOKUP(B25,Tableau16[[Ref]:[CP]],6,FALSE)),"")</f>
        <v/>
      </c>
      <c r="H25" s="58" t="str">
        <f>IFERROR(IF(B25="","",VLOOKUP(B25,Tableau16[[Ref]:[CP]],7,FALSE)),"")</f>
        <v/>
      </c>
      <c r="I25" s="127" t="str">
        <f>CONCATENATE(Tableau8[[#This Row],[CT
INDIRECT CHANTIER]],Tableau8[[#This Row],[NOM CHANTIER
INDIRECT ST]],Tableau8[[#This Row],[Sous Traitant]],Tableau8[[#This Row],[MO
INDIRECT CT]],Tableau8[[#This Row],[marché]])</f>
        <v/>
      </c>
      <c r="J25" s="205">
        <f>COUNTIF($I$4:I25,Tableau8[[#This Row],[REF FACT]])</f>
        <v>22</v>
      </c>
      <c r="K25" s="118"/>
      <c r="L25" s="119"/>
      <c r="M25" s="58" t="str">
        <f>IF(Tableau8[[#This Row],[Sous Traitant]]&gt;1,VLOOKUP(Tableau8[[#This Row],[Sous Traitant]],#REF!,3,FALSE),"")</f>
        <v/>
      </c>
      <c r="N25" s="59"/>
      <c r="O25" s="141"/>
      <c r="P25" s="120"/>
      <c r="Q25" s="60"/>
      <c r="R25" s="113"/>
      <c r="S25" s="117"/>
      <c r="T25" s="65">
        <f>SUMIFS($P$4:P25,$I$4:I25,I25)</f>
        <v>0</v>
      </c>
      <c r="U25" s="65" t="str">
        <f>IF(Tableau8[[#This Row],[marché]]="MARCHEINT",VLOOKUP($B25,Tableau16[[Ref]:[AUTRE]],13,FALSE)-Tableau8[[#This Row],[PAYEE]],"")</f>
        <v/>
      </c>
      <c r="V25" s="65" t="str">
        <f>IF(Tableau8[[#This Row],[marché]]="MARCHEEXT",VLOOKUP($B25,Tableau16[[Ref]:[AUTRE]],14,FALSE)-Tableau8[[#This Row],[PAYEE]],"")</f>
        <v/>
      </c>
      <c r="W25" s="65" t="str">
        <f>IF(Tableau8[[#This Row],[marché]]="RG_5%",VLOOKUP($B25,Tableau16[[Ref]:[AUTRE]],15,FALSE)-Tableau8[[#This Row],[PAYEE]],"")</f>
        <v/>
      </c>
      <c r="X25" s="65" t="str">
        <f>IF(Tableau8[[#This Row],[marché]]="BFT_5%",VLOOKUP($B25,Tableau16[[Ref]:[AUTRE]],17,FALSE)-Tableau8[[#This Row],[PAYEE]],"")</f>
        <v/>
      </c>
      <c r="Y25" s="65" t="str">
        <f>IF(Tableau8[[#This Row],[marché]]="AUTRE",VLOOKUP($B25,Tableau16[[Ref]:[AUTRE]],19,FALSE)-Tableau8[[#This Row],[PAYEE]],"")</f>
        <v/>
      </c>
      <c r="Z25" s="157"/>
      <c r="AA25"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26" spans="1:27" s="121" customFormat="1" ht="15.75" hidden="1">
      <c r="A26" s="274"/>
      <c r="B26" s="130" t="str">
        <f>CONCATENATE(Tableau8[[#This Row],[CT
INDIRECT CHANTIER]],Tableau8[[#This Row],[NOM CHANTIER
INDIRECT ST]],Tableau8[[#This Row],[Sous Traitant]],Tableau8[[#This Row],[MO
INDIRECT CT]])</f>
        <v/>
      </c>
      <c r="C26" s="225"/>
      <c r="D26" s="227"/>
      <c r="E26" s="57"/>
      <c r="F26" s="227"/>
      <c r="G26" s="58" t="str">
        <f>IFERROR(IF(B26="","",VLOOKUP(B26,Tableau16[[Ref]:[CP]],6,FALSE)),"")</f>
        <v/>
      </c>
      <c r="H26" s="58" t="str">
        <f>IFERROR(IF(B26="","",VLOOKUP(B26,Tableau16[[Ref]:[CP]],7,FALSE)),"")</f>
        <v/>
      </c>
      <c r="I26" s="127" t="str">
        <f>CONCATENATE(Tableau8[[#This Row],[CT
INDIRECT CHANTIER]],Tableau8[[#This Row],[NOM CHANTIER
INDIRECT ST]],Tableau8[[#This Row],[Sous Traitant]],Tableau8[[#This Row],[MO
INDIRECT CT]],Tableau8[[#This Row],[marché]])</f>
        <v/>
      </c>
      <c r="J26" s="205">
        <f>COUNTIF($I$4:I26,Tableau8[[#This Row],[REF FACT]])</f>
        <v>23</v>
      </c>
      <c r="K26" s="118"/>
      <c r="L26" s="119"/>
      <c r="M26" s="58" t="str">
        <f>IF(Tableau8[[#This Row],[Sous Traitant]]&gt;1,VLOOKUP(Tableau8[[#This Row],[Sous Traitant]],#REF!,3,FALSE),"")</f>
        <v/>
      </c>
      <c r="N26" s="59"/>
      <c r="O26" s="141"/>
      <c r="P26" s="120"/>
      <c r="Q26" s="60"/>
      <c r="R26" s="113"/>
      <c r="S26" s="117"/>
      <c r="T26" s="65">
        <f>SUMIFS($P$4:P26,$I$4:I26,I26)</f>
        <v>0</v>
      </c>
      <c r="U26" s="65" t="str">
        <f>IF(Tableau8[[#This Row],[marché]]="MARCHEINT",VLOOKUP($B26,Tableau16[[Ref]:[AUTRE]],13,FALSE)-Tableau8[[#This Row],[PAYEE]],"")</f>
        <v/>
      </c>
      <c r="V26" s="65" t="str">
        <f>IF(Tableau8[[#This Row],[marché]]="MARCHEEXT",VLOOKUP($B26,Tableau16[[Ref]:[AUTRE]],14,FALSE)-Tableau8[[#This Row],[PAYEE]],"")</f>
        <v/>
      </c>
      <c r="W26" s="65" t="str">
        <f>IF(Tableau8[[#This Row],[marché]]="RG_5%",VLOOKUP($B26,Tableau16[[Ref]:[AUTRE]],15,FALSE)-Tableau8[[#This Row],[PAYEE]],"")</f>
        <v/>
      </c>
      <c r="X26" s="65" t="str">
        <f>IF(Tableau8[[#This Row],[marché]]="BFT_5%",VLOOKUP($B26,Tableau16[[Ref]:[AUTRE]],17,FALSE)-Tableau8[[#This Row],[PAYEE]],"")</f>
        <v/>
      </c>
      <c r="Y26" s="65" t="str">
        <f>IF(Tableau8[[#This Row],[marché]]="AUTRE",VLOOKUP($B26,Tableau16[[Ref]:[AUTRE]],19,FALSE)-Tableau8[[#This Row],[PAYEE]],"")</f>
        <v/>
      </c>
      <c r="Z26" s="157"/>
      <c r="AA26"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27" spans="1:27" s="121" customFormat="1" ht="15.75" hidden="1">
      <c r="A27" s="275"/>
      <c r="B27" s="130" t="str">
        <f>CONCATENATE(Tableau8[[#This Row],[CT
INDIRECT CHANTIER]],Tableau8[[#This Row],[NOM CHANTIER
INDIRECT ST]],Tableau8[[#This Row],[Sous Traitant]],Tableau8[[#This Row],[MO
INDIRECT CT]])</f>
        <v/>
      </c>
      <c r="C27" s="225"/>
      <c r="D27" s="227"/>
      <c r="E27" s="57"/>
      <c r="F27" s="227"/>
      <c r="G27" s="58" t="str">
        <f>IFERROR(IF(B27="","",VLOOKUP(B27,Tableau16[[Ref]:[CP]],6,FALSE)),"")</f>
        <v/>
      </c>
      <c r="H27" s="58" t="str">
        <f>IFERROR(IF(B27="","",VLOOKUP(B27,Tableau16[[Ref]:[CP]],7,FALSE)),"")</f>
        <v/>
      </c>
      <c r="I27" s="127" t="str">
        <f>CONCATENATE(Tableau8[[#This Row],[CT
INDIRECT CHANTIER]],Tableau8[[#This Row],[NOM CHANTIER
INDIRECT ST]],Tableau8[[#This Row],[Sous Traitant]],Tableau8[[#This Row],[MO
INDIRECT CT]],Tableau8[[#This Row],[marché]])</f>
        <v/>
      </c>
      <c r="J27" s="205">
        <f>COUNTIF($I$4:I27,Tableau8[[#This Row],[REF FACT]])</f>
        <v>24</v>
      </c>
      <c r="K27" s="118"/>
      <c r="L27" s="119"/>
      <c r="M27" s="58" t="str">
        <f>IF(Tableau8[[#This Row],[Sous Traitant]]&gt;1,VLOOKUP(Tableau8[[#This Row],[Sous Traitant]],#REF!,3,FALSE),"")</f>
        <v/>
      </c>
      <c r="N27" s="59"/>
      <c r="O27" s="141"/>
      <c r="P27" s="120"/>
      <c r="Q27" s="60"/>
      <c r="R27" s="113"/>
      <c r="S27" s="117"/>
      <c r="T27" s="65">
        <f>SUMIFS($P$4:P27,$I$4:I27,I27)</f>
        <v>0</v>
      </c>
      <c r="U27" s="65" t="str">
        <f>IF(Tableau8[[#This Row],[marché]]="MARCHEINT",VLOOKUP($B27,Tableau16[[Ref]:[AUTRE]],13,FALSE)-Tableau8[[#This Row],[PAYEE]],"")</f>
        <v/>
      </c>
      <c r="V27" s="65" t="str">
        <f>IF(Tableau8[[#This Row],[marché]]="MARCHEEXT",VLOOKUP($B27,Tableau16[[Ref]:[AUTRE]],14,FALSE)-Tableau8[[#This Row],[PAYEE]],"")</f>
        <v/>
      </c>
      <c r="W27" s="65" t="str">
        <f>IF(Tableau8[[#This Row],[marché]]="RG_5%",VLOOKUP($B27,Tableau16[[Ref]:[AUTRE]],15,FALSE)-Tableau8[[#This Row],[PAYEE]],"")</f>
        <v/>
      </c>
      <c r="X27" s="65" t="str">
        <f>IF(Tableau8[[#This Row],[marché]]="BFT_5%",VLOOKUP($B27,Tableau16[[Ref]:[AUTRE]],17,FALSE)-Tableau8[[#This Row],[PAYEE]],"")</f>
        <v/>
      </c>
      <c r="Y27" s="65" t="str">
        <f>IF(Tableau8[[#This Row],[marché]]="AUTRE",VLOOKUP($B27,Tableau16[[Ref]:[AUTRE]],19,FALSE)-Tableau8[[#This Row],[PAYEE]],"")</f>
        <v/>
      </c>
      <c r="Z27" s="157"/>
      <c r="AA27"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28" spans="1:27" s="121" customFormat="1" ht="15.75" hidden="1">
      <c r="A28" s="273" t="s">
        <v>66</v>
      </c>
      <c r="B28" s="130" t="str">
        <f>CONCATENATE(Tableau8[[#This Row],[CT
INDIRECT CHANTIER]],Tableau8[[#This Row],[NOM CHANTIER
INDIRECT ST]],Tableau8[[#This Row],[Sous Traitant]],Tableau8[[#This Row],[MO
INDIRECT CT]])</f>
        <v/>
      </c>
      <c r="C28" s="225"/>
      <c r="D28" s="227"/>
      <c r="E28" s="57"/>
      <c r="F28" s="227"/>
      <c r="G28" s="58" t="str">
        <f>IFERROR(IF(B28="","",VLOOKUP(B28,Tableau16[[Ref]:[CP]],6,FALSE)),"")</f>
        <v/>
      </c>
      <c r="H28" s="58" t="str">
        <f>IFERROR(IF(B28="","",VLOOKUP(B28,Tableau16[[Ref]:[CP]],7,FALSE)),"")</f>
        <v/>
      </c>
      <c r="I28" s="127" t="str">
        <f>CONCATENATE(Tableau8[[#This Row],[CT
INDIRECT CHANTIER]],Tableau8[[#This Row],[NOM CHANTIER
INDIRECT ST]],Tableau8[[#This Row],[Sous Traitant]],Tableau8[[#This Row],[MO
INDIRECT CT]],Tableau8[[#This Row],[marché]])</f>
        <v/>
      </c>
      <c r="J28" s="205">
        <f>COUNTIF($I$4:I28,Tableau8[[#This Row],[REF FACT]])</f>
        <v>25</v>
      </c>
      <c r="K28" s="118"/>
      <c r="L28" s="119"/>
      <c r="M28" s="58" t="str">
        <f>IF(Tableau8[[#This Row],[Sous Traitant]]&gt;1,VLOOKUP(Tableau8[[#This Row],[Sous Traitant]],#REF!,3,FALSE),"")</f>
        <v/>
      </c>
      <c r="N28" s="59"/>
      <c r="O28" s="141"/>
      <c r="P28" s="120"/>
      <c r="Q28" s="60"/>
      <c r="R28" s="113"/>
      <c r="S28" s="117"/>
      <c r="T28" s="65">
        <f>SUMIFS($P$4:P28,$I$4:I28,I28)</f>
        <v>0</v>
      </c>
      <c r="U28" s="65" t="str">
        <f>IF(Tableau8[[#This Row],[marché]]="MARCHEINT",VLOOKUP($B28,Tableau16[[Ref]:[AUTRE]],13,FALSE)-Tableau8[[#This Row],[PAYEE]],"")</f>
        <v/>
      </c>
      <c r="V28" s="65" t="str">
        <f>IF(Tableau8[[#This Row],[marché]]="MARCHEEXT",VLOOKUP($B28,Tableau16[[Ref]:[AUTRE]],14,FALSE)-Tableau8[[#This Row],[PAYEE]],"")</f>
        <v/>
      </c>
      <c r="W28" s="65" t="str">
        <f>IF(Tableau8[[#This Row],[marché]]="RG_5%",VLOOKUP($B28,Tableau16[[Ref]:[AUTRE]],15,FALSE)-Tableau8[[#This Row],[PAYEE]],"")</f>
        <v/>
      </c>
      <c r="X28" s="65" t="str">
        <f>IF(Tableau8[[#This Row],[marché]]="BFT_5%",VLOOKUP($B28,Tableau16[[Ref]:[AUTRE]],17,FALSE)-Tableau8[[#This Row],[PAYEE]],"")</f>
        <v/>
      </c>
      <c r="Y28" s="65" t="str">
        <f>IF(Tableau8[[#This Row],[marché]]="AUTRE",VLOOKUP($B28,Tableau16[[Ref]:[AUTRE]],19,FALSE)-Tableau8[[#This Row],[PAYEE]],"")</f>
        <v/>
      </c>
      <c r="Z28" s="157"/>
      <c r="AA28"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29" spans="1:27" s="121" customFormat="1" ht="15.75" hidden="1">
      <c r="A29" s="274"/>
      <c r="B29" s="130" t="str">
        <f>CONCATENATE(Tableau8[[#This Row],[CT
INDIRECT CHANTIER]],Tableau8[[#This Row],[NOM CHANTIER
INDIRECT ST]],Tableau8[[#This Row],[Sous Traitant]],Tableau8[[#This Row],[MO
INDIRECT CT]])</f>
        <v/>
      </c>
      <c r="C29" s="225"/>
      <c r="D29" s="227"/>
      <c r="E29" s="57"/>
      <c r="F29" s="227"/>
      <c r="G29" s="58" t="str">
        <f>IFERROR(IF(B29="","",VLOOKUP(B29,Tableau16[[Ref]:[CP]],6,FALSE)),"")</f>
        <v/>
      </c>
      <c r="H29" s="58" t="str">
        <f>IFERROR(IF(B29="","",VLOOKUP(B29,Tableau16[[Ref]:[CP]],7,FALSE)),"")</f>
        <v/>
      </c>
      <c r="I29" s="127" t="str">
        <f>CONCATENATE(Tableau8[[#This Row],[CT
INDIRECT CHANTIER]],Tableau8[[#This Row],[NOM CHANTIER
INDIRECT ST]],Tableau8[[#This Row],[Sous Traitant]],Tableau8[[#This Row],[MO
INDIRECT CT]],Tableau8[[#This Row],[marché]])</f>
        <v/>
      </c>
      <c r="J29" s="205">
        <f>COUNTIF($I$4:I29,Tableau8[[#This Row],[REF FACT]])</f>
        <v>26</v>
      </c>
      <c r="K29" s="118"/>
      <c r="L29" s="119"/>
      <c r="M29" s="58" t="str">
        <f>IF(Tableau8[[#This Row],[Sous Traitant]]&gt;1,VLOOKUP(Tableau8[[#This Row],[Sous Traitant]],#REF!,3,FALSE),"")</f>
        <v/>
      </c>
      <c r="N29" s="59"/>
      <c r="O29" s="141"/>
      <c r="P29" s="120"/>
      <c r="Q29" s="60"/>
      <c r="R29" s="113"/>
      <c r="S29" s="117"/>
      <c r="T29" s="65">
        <f>SUMIFS($P$4:P29,$I$4:I29,I29)</f>
        <v>0</v>
      </c>
      <c r="U29" s="65" t="str">
        <f>IF(Tableau8[[#This Row],[marché]]="MARCHEINT",VLOOKUP($B29,Tableau16[[Ref]:[AUTRE]],13,FALSE)-Tableau8[[#This Row],[PAYEE]],"")</f>
        <v/>
      </c>
      <c r="V29" s="65" t="str">
        <f>IF(Tableau8[[#This Row],[marché]]="MARCHEEXT",VLOOKUP($B29,Tableau16[[Ref]:[AUTRE]],14,FALSE)-Tableau8[[#This Row],[PAYEE]],"")</f>
        <v/>
      </c>
      <c r="W29" s="65" t="str">
        <f>IF(Tableau8[[#This Row],[marché]]="RG_5%",VLOOKUP($B29,Tableau16[[Ref]:[AUTRE]],15,FALSE)-Tableau8[[#This Row],[PAYEE]],"")</f>
        <v/>
      </c>
      <c r="X29" s="65" t="str">
        <f>IF(Tableau8[[#This Row],[marché]]="BFT_5%",VLOOKUP($B29,Tableau16[[Ref]:[AUTRE]],17,FALSE)-Tableau8[[#This Row],[PAYEE]],"")</f>
        <v/>
      </c>
      <c r="Y29" s="65" t="str">
        <f>IF(Tableau8[[#This Row],[marché]]="AUTRE",VLOOKUP($B29,Tableau16[[Ref]:[AUTRE]],19,FALSE)-Tableau8[[#This Row],[PAYEE]],"")</f>
        <v/>
      </c>
      <c r="Z29" s="157"/>
      <c r="AA29"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30" spans="1:27" s="121" customFormat="1" ht="15.75" hidden="1">
      <c r="A30" s="274"/>
      <c r="B30" s="130" t="str">
        <f>CONCATENATE(Tableau8[[#This Row],[CT
INDIRECT CHANTIER]],Tableau8[[#This Row],[NOM CHANTIER
INDIRECT ST]],Tableau8[[#This Row],[Sous Traitant]],Tableau8[[#This Row],[MO
INDIRECT CT]])</f>
        <v/>
      </c>
      <c r="C30" s="225"/>
      <c r="D30" s="227"/>
      <c r="E30" s="57"/>
      <c r="F30" s="227"/>
      <c r="G30" s="58" t="str">
        <f>IFERROR(IF(B30="","",VLOOKUP(B30,Tableau16[[Ref]:[CP]],6,FALSE)),"")</f>
        <v/>
      </c>
      <c r="H30" s="58" t="str">
        <f>IFERROR(IF(B30="","",VLOOKUP(B30,Tableau16[[Ref]:[CP]],7,FALSE)),"")</f>
        <v/>
      </c>
      <c r="I30" s="127" t="str">
        <f>CONCATENATE(Tableau8[[#This Row],[CT
INDIRECT CHANTIER]],Tableau8[[#This Row],[NOM CHANTIER
INDIRECT ST]],Tableau8[[#This Row],[Sous Traitant]],Tableau8[[#This Row],[MO
INDIRECT CT]],Tableau8[[#This Row],[marché]])</f>
        <v/>
      </c>
      <c r="J30" s="205">
        <f>COUNTIF($I$4:I30,Tableau8[[#This Row],[REF FACT]])</f>
        <v>27</v>
      </c>
      <c r="K30" s="118"/>
      <c r="L30" s="119"/>
      <c r="M30" s="58" t="str">
        <f>IF(Tableau8[[#This Row],[Sous Traitant]]&gt;1,VLOOKUP(Tableau8[[#This Row],[Sous Traitant]],#REF!,3,FALSE),"")</f>
        <v/>
      </c>
      <c r="N30" s="59"/>
      <c r="O30" s="141"/>
      <c r="P30" s="120"/>
      <c r="Q30" s="60"/>
      <c r="R30" s="113"/>
      <c r="S30" s="117"/>
      <c r="T30" s="65">
        <f>SUMIFS($P$4:P30,$I$4:I30,I30)</f>
        <v>0</v>
      </c>
      <c r="U30" s="65" t="str">
        <f>IF(Tableau8[[#This Row],[marché]]="MARCHEINT",VLOOKUP($B30,Tableau16[[Ref]:[AUTRE]],13,FALSE)-Tableau8[[#This Row],[PAYEE]],"")</f>
        <v/>
      </c>
      <c r="V30" s="65" t="str">
        <f>IF(Tableau8[[#This Row],[marché]]="MARCHEEXT",VLOOKUP($B30,Tableau16[[Ref]:[AUTRE]],14,FALSE)-Tableau8[[#This Row],[PAYEE]],"")</f>
        <v/>
      </c>
      <c r="W30" s="65" t="str">
        <f>IF(Tableau8[[#This Row],[marché]]="RG_5%",VLOOKUP($B30,Tableau16[[Ref]:[AUTRE]],15,FALSE)-Tableau8[[#This Row],[PAYEE]],"")</f>
        <v/>
      </c>
      <c r="X30" s="65" t="str">
        <f>IF(Tableau8[[#This Row],[marché]]="BFT_5%",VLOOKUP($B30,Tableau16[[Ref]:[AUTRE]],17,FALSE)-Tableau8[[#This Row],[PAYEE]],"")</f>
        <v/>
      </c>
      <c r="Y30" s="65" t="str">
        <f>IF(Tableau8[[#This Row],[marché]]="AUTRE",VLOOKUP($B30,Tableau16[[Ref]:[AUTRE]],19,FALSE)-Tableau8[[#This Row],[PAYEE]],"")</f>
        <v/>
      </c>
      <c r="Z30" s="157"/>
      <c r="AA30"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31" spans="1:27" s="121" customFormat="1" ht="15.75" hidden="1">
      <c r="A31" s="275"/>
      <c r="B31" s="130" t="str">
        <f>CONCATENATE(Tableau8[[#This Row],[CT
INDIRECT CHANTIER]],Tableau8[[#This Row],[NOM CHANTIER
INDIRECT ST]],Tableau8[[#This Row],[Sous Traitant]],Tableau8[[#This Row],[MO
INDIRECT CT]])</f>
        <v/>
      </c>
      <c r="C31" s="225"/>
      <c r="D31" s="227"/>
      <c r="E31" s="57"/>
      <c r="F31" s="227"/>
      <c r="G31" s="58" t="str">
        <f>IFERROR(IF(B31="","",VLOOKUP(B31,Tableau16[[Ref]:[CP]],6,FALSE)),"")</f>
        <v/>
      </c>
      <c r="H31" s="58" t="str">
        <f>IFERROR(IF(B31="","",VLOOKUP(B31,Tableau16[[Ref]:[CP]],7,FALSE)),"")</f>
        <v/>
      </c>
      <c r="I31" s="127" t="str">
        <f>CONCATENATE(Tableau8[[#This Row],[CT
INDIRECT CHANTIER]],Tableau8[[#This Row],[NOM CHANTIER
INDIRECT ST]],Tableau8[[#This Row],[Sous Traitant]],Tableau8[[#This Row],[MO
INDIRECT CT]],Tableau8[[#This Row],[marché]])</f>
        <v/>
      </c>
      <c r="J31" s="205">
        <f>COUNTIF($I$4:I31,Tableau8[[#This Row],[REF FACT]])</f>
        <v>28</v>
      </c>
      <c r="K31" s="118"/>
      <c r="L31" s="119"/>
      <c r="M31" s="58" t="str">
        <f>IF(Tableau8[[#This Row],[Sous Traitant]]&gt;1,VLOOKUP(Tableau8[[#This Row],[Sous Traitant]],#REF!,3,FALSE),"")</f>
        <v/>
      </c>
      <c r="N31" s="59"/>
      <c r="O31" s="141"/>
      <c r="P31" s="120"/>
      <c r="Q31" s="60"/>
      <c r="R31" s="113"/>
      <c r="S31" s="117"/>
      <c r="T31" s="65">
        <f>SUMIFS($P$4:P31,$I$4:I31,I31)</f>
        <v>0</v>
      </c>
      <c r="U31" s="65" t="str">
        <f>IF(Tableau8[[#This Row],[marché]]="MARCHEINT",VLOOKUP($B31,Tableau16[[Ref]:[AUTRE]],13,FALSE)-Tableau8[[#This Row],[PAYEE]],"")</f>
        <v/>
      </c>
      <c r="V31" s="65" t="str">
        <f>IF(Tableau8[[#This Row],[marché]]="MARCHEEXT",VLOOKUP($B31,Tableau16[[Ref]:[AUTRE]],14,FALSE)-Tableau8[[#This Row],[PAYEE]],"")</f>
        <v/>
      </c>
      <c r="W31" s="65" t="str">
        <f>IF(Tableau8[[#This Row],[marché]]="RG_5%",VLOOKUP($B31,Tableau16[[Ref]:[AUTRE]],15,FALSE)-Tableau8[[#This Row],[PAYEE]],"")</f>
        <v/>
      </c>
      <c r="X31" s="65" t="str">
        <f>IF(Tableau8[[#This Row],[marché]]="BFT_5%",VLOOKUP($B31,Tableau16[[Ref]:[AUTRE]],17,FALSE)-Tableau8[[#This Row],[PAYEE]],"")</f>
        <v/>
      </c>
      <c r="Y31" s="65" t="str">
        <f>IF(Tableau8[[#This Row],[marché]]="AUTRE",VLOOKUP($B31,Tableau16[[Ref]:[AUTRE]],19,FALSE)-Tableau8[[#This Row],[PAYEE]],"")</f>
        <v/>
      </c>
      <c r="Z31" s="157"/>
      <c r="AA31"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32" spans="1:27" ht="15.75">
      <c r="A32" s="279" t="s">
        <v>67</v>
      </c>
      <c r="B32" s="130" t="str">
        <f>CONCATENATE(Tableau8[[#This Row],[CT
INDIRECT CHANTIER]],Tableau8[[#This Row],[NOM CHANTIER
INDIRECT ST]],Tableau8[[#This Row],[Sous Traitant]],Tableau8[[#This Row],[MO
INDIRECT CT]])</f>
        <v>ARNAUDBOBIGNYAspirit</v>
      </c>
      <c r="C32" s="231" t="s">
        <v>171</v>
      </c>
      <c r="D32" s="232" t="s">
        <v>68</v>
      </c>
      <c r="E32" s="232" t="s">
        <v>160</v>
      </c>
      <c r="F32" s="233" t="s">
        <v>146</v>
      </c>
      <c r="G32" s="58" t="str">
        <f>IFERROR(IF(B32="","",VLOOKUP(B32,Tableau16[[Ref]:[CP]],6,FALSE)),"")</f>
        <v>13 BIS RUE DU PONT</v>
      </c>
      <c r="H32" s="58">
        <f>IFERROR(IF(B32="","",VLOOKUP(B32,Tableau16[[Ref]:[CP]],7,FALSE)),"")</f>
        <v>7700</v>
      </c>
      <c r="I32" s="127" t="str">
        <f>CONCATENATE(Tableau8[[#This Row],[CT
INDIRECT CHANTIER]],Tableau8[[#This Row],[NOM CHANTIER
INDIRECT ST]],Tableau8[[#This Row],[Sous Traitant]],Tableau8[[#This Row],[MO
INDIRECT CT]],Tableau8[[#This Row],[marché]])</f>
        <v>ARNAUDBOBIGNYAspiritMARCHEINT</v>
      </c>
      <c r="J32" s="205">
        <f>COUNTIF($I$4:I32,Tableau8[[#This Row],[REF FACT]])</f>
        <v>1</v>
      </c>
      <c r="K32" s="61" t="s">
        <v>69</v>
      </c>
      <c r="L32" s="62">
        <v>44041</v>
      </c>
      <c r="M32" s="58" t="str">
        <f>IF(Tableau8[[#This Row],[Sous Traitant]]&gt;1,VLOOKUP(Tableau8[[#This Row],[Sous Traitant]],Tableau11[[SOUS TRAITANT]:[DELAIS PAIEMENT]],4,FALSE),"")</f>
        <v>45J</v>
      </c>
      <c r="N32" s="63">
        <f>IF(M32="15J",EOMONTH(L32,0)+15,IF(M32="45J",EOMONTH(L32+30,0)+15,""))</f>
        <v>44089</v>
      </c>
      <c r="O32" s="141" t="s">
        <v>158</v>
      </c>
      <c r="P32" s="64">
        <v>600</v>
      </c>
      <c r="Q32" s="60" t="s">
        <v>161</v>
      </c>
      <c r="R32" s="113"/>
      <c r="S32" s="66"/>
      <c r="T32" s="65">
        <f>SUMIFS($P$4:P32,$I$4:I32,I32)</f>
        <v>600</v>
      </c>
      <c r="U32" s="65" t="e">
        <f ca="1">IF(Tableau8[[#This Row],[marché]]="MARCHEINT",VLOOKUP($B32,Tableau16[[Ref]:[AUTRE]],13,FALSE)-Tableau8[[#This Row],[PAYEE]],"")</f>
        <v>#N/A</v>
      </c>
      <c r="V32" s="65" t="str">
        <f>IF(Tableau8[[#This Row],[marché]]="MARCHEEXT",VLOOKUP($B32,Tableau16[[Ref]:[AUTRE]],14,FALSE)-Tableau8[[#This Row],[PAYEE]],"")</f>
        <v/>
      </c>
      <c r="W32" s="65" t="str">
        <f>IF(Tableau8[[#This Row],[marché]]="RG_5%",VLOOKUP($B32,Tableau16[[Ref]:[AUTRE]],15,FALSE)-Tableau8[[#This Row],[PAYEE]],"")</f>
        <v/>
      </c>
      <c r="X32" s="65" t="str">
        <f>IF(Tableau8[[#This Row],[marché]]="BFT_5%",VLOOKUP($B32,Tableau16[[Ref]:[AUTRE]],17,FALSE)-Tableau8[[#This Row],[PAYEE]],"")</f>
        <v/>
      </c>
      <c r="Y32" s="65" t="str">
        <f>IF(Tableau8[[#This Row],[marché]]="AUTRE",VLOOKUP($B32,Tableau16[[Ref]:[AUTRE]],19,FALSE)-Tableau8[[#This Row],[PAYEE]],"")</f>
        <v/>
      </c>
      <c r="Z32" s="65"/>
      <c r="AA32" s="164" t="e">
        <f ca="1">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#N/A</v>
      </c>
    </row>
    <row r="33" spans="1:27" ht="15.75">
      <c r="A33" s="280"/>
      <c r="B33" s="130" t="str">
        <f>CONCATENATE(Tableau8[[#This Row],[CT
INDIRECT CHANTIER]],Tableau8[[#This Row],[NOM CHANTIER
INDIRECT ST]],Tableau8[[#This Row],[Sous Traitant]],Tableau8[[#This Row],[MO
INDIRECT CT]])</f>
        <v>ARNAUDST MICHEL SUR ORGEAspirit</v>
      </c>
      <c r="C33" s="231" t="s">
        <v>171</v>
      </c>
      <c r="D33" s="232" t="s">
        <v>70</v>
      </c>
      <c r="E33" s="232" t="s">
        <v>160</v>
      </c>
      <c r="F33" s="233" t="s">
        <v>146</v>
      </c>
      <c r="G33" s="58">
        <f>IFERROR(IF(B33="","",VLOOKUP(B33,Tableau16[[Ref]:[CP]],6,FALSE)),"")</f>
        <v>0</v>
      </c>
      <c r="H33" s="58">
        <f>IFERROR(IF(B33="","",VLOOKUP(B33,Tableau16[[Ref]:[CP]],7,FALSE)),"")</f>
        <v>0</v>
      </c>
      <c r="I33" s="127" t="str">
        <f>CONCATENATE(Tableau8[[#This Row],[CT
INDIRECT CHANTIER]],Tableau8[[#This Row],[NOM CHANTIER
INDIRECT ST]],Tableau8[[#This Row],[Sous Traitant]],Tableau8[[#This Row],[MO
INDIRECT CT]],Tableau8[[#This Row],[marché]])</f>
        <v>ARNAUDST MICHEL SUR ORGEAspiritMARCHEINT</v>
      </c>
      <c r="J33" s="205">
        <f>COUNTIF($I$4:I33,Tableau8[[#This Row],[REF FACT]])</f>
        <v>1</v>
      </c>
      <c r="K33" s="61" t="s">
        <v>71</v>
      </c>
      <c r="L33" s="62">
        <v>44041</v>
      </c>
      <c r="M33" s="58" t="str">
        <f>IF(Tableau8[[#This Row],[Sous Traitant]]&gt;1,VLOOKUP(Tableau8[[#This Row],[Sous Traitant]],Tableau11[[SOUS TRAITANT]:[DELAIS PAIEMENT]],4,FALSE),"")</f>
        <v>45J</v>
      </c>
      <c r="N33" s="63">
        <f t="shared" ref="N33:N70" si="0">IF(M33="15J",EOMONTH(L33,0)+15,IF(M33="45J",EOMONTH(L33+30,0)+15,""))</f>
        <v>44089</v>
      </c>
      <c r="O33" s="141" t="s">
        <v>158</v>
      </c>
      <c r="P33" s="64">
        <v>1400</v>
      </c>
      <c r="Q33" s="60" t="s">
        <v>161</v>
      </c>
      <c r="R33" s="113"/>
      <c r="S33" s="66"/>
      <c r="T33" s="65">
        <f>SUMIFS($P$4:P33,$I$4:I33,I33)</f>
        <v>1400</v>
      </c>
      <c r="U33" s="65" t="e">
        <f ca="1">IF(Tableau8[[#This Row],[marché]]="MARCHEINT",VLOOKUP($B33,Tableau16[[Ref]:[AUTRE]],13,FALSE)-Tableau8[[#This Row],[PAYEE]],"")</f>
        <v>#N/A</v>
      </c>
      <c r="V33" s="65" t="str">
        <f>IF(Tableau8[[#This Row],[marché]]="MARCHEEXT",VLOOKUP($B33,Tableau16[[Ref]:[AUTRE]],14,FALSE)-Tableau8[[#This Row],[PAYEE]],"")</f>
        <v/>
      </c>
      <c r="W33" s="65" t="str">
        <f>IF(Tableau8[[#This Row],[marché]]="RG_5%",VLOOKUP($B33,Tableau16[[Ref]:[AUTRE]],15,FALSE)-Tableau8[[#This Row],[PAYEE]],"")</f>
        <v/>
      </c>
      <c r="X33" s="65" t="str">
        <f>IF(Tableau8[[#This Row],[marché]]="BFT_5%",VLOOKUP($B33,Tableau16[[Ref]:[AUTRE]],17,FALSE)-Tableau8[[#This Row],[PAYEE]],"")</f>
        <v/>
      </c>
      <c r="Y33" s="65" t="str">
        <f>IF(Tableau8[[#This Row],[marché]]="AUTRE",VLOOKUP($B33,Tableau16[[Ref]:[AUTRE]],19,FALSE)-Tableau8[[#This Row],[PAYEE]],"")</f>
        <v/>
      </c>
      <c r="Z33" s="65"/>
      <c r="AA33" s="164" t="e">
        <f ca="1">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#N/A</v>
      </c>
    </row>
    <row r="34" spans="1:27" ht="15.75">
      <c r="A34" s="280"/>
      <c r="B34" s="130" t="str">
        <f>CONCATENATE(Tableau8[[#This Row],[CT
INDIRECT CHANTIER]],Tableau8[[#This Row],[NOM CHANTIER
INDIRECT ST]],Tableau8[[#This Row],[Sous Traitant]],Tableau8[[#This Row],[MO
INDIRECT CT]])</f>
        <v>ARNAUDST MICHEL SUR ORGEAspirit</v>
      </c>
      <c r="C34" s="231" t="s">
        <v>171</v>
      </c>
      <c r="D34" s="232" t="s">
        <v>70</v>
      </c>
      <c r="E34" s="232" t="s">
        <v>160</v>
      </c>
      <c r="F34" s="233" t="s">
        <v>146</v>
      </c>
      <c r="G34" s="58">
        <f>IFERROR(IF(B34="","",VLOOKUP(B34,Tableau16[[Ref]:[CP]],6,FALSE)),"")</f>
        <v>0</v>
      </c>
      <c r="H34" s="58">
        <f>IFERROR(IF(B34="","",VLOOKUP(B34,Tableau16[[Ref]:[CP]],7,FALSE)),"")</f>
        <v>0</v>
      </c>
      <c r="I34" s="127" t="str">
        <f>CONCATENATE(Tableau8[[#This Row],[CT
INDIRECT CHANTIER]],Tableau8[[#This Row],[NOM CHANTIER
INDIRECT ST]],Tableau8[[#This Row],[Sous Traitant]],Tableau8[[#This Row],[MO
INDIRECT CT]],Tableau8[[#This Row],[marché]])</f>
        <v>ARNAUDST MICHEL SUR ORGEAspiritMARCHEINT</v>
      </c>
      <c r="J34" s="205">
        <f>COUNTIF($I$4:I34,Tableau8[[#This Row],[REF FACT]])</f>
        <v>2</v>
      </c>
      <c r="K34" s="61">
        <v>167</v>
      </c>
      <c r="L34" s="62">
        <v>44043</v>
      </c>
      <c r="M34" s="58" t="str">
        <f>IF(Tableau8[[#This Row],[Sous Traitant]]&gt;1,VLOOKUP(Tableau8[[#This Row],[Sous Traitant]],Tableau11[[SOUS TRAITANT]:[DELAIS PAIEMENT]],4,FALSE),"")</f>
        <v>45J</v>
      </c>
      <c r="N34" s="63">
        <f>IF(M34="15J",EOMONTH(L34,0)+15,IF(M34="45J",EOMONTH(L34+30,0)+15,""))</f>
        <v>44089</v>
      </c>
      <c r="O34" s="141" t="s">
        <v>158</v>
      </c>
      <c r="P34" s="64">
        <v>1140</v>
      </c>
      <c r="Q34" s="60" t="s">
        <v>161</v>
      </c>
      <c r="R34" s="113"/>
      <c r="S34" s="66"/>
      <c r="T34" s="65">
        <f>SUMIFS($P$4:P34,$I$4:I34,I34)</f>
        <v>2540</v>
      </c>
      <c r="U34" s="65" t="e">
        <f ca="1">IF(Tableau8[[#This Row],[marché]]="MARCHEINT",VLOOKUP($B34,Tableau16[[Ref]:[AUTRE]],13,FALSE)-Tableau8[[#This Row],[PAYEE]],"")</f>
        <v>#N/A</v>
      </c>
      <c r="V34" s="65" t="str">
        <f>IF(Tableau8[[#This Row],[marché]]="MARCHEEXT",VLOOKUP($B34,Tableau16[[Ref]:[AUTRE]],14,FALSE)-Tableau8[[#This Row],[PAYEE]],"")</f>
        <v/>
      </c>
      <c r="W34" s="65" t="str">
        <f>IF(Tableau8[[#This Row],[marché]]="RG_5%",VLOOKUP($B34,Tableau16[[Ref]:[AUTRE]],15,FALSE)-Tableau8[[#This Row],[PAYEE]],"")</f>
        <v/>
      </c>
      <c r="X34" s="65" t="str">
        <f>IF(Tableau8[[#This Row],[marché]]="BFT_5%",VLOOKUP($B34,Tableau16[[Ref]:[AUTRE]],17,FALSE)-Tableau8[[#This Row],[PAYEE]],"")</f>
        <v/>
      </c>
      <c r="Y34" s="65" t="str">
        <f>IF(Tableau8[[#This Row],[marché]]="AUTRE",VLOOKUP($B34,Tableau16[[Ref]:[AUTRE]],19,FALSE)-Tableau8[[#This Row],[PAYEE]],"")</f>
        <v/>
      </c>
      <c r="Z34" s="65"/>
      <c r="AA34" s="164" t="e">
        <f ca="1">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#N/A</v>
      </c>
    </row>
    <row r="35" spans="1:27" ht="15.75">
      <c r="A35" s="280"/>
      <c r="B35" s="130" t="str">
        <f>CONCATENATE(Tableau8[[#This Row],[CT
INDIRECT CHANTIER]],Tableau8[[#This Row],[NOM CHANTIER
INDIRECT ST]],Tableau8[[#This Row],[Sous Traitant]],Tableau8[[#This Row],[MO
INDIRECT CT]])</f>
        <v>ARNAUDST CYR Aspirit</v>
      </c>
      <c r="C35" s="231" t="s">
        <v>171</v>
      </c>
      <c r="D35" s="232" t="s">
        <v>72</v>
      </c>
      <c r="E35" s="232" t="s">
        <v>160</v>
      </c>
      <c r="F35" s="233" t="s">
        <v>146</v>
      </c>
      <c r="G35" s="58">
        <f>IFERROR(IF(B35="","",VLOOKUP(B35,Tableau16[[Ref]:[CP]],6,FALSE)),"")</f>
        <v>0</v>
      </c>
      <c r="H35" s="58">
        <f>IFERROR(IF(B35="","",VLOOKUP(B35,Tableau16[[Ref]:[CP]],7,FALSE)),"")</f>
        <v>0</v>
      </c>
      <c r="I35" s="127" t="str">
        <f>CONCATENATE(Tableau8[[#This Row],[CT
INDIRECT CHANTIER]],Tableau8[[#This Row],[NOM CHANTIER
INDIRECT ST]],Tableau8[[#This Row],[Sous Traitant]],Tableau8[[#This Row],[MO
INDIRECT CT]],Tableau8[[#This Row],[marché]])</f>
        <v>ARNAUDST CYR AspiritMARCHEEXT</v>
      </c>
      <c r="J35" s="205">
        <f>COUNTIF($I$4:I35,Tableau8[[#This Row],[REF FACT]])</f>
        <v>1</v>
      </c>
      <c r="K35" s="61">
        <v>169</v>
      </c>
      <c r="L35" s="62">
        <v>44043</v>
      </c>
      <c r="M35" s="58" t="str">
        <f>IF(Tableau8[[#This Row],[Sous Traitant]]&gt;1,VLOOKUP(Tableau8[[#This Row],[Sous Traitant]],Tableau11[[SOUS TRAITANT]:[DELAIS PAIEMENT]],4,FALSE),"")</f>
        <v>45J</v>
      </c>
      <c r="N35" s="63">
        <f t="shared" si="0"/>
        <v>44089</v>
      </c>
      <c r="O35" s="141" t="s">
        <v>159</v>
      </c>
      <c r="P35" s="64">
        <v>5453</v>
      </c>
      <c r="Q35" s="60" t="s">
        <v>161</v>
      </c>
      <c r="R35" s="113"/>
      <c r="S35" s="66"/>
      <c r="T35" s="65">
        <f>SUMIFS($P$4:P35,$I$4:I35,I35)</f>
        <v>5453</v>
      </c>
      <c r="U35" s="65" t="str">
        <f>IF(Tableau8[[#This Row],[marché]]="MARCHEINT",VLOOKUP($B35,Tableau16[[Ref]:[AUTRE]],13,FALSE)-Tableau8[[#This Row],[PAYEE]],"")</f>
        <v/>
      </c>
      <c r="V35" s="65" t="e">
        <f ca="1">IF(Tableau8[[#This Row],[marché]]="MARCHEEXT",VLOOKUP($B35,Tableau16[[Ref]:[AUTRE]],14,FALSE)-Tableau8[[#This Row],[PAYEE]],"")</f>
        <v>#N/A</v>
      </c>
      <c r="W35" s="65" t="str">
        <f>IF(Tableau8[[#This Row],[marché]]="RG_5%",VLOOKUP($B35,Tableau16[[Ref]:[AUTRE]],15,FALSE)-Tableau8[[#This Row],[PAYEE]],"")</f>
        <v/>
      </c>
      <c r="X35" s="65" t="str">
        <f>IF(Tableau8[[#This Row],[marché]]="BFT_5%",VLOOKUP($B35,Tableau16[[Ref]:[AUTRE]],17,FALSE)-Tableau8[[#This Row],[PAYEE]],"")</f>
        <v/>
      </c>
      <c r="Y35" s="65" t="str">
        <f>IF(Tableau8[[#This Row],[marché]]="AUTRE",VLOOKUP($B35,Tableau16[[Ref]:[AUTRE]],19,FALSE)-Tableau8[[#This Row],[PAYEE]],"")</f>
        <v/>
      </c>
      <c r="Z35" s="65"/>
      <c r="AA35" s="164" t="e">
        <f ca="1">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#N/A</v>
      </c>
    </row>
    <row r="36" spans="1:27" ht="15.75">
      <c r="A36" s="280"/>
      <c r="B36" s="130" t="str">
        <f>CONCATENATE(Tableau8[[#This Row],[CT
INDIRECT CHANTIER]],Tableau8[[#This Row],[NOM CHANTIER
INDIRECT ST]],Tableau8[[#This Row],[Sous Traitant]],Tableau8[[#This Row],[MO
INDIRECT CT]])</f>
        <v>ARNAUDPUTEAU CORDELIAAspirit</v>
      </c>
      <c r="C36" s="231" t="s">
        <v>171</v>
      </c>
      <c r="D36" s="232" t="s">
        <v>73</v>
      </c>
      <c r="E36" s="232" t="s">
        <v>160</v>
      </c>
      <c r="F36" s="233" t="s">
        <v>146</v>
      </c>
      <c r="G36" s="58">
        <f>IFERROR(IF(B36="","",VLOOKUP(B36,Tableau16[[Ref]:[CP]],6,FALSE)),"")</f>
        <v>0</v>
      </c>
      <c r="H36" s="58">
        <f>IFERROR(IF(B36="","",VLOOKUP(B36,Tableau16[[Ref]:[CP]],7,FALSE)),"")</f>
        <v>0</v>
      </c>
      <c r="I36" s="127" t="str">
        <f>CONCATENATE(Tableau8[[#This Row],[CT
INDIRECT CHANTIER]],Tableau8[[#This Row],[NOM CHANTIER
INDIRECT ST]],Tableau8[[#This Row],[Sous Traitant]],Tableau8[[#This Row],[MO
INDIRECT CT]],Tableau8[[#This Row],[marché]])</f>
        <v>ARNAUDPUTEAU CORDELIAAspiritMARCHEEXT</v>
      </c>
      <c r="J36" s="205">
        <f>COUNTIF($I$4:I36,Tableau8[[#This Row],[REF FACT]])</f>
        <v>1</v>
      </c>
      <c r="K36" s="61">
        <v>165</v>
      </c>
      <c r="L36" s="62">
        <v>44043</v>
      </c>
      <c r="M36" s="58" t="str">
        <f>IF(Tableau8[[#This Row],[Sous Traitant]]&gt;1,VLOOKUP(Tableau8[[#This Row],[Sous Traitant]],Tableau11[[SOUS TRAITANT]:[DELAIS PAIEMENT]],4,FALSE),"")</f>
        <v>45J</v>
      </c>
      <c r="N36" s="63">
        <f t="shared" si="0"/>
        <v>44089</v>
      </c>
      <c r="O36" s="141" t="s">
        <v>159</v>
      </c>
      <c r="P36" s="64">
        <v>56000</v>
      </c>
      <c r="Q36" s="60" t="s">
        <v>161</v>
      </c>
      <c r="R36" s="113"/>
      <c r="S36" s="66"/>
      <c r="T36" s="65">
        <f>SUMIFS($P$4:P36,$I$4:I36,I36)</f>
        <v>56000</v>
      </c>
      <c r="U36" s="65" t="str">
        <f>IF(Tableau8[[#This Row],[marché]]="MARCHEINT",VLOOKUP($B36,Tableau16[[Ref]:[AUTRE]],13,FALSE)-Tableau8[[#This Row],[PAYEE]],"")</f>
        <v/>
      </c>
      <c r="V36" s="65">
        <f>IF(Tableau8[[#This Row],[marché]]="MARCHEEXT",VLOOKUP($B36,Tableau16[[Ref]:[AUTRE]],14,FALSE)-Tableau8[[#This Row],[PAYEE]],"")</f>
        <v>-1000</v>
      </c>
      <c r="W36" s="65" t="str">
        <f>IF(Tableau8[[#This Row],[marché]]="RG_5%",VLOOKUP($B36,Tableau16[[Ref]:[AUTRE]],15,FALSE)-Tableau8[[#This Row],[PAYEE]],"")</f>
        <v/>
      </c>
      <c r="X36" s="65" t="str">
        <f>IF(Tableau8[[#This Row],[marché]]="BFT_5%",VLOOKUP($B36,Tableau16[[Ref]:[AUTRE]],17,FALSE)-Tableau8[[#This Row],[PAYEE]],"")</f>
        <v/>
      </c>
      <c r="Y36" s="65" t="str">
        <f>IF(Tableau8[[#This Row],[marché]]="AUTRE",VLOOKUP($B36,Tableau16[[Ref]:[AUTRE]],19,FALSE)-Tableau8[[#This Row],[PAYEE]],"")</f>
        <v/>
      </c>
      <c r="Z36" s="65"/>
      <c r="AA36" s="164">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55000</v>
      </c>
    </row>
    <row r="37" spans="1:27" ht="15.75">
      <c r="A37" s="280"/>
      <c r="B37" s="130" t="str">
        <f>CONCATENATE(Tableau8[[#This Row],[CT
INDIRECT CHANTIER]],Tableau8[[#This Row],[NOM CHANTIER
INDIRECT ST]],Tableau8[[#This Row],[Sous Traitant]],Tableau8[[#This Row],[MO
INDIRECT CT]])</f>
        <v>ARNAUDPUTEAU CORDELIAAspirit</v>
      </c>
      <c r="C37" s="231" t="s">
        <v>171</v>
      </c>
      <c r="D37" s="232" t="s">
        <v>73</v>
      </c>
      <c r="E37" s="232" t="s">
        <v>160</v>
      </c>
      <c r="F37" s="233" t="s">
        <v>146</v>
      </c>
      <c r="G37" s="58">
        <f>IFERROR(IF(B37="","",VLOOKUP(B37,Tableau16[[Ref]:[CP]],6,FALSE)),"")</f>
        <v>0</v>
      </c>
      <c r="H37" s="58">
        <f>IFERROR(IF(B37="","",VLOOKUP(B37,Tableau16[[Ref]:[CP]],7,FALSE)),"")</f>
        <v>0</v>
      </c>
      <c r="I37" s="127" t="str">
        <f>CONCATENATE(Tableau8[[#This Row],[CT
INDIRECT CHANTIER]],Tableau8[[#This Row],[NOM CHANTIER
INDIRECT ST]],Tableau8[[#This Row],[Sous Traitant]],Tableau8[[#This Row],[MO
INDIRECT CT]],Tableau8[[#This Row],[marché]])</f>
        <v>ARNAUDPUTEAU CORDELIAAspiritRG_5%</v>
      </c>
      <c r="J37" s="205">
        <f>COUNTIF($I$4:I37,Tableau8[[#This Row],[REF FACT]])</f>
        <v>1</v>
      </c>
      <c r="K37" s="61">
        <v>166</v>
      </c>
      <c r="L37" s="62">
        <v>44043</v>
      </c>
      <c r="M37" s="58" t="str">
        <f>IF(Tableau8[[#This Row],[Sous Traitant]]&gt;1,VLOOKUP(Tableau8[[#This Row],[Sous Traitant]],Tableau11[[SOUS TRAITANT]:[DELAIS PAIEMENT]],4,FALSE),"")</f>
        <v>45J</v>
      </c>
      <c r="N37" s="63">
        <f t="shared" si="0"/>
        <v>44089</v>
      </c>
      <c r="O37" s="141" t="s">
        <v>41</v>
      </c>
      <c r="P37" s="64">
        <v>1406</v>
      </c>
      <c r="Q37" s="60" t="s">
        <v>161</v>
      </c>
      <c r="R37" s="113"/>
      <c r="S37" s="66"/>
      <c r="T37" s="65">
        <f>SUMIFS($P$4:P37,$I$4:I37,I37)</f>
        <v>1406</v>
      </c>
      <c r="U37" s="65" t="str">
        <f>IF(Tableau8[[#This Row],[marché]]="MARCHEINT",VLOOKUP($B37,Tableau16[[Ref]:[AUTRE]],13,FALSE)-Tableau8[[#This Row],[PAYEE]],"")</f>
        <v/>
      </c>
      <c r="V37" s="65" t="str">
        <f>IF(Tableau8[[#This Row],[marché]]="MARCHEEXT",VLOOKUP($B37,Tableau16[[Ref]:[AUTRE]],14,FALSE)-Tableau8[[#This Row],[PAYEE]],"")</f>
        <v/>
      </c>
      <c r="W37" s="65">
        <f>IF(Tableau8[[#This Row],[marché]]="RG_5%",VLOOKUP($B37,Tableau16[[Ref]:[AUTRE]],15,FALSE)-Tableau8[[#This Row],[PAYEE]],"")</f>
        <v>3594</v>
      </c>
      <c r="X37" s="65" t="str">
        <f>IF(Tableau8[[#This Row],[marché]]="BFT_5%",VLOOKUP($B37,Tableau16[[Ref]:[AUTRE]],17,FALSE)-Tableau8[[#This Row],[PAYEE]],"")</f>
        <v/>
      </c>
      <c r="Y37" s="65" t="str">
        <f>IF(Tableau8[[#This Row],[marché]]="AUTRE",VLOOKUP($B37,Tableau16[[Ref]:[AUTRE]],19,FALSE)-Tableau8[[#This Row],[PAYEE]],"")</f>
        <v/>
      </c>
      <c r="Z37" s="65"/>
      <c r="AA37" s="164">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5000</v>
      </c>
    </row>
    <row r="38" spans="1:27" ht="15.75">
      <c r="A38" s="280"/>
      <c r="B38" s="130" t="str">
        <f>CONCATENATE(Tableau8[[#This Row],[CT
INDIRECT CHANTIER]],Tableau8[[#This Row],[NOM CHANTIER
INDIRECT ST]],Tableau8[[#This Row],[Sous Traitant]],Tableau8[[#This Row],[MO
INDIRECT CT]])</f>
        <v>ARNAUDPUTEAU CORDELIAAspirit</v>
      </c>
      <c r="C38" s="231" t="s">
        <v>171</v>
      </c>
      <c r="D38" s="232" t="s">
        <v>73</v>
      </c>
      <c r="E38" s="232" t="s">
        <v>160</v>
      </c>
      <c r="F38" s="233" t="s">
        <v>146</v>
      </c>
      <c r="G38" s="58">
        <f>IFERROR(IF(B38="","",VLOOKUP(B38,Tableau16[[Ref]:[CP]],6,FALSE)),"")</f>
        <v>0</v>
      </c>
      <c r="H38" s="58">
        <f>IFERROR(IF(B38="","",VLOOKUP(B38,Tableau16[[Ref]:[CP]],7,FALSE)),"")</f>
        <v>0</v>
      </c>
      <c r="I38" s="127" t="str">
        <f>CONCATENATE(Tableau8[[#This Row],[CT
INDIRECT CHANTIER]],Tableau8[[#This Row],[NOM CHANTIER
INDIRECT ST]],Tableau8[[#This Row],[Sous Traitant]],Tableau8[[#This Row],[MO
INDIRECT CT]],Tableau8[[#This Row],[marché]])</f>
        <v>ARNAUDPUTEAU CORDELIAAspiritBFT_5%</v>
      </c>
      <c r="J38" s="205">
        <f>COUNTIF($I$4:I38,Tableau8[[#This Row],[REF FACT]])</f>
        <v>1</v>
      </c>
      <c r="K38" s="61">
        <v>168</v>
      </c>
      <c r="L38" s="62">
        <v>44043</v>
      </c>
      <c r="M38" s="58" t="str">
        <f>IF(Tableau8[[#This Row],[Sous Traitant]]&gt;1,VLOOKUP(Tableau8[[#This Row],[Sous Traitant]],Tableau11[[SOUS TRAITANT]:[DELAIS PAIEMENT]],4,FALSE),"")</f>
        <v>45J</v>
      </c>
      <c r="N38" s="63">
        <f t="shared" si="0"/>
        <v>44089</v>
      </c>
      <c r="O38" s="141" t="s">
        <v>42</v>
      </c>
      <c r="P38" s="64">
        <v>1074.6400000000001</v>
      </c>
      <c r="Q38" s="60" t="s">
        <v>161</v>
      </c>
      <c r="R38" s="113"/>
      <c r="S38" s="66"/>
      <c r="T38" s="65">
        <f>SUMIFS($P$4:P38,$I$4:I38,I38)</f>
        <v>1074.6400000000001</v>
      </c>
      <c r="U38" s="65" t="str">
        <f>IF(Tableau8[[#This Row],[marché]]="MARCHEINT",VLOOKUP($B38,Tableau16[[Ref]:[AUTRE]],13,FALSE)-Tableau8[[#This Row],[PAYEE]],"")</f>
        <v/>
      </c>
      <c r="V38" s="65" t="str">
        <f>IF(Tableau8[[#This Row],[marché]]="MARCHEEXT",VLOOKUP($B38,Tableau16[[Ref]:[AUTRE]],14,FALSE)-Tableau8[[#This Row],[PAYEE]],"")</f>
        <v/>
      </c>
      <c r="W38" s="65" t="str">
        <f>IF(Tableau8[[#This Row],[marché]]="RG_5%",VLOOKUP($B38,Tableau16[[Ref]:[AUTRE]],15,FALSE)-Tableau8[[#This Row],[PAYEE]],"")</f>
        <v/>
      </c>
      <c r="X38" s="65">
        <f>IF(Tableau8[[#This Row],[marché]]="BFT_5%",VLOOKUP($B38,Tableau16[[Ref]:[AUTRE]],17,FALSE)-Tableau8[[#This Row],[PAYEE]],"")</f>
        <v>3925.3599999999997</v>
      </c>
      <c r="Y38" s="65" t="str">
        <f>IF(Tableau8[[#This Row],[marché]]="AUTRE",VLOOKUP($B38,Tableau16[[Ref]:[AUTRE]],19,FALSE)-Tableau8[[#This Row],[PAYEE]],"")</f>
        <v/>
      </c>
      <c r="Z38" s="65"/>
      <c r="AA38" s="164">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5000</v>
      </c>
    </row>
    <row r="39" spans="1:27" s="30" customFormat="1" ht="15.75">
      <c r="A39" s="280"/>
      <c r="B39" s="130" t="str">
        <f>CONCATENATE(Tableau8[[#This Row],[CT
INDIRECT CHANTIER]],Tableau8[[#This Row],[NOM CHANTIER
INDIRECT ST]],Tableau8[[#This Row],[Sous Traitant]],Tableau8[[#This Row],[MO
INDIRECT CT]])</f>
        <v>FREDCHATENAY MALABRY - IRENADH2O</v>
      </c>
      <c r="C39" s="231" t="s">
        <v>174</v>
      </c>
      <c r="D39" s="232" t="s">
        <v>74</v>
      </c>
      <c r="E39" s="232" t="s">
        <v>161</v>
      </c>
      <c r="F39" s="233" t="s">
        <v>201</v>
      </c>
      <c r="G39" s="58">
        <f>IFERROR(IF(B39="","",VLOOKUP(B39,Tableau16[[Ref]:[CP]],6,FALSE)),"")</f>
        <v>0</v>
      </c>
      <c r="H39" s="58">
        <f>IFERROR(IF(B39="","",VLOOKUP(B39,Tableau16[[Ref]:[CP]],7,FALSE)),"")</f>
        <v>0</v>
      </c>
      <c r="I39" s="127" t="str">
        <f>CONCATENATE(Tableau8[[#This Row],[CT
INDIRECT CHANTIER]],Tableau8[[#This Row],[NOM CHANTIER
INDIRECT ST]],Tableau8[[#This Row],[Sous Traitant]],Tableau8[[#This Row],[MO
INDIRECT CT]],Tableau8[[#This Row],[marché]])</f>
        <v>FREDCHATENAY MALABRY - IRENADH2OAUTRE</v>
      </c>
      <c r="J39" s="205">
        <f>COUNTIF($I$4:I39,Tableau8[[#This Row],[REF FACT]])</f>
        <v>1</v>
      </c>
      <c r="K39" s="61">
        <v>157</v>
      </c>
      <c r="L39" s="62">
        <v>44043</v>
      </c>
      <c r="M39" s="58" t="str">
        <f>IF(Tableau8[[#This Row],[Sous Traitant]]&gt;1,VLOOKUP(Tableau8[[#This Row],[Sous Traitant]],Tableau11[[SOUS TRAITANT]:[DELAIS PAIEMENT]],4,FALSE),"")</f>
        <v>15J</v>
      </c>
      <c r="N39" s="63">
        <f t="shared" si="0"/>
        <v>44058</v>
      </c>
      <c r="O39" s="141" t="s">
        <v>25</v>
      </c>
      <c r="P39" s="64">
        <v>2000</v>
      </c>
      <c r="Q39" s="60" t="s">
        <v>161</v>
      </c>
      <c r="R39" s="113"/>
      <c r="S39" s="66" t="s">
        <v>217</v>
      </c>
      <c r="T39" s="65">
        <f>SUMIFS($P$4:P39,$I$4:I39,I39)</f>
        <v>2000</v>
      </c>
      <c r="U39" s="65" t="str">
        <f>IF(Tableau8[[#This Row],[marché]]="MARCHEINT",VLOOKUP($B39,Tableau16[[Ref]:[AUTRE]],13,FALSE)-Tableau8[[#This Row],[PAYEE]],"")</f>
        <v/>
      </c>
      <c r="V39" s="65" t="str">
        <f>IF(Tableau8[[#This Row],[marché]]="MARCHEEXT",VLOOKUP($B39,Tableau16[[Ref]:[AUTRE]],14,FALSE)-Tableau8[[#This Row],[PAYEE]],"")</f>
        <v/>
      </c>
      <c r="W39" s="65" t="str">
        <f>IF(Tableau8[[#This Row],[marché]]="RG_5%",VLOOKUP($B39,Tableau16[[Ref]:[AUTRE]],15,FALSE)-Tableau8[[#This Row],[PAYEE]],"")</f>
        <v/>
      </c>
      <c r="X39" s="65" t="str">
        <f>IF(Tableau8[[#This Row],[marché]]="BFT_5%",VLOOKUP($B39,Tableau16[[Ref]:[AUTRE]],17,FALSE)-Tableau8[[#This Row],[PAYEE]],"")</f>
        <v/>
      </c>
      <c r="Y39" s="65">
        <f>IF(Tableau8[[#This Row],[marché]]="AUTRE",VLOOKUP($B39,Tableau16[[Ref]:[AUTRE]],19,FALSE)-Tableau8[[#This Row],[PAYEE]],"")</f>
        <v>-2000</v>
      </c>
      <c r="Z39" s="65"/>
      <c r="AA39" s="164">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0</v>
      </c>
    </row>
    <row r="40" spans="1:27" s="30" customFormat="1" ht="15.75">
      <c r="A40" s="280"/>
      <c r="B40" s="130" t="str">
        <f>CONCATENATE(Tableau8[[#This Row],[CT
INDIRECT CHANTIER]],Tableau8[[#This Row],[NOM CHANTIER
INDIRECT ST]],Tableau8[[#This Row],[Sous Traitant]],Tableau8[[#This Row],[MO
INDIRECT CT]])</f>
        <v>FREDCHATENAY MALABRY - IRENADH2O</v>
      </c>
      <c r="C40" s="231" t="s">
        <v>174</v>
      </c>
      <c r="D40" s="232" t="s">
        <v>74</v>
      </c>
      <c r="E40" s="232" t="s">
        <v>161</v>
      </c>
      <c r="F40" s="233" t="s">
        <v>201</v>
      </c>
      <c r="G40" s="58">
        <f>IFERROR(IF(B40="","",VLOOKUP(B40,Tableau16[[Ref]:[CP]],6,FALSE)),"")</f>
        <v>0</v>
      </c>
      <c r="H40" s="58">
        <f>IFERROR(IF(B40="","",VLOOKUP(B40,Tableau16[[Ref]:[CP]],7,FALSE)),"")</f>
        <v>0</v>
      </c>
      <c r="I40" s="127" t="str">
        <f>CONCATENATE(Tableau8[[#This Row],[CT
INDIRECT CHANTIER]],Tableau8[[#This Row],[NOM CHANTIER
INDIRECT ST]],Tableau8[[#This Row],[Sous Traitant]],Tableau8[[#This Row],[MO
INDIRECT CT]],Tableau8[[#This Row],[marché]])</f>
        <v>FREDCHATENAY MALABRY - IRENADH2OTS/TMA/CFA</v>
      </c>
      <c r="J40" s="205">
        <f>COUNTIF($I$4:I40,Tableau8[[#This Row],[REF FACT]])</f>
        <v>1</v>
      </c>
      <c r="K40" s="61">
        <v>161</v>
      </c>
      <c r="L40" s="62">
        <v>44043</v>
      </c>
      <c r="M40" s="58" t="str">
        <f>IF(Tableau8[[#This Row],[Sous Traitant]]&gt;1,VLOOKUP(Tableau8[[#This Row],[Sous Traitant]],Tableau11[[SOUS TRAITANT]:[DELAIS PAIEMENT]],4,FALSE),"")</f>
        <v>15J</v>
      </c>
      <c r="N40" s="63">
        <f t="shared" si="0"/>
        <v>44058</v>
      </c>
      <c r="O40" s="141" t="s">
        <v>145</v>
      </c>
      <c r="P40" s="64">
        <v>950</v>
      </c>
      <c r="Q40" s="60" t="s">
        <v>161</v>
      </c>
      <c r="R40" s="113"/>
      <c r="S40" s="66"/>
      <c r="T40" s="65">
        <f>SUMIFS($P$4:P40,$I$4:I40,I40)</f>
        <v>950</v>
      </c>
      <c r="U40" s="65" t="str">
        <f>IF(Tableau8[[#This Row],[marché]]="MARCHEINT",VLOOKUP($B40,Tableau16[[Ref]:[AUTRE]],13,FALSE)-Tableau8[[#This Row],[PAYEE]],"")</f>
        <v/>
      </c>
      <c r="V40" s="65" t="str">
        <f>IF(Tableau8[[#This Row],[marché]]="MARCHEEXT",VLOOKUP($B40,Tableau16[[Ref]:[AUTRE]],14,FALSE)-Tableau8[[#This Row],[PAYEE]],"")</f>
        <v/>
      </c>
      <c r="W40" s="65" t="str">
        <f>IF(Tableau8[[#This Row],[marché]]="RG_5%",VLOOKUP($B40,Tableau16[[Ref]:[AUTRE]],15,FALSE)-Tableau8[[#This Row],[PAYEE]],"")</f>
        <v/>
      </c>
      <c r="X40" s="65" t="str">
        <f>IF(Tableau8[[#This Row],[marché]]="BFT_5%",VLOOKUP($B40,Tableau16[[Ref]:[AUTRE]],17,FALSE)-Tableau8[[#This Row],[PAYEE]],"")</f>
        <v/>
      </c>
      <c r="Y40" s="65" t="str">
        <f>IF(Tableau8[[#This Row],[marché]]="AUTRE",VLOOKUP($B40,Tableau16[[Ref]:[AUTRE]],19,FALSE)-Tableau8[[#This Row],[PAYEE]],"")</f>
        <v/>
      </c>
      <c r="Z40" s="65"/>
      <c r="AA40"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41" spans="1:27" s="30" customFormat="1" ht="15.75">
      <c r="A41" s="280"/>
      <c r="B41" s="130" t="str">
        <f>CONCATENATE(Tableau8[[#This Row],[CT
INDIRECT CHANTIER]],Tableau8[[#This Row],[NOM CHANTIER
INDIRECT ST]],Tableau8[[#This Row],[Sous Traitant]],Tableau8[[#This Row],[MO
INDIRECT CT]])</f>
        <v>FREDCHATENAY MALABRY - IRENADH2O</v>
      </c>
      <c r="C41" s="231" t="s">
        <v>174</v>
      </c>
      <c r="D41" s="232" t="s">
        <v>74</v>
      </c>
      <c r="E41" s="232" t="s">
        <v>161</v>
      </c>
      <c r="F41" s="233" t="s">
        <v>201</v>
      </c>
      <c r="G41" s="58">
        <f>IFERROR(IF(B41="","",VLOOKUP(B41,Tableau16[[Ref]:[CP]],6,FALSE)),"")</f>
        <v>0</v>
      </c>
      <c r="H41" s="58">
        <f>IFERROR(IF(B41="","",VLOOKUP(B41,Tableau16[[Ref]:[CP]],7,FALSE)),"")</f>
        <v>0</v>
      </c>
      <c r="I41" s="127" t="str">
        <f>CONCATENATE(Tableau8[[#This Row],[CT
INDIRECT CHANTIER]],Tableau8[[#This Row],[NOM CHANTIER
INDIRECT ST]],Tableau8[[#This Row],[Sous Traitant]],Tableau8[[#This Row],[MO
INDIRECT CT]],Tableau8[[#This Row],[marché]])</f>
        <v>FREDCHATENAY MALABRY - IRENADH2OMARCHEINT</v>
      </c>
      <c r="J41" s="205">
        <f>COUNTIF($I$4:I41,Tableau8[[#This Row],[REF FACT]])</f>
        <v>1</v>
      </c>
      <c r="K41" s="61">
        <v>162</v>
      </c>
      <c r="L41" s="62">
        <v>44043</v>
      </c>
      <c r="M41" s="58" t="str">
        <f>IF(Tableau8[[#This Row],[Sous Traitant]]&gt;1,VLOOKUP(Tableau8[[#This Row],[Sous Traitant]],Tableau11[[SOUS TRAITANT]:[DELAIS PAIEMENT]],4,FALSE),"")</f>
        <v>15J</v>
      </c>
      <c r="N41" s="63">
        <f>IF(M41="15J",EOMONTH(L41,0)+15,IF(M41="45J",EOMONTH(L41+30,0)+15,""))</f>
        <v>44058</v>
      </c>
      <c r="O41" s="141" t="s">
        <v>158</v>
      </c>
      <c r="P41" s="64">
        <v>1216</v>
      </c>
      <c r="Q41" s="60" t="s">
        <v>161</v>
      </c>
      <c r="R41" s="113"/>
      <c r="S41" s="66"/>
      <c r="T41" s="65">
        <f>SUMIFS($P$4:P41,$I$4:I41,I41)</f>
        <v>1216</v>
      </c>
      <c r="U41" s="65">
        <f>IF(Tableau8[[#This Row],[marché]]="MARCHEINT",VLOOKUP($B41,Tableau16[[Ref]:[AUTRE]],13,FALSE)-Tableau8[[#This Row],[PAYEE]],"")</f>
        <v>28784</v>
      </c>
      <c r="V41" s="65" t="str">
        <f>IF(Tableau8[[#This Row],[marché]]="MARCHEEXT",VLOOKUP($B41,Tableau16[[Ref]:[AUTRE]],14,FALSE)-Tableau8[[#This Row],[PAYEE]],"")</f>
        <v/>
      </c>
      <c r="W41" s="65" t="str">
        <f>IF(Tableau8[[#This Row],[marché]]="RG_5%",VLOOKUP($B41,Tableau16[[Ref]:[AUTRE]],15,FALSE)-Tableau8[[#This Row],[PAYEE]],"")</f>
        <v/>
      </c>
      <c r="X41" s="65" t="str">
        <f>IF(Tableau8[[#This Row],[marché]]="BFT_5%",VLOOKUP($B41,Tableau16[[Ref]:[AUTRE]],17,FALSE)-Tableau8[[#This Row],[PAYEE]],"")</f>
        <v/>
      </c>
      <c r="Y41" s="65" t="str">
        <f>IF(Tableau8[[#This Row],[marché]]="AUTRE",VLOOKUP($B41,Tableau16[[Ref]:[AUTRE]],19,FALSE)-Tableau8[[#This Row],[PAYEE]],"")</f>
        <v/>
      </c>
      <c r="Z41" s="65"/>
      <c r="AA41" s="164">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30000</v>
      </c>
    </row>
    <row r="42" spans="1:27" s="30" customFormat="1" ht="15.75">
      <c r="A42" s="280"/>
      <c r="B42" s="130" t="str">
        <f>CONCATENATE(Tableau8[[#This Row],[CT
INDIRECT CHANTIER]],Tableau8[[#This Row],[NOM CHANTIER
INDIRECT ST]],Tableau8[[#This Row],[Sous Traitant]],Tableau8[[#This Row],[MO
INDIRECT CT]])</f>
        <v>FREDCHATENAY MALABRY - IRENADH2O</v>
      </c>
      <c r="C42" s="231" t="s">
        <v>174</v>
      </c>
      <c r="D42" s="232" t="s">
        <v>74</v>
      </c>
      <c r="E42" s="232" t="s">
        <v>161</v>
      </c>
      <c r="F42" s="233" t="s">
        <v>201</v>
      </c>
      <c r="G42" s="58">
        <f>IFERROR(IF(B42="","",VLOOKUP(B42,Tableau16[[Ref]:[CP]],6,FALSE)),"")</f>
        <v>0</v>
      </c>
      <c r="H42" s="58">
        <f>IFERROR(IF(B42="","",VLOOKUP(B42,Tableau16[[Ref]:[CP]],7,FALSE)),"")</f>
        <v>0</v>
      </c>
      <c r="I42" s="127" t="str">
        <f>CONCATENATE(Tableau8[[#This Row],[CT
INDIRECT CHANTIER]],Tableau8[[#This Row],[NOM CHANTIER
INDIRECT ST]],Tableau8[[#This Row],[Sous Traitant]],Tableau8[[#This Row],[MO
INDIRECT CT]],Tableau8[[#This Row],[marché]])</f>
        <v>FREDCHATENAY MALABRY - IRENADH2OMARCHEINT</v>
      </c>
      <c r="J42" s="205">
        <f>COUNTIF($I$4:I42,Tableau8[[#This Row],[REF FACT]])</f>
        <v>2</v>
      </c>
      <c r="K42" s="61">
        <v>163</v>
      </c>
      <c r="L42" s="62">
        <v>44043</v>
      </c>
      <c r="M42" s="58" t="str">
        <f>IF(Tableau8[[#This Row],[Sous Traitant]]&gt;1,VLOOKUP(Tableau8[[#This Row],[Sous Traitant]],Tableau11[[SOUS TRAITANT]:[DELAIS PAIEMENT]],4,FALSE),"")</f>
        <v>15J</v>
      </c>
      <c r="N42" s="63">
        <f t="shared" si="0"/>
        <v>44058</v>
      </c>
      <c r="O42" s="141" t="s">
        <v>158</v>
      </c>
      <c r="P42" s="64">
        <v>4259.25</v>
      </c>
      <c r="Q42" s="60" t="s">
        <v>161</v>
      </c>
      <c r="R42" s="113"/>
      <c r="S42" s="66"/>
      <c r="T42" s="65">
        <f>SUMIFS($P$4:P42,$I$4:I42,I42)</f>
        <v>5475.25</v>
      </c>
      <c r="U42" s="65">
        <f>IF(Tableau8[[#This Row],[marché]]="MARCHEINT",VLOOKUP($B42,Tableau16[[Ref]:[AUTRE]],13,FALSE)-Tableau8[[#This Row],[PAYEE]],"")</f>
        <v>24524.75</v>
      </c>
      <c r="V42" s="65" t="str">
        <f>IF(Tableau8[[#This Row],[marché]]="MARCHEEXT",VLOOKUP($B42,Tableau16[[Ref]:[AUTRE]],14,FALSE)-Tableau8[[#This Row],[PAYEE]],"")</f>
        <v/>
      </c>
      <c r="W42" s="65" t="str">
        <f>IF(Tableau8[[#This Row],[marché]]="RG_5%",VLOOKUP($B42,Tableau16[[Ref]:[AUTRE]],15,FALSE)-Tableau8[[#This Row],[PAYEE]],"")</f>
        <v/>
      </c>
      <c r="X42" s="65" t="str">
        <f>IF(Tableau8[[#This Row],[marché]]="BFT_5%",VLOOKUP($B42,Tableau16[[Ref]:[AUTRE]],17,FALSE)-Tableau8[[#This Row],[PAYEE]],"")</f>
        <v/>
      </c>
      <c r="Y42" s="65" t="str">
        <f>IF(Tableau8[[#This Row],[marché]]="AUTRE",VLOOKUP($B42,Tableau16[[Ref]:[AUTRE]],19,FALSE)-Tableau8[[#This Row],[PAYEE]],"")</f>
        <v/>
      </c>
      <c r="Z42" s="65"/>
      <c r="AA42" s="164">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30000</v>
      </c>
    </row>
    <row r="43" spans="1:27" s="30" customFormat="1" ht="15.75">
      <c r="A43" s="280"/>
      <c r="B43" s="130" t="str">
        <f>CONCATENATE(Tableau8[[#This Row],[CT
INDIRECT CHANTIER]],Tableau8[[#This Row],[NOM CHANTIER
INDIRECT ST]],Tableau8[[#This Row],[Sous Traitant]],Tableau8[[#This Row],[MO
INDIRECT CT]])</f>
        <v>FREDCHATENAY MALABRY - IRENADH2O</v>
      </c>
      <c r="C43" s="231" t="s">
        <v>174</v>
      </c>
      <c r="D43" s="232" t="s">
        <v>74</v>
      </c>
      <c r="E43" s="232" t="s">
        <v>161</v>
      </c>
      <c r="F43" s="233" t="s">
        <v>201</v>
      </c>
      <c r="G43" s="58">
        <f>IFERROR(IF(B43="","",VLOOKUP(B43,Tableau16[[Ref]:[CP]],6,FALSE)),"")</f>
        <v>0</v>
      </c>
      <c r="H43" s="58">
        <f>IFERROR(IF(B43="","",VLOOKUP(B43,Tableau16[[Ref]:[CP]],7,FALSE)),"")</f>
        <v>0</v>
      </c>
      <c r="I43" s="127" t="str">
        <f>CONCATENATE(Tableau8[[#This Row],[CT
INDIRECT CHANTIER]],Tableau8[[#This Row],[NOM CHANTIER
INDIRECT ST]],Tableau8[[#This Row],[Sous Traitant]],Tableau8[[#This Row],[MO
INDIRECT CT]],Tableau8[[#This Row],[marché]])</f>
        <v>FREDCHATENAY MALABRY - IRENADH2OMARCHEINT</v>
      </c>
      <c r="J43" s="205">
        <f>COUNTIF($I$4:I43,Tableau8[[#This Row],[REF FACT]])</f>
        <v>3</v>
      </c>
      <c r="K43" s="61">
        <v>170</v>
      </c>
      <c r="L43" s="62">
        <v>44043</v>
      </c>
      <c r="M43" s="58" t="str">
        <f>IF(Tableau8[[#This Row],[Sous Traitant]]&gt;1,VLOOKUP(Tableau8[[#This Row],[Sous Traitant]],Tableau11[[SOUS TRAITANT]:[DELAIS PAIEMENT]],4,FALSE),"")</f>
        <v>15J</v>
      </c>
      <c r="N43" s="63">
        <f t="shared" si="0"/>
        <v>44058</v>
      </c>
      <c r="O43" s="141" t="s">
        <v>158</v>
      </c>
      <c r="P43" s="64">
        <v>4867.8</v>
      </c>
      <c r="Q43" s="60" t="s">
        <v>161</v>
      </c>
      <c r="R43" s="113"/>
      <c r="S43" s="66"/>
      <c r="T43" s="65">
        <f>SUMIFS($P$4:P43,$I$4:I43,I43)</f>
        <v>10343.049999999999</v>
      </c>
      <c r="U43" s="65">
        <f>IF(Tableau8[[#This Row],[marché]]="MARCHEINT",VLOOKUP($B43,Tableau16[[Ref]:[AUTRE]],13,FALSE)-Tableau8[[#This Row],[PAYEE]],"")</f>
        <v>19656.95</v>
      </c>
      <c r="V43" s="65" t="str">
        <f>IF(Tableau8[[#This Row],[marché]]="MARCHEEXT",VLOOKUP($B43,Tableau16[[Ref]:[AUTRE]],14,FALSE)-Tableau8[[#This Row],[PAYEE]],"")</f>
        <v/>
      </c>
      <c r="W43" s="65" t="str">
        <f>IF(Tableau8[[#This Row],[marché]]="RG_5%",VLOOKUP($B43,Tableau16[[Ref]:[AUTRE]],15,FALSE)-Tableau8[[#This Row],[PAYEE]],"")</f>
        <v/>
      </c>
      <c r="X43" s="65" t="str">
        <f>IF(Tableau8[[#This Row],[marché]]="BFT_5%",VLOOKUP($B43,Tableau16[[Ref]:[AUTRE]],17,FALSE)-Tableau8[[#This Row],[PAYEE]],"")</f>
        <v/>
      </c>
      <c r="Y43" s="65" t="str">
        <f>IF(Tableau8[[#This Row],[marché]]="AUTRE",VLOOKUP($B43,Tableau16[[Ref]:[AUTRE]],19,FALSE)-Tableau8[[#This Row],[PAYEE]],"")</f>
        <v/>
      </c>
      <c r="Z43" s="65"/>
      <c r="AA43" s="164">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30000</v>
      </c>
    </row>
    <row r="44" spans="1:27" ht="15.75">
      <c r="A44" s="280"/>
      <c r="B44" s="130" t="str">
        <f>CONCATENATE(Tableau8[[#This Row],[CT
INDIRECT CHANTIER]],Tableau8[[#This Row],[NOM CHANTIER
INDIRECT ST]],Tableau8[[#This Row],[Sous Traitant]],Tableau8[[#This Row],[MO
INDIRECT CT]])</f>
        <v>JONATHANST MAURBH2O</v>
      </c>
      <c r="C44" s="231" t="s">
        <v>172</v>
      </c>
      <c r="D44" s="232" t="s">
        <v>75</v>
      </c>
      <c r="E44" s="232" t="s">
        <v>162</v>
      </c>
      <c r="F44" s="233" t="s">
        <v>201</v>
      </c>
      <c r="G44" s="58" t="str">
        <f>IFERROR(IF(B44="","",VLOOKUP(B44,Tableau16[[Ref]:[CP]],6,FALSE)),"")</f>
        <v/>
      </c>
      <c r="H44" s="58" t="str">
        <f>IFERROR(IF(B44="","",VLOOKUP(B44,Tableau16[[Ref]:[CP]],7,FALSE)),"")</f>
        <v/>
      </c>
      <c r="I44" s="127" t="str">
        <f>CONCATENATE(Tableau8[[#This Row],[CT
INDIRECT CHANTIER]],Tableau8[[#This Row],[NOM CHANTIER
INDIRECT ST]],Tableau8[[#This Row],[Sous Traitant]],Tableau8[[#This Row],[MO
INDIRECT CT]],Tableau8[[#This Row],[marché]])</f>
        <v>JONATHANST MAURBH2OMARCHEINT</v>
      </c>
      <c r="J44" s="205">
        <f>COUNTIF($I$4:I44,Tableau8[[#This Row],[REF FACT]])</f>
        <v>1</v>
      </c>
      <c r="K44" s="61" t="s">
        <v>76</v>
      </c>
      <c r="L44" s="62">
        <v>44043</v>
      </c>
      <c r="M44" s="58" t="str">
        <f>IF(Tableau8[[#This Row],[Sous Traitant]]&gt;1,VLOOKUP(Tableau8[[#This Row],[Sous Traitant]],Tableau11[[SOUS TRAITANT]:[DELAIS PAIEMENT]],4,FALSE),"")</f>
        <v>15J</v>
      </c>
      <c r="N44" s="63">
        <f t="shared" si="0"/>
        <v>44058</v>
      </c>
      <c r="O44" s="141" t="s">
        <v>158</v>
      </c>
      <c r="P44" s="64">
        <v>1141.1400000000001</v>
      </c>
      <c r="Q44" s="60" t="s">
        <v>161</v>
      </c>
      <c r="R44" s="113"/>
      <c r="S44" s="66"/>
      <c r="T44" s="65">
        <f>SUMIFS($P$4:P44,$I$4:I44,I44)</f>
        <v>1141.1400000000001</v>
      </c>
      <c r="U44" s="65" t="e">
        <f>IF(Tableau8[[#This Row],[marché]]="MARCHEINT",VLOOKUP($B44,Tableau16[[Ref]:[AUTRE]],13,FALSE)-Tableau8[[#This Row],[PAYEE]],"")</f>
        <v>#N/A</v>
      </c>
      <c r="V44" s="65" t="str">
        <f>IF(Tableau8[[#This Row],[marché]]="MARCHEEXT",VLOOKUP($B44,Tableau16[[Ref]:[AUTRE]],14,FALSE)-Tableau8[[#This Row],[PAYEE]],"")</f>
        <v/>
      </c>
      <c r="W44" s="65" t="str">
        <f>IF(Tableau8[[#This Row],[marché]]="RG_5%",VLOOKUP($B44,Tableau16[[Ref]:[AUTRE]],15,FALSE)-Tableau8[[#This Row],[PAYEE]],"")</f>
        <v/>
      </c>
      <c r="X44" s="65" t="str">
        <f>IF(Tableau8[[#This Row],[marché]]="BFT_5%",VLOOKUP($B44,Tableau16[[Ref]:[AUTRE]],17,FALSE)-Tableau8[[#This Row],[PAYEE]],"")</f>
        <v/>
      </c>
      <c r="Y44" s="65" t="str">
        <f>IF(Tableau8[[#This Row],[marché]]="AUTRE",VLOOKUP($B44,Tableau16[[Ref]:[AUTRE]],19,FALSE)-Tableau8[[#This Row],[PAYEE]],"")</f>
        <v/>
      </c>
      <c r="Z44" s="65"/>
      <c r="AA44" s="164" t="e">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#N/A</v>
      </c>
    </row>
    <row r="45" spans="1:27" ht="15.75">
      <c r="A45" s="280"/>
      <c r="B45" s="130" t="str">
        <f>CONCATENATE(Tableau8[[#This Row],[CT
INDIRECT CHANTIER]],Tableau8[[#This Row],[NOM CHANTIER
INDIRECT ST]],Tableau8[[#This Row],[Sous Traitant]],Tableau8[[#This Row],[MO
INDIRECT CT]])</f>
        <v>JONATHANCHATENAY MALABRY - ANDREA 2BH2O</v>
      </c>
      <c r="C45" s="231" t="s">
        <v>172</v>
      </c>
      <c r="D45" s="232" t="s">
        <v>77</v>
      </c>
      <c r="E45" s="232" t="s">
        <v>162</v>
      </c>
      <c r="F45" s="233" t="s">
        <v>201</v>
      </c>
      <c r="G45" s="58" t="str">
        <f>IFERROR(IF(B45="","",VLOOKUP(B45,Tableau16[[Ref]:[CP]],6,FALSE)),"")</f>
        <v/>
      </c>
      <c r="H45" s="58" t="str">
        <f>IFERROR(IF(B45="","",VLOOKUP(B45,Tableau16[[Ref]:[CP]],7,FALSE)),"")</f>
        <v/>
      </c>
      <c r="I45" s="127" t="str">
        <f>CONCATENATE(Tableau8[[#This Row],[CT
INDIRECT CHANTIER]],Tableau8[[#This Row],[NOM CHANTIER
INDIRECT ST]],Tableau8[[#This Row],[Sous Traitant]],Tableau8[[#This Row],[MO
INDIRECT CT]],Tableau8[[#This Row],[marché]])</f>
        <v>JONATHANCHATENAY MALABRY - ANDREA 2BH2OMARCHEINT</v>
      </c>
      <c r="J45" s="205">
        <f>COUNTIF($I$4:I45,Tableau8[[#This Row],[REF FACT]])</f>
        <v>1</v>
      </c>
      <c r="K45" s="61" t="s">
        <v>78</v>
      </c>
      <c r="L45" s="62">
        <v>44043</v>
      </c>
      <c r="M45" s="58" t="str">
        <f>IF(Tableau8[[#This Row],[Sous Traitant]]&gt;1,VLOOKUP(Tableau8[[#This Row],[Sous Traitant]],Tableau11[[SOUS TRAITANT]:[DELAIS PAIEMENT]],4,FALSE),"")</f>
        <v>15J</v>
      </c>
      <c r="N45" s="63">
        <f t="shared" si="0"/>
        <v>44058</v>
      </c>
      <c r="O45" s="141" t="s">
        <v>158</v>
      </c>
      <c r="P45" s="64">
        <v>1280</v>
      </c>
      <c r="Q45" s="60" t="s">
        <v>161</v>
      </c>
      <c r="R45" s="113"/>
      <c r="S45" s="66"/>
      <c r="T45" s="65">
        <f>SUMIFS($P$4:P45,$I$4:I45,I45)</f>
        <v>1280</v>
      </c>
      <c r="U45" s="65" t="e">
        <f>IF(Tableau8[[#This Row],[marché]]="MARCHEINT",VLOOKUP($B45,Tableau16[[Ref]:[AUTRE]],13,FALSE)-Tableau8[[#This Row],[PAYEE]],"")</f>
        <v>#N/A</v>
      </c>
      <c r="V45" s="65" t="str">
        <f>IF(Tableau8[[#This Row],[marché]]="MARCHEEXT",VLOOKUP($B45,Tableau16[[Ref]:[AUTRE]],14,FALSE)-Tableau8[[#This Row],[PAYEE]],"")</f>
        <v/>
      </c>
      <c r="W45" s="65" t="str">
        <f>IF(Tableau8[[#This Row],[marché]]="RG_5%",VLOOKUP($B45,Tableau16[[Ref]:[AUTRE]],15,FALSE)-Tableau8[[#This Row],[PAYEE]],"")</f>
        <v/>
      </c>
      <c r="X45" s="65" t="str">
        <f>IF(Tableau8[[#This Row],[marché]]="BFT_5%",VLOOKUP($B45,Tableau16[[Ref]:[AUTRE]],17,FALSE)-Tableau8[[#This Row],[PAYEE]],"")</f>
        <v/>
      </c>
      <c r="Y45" s="65" t="str">
        <f>IF(Tableau8[[#This Row],[marché]]="AUTRE",VLOOKUP($B45,Tableau16[[Ref]:[AUTRE]],19,FALSE)-Tableau8[[#This Row],[PAYEE]],"")</f>
        <v/>
      </c>
      <c r="Z45" s="65"/>
      <c r="AA45" s="164" t="e">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#N/A</v>
      </c>
    </row>
    <row r="46" spans="1:27" ht="15.75">
      <c r="A46" s="280"/>
      <c r="B46" s="130" t="str">
        <f>CONCATENATE(Tableau8[[#This Row],[CT
INDIRECT CHANTIER]],Tableau8[[#This Row],[NOM CHANTIER
INDIRECT ST]],Tableau8[[#This Row],[Sous Traitant]],Tableau8[[#This Row],[MO
INDIRECT CT]])</f>
        <v>JONATHANCLAMART - LORENABH2O</v>
      </c>
      <c r="C46" s="231" t="s">
        <v>172</v>
      </c>
      <c r="D46" s="232" t="s">
        <v>79</v>
      </c>
      <c r="E46" s="232" t="s">
        <v>162</v>
      </c>
      <c r="F46" s="233" t="s">
        <v>201</v>
      </c>
      <c r="G46" s="58" t="str">
        <f>IFERROR(IF(B46="","",VLOOKUP(B46,Tableau16[[Ref]:[CP]],6,FALSE)),"")</f>
        <v/>
      </c>
      <c r="H46" s="58" t="str">
        <f>IFERROR(IF(B46="","",VLOOKUP(B46,Tableau16[[Ref]:[CP]],7,FALSE)),"")</f>
        <v/>
      </c>
      <c r="I46" s="127" t="str">
        <f>CONCATENATE(Tableau8[[#This Row],[CT
INDIRECT CHANTIER]],Tableau8[[#This Row],[NOM CHANTIER
INDIRECT ST]],Tableau8[[#This Row],[Sous Traitant]],Tableau8[[#This Row],[MO
INDIRECT CT]],Tableau8[[#This Row],[marché]])</f>
        <v>JONATHANCLAMART - LORENABH2OMARCHEINT</v>
      </c>
      <c r="J46" s="205">
        <f>COUNTIF($I$4:I46,Tableau8[[#This Row],[REF FACT]])</f>
        <v>1</v>
      </c>
      <c r="K46" s="61" t="s">
        <v>80</v>
      </c>
      <c r="L46" s="62">
        <v>44042</v>
      </c>
      <c r="M46" s="58" t="str">
        <f>IF(Tableau8[[#This Row],[Sous Traitant]]&gt;1,VLOOKUP(Tableau8[[#This Row],[Sous Traitant]],Tableau11[[SOUS TRAITANT]:[DELAIS PAIEMENT]],4,FALSE),"")</f>
        <v>15J</v>
      </c>
      <c r="N46" s="63">
        <f t="shared" si="0"/>
        <v>44058</v>
      </c>
      <c r="O46" s="141" t="s">
        <v>158</v>
      </c>
      <c r="P46" s="64">
        <v>594.88</v>
      </c>
      <c r="Q46" s="60" t="s">
        <v>161</v>
      </c>
      <c r="R46" s="113"/>
      <c r="S46" s="66"/>
      <c r="T46" s="65">
        <f>SUMIFS($P$4:P46,$I$4:I46,I46)</f>
        <v>594.88</v>
      </c>
      <c r="U46" s="65" t="e">
        <f>IF(Tableau8[[#This Row],[marché]]="MARCHEINT",VLOOKUP($B46,Tableau16[[Ref]:[AUTRE]],13,FALSE)-Tableau8[[#This Row],[PAYEE]],"")</f>
        <v>#N/A</v>
      </c>
      <c r="V46" s="65" t="str">
        <f>IF(Tableau8[[#This Row],[marché]]="MARCHEEXT",VLOOKUP($B46,Tableau16[[Ref]:[AUTRE]],14,FALSE)-Tableau8[[#This Row],[PAYEE]],"")</f>
        <v/>
      </c>
      <c r="W46" s="65" t="str">
        <f>IF(Tableau8[[#This Row],[marché]]="RG_5%",VLOOKUP($B46,Tableau16[[Ref]:[AUTRE]],15,FALSE)-Tableau8[[#This Row],[PAYEE]],"")</f>
        <v/>
      </c>
      <c r="X46" s="65" t="str">
        <f>IF(Tableau8[[#This Row],[marché]]="BFT_5%",VLOOKUP($B46,Tableau16[[Ref]:[AUTRE]],17,FALSE)-Tableau8[[#This Row],[PAYEE]],"")</f>
        <v/>
      </c>
      <c r="Y46" s="65" t="str">
        <f>IF(Tableau8[[#This Row],[marché]]="AUTRE",VLOOKUP($B46,Tableau16[[Ref]:[AUTRE]],19,FALSE)-Tableau8[[#This Row],[PAYEE]],"")</f>
        <v/>
      </c>
      <c r="Z46" s="65"/>
      <c r="AA46" s="164" t="e">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#N/A</v>
      </c>
    </row>
    <row r="47" spans="1:27" ht="15.75">
      <c r="A47" s="280"/>
      <c r="B47" s="130" t="str">
        <f>CONCATENATE(Tableau8[[#This Row],[CT
INDIRECT CHANTIER]],Tableau8[[#This Row],[NOM CHANTIER
INDIRECT ST]],Tableau8[[#This Row],[Sous Traitant]],Tableau8[[#This Row],[MO
INDIRECT CT]])</f>
        <v>JONATHANSAINT PIERRE LES NEMOURSBH2O</v>
      </c>
      <c r="C47" s="231" t="s">
        <v>172</v>
      </c>
      <c r="D47" s="232" t="s">
        <v>81</v>
      </c>
      <c r="E47" s="232" t="s">
        <v>162</v>
      </c>
      <c r="F47" s="233" t="s">
        <v>201</v>
      </c>
      <c r="G47" s="58" t="str">
        <f>IFERROR(IF(B47="","",VLOOKUP(B47,Tableau16[[Ref]:[CP]],6,FALSE)),"")</f>
        <v/>
      </c>
      <c r="H47" s="58" t="str">
        <f>IFERROR(IF(B47="","",VLOOKUP(B47,Tableau16[[Ref]:[CP]],7,FALSE)),"")</f>
        <v/>
      </c>
      <c r="I47" s="127" t="str">
        <f>CONCATENATE(Tableau8[[#This Row],[CT
INDIRECT CHANTIER]],Tableau8[[#This Row],[NOM CHANTIER
INDIRECT ST]],Tableau8[[#This Row],[Sous Traitant]],Tableau8[[#This Row],[MO
INDIRECT CT]],Tableau8[[#This Row],[marché]])</f>
        <v>JONATHANSAINT PIERRE LES NEMOURSBH2OMARCHEINT</v>
      </c>
      <c r="J47" s="205">
        <f>COUNTIF($I$4:I47,Tableau8[[#This Row],[REF FACT]])</f>
        <v>1</v>
      </c>
      <c r="K47" s="61">
        <v>28</v>
      </c>
      <c r="L47" s="62">
        <v>44043</v>
      </c>
      <c r="M47" s="58" t="str">
        <f>IF(Tableau8[[#This Row],[Sous Traitant]]&gt;1,VLOOKUP(Tableau8[[#This Row],[Sous Traitant]],Tableau11[[SOUS TRAITANT]:[DELAIS PAIEMENT]],4,FALSE),"")</f>
        <v>15J</v>
      </c>
      <c r="N47" s="63">
        <f t="shared" si="0"/>
        <v>44058</v>
      </c>
      <c r="O47" s="141" t="s">
        <v>158</v>
      </c>
      <c r="P47" s="64">
        <v>4998.7299999999996</v>
      </c>
      <c r="Q47" s="60" t="s">
        <v>161</v>
      </c>
      <c r="R47" s="113"/>
      <c r="S47" s="66"/>
      <c r="T47" s="65">
        <f>SUMIFS($P$4:P47,$I$4:I47,I47)</f>
        <v>4998.7299999999996</v>
      </c>
      <c r="U47" s="65" t="e">
        <f>IF(Tableau8[[#This Row],[marché]]="MARCHEINT",VLOOKUP($B47,Tableau16[[Ref]:[AUTRE]],13,FALSE)-Tableau8[[#This Row],[PAYEE]],"")</f>
        <v>#N/A</v>
      </c>
      <c r="V47" s="65" t="str">
        <f>IF(Tableau8[[#This Row],[marché]]="MARCHEEXT",VLOOKUP($B47,Tableau16[[Ref]:[AUTRE]],14,FALSE)-Tableau8[[#This Row],[PAYEE]],"")</f>
        <v/>
      </c>
      <c r="W47" s="65" t="str">
        <f>IF(Tableau8[[#This Row],[marché]]="RG_5%",VLOOKUP($B47,Tableau16[[Ref]:[AUTRE]],15,FALSE)-Tableau8[[#This Row],[PAYEE]],"")</f>
        <v/>
      </c>
      <c r="X47" s="65" t="str">
        <f>IF(Tableau8[[#This Row],[marché]]="BFT_5%",VLOOKUP($B47,Tableau16[[Ref]:[AUTRE]],17,FALSE)-Tableau8[[#This Row],[PAYEE]],"")</f>
        <v/>
      </c>
      <c r="Y47" s="65" t="str">
        <f>IF(Tableau8[[#This Row],[marché]]="AUTRE",VLOOKUP($B47,Tableau16[[Ref]:[AUTRE]],19,FALSE)-Tableau8[[#This Row],[PAYEE]],"")</f>
        <v/>
      </c>
      <c r="Z47" s="65"/>
      <c r="AA47" s="164" t="e">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#N/A</v>
      </c>
    </row>
    <row r="48" spans="1:27" ht="15.75">
      <c r="A48" s="280"/>
      <c r="B48" s="130" t="str">
        <f>CONCATENATE(Tableau8[[#This Row],[CT
INDIRECT CHANTIER]],Tableau8[[#This Row],[NOM CHANTIER
INDIRECT ST]],Tableau8[[#This Row],[Sous Traitant]],Tableau8[[#This Row],[MO
INDIRECT CT]])</f>
        <v>JONATHANNANDYBOPALE</v>
      </c>
      <c r="C48" s="231" t="s">
        <v>172</v>
      </c>
      <c r="D48" s="232" t="s">
        <v>82</v>
      </c>
      <c r="E48" s="232" t="s">
        <v>162</v>
      </c>
      <c r="F48" s="233" t="s">
        <v>202</v>
      </c>
      <c r="G48" s="58" t="str">
        <f>IFERROR(IF(B48="","",VLOOKUP(B48,Tableau16[[Ref]:[CP]],6,FALSE)),"")</f>
        <v/>
      </c>
      <c r="H48" s="58" t="str">
        <f>IFERROR(IF(B48="","",VLOOKUP(B48,Tableau16[[Ref]:[CP]],7,FALSE)),"")</f>
        <v/>
      </c>
      <c r="I48" s="128" t="str">
        <f>CONCATENATE(Tableau8[[#This Row],[CT
INDIRECT CHANTIER]],Tableau8[[#This Row],[NOM CHANTIER
INDIRECT ST]],Tableau8[[#This Row],[Sous Traitant]],Tableau8[[#This Row],[MO
INDIRECT CT]],Tableau8[[#This Row],[marché]])</f>
        <v>JONATHANNANDYBOPALEMARCHEINT</v>
      </c>
      <c r="J48" s="205">
        <f>COUNTIF($I$4:I48,Tableau8[[#This Row],[REF FACT]])</f>
        <v>1</v>
      </c>
      <c r="K48" s="61" t="s">
        <v>83</v>
      </c>
      <c r="L48" s="62">
        <v>44026</v>
      </c>
      <c r="M48" s="58" t="str">
        <f>IF(Tableau8[[#This Row],[Sous Traitant]]&gt;1,VLOOKUP(Tableau8[[#This Row],[Sous Traitant]],Tableau11[[SOUS TRAITANT]:[DELAIS PAIEMENT]],4,FALSE),"")</f>
        <v>15J</v>
      </c>
      <c r="N48" s="63">
        <f t="shared" si="0"/>
        <v>44058</v>
      </c>
      <c r="O48" s="141" t="s">
        <v>158</v>
      </c>
      <c r="P48" s="54">
        <v>1500</v>
      </c>
      <c r="Q48" s="60" t="s">
        <v>161</v>
      </c>
      <c r="R48" s="114"/>
      <c r="S48" s="68"/>
      <c r="T48" s="65">
        <f>SUMIFS($P$4:P48,$I$4:I48,I48)</f>
        <v>1500</v>
      </c>
      <c r="U48" s="65" t="e">
        <f>IF(Tableau8[[#This Row],[marché]]="MARCHEINT",VLOOKUP($B48,Tableau16[[Ref]:[AUTRE]],13,FALSE)-Tableau8[[#This Row],[PAYEE]],"")</f>
        <v>#N/A</v>
      </c>
      <c r="V48" s="65" t="str">
        <f>IF(Tableau8[[#This Row],[marché]]="MARCHEEXT",VLOOKUP($B48,Tableau16[[Ref]:[AUTRE]],14,FALSE)-Tableau8[[#This Row],[PAYEE]],"")</f>
        <v/>
      </c>
      <c r="W48" s="65" t="str">
        <f>IF(Tableau8[[#This Row],[marché]]="RG_5%",VLOOKUP($B48,Tableau16[[Ref]:[AUTRE]],15,FALSE)-Tableau8[[#This Row],[PAYEE]],"")</f>
        <v/>
      </c>
      <c r="X48" s="65" t="str">
        <f>IF(Tableau8[[#This Row],[marché]]="BFT_5%",VLOOKUP($B48,Tableau16[[Ref]:[AUTRE]],17,FALSE)-Tableau8[[#This Row],[PAYEE]],"")</f>
        <v/>
      </c>
      <c r="Y48" s="65" t="str">
        <f>IF(Tableau8[[#This Row],[marché]]="AUTRE",VLOOKUP($B48,Tableau16[[Ref]:[AUTRE]],19,FALSE)-Tableau8[[#This Row],[PAYEE]],"")</f>
        <v/>
      </c>
      <c r="Z48" s="65"/>
      <c r="AA48" s="164" t="e">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#N/A</v>
      </c>
    </row>
    <row r="49" spans="1:27" ht="15.75">
      <c r="A49" s="280"/>
      <c r="B49" s="130" t="str">
        <f>CONCATENATE(Tableau8[[#This Row],[CT
INDIRECT CHANTIER]],Tableau8[[#This Row],[NOM CHANTIER
INDIRECT ST]],Tableau8[[#This Row],[Sous Traitant]],Tableau8[[#This Row],[MO
INDIRECT CT]])</f>
        <v>JONATHANNANDYBOPALE</v>
      </c>
      <c r="C49" s="231" t="s">
        <v>172</v>
      </c>
      <c r="D49" s="232" t="s">
        <v>82</v>
      </c>
      <c r="E49" s="232" t="s">
        <v>162</v>
      </c>
      <c r="F49" s="233" t="s">
        <v>202</v>
      </c>
      <c r="G49" s="58" t="str">
        <f>IFERROR(IF(B49="","",VLOOKUP(B49,Tableau16[[Ref]:[CP]],6,FALSE)),"")</f>
        <v/>
      </c>
      <c r="H49" s="58" t="str">
        <f>IFERROR(IF(B49="","",VLOOKUP(B49,Tableau16[[Ref]:[CP]],7,FALSE)),"")</f>
        <v/>
      </c>
      <c r="I49" s="128" t="str">
        <f>CONCATENATE(Tableau8[[#This Row],[CT
INDIRECT CHANTIER]],Tableau8[[#This Row],[NOM CHANTIER
INDIRECT ST]],Tableau8[[#This Row],[Sous Traitant]],Tableau8[[#This Row],[MO
INDIRECT CT]],Tableau8[[#This Row],[marché]])</f>
        <v>JONATHANNANDYBOPALEMARCHEINT</v>
      </c>
      <c r="J49" s="205">
        <f>COUNTIF($I$4:I49,Tableau8[[#This Row],[REF FACT]])</f>
        <v>2</v>
      </c>
      <c r="K49" s="61" t="s">
        <v>84</v>
      </c>
      <c r="L49" s="62">
        <v>44026</v>
      </c>
      <c r="M49" s="58" t="str">
        <f>IF(Tableau8[[#This Row],[Sous Traitant]]&gt;1,VLOOKUP(Tableau8[[#This Row],[Sous Traitant]],Tableau11[[SOUS TRAITANT]:[DELAIS PAIEMENT]],4,FALSE),"")</f>
        <v>15J</v>
      </c>
      <c r="N49" s="63">
        <f t="shared" si="0"/>
        <v>44058</v>
      </c>
      <c r="O49" s="141" t="s">
        <v>158</v>
      </c>
      <c r="P49" s="54">
        <v>825</v>
      </c>
      <c r="Q49" s="60" t="s">
        <v>161</v>
      </c>
      <c r="R49" s="114"/>
      <c r="S49" s="68"/>
      <c r="T49" s="65">
        <f>SUMIFS($P$4:P49,$I$4:I49,I49)</f>
        <v>2325</v>
      </c>
      <c r="U49" s="65" t="e">
        <f>IF(Tableau8[[#This Row],[marché]]="MARCHEINT",VLOOKUP($B49,Tableau16[[Ref]:[AUTRE]],13,FALSE)-Tableau8[[#This Row],[PAYEE]],"")</f>
        <v>#N/A</v>
      </c>
      <c r="V49" s="65" t="str">
        <f>IF(Tableau8[[#This Row],[marché]]="MARCHEEXT",VLOOKUP($B49,Tableau16[[Ref]:[AUTRE]],14,FALSE)-Tableau8[[#This Row],[PAYEE]],"")</f>
        <v/>
      </c>
      <c r="W49" s="65" t="str">
        <f>IF(Tableau8[[#This Row],[marché]]="RG_5%",VLOOKUP($B49,Tableau16[[Ref]:[AUTRE]],15,FALSE)-Tableau8[[#This Row],[PAYEE]],"")</f>
        <v/>
      </c>
      <c r="X49" s="65" t="str">
        <f>IF(Tableau8[[#This Row],[marché]]="BFT_5%",VLOOKUP($B49,Tableau16[[Ref]:[AUTRE]],17,FALSE)-Tableau8[[#This Row],[PAYEE]],"")</f>
        <v/>
      </c>
      <c r="Y49" s="65" t="str">
        <f>IF(Tableau8[[#This Row],[marché]]="AUTRE",VLOOKUP($B49,Tableau16[[Ref]:[AUTRE]],19,FALSE)-Tableau8[[#This Row],[PAYEE]],"")</f>
        <v/>
      </c>
      <c r="Z49" s="65"/>
      <c r="AA49" s="164" t="e">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#N/A</v>
      </c>
    </row>
    <row r="50" spans="1:27" ht="15.75">
      <c r="A50" s="280"/>
      <c r="B50" s="130" t="str">
        <f>CONCATENATE(Tableau8[[#This Row],[CT
INDIRECT CHANTIER]],Tableau8[[#This Row],[NOM CHANTIER
INDIRECT ST]],Tableau8[[#This Row],[Sous Traitant]],Tableau8[[#This Row],[MO
INDIRECT CT]])</f>
        <v>JONATHANBRETIGNU SUR ORGEBOPALE</v>
      </c>
      <c r="C50" s="231" t="s">
        <v>172</v>
      </c>
      <c r="D50" s="232" t="s">
        <v>85</v>
      </c>
      <c r="E50" s="232" t="s">
        <v>162</v>
      </c>
      <c r="F50" s="233" t="s">
        <v>202</v>
      </c>
      <c r="G50" s="58" t="str">
        <f>IFERROR(IF(B50="","",VLOOKUP(B50,Tableau16[[Ref]:[CP]],6,FALSE)),"")</f>
        <v/>
      </c>
      <c r="H50" s="58" t="str">
        <f>IFERROR(IF(B50="","",VLOOKUP(B50,Tableau16[[Ref]:[CP]],7,FALSE)),"")</f>
        <v/>
      </c>
      <c r="I50" s="124" t="str">
        <f>CONCATENATE(Tableau8[[#This Row],[CT
INDIRECT CHANTIER]],Tableau8[[#This Row],[NOM CHANTIER
INDIRECT ST]],Tableau8[[#This Row],[Sous Traitant]],Tableau8[[#This Row],[MO
INDIRECT CT]],Tableau8[[#This Row],[marché]])</f>
        <v>JONATHANBRETIGNU SUR ORGEBOPALEMARCHEINT</v>
      </c>
      <c r="J50" s="205">
        <f>COUNTIF($I$4:I50,Tableau8[[#This Row],[REF FACT]])</f>
        <v>1</v>
      </c>
      <c r="K50" s="61" t="s">
        <v>86</v>
      </c>
      <c r="L50" s="62">
        <v>44034</v>
      </c>
      <c r="M50" s="58" t="str">
        <f>IF(Tableau8[[#This Row],[Sous Traitant]]&gt;1,VLOOKUP(Tableau8[[#This Row],[Sous Traitant]],Tableau11[[SOUS TRAITANT]:[DELAIS PAIEMENT]],4,FALSE),"")</f>
        <v>15J</v>
      </c>
      <c r="N50" s="63">
        <f t="shared" si="0"/>
        <v>44058</v>
      </c>
      <c r="O50" s="141" t="s">
        <v>158</v>
      </c>
      <c r="P50" s="54">
        <v>1400</v>
      </c>
      <c r="Q50" s="60" t="s">
        <v>161</v>
      </c>
      <c r="R50" s="114"/>
      <c r="S50" s="70"/>
      <c r="T50" s="65">
        <f>SUMIFS($P$4:P50,$I$4:I50,I50)</f>
        <v>1400</v>
      </c>
      <c r="U50" s="65" t="e">
        <f>IF(Tableau8[[#This Row],[marché]]="MARCHEINT",VLOOKUP($B50,Tableau16[[Ref]:[AUTRE]],13,FALSE)-Tableau8[[#This Row],[PAYEE]],"")</f>
        <v>#N/A</v>
      </c>
      <c r="V50" s="65" t="str">
        <f>IF(Tableau8[[#This Row],[marché]]="MARCHEEXT",VLOOKUP($B50,Tableau16[[Ref]:[AUTRE]],14,FALSE)-Tableau8[[#This Row],[PAYEE]],"")</f>
        <v/>
      </c>
      <c r="W50" s="65" t="str">
        <f>IF(Tableau8[[#This Row],[marché]]="RG_5%",VLOOKUP($B50,Tableau16[[Ref]:[AUTRE]],15,FALSE)-Tableau8[[#This Row],[PAYEE]],"")</f>
        <v/>
      </c>
      <c r="X50" s="65" t="str">
        <f>IF(Tableau8[[#This Row],[marché]]="BFT_5%",VLOOKUP($B50,Tableau16[[Ref]:[AUTRE]],17,FALSE)-Tableau8[[#This Row],[PAYEE]],"")</f>
        <v/>
      </c>
      <c r="Y50" s="65" t="str">
        <f>IF(Tableau8[[#This Row],[marché]]="AUTRE",VLOOKUP($B50,Tableau16[[Ref]:[AUTRE]],19,FALSE)-Tableau8[[#This Row],[PAYEE]],"")</f>
        <v/>
      </c>
      <c r="Z50" s="65"/>
      <c r="AA50" s="164" t="e">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#N/A</v>
      </c>
    </row>
    <row r="51" spans="1:27" ht="15.75">
      <c r="A51" s="280"/>
      <c r="B51" s="130" t="str">
        <f>CONCATENATE(Tableau8[[#This Row],[CT
INDIRECT CHANTIER]],Tableau8[[#This Row],[NOM CHANTIER
INDIRECT ST]],Tableau8[[#This Row],[Sous Traitant]],Tableau8[[#This Row],[MO
INDIRECT CT]])</f>
        <v>JONATHANBRETIGNU SUR ORGEBOPALE</v>
      </c>
      <c r="C51" s="231" t="s">
        <v>172</v>
      </c>
      <c r="D51" s="232" t="s">
        <v>85</v>
      </c>
      <c r="E51" s="232" t="s">
        <v>162</v>
      </c>
      <c r="F51" s="233" t="s">
        <v>202</v>
      </c>
      <c r="G51" s="58" t="str">
        <f>IFERROR(IF(B51="","",VLOOKUP(B51,Tableau16[[Ref]:[CP]],6,FALSE)),"")</f>
        <v/>
      </c>
      <c r="H51" s="58" t="str">
        <f>IFERROR(IF(B51="","",VLOOKUP(B51,Tableau16[[Ref]:[CP]],7,FALSE)),"")</f>
        <v/>
      </c>
      <c r="I51" s="124" t="str">
        <f>CONCATENATE(Tableau8[[#This Row],[CT
INDIRECT CHANTIER]],Tableau8[[#This Row],[NOM CHANTIER
INDIRECT ST]],Tableau8[[#This Row],[Sous Traitant]],Tableau8[[#This Row],[MO
INDIRECT CT]],Tableau8[[#This Row],[marché]])</f>
        <v>JONATHANBRETIGNU SUR ORGEBOPALEMARCHEINT</v>
      </c>
      <c r="J51" s="205">
        <f>COUNTIF($I$4:I51,Tableau8[[#This Row],[REF FACT]])</f>
        <v>2</v>
      </c>
      <c r="K51" s="61" t="s">
        <v>87</v>
      </c>
      <c r="L51" s="62">
        <v>44039</v>
      </c>
      <c r="M51" s="58" t="str">
        <f>IF(Tableau8[[#This Row],[Sous Traitant]]&gt;1,VLOOKUP(Tableau8[[#This Row],[Sous Traitant]],Tableau11[[SOUS TRAITANT]:[DELAIS PAIEMENT]],4,FALSE),"")</f>
        <v>15J</v>
      </c>
      <c r="N51" s="63">
        <f t="shared" si="0"/>
        <v>44058</v>
      </c>
      <c r="O51" s="141" t="s">
        <v>158</v>
      </c>
      <c r="P51" s="54">
        <v>980.5</v>
      </c>
      <c r="Q51" s="60" t="s">
        <v>161</v>
      </c>
      <c r="R51" s="114"/>
      <c r="S51" s="70"/>
      <c r="T51" s="65">
        <f>SUMIFS($P$4:P51,$I$4:I51,I51)</f>
        <v>2380.5</v>
      </c>
      <c r="U51" s="65" t="e">
        <f>IF(Tableau8[[#This Row],[marché]]="MARCHEINT",VLOOKUP($B51,Tableau16[[Ref]:[AUTRE]],13,FALSE)-Tableau8[[#This Row],[PAYEE]],"")</f>
        <v>#N/A</v>
      </c>
      <c r="V51" s="65" t="str">
        <f>IF(Tableau8[[#This Row],[marché]]="MARCHEEXT",VLOOKUP($B51,Tableau16[[Ref]:[AUTRE]],14,FALSE)-Tableau8[[#This Row],[PAYEE]],"")</f>
        <v/>
      </c>
      <c r="W51" s="65" t="str">
        <f>IF(Tableau8[[#This Row],[marché]]="RG_5%",VLOOKUP($B51,Tableau16[[Ref]:[AUTRE]],15,FALSE)-Tableau8[[#This Row],[PAYEE]],"")</f>
        <v/>
      </c>
      <c r="X51" s="65" t="str">
        <f>IF(Tableau8[[#This Row],[marché]]="BFT_5%",VLOOKUP($B51,Tableau16[[Ref]:[AUTRE]],17,FALSE)-Tableau8[[#This Row],[PAYEE]],"")</f>
        <v/>
      </c>
      <c r="Y51" s="65" t="str">
        <f>IF(Tableau8[[#This Row],[marché]]="AUTRE",VLOOKUP($B51,Tableau16[[Ref]:[AUTRE]],19,FALSE)-Tableau8[[#This Row],[PAYEE]],"")</f>
        <v/>
      </c>
      <c r="Z51" s="65"/>
      <c r="AA51" s="164" t="e">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#N/A</v>
      </c>
    </row>
    <row r="52" spans="1:27" ht="15.75">
      <c r="A52" s="280"/>
      <c r="B52" s="130" t="str">
        <f>CONCATENATE(Tableau8[[#This Row],[CT
INDIRECT CHANTIER]],Tableau8[[#This Row],[NOM CHANTIER
INDIRECT ST]],Tableau8[[#This Row],[Sous Traitant]],Tableau8[[#This Row],[MO
INDIRECT CT]])</f>
        <v>JONATHANSAINT FARGEAUAOPALE</v>
      </c>
      <c r="C52" s="231" t="s">
        <v>171</v>
      </c>
      <c r="D52" s="232" t="s">
        <v>88</v>
      </c>
      <c r="E52" s="232" t="s">
        <v>162</v>
      </c>
      <c r="F52" s="233" t="s">
        <v>202</v>
      </c>
      <c r="G52" s="58" t="str">
        <f>IFERROR(IF(B52="","",VLOOKUP(B52,Tableau16[[Ref]:[CP]],6,FALSE)),"")</f>
        <v/>
      </c>
      <c r="H52" s="58" t="str">
        <f>IFERROR(IF(B52="","",VLOOKUP(B52,Tableau16[[Ref]:[CP]],7,FALSE)),"")</f>
        <v/>
      </c>
      <c r="I52" s="124" t="str">
        <f>CONCATENATE(Tableau8[[#This Row],[CT
INDIRECT CHANTIER]],Tableau8[[#This Row],[NOM CHANTIER
INDIRECT ST]],Tableau8[[#This Row],[Sous Traitant]],Tableau8[[#This Row],[MO
INDIRECT CT]],Tableau8[[#This Row],[marché]])</f>
        <v>JONATHANSAINT FARGEAUAOPALEMARCHEINT</v>
      </c>
      <c r="J52" s="205">
        <f>COUNTIF($I$4:I52,Tableau8[[#This Row],[REF FACT]])</f>
        <v>1</v>
      </c>
      <c r="K52" s="61" t="s">
        <v>89</v>
      </c>
      <c r="L52" s="62">
        <v>44039</v>
      </c>
      <c r="M52" s="58" t="str">
        <f>IF(Tableau8[[#This Row],[Sous Traitant]]&gt;1,VLOOKUP(Tableau8[[#This Row],[Sous Traitant]],Tableau11[[SOUS TRAITANT]:[DELAIS PAIEMENT]],4,FALSE),"")</f>
        <v>45J</v>
      </c>
      <c r="N52" s="63">
        <f t="shared" si="0"/>
        <v>44089</v>
      </c>
      <c r="O52" s="141" t="s">
        <v>158</v>
      </c>
      <c r="P52" s="54">
        <v>300</v>
      </c>
      <c r="Q52" s="60" t="s">
        <v>161</v>
      </c>
      <c r="R52" s="114"/>
      <c r="S52" s="70"/>
      <c r="T52" s="65">
        <f>SUMIFS($P$4:P52,$I$4:I52,I52)</f>
        <v>300</v>
      </c>
      <c r="U52" s="65" t="e">
        <f>IF(Tableau8[[#This Row],[marché]]="MARCHEINT",VLOOKUP($B52,Tableau16[[Ref]:[AUTRE]],13,FALSE)-Tableau8[[#This Row],[PAYEE]],"")</f>
        <v>#N/A</v>
      </c>
      <c r="V52" s="65" t="str">
        <f>IF(Tableau8[[#This Row],[marché]]="MARCHEEXT",VLOOKUP($B52,Tableau16[[Ref]:[AUTRE]],14,FALSE)-Tableau8[[#This Row],[PAYEE]],"")</f>
        <v/>
      </c>
      <c r="W52" s="65" t="str">
        <f>IF(Tableau8[[#This Row],[marché]]="RG_5%",VLOOKUP($B52,Tableau16[[Ref]:[AUTRE]],15,FALSE)-Tableau8[[#This Row],[PAYEE]],"")</f>
        <v/>
      </c>
      <c r="X52" s="65" t="str">
        <f>IF(Tableau8[[#This Row],[marché]]="BFT_5%",VLOOKUP($B52,Tableau16[[Ref]:[AUTRE]],17,FALSE)-Tableau8[[#This Row],[PAYEE]],"")</f>
        <v/>
      </c>
      <c r="Y52" s="65" t="str">
        <f>IF(Tableau8[[#This Row],[marché]]="AUTRE",VLOOKUP($B52,Tableau16[[Ref]:[AUTRE]],19,FALSE)-Tableau8[[#This Row],[PAYEE]],"")</f>
        <v/>
      </c>
      <c r="Z52" s="65"/>
      <c r="AA52" s="164" t="e">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#N/A</v>
      </c>
    </row>
    <row r="53" spans="1:27" ht="15.75">
      <c r="A53" s="280"/>
      <c r="B53" s="130" t="str">
        <f>CONCATENATE(Tableau8[[#This Row],[CT
INDIRECT CHANTIER]],Tableau8[[#This Row],[NOM CHANTIER
INDIRECT ST]],Tableau8[[#This Row],[Sous Traitant]],Tableau8[[#This Row],[MO
INDIRECT CT]])</f>
        <v>JONATHANSERVONAOPALE</v>
      </c>
      <c r="C53" s="231" t="s">
        <v>171</v>
      </c>
      <c r="D53" s="232" t="s">
        <v>90</v>
      </c>
      <c r="E53" s="232" t="s">
        <v>162</v>
      </c>
      <c r="F53" s="233" t="s">
        <v>202</v>
      </c>
      <c r="G53" s="58" t="str">
        <f>IFERROR(IF(B53="","",VLOOKUP(B53,Tableau16[[Ref]:[CP]],6,FALSE)),"")</f>
        <v/>
      </c>
      <c r="H53" s="58" t="str">
        <f>IFERROR(IF(B53="","",VLOOKUP(B53,Tableau16[[Ref]:[CP]],7,FALSE)),"")</f>
        <v/>
      </c>
      <c r="I53" s="124" t="str">
        <f>CONCATENATE(Tableau8[[#This Row],[CT
INDIRECT CHANTIER]],Tableau8[[#This Row],[NOM CHANTIER
INDIRECT ST]],Tableau8[[#This Row],[Sous Traitant]],Tableau8[[#This Row],[MO
INDIRECT CT]],Tableau8[[#This Row],[marché]])</f>
        <v>JONATHANSERVONAOPALEMARCHEINT</v>
      </c>
      <c r="J53" s="205">
        <f>COUNTIF($I$4:I53,Tableau8[[#This Row],[REF FACT]])</f>
        <v>1</v>
      </c>
      <c r="K53" s="61" t="s">
        <v>91</v>
      </c>
      <c r="L53" s="62">
        <v>44043</v>
      </c>
      <c r="M53" s="58" t="str">
        <f>IF(Tableau8[[#This Row],[Sous Traitant]]&gt;1,VLOOKUP(Tableau8[[#This Row],[Sous Traitant]],Tableau11[[SOUS TRAITANT]:[DELAIS PAIEMENT]],4,FALSE),"")</f>
        <v>45J</v>
      </c>
      <c r="N53" s="63">
        <f t="shared" si="0"/>
        <v>44089</v>
      </c>
      <c r="O53" s="141" t="s">
        <v>158</v>
      </c>
      <c r="P53" s="54">
        <v>1287</v>
      </c>
      <c r="Q53" s="60" t="s">
        <v>161</v>
      </c>
      <c r="R53" s="114"/>
      <c r="S53" s="68"/>
      <c r="T53" s="65">
        <f>SUMIFS($P$4:P53,$I$4:I53,I53)</f>
        <v>1287</v>
      </c>
      <c r="U53" s="65" t="e">
        <f>IF(Tableau8[[#This Row],[marché]]="MARCHEINT",VLOOKUP($B53,Tableau16[[Ref]:[AUTRE]],13,FALSE)-Tableau8[[#This Row],[PAYEE]],"")</f>
        <v>#N/A</v>
      </c>
      <c r="V53" s="65" t="str">
        <f>IF(Tableau8[[#This Row],[marché]]="MARCHEEXT",VLOOKUP($B53,Tableau16[[Ref]:[AUTRE]],14,FALSE)-Tableau8[[#This Row],[PAYEE]],"")</f>
        <v/>
      </c>
      <c r="W53" s="65" t="str">
        <f>IF(Tableau8[[#This Row],[marché]]="RG_5%",VLOOKUP($B53,Tableau16[[Ref]:[AUTRE]],15,FALSE)-Tableau8[[#This Row],[PAYEE]],"")</f>
        <v/>
      </c>
      <c r="X53" s="65" t="str">
        <f>IF(Tableau8[[#This Row],[marché]]="BFT_5%",VLOOKUP($B53,Tableau16[[Ref]:[AUTRE]],17,FALSE)-Tableau8[[#This Row],[PAYEE]],"")</f>
        <v/>
      </c>
      <c r="Y53" s="65" t="str">
        <f>IF(Tableau8[[#This Row],[marché]]="AUTRE",VLOOKUP($B53,Tableau16[[Ref]:[AUTRE]],19,FALSE)-Tableau8[[#This Row],[PAYEE]],"")</f>
        <v/>
      </c>
      <c r="Z53" s="65"/>
      <c r="AA53" s="164" t="e">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#N/A</v>
      </c>
    </row>
    <row r="54" spans="1:27" ht="15.75">
      <c r="A54" s="280"/>
      <c r="B54" s="130" t="str">
        <f>CONCATENATE(Tableau8[[#This Row],[CT
INDIRECT CHANTIER]],Tableau8[[#This Row],[NOM CHANTIER
INDIRECT ST]],Tableau8[[#This Row],[Sous Traitant]],Tableau8[[#This Row],[MO
INDIRECT CT]])</f>
        <v>JONATHANROISSY EN BRIEAOPALE</v>
      </c>
      <c r="C54" s="231" t="s">
        <v>171</v>
      </c>
      <c r="D54" s="232" t="s">
        <v>92</v>
      </c>
      <c r="E54" s="232" t="s">
        <v>162</v>
      </c>
      <c r="F54" s="233" t="s">
        <v>202</v>
      </c>
      <c r="G54" s="58" t="str">
        <f>IFERROR(IF(B54="","",VLOOKUP(B54,Tableau16[[Ref]:[CP]],6,FALSE)),"")</f>
        <v/>
      </c>
      <c r="H54" s="58" t="str">
        <f>IFERROR(IF(B54="","",VLOOKUP(B54,Tableau16[[Ref]:[CP]],7,FALSE)),"")</f>
        <v/>
      </c>
      <c r="I54" s="128" t="str">
        <f>CONCATENATE(Tableau8[[#This Row],[CT
INDIRECT CHANTIER]],Tableau8[[#This Row],[NOM CHANTIER
INDIRECT ST]],Tableau8[[#This Row],[Sous Traitant]],Tableau8[[#This Row],[MO
INDIRECT CT]],Tableau8[[#This Row],[marché]])</f>
        <v>JONATHANROISSY EN BRIEAOPALEMARCHEINT</v>
      </c>
      <c r="J54" s="205">
        <f>COUNTIF($I$4:I54,Tableau8[[#This Row],[REF FACT]])</f>
        <v>1</v>
      </c>
      <c r="K54" s="61" t="s">
        <v>93</v>
      </c>
      <c r="L54" s="62">
        <v>44042</v>
      </c>
      <c r="M54" s="58" t="str">
        <f>IF(Tableau8[[#This Row],[Sous Traitant]]&gt;1,VLOOKUP(Tableau8[[#This Row],[Sous Traitant]],Tableau11[[SOUS TRAITANT]:[DELAIS PAIEMENT]],4,FALSE),"")</f>
        <v>45J</v>
      </c>
      <c r="N54" s="63">
        <f t="shared" si="0"/>
        <v>44089</v>
      </c>
      <c r="O54" s="141" t="s">
        <v>158</v>
      </c>
      <c r="P54" s="54">
        <v>12062.44</v>
      </c>
      <c r="Q54" s="60" t="s">
        <v>161</v>
      </c>
      <c r="R54" s="114"/>
      <c r="S54" s="68"/>
      <c r="T54" s="65">
        <f>SUMIFS($P$4:P54,$I$4:I54,I54)</f>
        <v>12062.44</v>
      </c>
      <c r="U54" s="65" t="e">
        <f>IF(Tableau8[[#This Row],[marché]]="MARCHEINT",VLOOKUP($B54,Tableau16[[Ref]:[AUTRE]],13,FALSE)-Tableau8[[#This Row],[PAYEE]],"")</f>
        <v>#N/A</v>
      </c>
      <c r="V54" s="65" t="str">
        <f>IF(Tableau8[[#This Row],[marché]]="MARCHEEXT",VLOOKUP($B54,Tableau16[[Ref]:[AUTRE]],14,FALSE)-Tableau8[[#This Row],[PAYEE]],"")</f>
        <v/>
      </c>
      <c r="W54" s="65" t="str">
        <f>IF(Tableau8[[#This Row],[marché]]="RG_5%",VLOOKUP($B54,Tableau16[[Ref]:[AUTRE]],15,FALSE)-Tableau8[[#This Row],[PAYEE]],"")</f>
        <v/>
      </c>
      <c r="X54" s="65" t="str">
        <f>IF(Tableau8[[#This Row],[marché]]="BFT_5%",VLOOKUP($B54,Tableau16[[Ref]:[AUTRE]],17,FALSE)-Tableau8[[#This Row],[PAYEE]],"")</f>
        <v/>
      </c>
      <c r="Y54" s="65" t="str">
        <f>IF(Tableau8[[#This Row],[marché]]="AUTRE",VLOOKUP($B54,Tableau16[[Ref]:[AUTRE]],19,FALSE)-Tableau8[[#This Row],[PAYEE]],"")</f>
        <v/>
      </c>
      <c r="Z54" s="65"/>
      <c r="AA54" s="164" t="e">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#N/A</v>
      </c>
    </row>
    <row r="55" spans="1:27" ht="15.75">
      <c r="A55" s="280"/>
      <c r="B55" s="130" t="str">
        <f>CONCATENATE(Tableau8[[#This Row],[CT
INDIRECT CHANTIER]],Tableau8[[#This Row],[NOM CHANTIER
INDIRECT ST]],Tableau8[[#This Row],[Sous Traitant]],Tableau8[[#This Row],[MO
INDIRECT CT]])</f>
        <v>JONATHANATHIS MONS F1AOPALE</v>
      </c>
      <c r="C55" s="231" t="s">
        <v>171</v>
      </c>
      <c r="D55" s="232" t="s">
        <v>94</v>
      </c>
      <c r="E55" s="232" t="s">
        <v>162</v>
      </c>
      <c r="F55" s="233" t="s">
        <v>202</v>
      </c>
      <c r="G55" s="58" t="str">
        <f>IFERROR(IF(B55="","",VLOOKUP(B55,Tableau16[[Ref]:[CP]],6,FALSE)),"")</f>
        <v/>
      </c>
      <c r="H55" s="58" t="str">
        <f>IFERROR(IF(B55="","",VLOOKUP(B55,Tableau16[[Ref]:[CP]],7,FALSE)),"")</f>
        <v/>
      </c>
      <c r="I55" s="127" t="str">
        <f>CONCATENATE(Tableau8[[#This Row],[CT
INDIRECT CHANTIER]],Tableau8[[#This Row],[NOM CHANTIER
INDIRECT ST]],Tableau8[[#This Row],[Sous Traitant]],Tableau8[[#This Row],[MO
INDIRECT CT]],Tableau8[[#This Row],[marché]])</f>
        <v>JONATHANATHIS MONS F1AOPALEMARCHEINT</v>
      </c>
      <c r="J55" s="205">
        <f>COUNTIF($I$4:I55,Tableau8[[#This Row],[REF FACT]])</f>
        <v>1</v>
      </c>
      <c r="K55" s="61" t="s">
        <v>95</v>
      </c>
      <c r="L55" s="62">
        <v>44041</v>
      </c>
      <c r="M55" s="58" t="str">
        <f>IF(Tableau8[[#This Row],[Sous Traitant]]&gt;1,VLOOKUP(Tableau8[[#This Row],[Sous Traitant]],Tableau11[[SOUS TRAITANT]:[DELAIS PAIEMENT]],4,FALSE),"")</f>
        <v>45J</v>
      </c>
      <c r="N55" s="63">
        <f t="shared" si="0"/>
        <v>44089</v>
      </c>
      <c r="O55" s="141" t="s">
        <v>158</v>
      </c>
      <c r="P55" s="64">
        <v>3850.2</v>
      </c>
      <c r="Q55" s="60" t="s">
        <v>161</v>
      </c>
      <c r="R55" s="113"/>
      <c r="S55" s="66" t="s">
        <v>96</v>
      </c>
      <c r="T55" s="65">
        <f>SUMIFS($P$4:P55,$I$4:I55,I55)</f>
        <v>3850.2</v>
      </c>
      <c r="U55" s="65" t="e">
        <f>IF(Tableau8[[#This Row],[marché]]="MARCHEINT",VLOOKUP($B55,Tableau16[[Ref]:[AUTRE]],13,FALSE)-Tableau8[[#This Row],[PAYEE]],"")</f>
        <v>#N/A</v>
      </c>
      <c r="V55" s="65" t="str">
        <f>IF(Tableau8[[#This Row],[marché]]="MARCHEEXT",VLOOKUP($B55,Tableau16[[Ref]:[AUTRE]],14,FALSE)-Tableau8[[#This Row],[PAYEE]],"")</f>
        <v/>
      </c>
      <c r="W55" s="65" t="str">
        <f>IF(Tableau8[[#This Row],[marché]]="RG_5%",VLOOKUP($B55,Tableau16[[Ref]:[AUTRE]],15,FALSE)-Tableau8[[#This Row],[PAYEE]],"")</f>
        <v/>
      </c>
      <c r="X55" s="65" t="str">
        <f>IF(Tableau8[[#This Row],[marché]]="BFT_5%",VLOOKUP($B55,Tableau16[[Ref]:[AUTRE]],17,FALSE)-Tableau8[[#This Row],[PAYEE]],"")</f>
        <v/>
      </c>
      <c r="Y55" s="65" t="str">
        <f>IF(Tableau8[[#This Row],[marché]]="AUTRE",VLOOKUP($B55,Tableau16[[Ref]:[AUTRE]],19,FALSE)-Tableau8[[#This Row],[PAYEE]],"")</f>
        <v/>
      </c>
      <c r="Z55" s="65"/>
      <c r="AA55" s="164" t="e">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#N/A</v>
      </c>
    </row>
    <row r="56" spans="1:27" ht="15.75">
      <c r="A56" s="280"/>
      <c r="B56" s="130" t="str">
        <f>CONCATENATE(Tableau8[[#This Row],[CT
INDIRECT CHANTIER]],Tableau8[[#This Row],[NOM CHANTIER
INDIRECT ST]],Tableau8[[#This Row],[Sous Traitant]],Tableau8[[#This Row],[MO
INDIRECT CT]])</f>
        <v>JONATHANATHIS MONS E2AOPALE</v>
      </c>
      <c r="C56" s="231" t="s">
        <v>171</v>
      </c>
      <c r="D56" s="232" t="s">
        <v>97</v>
      </c>
      <c r="E56" s="232" t="s">
        <v>162</v>
      </c>
      <c r="F56" s="233" t="s">
        <v>202</v>
      </c>
      <c r="G56" s="58" t="str">
        <f>IFERROR(IF(B56="","",VLOOKUP(B56,Tableau16[[Ref]:[CP]],6,FALSE)),"")</f>
        <v/>
      </c>
      <c r="H56" s="58" t="str">
        <f>IFERROR(IF(B56="","",VLOOKUP(B56,Tableau16[[Ref]:[CP]],7,FALSE)),"")</f>
        <v/>
      </c>
      <c r="I56" s="127" t="str">
        <f>CONCATENATE(Tableau8[[#This Row],[CT
INDIRECT CHANTIER]],Tableau8[[#This Row],[NOM CHANTIER
INDIRECT ST]],Tableau8[[#This Row],[Sous Traitant]],Tableau8[[#This Row],[MO
INDIRECT CT]],Tableau8[[#This Row],[marché]])</f>
        <v>JONATHANATHIS MONS E2AOPALEMARCHEINT</v>
      </c>
      <c r="J56" s="205">
        <f>COUNTIF($I$4:I56,Tableau8[[#This Row],[REF FACT]])</f>
        <v>1</v>
      </c>
      <c r="K56" s="61" t="s">
        <v>98</v>
      </c>
      <c r="L56" s="62">
        <v>44041</v>
      </c>
      <c r="M56" s="58" t="str">
        <f>IF(Tableau8[[#This Row],[Sous Traitant]]&gt;1,VLOOKUP(Tableau8[[#This Row],[Sous Traitant]],Tableau11[[SOUS TRAITANT]:[DELAIS PAIEMENT]],4,FALSE),"")</f>
        <v>45J</v>
      </c>
      <c r="N56" s="63">
        <f t="shared" si="0"/>
        <v>44089</v>
      </c>
      <c r="O56" s="141" t="s">
        <v>158</v>
      </c>
      <c r="P56" s="64">
        <v>2197.13</v>
      </c>
      <c r="Q56" s="60" t="s">
        <v>161</v>
      </c>
      <c r="R56" s="113"/>
      <c r="S56" s="66" t="s">
        <v>96</v>
      </c>
      <c r="T56" s="65">
        <f>SUMIFS($P$4:P56,$I$4:I56,I56)</f>
        <v>2197.13</v>
      </c>
      <c r="U56" s="65" t="e">
        <f>IF(Tableau8[[#This Row],[marché]]="MARCHEINT",VLOOKUP($B56,Tableau16[[Ref]:[AUTRE]],13,FALSE)-Tableau8[[#This Row],[PAYEE]],"")</f>
        <v>#N/A</v>
      </c>
      <c r="V56" s="65" t="str">
        <f>IF(Tableau8[[#This Row],[marché]]="MARCHEEXT",VLOOKUP($B56,Tableau16[[Ref]:[AUTRE]],14,FALSE)-Tableau8[[#This Row],[PAYEE]],"")</f>
        <v/>
      </c>
      <c r="W56" s="65" t="str">
        <f>IF(Tableau8[[#This Row],[marché]]="RG_5%",VLOOKUP($B56,Tableau16[[Ref]:[AUTRE]],15,FALSE)-Tableau8[[#This Row],[PAYEE]],"")</f>
        <v/>
      </c>
      <c r="X56" s="65" t="str">
        <f>IF(Tableau8[[#This Row],[marché]]="BFT_5%",VLOOKUP($B56,Tableau16[[Ref]:[AUTRE]],17,FALSE)-Tableau8[[#This Row],[PAYEE]],"")</f>
        <v/>
      </c>
      <c r="Y56" s="65" t="str">
        <f>IF(Tableau8[[#This Row],[marché]]="AUTRE",VLOOKUP($B56,Tableau16[[Ref]:[AUTRE]],19,FALSE)-Tableau8[[#This Row],[PAYEE]],"")</f>
        <v/>
      </c>
      <c r="Z56" s="65"/>
      <c r="AA56" s="164" t="e">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#N/A</v>
      </c>
    </row>
    <row r="57" spans="1:27" ht="15.75">
      <c r="A57" s="280"/>
      <c r="B57" s="130" t="str">
        <f>CONCATENATE(Tableau8[[#This Row],[CT
INDIRECT CHANTIER]],Tableau8[[#This Row],[NOM CHANTIER
INDIRECT ST]],Tableau8[[#This Row],[Sous Traitant]],Tableau8[[#This Row],[MO
INDIRECT CT]])</f>
        <v>JONATHANATHIS MONS E2AOPALE</v>
      </c>
      <c r="C57" s="231" t="s">
        <v>171</v>
      </c>
      <c r="D57" s="232" t="s">
        <v>97</v>
      </c>
      <c r="E57" s="232" t="s">
        <v>162</v>
      </c>
      <c r="F57" s="233" t="s">
        <v>202</v>
      </c>
      <c r="G57" s="58" t="str">
        <f>IFERROR(IF(B57="","",VLOOKUP(B57,Tableau16[[Ref]:[CP]],6,FALSE)),"")</f>
        <v/>
      </c>
      <c r="H57" s="58" t="str">
        <f>IFERROR(IF(B57="","",VLOOKUP(B57,Tableau16[[Ref]:[CP]],7,FALSE)),"")</f>
        <v/>
      </c>
      <c r="I57" s="127" t="str">
        <f>CONCATENATE(Tableau8[[#This Row],[CT
INDIRECT CHANTIER]],Tableau8[[#This Row],[NOM CHANTIER
INDIRECT ST]],Tableau8[[#This Row],[Sous Traitant]],Tableau8[[#This Row],[MO
INDIRECT CT]],Tableau8[[#This Row],[marché]])</f>
        <v>JONATHANATHIS MONS E2AOPALEMARCHEINT</v>
      </c>
      <c r="J57" s="205">
        <f>COUNTIF($I$4:I57,Tableau8[[#This Row],[REF FACT]])</f>
        <v>2</v>
      </c>
      <c r="K57" s="61" t="s">
        <v>99</v>
      </c>
      <c r="L57" s="62">
        <v>43999</v>
      </c>
      <c r="M57" s="58" t="str">
        <f>IF(Tableau8[[#This Row],[Sous Traitant]]&gt;1,VLOOKUP(Tableau8[[#This Row],[Sous Traitant]],Tableau11[[SOUS TRAITANT]:[DELAIS PAIEMENT]],4,FALSE),"")</f>
        <v>45J</v>
      </c>
      <c r="N57" s="63">
        <f t="shared" si="0"/>
        <v>44058</v>
      </c>
      <c r="O57" s="141" t="s">
        <v>158</v>
      </c>
      <c r="P57" s="64">
        <v>400</v>
      </c>
      <c r="Q57" s="60" t="s">
        <v>161</v>
      </c>
      <c r="R57" s="113"/>
      <c r="S57" s="66"/>
      <c r="T57" s="65">
        <f>SUMIFS($P$4:P57,$I$4:I57,I57)</f>
        <v>2597.13</v>
      </c>
      <c r="U57" s="65" t="e">
        <f>IF(Tableau8[[#This Row],[marché]]="MARCHEINT",VLOOKUP($B57,Tableau16[[Ref]:[AUTRE]],13,FALSE)-Tableau8[[#This Row],[PAYEE]],"")</f>
        <v>#N/A</v>
      </c>
      <c r="V57" s="65" t="str">
        <f>IF(Tableau8[[#This Row],[marché]]="MARCHEEXT",VLOOKUP($B57,Tableau16[[Ref]:[AUTRE]],14,FALSE)-Tableau8[[#This Row],[PAYEE]],"")</f>
        <v/>
      </c>
      <c r="W57" s="65" t="str">
        <f>IF(Tableau8[[#This Row],[marché]]="RG_5%",VLOOKUP($B57,Tableau16[[Ref]:[AUTRE]],15,FALSE)-Tableau8[[#This Row],[PAYEE]],"")</f>
        <v/>
      </c>
      <c r="X57" s="65" t="str">
        <f>IF(Tableau8[[#This Row],[marché]]="BFT_5%",VLOOKUP($B57,Tableau16[[Ref]:[AUTRE]],17,FALSE)-Tableau8[[#This Row],[PAYEE]],"")</f>
        <v/>
      </c>
      <c r="Y57" s="65" t="str">
        <f>IF(Tableau8[[#This Row],[marché]]="AUTRE",VLOOKUP($B57,Tableau16[[Ref]:[AUTRE]],19,FALSE)-Tableau8[[#This Row],[PAYEE]],"")</f>
        <v/>
      </c>
      <c r="Z57" s="65"/>
      <c r="AA57" s="164" t="e">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#N/A</v>
      </c>
    </row>
    <row r="58" spans="1:27" ht="15.75">
      <c r="A58" s="280"/>
      <c r="B58" s="130" t="str">
        <f>CONCATENATE(Tableau8[[#This Row],[CT
INDIRECT CHANTIER]],Tableau8[[#This Row],[NOM CHANTIER
INDIRECT ST]],Tableau8[[#This Row],[Sous Traitant]],Tableau8[[#This Row],[MO
INDIRECT CT]])</f>
        <v>LAURENTCLAMARTAOPALE</v>
      </c>
      <c r="C58" s="231" t="s">
        <v>171</v>
      </c>
      <c r="D58" s="232" t="s">
        <v>100</v>
      </c>
      <c r="E58" s="232" t="s">
        <v>43</v>
      </c>
      <c r="F58" s="233" t="s">
        <v>202</v>
      </c>
      <c r="G58" s="58" t="str">
        <f>IFERROR(IF(B58="","",VLOOKUP(B58,Tableau16[[Ref]:[CP]],6,FALSE)),"")</f>
        <v/>
      </c>
      <c r="H58" s="58" t="str">
        <f>IFERROR(IF(B58="","",VLOOKUP(B58,Tableau16[[Ref]:[CP]],7,FALSE)),"")</f>
        <v/>
      </c>
      <c r="I58" s="127" t="str">
        <f>CONCATENATE(Tableau8[[#This Row],[CT
INDIRECT CHANTIER]],Tableau8[[#This Row],[NOM CHANTIER
INDIRECT ST]],Tableau8[[#This Row],[Sous Traitant]],Tableau8[[#This Row],[MO
INDIRECT CT]],Tableau8[[#This Row],[marché]])</f>
        <v>LAURENTCLAMARTAOPALEMARCHEINT</v>
      </c>
      <c r="J58" s="205">
        <f>COUNTIF($I$4:I58,Tableau8[[#This Row],[REF FACT]])</f>
        <v>1</v>
      </c>
      <c r="K58" s="61" t="s">
        <v>101</v>
      </c>
      <c r="L58" s="62">
        <v>44049</v>
      </c>
      <c r="M58" s="58" t="str">
        <f>IF(Tableau8[[#This Row],[Sous Traitant]]&gt;1,VLOOKUP(Tableau8[[#This Row],[Sous Traitant]],Tableau11[[SOUS TRAITANT]:[DELAIS PAIEMENT]],4,FALSE),"")</f>
        <v>45J</v>
      </c>
      <c r="N58" s="63">
        <f t="shared" si="0"/>
        <v>44119</v>
      </c>
      <c r="O58" s="141" t="s">
        <v>158</v>
      </c>
      <c r="P58" s="64">
        <v>1081.43</v>
      </c>
      <c r="Q58" s="60" t="s">
        <v>161</v>
      </c>
      <c r="R58" s="113"/>
      <c r="S58" s="66"/>
      <c r="T58" s="65">
        <f>SUMIFS($P$4:P58,$I$4:I58,I58)</f>
        <v>1081.43</v>
      </c>
      <c r="U58" s="65" t="e">
        <f>IF(Tableau8[[#This Row],[marché]]="MARCHEINT",VLOOKUP($B58,Tableau16[[Ref]:[AUTRE]],13,FALSE)-Tableau8[[#This Row],[PAYEE]],"")</f>
        <v>#N/A</v>
      </c>
      <c r="V58" s="65" t="str">
        <f>IF(Tableau8[[#This Row],[marché]]="MARCHEEXT",VLOOKUP($B58,Tableau16[[Ref]:[AUTRE]],14,FALSE)-Tableau8[[#This Row],[PAYEE]],"")</f>
        <v/>
      </c>
      <c r="W58" s="65" t="str">
        <f>IF(Tableau8[[#This Row],[marché]]="RG_5%",VLOOKUP($B58,Tableau16[[Ref]:[AUTRE]],15,FALSE)-Tableau8[[#This Row],[PAYEE]],"")</f>
        <v/>
      </c>
      <c r="X58" s="65" t="str">
        <f>IF(Tableau8[[#This Row],[marché]]="BFT_5%",VLOOKUP($B58,Tableau16[[Ref]:[AUTRE]],17,FALSE)-Tableau8[[#This Row],[PAYEE]],"")</f>
        <v/>
      </c>
      <c r="Y58" s="65" t="str">
        <f>IF(Tableau8[[#This Row],[marché]]="AUTRE",VLOOKUP($B58,Tableau16[[Ref]:[AUTRE]],19,FALSE)-Tableau8[[#This Row],[PAYEE]],"")</f>
        <v/>
      </c>
      <c r="Z58" s="65"/>
      <c r="AA58" s="164" t="e">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#N/A</v>
      </c>
    </row>
    <row r="59" spans="1:27" ht="15.75">
      <c r="A59" s="280"/>
      <c r="B59" s="130" t="str">
        <f>CONCATENATE(Tableau8[[#This Row],[CT
INDIRECT CHANTIER]],Tableau8[[#This Row],[NOM CHANTIER
INDIRECT ST]],Tableau8[[#This Row],[Sous Traitant]],Tableau8[[#This Row],[MO
INDIRECT CT]])</f>
        <v>LAURENTLOGNESAZORG</v>
      </c>
      <c r="C59" s="231" t="s">
        <v>171</v>
      </c>
      <c r="D59" s="232" t="s">
        <v>102</v>
      </c>
      <c r="E59" s="232" t="s">
        <v>43</v>
      </c>
      <c r="F59" s="233" t="s">
        <v>203</v>
      </c>
      <c r="G59" s="58" t="str">
        <f>IFERROR(IF(B59="","",VLOOKUP(B59,Tableau16[[Ref]:[CP]],6,FALSE)),"")</f>
        <v/>
      </c>
      <c r="H59" s="58" t="str">
        <f>IFERROR(IF(B59="","",VLOOKUP(B59,Tableau16[[Ref]:[CP]],7,FALSE)),"")</f>
        <v/>
      </c>
      <c r="I59" s="127" t="str">
        <f>CONCATENATE(Tableau8[[#This Row],[CT
INDIRECT CHANTIER]],Tableau8[[#This Row],[NOM CHANTIER
INDIRECT ST]],Tableau8[[#This Row],[Sous Traitant]],Tableau8[[#This Row],[MO
INDIRECT CT]],Tableau8[[#This Row],[marché]])</f>
        <v>LAURENTLOGNESAZORGMARCHEINT</v>
      </c>
      <c r="J59" s="205">
        <f>COUNTIF($I$4:I59,Tableau8[[#This Row],[REF FACT]])</f>
        <v>1</v>
      </c>
      <c r="K59" s="61">
        <v>167</v>
      </c>
      <c r="L59" s="62">
        <v>44048</v>
      </c>
      <c r="M59" s="58" t="str">
        <f>IF(Tableau8[[#This Row],[Sous Traitant]]&gt;1,VLOOKUP(Tableau8[[#This Row],[Sous Traitant]],Tableau11[[SOUS TRAITANT]:[DELAIS PAIEMENT]],4,FALSE),"")</f>
        <v>45J</v>
      </c>
      <c r="N59" s="63">
        <f t="shared" si="0"/>
        <v>44119</v>
      </c>
      <c r="O59" s="141" t="s">
        <v>158</v>
      </c>
      <c r="P59" s="64">
        <v>1905</v>
      </c>
      <c r="Q59" s="60" t="s">
        <v>161</v>
      </c>
      <c r="R59" s="113"/>
      <c r="S59" s="66"/>
      <c r="T59" s="65">
        <f>SUMIFS($P$4:P59,$I$4:I59,I59)</f>
        <v>1905</v>
      </c>
      <c r="U59" s="65" t="e">
        <f>IF(Tableau8[[#This Row],[marché]]="MARCHEINT",VLOOKUP($B59,Tableau16[[Ref]:[AUTRE]],13,FALSE)-Tableau8[[#This Row],[PAYEE]],"")</f>
        <v>#N/A</v>
      </c>
      <c r="V59" s="65" t="str">
        <f>IF(Tableau8[[#This Row],[marché]]="MARCHEEXT",VLOOKUP($B59,Tableau16[[Ref]:[AUTRE]],14,FALSE)-Tableau8[[#This Row],[PAYEE]],"")</f>
        <v/>
      </c>
      <c r="W59" s="65" t="str">
        <f>IF(Tableau8[[#This Row],[marché]]="RG_5%",VLOOKUP($B59,Tableau16[[Ref]:[AUTRE]],15,FALSE)-Tableau8[[#This Row],[PAYEE]],"")</f>
        <v/>
      </c>
      <c r="X59" s="65" t="str">
        <f>IF(Tableau8[[#This Row],[marché]]="BFT_5%",VLOOKUP($B59,Tableau16[[Ref]:[AUTRE]],17,FALSE)-Tableau8[[#This Row],[PAYEE]],"")</f>
        <v/>
      </c>
      <c r="Y59" s="65" t="str">
        <f>IF(Tableau8[[#This Row],[marché]]="AUTRE",VLOOKUP($B59,Tableau16[[Ref]:[AUTRE]],19,FALSE)-Tableau8[[#This Row],[PAYEE]],"")</f>
        <v/>
      </c>
      <c r="Z59" s="65"/>
      <c r="AA59" s="164" t="e">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#N/A</v>
      </c>
    </row>
    <row r="60" spans="1:27" ht="15.75">
      <c r="A60" s="280"/>
      <c r="B60" s="130" t="str">
        <f>CONCATENATE(Tableau8[[#This Row],[CT
INDIRECT CHANTIER]],Tableau8[[#This Row],[NOM CHANTIER
INDIRECT ST]],Tableau8[[#This Row],[Sous Traitant]],Tableau8[[#This Row],[MO
INDIRECT CT]])</f>
        <v>LAURENTSERVONAZORG</v>
      </c>
      <c r="C60" s="231" t="s">
        <v>171</v>
      </c>
      <c r="D60" s="232" t="s">
        <v>90</v>
      </c>
      <c r="E60" s="232" t="s">
        <v>43</v>
      </c>
      <c r="F60" s="233" t="s">
        <v>203</v>
      </c>
      <c r="G60" s="58" t="str">
        <f>IFERROR(IF(B60="","",VLOOKUP(B60,Tableau16[[Ref]:[CP]],6,FALSE)),"")</f>
        <v/>
      </c>
      <c r="H60" s="58" t="str">
        <f>IFERROR(IF(B60="","",VLOOKUP(B60,Tableau16[[Ref]:[CP]],7,FALSE)),"")</f>
        <v/>
      </c>
      <c r="I60" s="128" t="str">
        <f>CONCATENATE(Tableau8[[#This Row],[CT
INDIRECT CHANTIER]],Tableau8[[#This Row],[NOM CHANTIER
INDIRECT ST]],Tableau8[[#This Row],[Sous Traitant]],Tableau8[[#This Row],[MO
INDIRECT CT]],Tableau8[[#This Row],[marché]])</f>
        <v>LAURENTSERVONAZORGMARCHEINT</v>
      </c>
      <c r="J60" s="205">
        <f>COUNTIF($I$4:I60,Tableau8[[#This Row],[REF FACT]])</f>
        <v>1</v>
      </c>
      <c r="K60" s="61" t="s">
        <v>103</v>
      </c>
      <c r="L60" s="62">
        <v>44035</v>
      </c>
      <c r="M60" s="58" t="str">
        <f>IF(Tableau8[[#This Row],[Sous Traitant]]&gt;1,VLOOKUP(Tableau8[[#This Row],[Sous Traitant]],Tableau11[[SOUS TRAITANT]:[DELAIS PAIEMENT]],4,FALSE),"")</f>
        <v>45J</v>
      </c>
      <c r="N60" s="63">
        <f t="shared" si="0"/>
        <v>44089</v>
      </c>
      <c r="O60" s="141" t="s">
        <v>158</v>
      </c>
      <c r="P60" s="54">
        <v>1075</v>
      </c>
      <c r="Q60" s="60" t="s">
        <v>161</v>
      </c>
      <c r="R60" s="114"/>
      <c r="S60" s="68" t="s">
        <v>96</v>
      </c>
      <c r="T60" s="65">
        <f>SUMIFS($P$4:P60,$I$4:I60,I60)</f>
        <v>1075</v>
      </c>
      <c r="U60" s="65" t="e">
        <f>IF(Tableau8[[#This Row],[marché]]="MARCHEINT",VLOOKUP($B60,Tableau16[[Ref]:[AUTRE]],13,FALSE)-Tableau8[[#This Row],[PAYEE]],"")</f>
        <v>#N/A</v>
      </c>
      <c r="V60" s="65" t="str">
        <f>IF(Tableau8[[#This Row],[marché]]="MARCHEEXT",VLOOKUP($B60,Tableau16[[Ref]:[AUTRE]],14,FALSE)-Tableau8[[#This Row],[PAYEE]],"")</f>
        <v/>
      </c>
      <c r="W60" s="65" t="str">
        <f>IF(Tableau8[[#This Row],[marché]]="RG_5%",VLOOKUP($B60,Tableau16[[Ref]:[AUTRE]],15,FALSE)-Tableau8[[#This Row],[PAYEE]],"")</f>
        <v/>
      </c>
      <c r="X60" s="65" t="str">
        <f>IF(Tableau8[[#This Row],[marché]]="BFT_5%",VLOOKUP($B60,Tableau16[[Ref]:[AUTRE]],17,FALSE)-Tableau8[[#This Row],[PAYEE]],"")</f>
        <v/>
      </c>
      <c r="Y60" s="65" t="str">
        <f>IF(Tableau8[[#This Row],[marché]]="AUTRE",VLOOKUP($B60,Tableau16[[Ref]:[AUTRE]],19,FALSE)-Tableau8[[#This Row],[PAYEE]],"")</f>
        <v/>
      </c>
      <c r="Z60" s="65"/>
      <c r="AA60" s="164" t="e">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#N/A</v>
      </c>
    </row>
    <row r="61" spans="1:27" ht="15.75">
      <c r="A61" s="280"/>
      <c r="B61" s="130" t="str">
        <f>CONCATENATE(Tableau8[[#This Row],[CT
INDIRECT CHANTIER]],Tableau8[[#This Row],[NOM CHANTIER
INDIRECT ST]],Tableau8[[#This Row],[Sous Traitant]],Tableau8[[#This Row],[MO
INDIRECT CT]])</f>
        <v>LAURENTMOISSYAZORG</v>
      </c>
      <c r="C61" s="231" t="s">
        <v>171</v>
      </c>
      <c r="D61" s="232" t="s">
        <v>104</v>
      </c>
      <c r="E61" s="232" t="s">
        <v>43</v>
      </c>
      <c r="F61" s="233" t="s">
        <v>203</v>
      </c>
      <c r="G61" s="58" t="str">
        <f>IFERROR(IF(B61="","",VLOOKUP(B61,Tableau16[[Ref]:[CP]],6,FALSE)),"")</f>
        <v/>
      </c>
      <c r="H61" s="58" t="str">
        <f>IFERROR(IF(B61="","",VLOOKUP(B61,Tableau16[[Ref]:[CP]],7,FALSE)),"")</f>
        <v/>
      </c>
      <c r="I61" s="128" t="str">
        <f>CONCATENATE(Tableau8[[#This Row],[CT
INDIRECT CHANTIER]],Tableau8[[#This Row],[NOM CHANTIER
INDIRECT ST]],Tableau8[[#This Row],[Sous Traitant]],Tableau8[[#This Row],[MO
INDIRECT CT]],Tableau8[[#This Row],[marché]])</f>
        <v>LAURENTMOISSYAZORGMARCHEINT</v>
      </c>
      <c r="J61" s="205">
        <f>COUNTIF($I$4:I61,Tableau8[[#This Row],[REF FACT]])</f>
        <v>1</v>
      </c>
      <c r="K61" s="61" t="s">
        <v>105</v>
      </c>
      <c r="L61" s="62">
        <v>43982</v>
      </c>
      <c r="M61" s="58" t="str">
        <f>IF(Tableau8[[#This Row],[Sous Traitant]]&gt;1,VLOOKUP(Tableau8[[#This Row],[Sous Traitant]],Tableau11[[SOUS TRAITANT]:[DELAIS PAIEMENT]],4,FALSE),"")</f>
        <v>45J</v>
      </c>
      <c r="N61" s="63">
        <f t="shared" si="0"/>
        <v>44027</v>
      </c>
      <c r="O61" s="141" t="s">
        <v>158</v>
      </c>
      <c r="P61" s="71">
        <v>770</v>
      </c>
      <c r="Q61" s="60" t="s">
        <v>161</v>
      </c>
      <c r="R61" s="114"/>
      <c r="S61" s="68" t="s">
        <v>96</v>
      </c>
      <c r="T61" s="65">
        <f>SUMIFS($P$4:P61,$I$4:I61,I61)</f>
        <v>770</v>
      </c>
      <c r="U61" s="65" t="e">
        <f>IF(Tableau8[[#This Row],[marché]]="MARCHEINT",VLOOKUP($B61,Tableau16[[Ref]:[AUTRE]],13,FALSE)-Tableau8[[#This Row],[PAYEE]],"")</f>
        <v>#N/A</v>
      </c>
      <c r="V61" s="65" t="str">
        <f>IF(Tableau8[[#This Row],[marché]]="MARCHEEXT",VLOOKUP($B61,Tableau16[[Ref]:[AUTRE]],14,FALSE)-Tableau8[[#This Row],[PAYEE]],"")</f>
        <v/>
      </c>
      <c r="W61" s="65" t="str">
        <f>IF(Tableau8[[#This Row],[marché]]="RG_5%",VLOOKUP($B61,Tableau16[[Ref]:[AUTRE]],15,FALSE)-Tableau8[[#This Row],[PAYEE]],"")</f>
        <v/>
      </c>
      <c r="X61" s="65" t="str">
        <f>IF(Tableau8[[#This Row],[marché]]="BFT_5%",VLOOKUP($B61,Tableau16[[Ref]:[AUTRE]],17,FALSE)-Tableau8[[#This Row],[PAYEE]],"")</f>
        <v/>
      </c>
      <c r="Y61" s="65" t="str">
        <f>IF(Tableau8[[#This Row],[marché]]="AUTRE",VLOOKUP($B61,Tableau16[[Ref]:[AUTRE]],19,FALSE)-Tableau8[[#This Row],[PAYEE]],"")</f>
        <v/>
      </c>
      <c r="Z61" s="65"/>
      <c r="AA61" s="164" t="e">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#N/A</v>
      </c>
    </row>
    <row r="62" spans="1:27" ht="15.75">
      <c r="A62" s="280"/>
      <c r="B62" s="130" t="str">
        <f>CONCATENATE(Tableau8[[#This Row],[CT
INDIRECT CHANTIER]],Tableau8[[#This Row],[NOM CHANTIER
INDIRECT ST]],Tableau8[[#This Row],[Sous Traitant]],Tableau8[[#This Row],[MO
INDIRECT CT]])</f>
        <v>LAURENTSERVONAZORG</v>
      </c>
      <c r="C62" s="231" t="s">
        <v>171</v>
      </c>
      <c r="D62" s="232" t="s">
        <v>90</v>
      </c>
      <c r="E62" s="232" t="s">
        <v>43</v>
      </c>
      <c r="F62" s="233" t="s">
        <v>203</v>
      </c>
      <c r="G62" s="58" t="str">
        <f>IFERROR(IF(B62="","",VLOOKUP(B62,Tableau16[[Ref]:[CP]],6,FALSE)),"")</f>
        <v/>
      </c>
      <c r="H62" s="58" t="str">
        <f>IFERROR(IF(B62="","",VLOOKUP(B62,Tableau16[[Ref]:[CP]],7,FALSE)),"")</f>
        <v/>
      </c>
      <c r="I62" s="128" t="str">
        <f>CONCATENATE(Tableau8[[#This Row],[CT
INDIRECT CHANTIER]],Tableau8[[#This Row],[NOM CHANTIER
INDIRECT ST]],Tableau8[[#This Row],[Sous Traitant]],Tableau8[[#This Row],[MO
INDIRECT CT]],Tableau8[[#This Row],[marché]])</f>
        <v>LAURENTSERVONAZORGMARCHEINT</v>
      </c>
      <c r="J62" s="205">
        <f>COUNTIF($I$4:I62,Tableau8[[#This Row],[REF FACT]])</f>
        <v>2</v>
      </c>
      <c r="K62" s="61" t="s">
        <v>106</v>
      </c>
      <c r="L62" s="62">
        <v>44012</v>
      </c>
      <c r="M62" s="58" t="str">
        <f>IF(Tableau8[[#This Row],[Sous Traitant]]&gt;1,VLOOKUP(Tableau8[[#This Row],[Sous Traitant]],Tableau11[[SOUS TRAITANT]:[DELAIS PAIEMENT]],4,FALSE),"")</f>
        <v>45J</v>
      </c>
      <c r="N62" s="63">
        <f t="shared" si="0"/>
        <v>44058</v>
      </c>
      <c r="O62" s="141" t="s">
        <v>158</v>
      </c>
      <c r="P62" s="71">
        <v>1572.12</v>
      </c>
      <c r="Q62" s="60" t="s">
        <v>161</v>
      </c>
      <c r="R62" s="114"/>
      <c r="S62" s="68" t="s">
        <v>96</v>
      </c>
      <c r="T62" s="65">
        <f>SUMIFS($P$4:P62,$I$4:I62,I62)</f>
        <v>2647.12</v>
      </c>
      <c r="U62" s="65" t="e">
        <f>IF(Tableau8[[#This Row],[marché]]="MARCHEINT",VLOOKUP($B62,Tableau16[[Ref]:[AUTRE]],13,FALSE)-Tableau8[[#This Row],[PAYEE]],"")</f>
        <v>#N/A</v>
      </c>
      <c r="V62" s="65" t="str">
        <f>IF(Tableau8[[#This Row],[marché]]="MARCHEEXT",VLOOKUP($B62,Tableau16[[Ref]:[AUTRE]],14,FALSE)-Tableau8[[#This Row],[PAYEE]],"")</f>
        <v/>
      </c>
      <c r="W62" s="65" t="str">
        <f>IF(Tableau8[[#This Row],[marché]]="RG_5%",VLOOKUP($B62,Tableau16[[Ref]:[AUTRE]],15,FALSE)-Tableau8[[#This Row],[PAYEE]],"")</f>
        <v/>
      </c>
      <c r="X62" s="65" t="str">
        <f>IF(Tableau8[[#This Row],[marché]]="BFT_5%",VLOOKUP($B62,Tableau16[[Ref]:[AUTRE]],17,FALSE)-Tableau8[[#This Row],[PAYEE]],"")</f>
        <v/>
      </c>
      <c r="Y62" s="65" t="str">
        <f>IF(Tableau8[[#This Row],[marché]]="AUTRE",VLOOKUP($B62,Tableau16[[Ref]:[AUTRE]],19,FALSE)-Tableau8[[#This Row],[PAYEE]],"")</f>
        <v/>
      </c>
      <c r="Z62" s="65"/>
      <c r="AA62" s="164" t="e">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#N/A</v>
      </c>
    </row>
    <row r="63" spans="1:27" ht="15.75">
      <c r="A63" s="280"/>
      <c r="B63" s="130" t="str">
        <f>CONCATENATE(Tableau8[[#This Row],[CT
INDIRECT CHANTIER]],Tableau8[[#This Row],[NOM CHANTIER
INDIRECT ST]],Tableau8[[#This Row],[Sous Traitant]],Tableau8[[#This Row],[MO
INDIRECT CT]])</f>
        <v>LAURENTSARCELLESAZORG</v>
      </c>
      <c r="C63" s="231" t="s">
        <v>171</v>
      </c>
      <c r="D63" s="232" t="s">
        <v>107</v>
      </c>
      <c r="E63" s="232" t="s">
        <v>43</v>
      </c>
      <c r="F63" s="233" t="s">
        <v>203</v>
      </c>
      <c r="G63" s="58" t="str">
        <f>IFERROR(IF(B63="","",VLOOKUP(B63,Tableau16[[Ref]:[CP]],6,FALSE)),"")</f>
        <v/>
      </c>
      <c r="H63" s="58" t="str">
        <f>IFERROR(IF(B63="","",VLOOKUP(B63,Tableau16[[Ref]:[CP]],7,FALSE)),"")</f>
        <v/>
      </c>
      <c r="I63" s="128" t="str">
        <f>CONCATENATE(Tableau8[[#This Row],[CT
INDIRECT CHANTIER]],Tableau8[[#This Row],[NOM CHANTIER
INDIRECT ST]],Tableau8[[#This Row],[Sous Traitant]],Tableau8[[#This Row],[MO
INDIRECT CT]],Tableau8[[#This Row],[marché]])</f>
        <v>LAURENTSARCELLESAZORGMARCHEINT</v>
      </c>
      <c r="J63" s="205">
        <f>COUNTIF($I$4:I63,Tableau8[[#This Row],[REF FACT]])</f>
        <v>1</v>
      </c>
      <c r="K63" s="61" t="s">
        <v>108</v>
      </c>
      <c r="L63" s="62">
        <v>44047</v>
      </c>
      <c r="M63" s="58" t="str">
        <f>IF(Tableau8[[#This Row],[Sous Traitant]]&gt;1,VLOOKUP(Tableau8[[#This Row],[Sous Traitant]],Tableau11[[SOUS TRAITANT]:[DELAIS PAIEMENT]],4,FALSE),"")</f>
        <v>45J</v>
      </c>
      <c r="N63" s="63">
        <f t="shared" si="0"/>
        <v>44119</v>
      </c>
      <c r="O63" s="141" t="s">
        <v>158</v>
      </c>
      <c r="P63" s="54">
        <v>1160</v>
      </c>
      <c r="Q63" s="60" t="s">
        <v>161</v>
      </c>
      <c r="R63" s="114"/>
      <c r="S63" s="68"/>
      <c r="T63" s="65">
        <f>SUMIFS($P$4:P63,$I$4:I63,I63)</f>
        <v>1160</v>
      </c>
      <c r="U63" s="65" t="e">
        <f>IF(Tableau8[[#This Row],[marché]]="MARCHEINT",VLOOKUP($B63,Tableau16[[Ref]:[AUTRE]],13,FALSE)-Tableau8[[#This Row],[PAYEE]],"")</f>
        <v>#N/A</v>
      </c>
      <c r="V63" s="65" t="str">
        <f>IF(Tableau8[[#This Row],[marché]]="MARCHEEXT",VLOOKUP($B63,Tableau16[[Ref]:[AUTRE]],14,FALSE)-Tableau8[[#This Row],[PAYEE]],"")</f>
        <v/>
      </c>
      <c r="W63" s="65" t="str">
        <f>IF(Tableau8[[#This Row],[marché]]="RG_5%",VLOOKUP($B63,Tableau16[[Ref]:[AUTRE]],15,FALSE)-Tableau8[[#This Row],[PAYEE]],"")</f>
        <v/>
      </c>
      <c r="X63" s="65" t="str">
        <f>IF(Tableau8[[#This Row],[marché]]="BFT_5%",VLOOKUP($B63,Tableau16[[Ref]:[AUTRE]],17,FALSE)-Tableau8[[#This Row],[PAYEE]],"")</f>
        <v/>
      </c>
      <c r="Y63" s="65" t="str">
        <f>IF(Tableau8[[#This Row],[marché]]="AUTRE",VLOOKUP($B63,Tableau16[[Ref]:[AUTRE]],19,FALSE)-Tableau8[[#This Row],[PAYEE]],"")</f>
        <v/>
      </c>
      <c r="Z63" s="65"/>
      <c r="AA63" s="164" t="e">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#N/A</v>
      </c>
    </row>
    <row r="64" spans="1:27" ht="15.75">
      <c r="A64" s="280"/>
      <c r="B64" s="130" t="str">
        <f>CONCATENATE(Tableau8[[#This Row],[CT
INDIRECT CHANTIER]],Tableau8[[#This Row],[NOM CHANTIER
INDIRECT ST]],Tableau8[[#This Row],[Sous Traitant]],Tableau8[[#This Row],[MO
INDIRECT CT]])</f>
        <v>LAURENTLOGNESAZORG</v>
      </c>
      <c r="C64" s="231" t="s">
        <v>171</v>
      </c>
      <c r="D64" s="232" t="s">
        <v>102</v>
      </c>
      <c r="E64" s="232" t="s">
        <v>43</v>
      </c>
      <c r="F64" s="233" t="s">
        <v>203</v>
      </c>
      <c r="G64" s="58" t="str">
        <f>IFERROR(IF(B64="","",VLOOKUP(B64,Tableau16[[Ref]:[CP]],6,FALSE)),"")</f>
        <v/>
      </c>
      <c r="H64" s="58" t="str">
        <f>IFERROR(IF(B64="","",VLOOKUP(B64,Tableau16[[Ref]:[CP]],7,FALSE)),"")</f>
        <v/>
      </c>
      <c r="I64" s="127" t="str">
        <f>CONCATENATE(Tableau8[[#This Row],[CT
INDIRECT CHANTIER]],Tableau8[[#This Row],[NOM CHANTIER
INDIRECT ST]],Tableau8[[#This Row],[Sous Traitant]],Tableau8[[#This Row],[MO
INDIRECT CT]],Tableau8[[#This Row],[marché]])</f>
        <v>LAURENTLOGNESAZORGMARCHEINT</v>
      </c>
      <c r="J64" s="205">
        <f>COUNTIF($I$4:I64,Tableau8[[#This Row],[REF FACT]])</f>
        <v>2</v>
      </c>
      <c r="K64" s="61">
        <v>139</v>
      </c>
      <c r="L64" s="62">
        <v>44012</v>
      </c>
      <c r="M64" s="58" t="str">
        <f>IF(Tableau8[[#This Row],[Sous Traitant]]&gt;1,VLOOKUP(Tableau8[[#This Row],[Sous Traitant]],Tableau11[[SOUS TRAITANT]:[DELAIS PAIEMENT]],4,FALSE),"")</f>
        <v>45J</v>
      </c>
      <c r="N64" s="63">
        <f t="shared" si="0"/>
        <v>44058</v>
      </c>
      <c r="O64" s="141" t="s">
        <v>158</v>
      </c>
      <c r="P64" s="54">
        <v>6583.5</v>
      </c>
      <c r="Q64" s="60" t="s">
        <v>161</v>
      </c>
      <c r="R64" s="113">
        <v>43981</v>
      </c>
      <c r="S64" s="68"/>
      <c r="T64" s="65">
        <f>SUMIFS($P$4:P64,$I$4:I64,I64)</f>
        <v>8488.5</v>
      </c>
      <c r="U64" s="65" t="e">
        <f>IF(Tableau8[[#This Row],[marché]]="MARCHEINT",VLOOKUP($B64,Tableau16[[Ref]:[AUTRE]],13,FALSE)-Tableau8[[#This Row],[PAYEE]],"")</f>
        <v>#N/A</v>
      </c>
      <c r="V64" s="65" t="str">
        <f>IF(Tableau8[[#This Row],[marché]]="MARCHEEXT",VLOOKUP($B64,Tableau16[[Ref]:[AUTRE]],14,FALSE)-Tableau8[[#This Row],[PAYEE]],"")</f>
        <v/>
      </c>
      <c r="W64" s="65" t="str">
        <f>IF(Tableau8[[#This Row],[marché]]="RG_5%",VLOOKUP($B64,Tableau16[[Ref]:[AUTRE]],15,FALSE)-Tableau8[[#This Row],[PAYEE]],"")</f>
        <v/>
      </c>
      <c r="X64" s="65" t="str">
        <f>IF(Tableau8[[#This Row],[marché]]="BFT_5%",VLOOKUP($B64,Tableau16[[Ref]:[AUTRE]],17,FALSE)-Tableau8[[#This Row],[PAYEE]],"")</f>
        <v/>
      </c>
      <c r="Y64" s="65" t="str">
        <f>IF(Tableau8[[#This Row],[marché]]="AUTRE",VLOOKUP($B64,Tableau16[[Ref]:[AUTRE]],19,FALSE)-Tableau8[[#This Row],[PAYEE]],"")</f>
        <v/>
      </c>
      <c r="Z64" s="65"/>
      <c r="AA64" s="164" t="e">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#N/A</v>
      </c>
    </row>
    <row r="65" spans="1:27" ht="15.75">
      <c r="A65" s="280"/>
      <c r="B65" s="130" t="str">
        <f>CONCATENATE(Tableau8[[#This Row],[CT
INDIRECT CHANTIER]],Tableau8[[#This Row],[NOM CHANTIER
INDIRECT ST]],Tableau8[[#This Row],[Sous Traitant]],Tableau8[[#This Row],[MO
INDIRECT CT]])</f>
        <v>LAURENTLOGNESAZORG</v>
      </c>
      <c r="C65" s="231" t="s">
        <v>171</v>
      </c>
      <c r="D65" s="232" t="s">
        <v>102</v>
      </c>
      <c r="E65" s="232" t="s">
        <v>43</v>
      </c>
      <c r="F65" s="233" t="s">
        <v>203</v>
      </c>
      <c r="G65" s="58" t="str">
        <f>IFERROR(IF(B65="","",VLOOKUP(B65,Tableau16[[Ref]:[CP]],6,FALSE)),"")</f>
        <v/>
      </c>
      <c r="H65" s="58" t="str">
        <f>IFERROR(IF(B65="","",VLOOKUP(B65,Tableau16[[Ref]:[CP]],7,FALSE)),"")</f>
        <v/>
      </c>
      <c r="I65" s="127" t="str">
        <f>CONCATENATE(Tableau8[[#This Row],[CT
INDIRECT CHANTIER]],Tableau8[[#This Row],[NOM CHANTIER
INDIRECT ST]],Tableau8[[#This Row],[Sous Traitant]],Tableau8[[#This Row],[MO
INDIRECT CT]],Tableau8[[#This Row],[marché]])</f>
        <v>LAURENTLOGNESAZORGMARCHEINT</v>
      </c>
      <c r="J65" s="205">
        <f>COUNTIF($I$4:I65,Tableau8[[#This Row],[REF FACT]])</f>
        <v>3</v>
      </c>
      <c r="K65" s="61">
        <v>140</v>
      </c>
      <c r="L65" s="62">
        <v>44042</v>
      </c>
      <c r="M65" s="58" t="str">
        <f>IF(Tableau8[[#This Row],[Sous Traitant]]&gt;1,VLOOKUP(Tableau8[[#This Row],[Sous Traitant]],Tableau11[[SOUS TRAITANT]:[DELAIS PAIEMENT]],4,FALSE),"")</f>
        <v>45J</v>
      </c>
      <c r="N65" s="63">
        <f t="shared" si="0"/>
        <v>44089</v>
      </c>
      <c r="O65" s="141" t="s">
        <v>158</v>
      </c>
      <c r="P65" s="54">
        <v>2824.45</v>
      </c>
      <c r="Q65" s="60" t="s">
        <v>161</v>
      </c>
      <c r="R65" s="113">
        <v>43982</v>
      </c>
      <c r="S65" s="68"/>
      <c r="T65" s="65">
        <f>SUMIFS($P$4:P65,$I$4:I65,I65)</f>
        <v>11312.95</v>
      </c>
      <c r="U65" s="65" t="e">
        <f>IF(Tableau8[[#This Row],[marché]]="MARCHEINT",VLOOKUP($B65,Tableau16[[Ref]:[AUTRE]],13,FALSE)-Tableau8[[#This Row],[PAYEE]],"")</f>
        <v>#N/A</v>
      </c>
      <c r="V65" s="65" t="str">
        <f>IF(Tableau8[[#This Row],[marché]]="MARCHEEXT",VLOOKUP($B65,Tableau16[[Ref]:[AUTRE]],14,FALSE)-Tableau8[[#This Row],[PAYEE]],"")</f>
        <v/>
      </c>
      <c r="W65" s="65" t="str">
        <f>IF(Tableau8[[#This Row],[marché]]="RG_5%",VLOOKUP($B65,Tableau16[[Ref]:[AUTRE]],15,FALSE)-Tableau8[[#This Row],[PAYEE]],"")</f>
        <v/>
      </c>
      <c r="X65" s="65" t="str">
        <f>IF(Tableau8[[#This Row],[marché]]="BFT_5%",VLOOKUP($B65,Tableau16[[Ref]:[AUTRE]],17,FALSE)-Tableau8[[#This Row],[PAYEE]],"")</f>
        <v/>
      </c>
      <c r="Y65" s="65" t="str">
        <f>IF(Tableau8[[#This Row],[marché]]="AUTRE",VLOOKUP($B65,Tableau16[[Ref]:[AUTRE]],19,FALSE)-Tableau8[[#This Row],[PAYEE]],"")</f>
        <v/>
      </c>
      <c r="Z65" s="65"/>
      <c r="AA65" s="164" t="e">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#N/A</v>
      </c>
    </row>
    <row r="66" spans="1:27" ht="15.75">
      <c r="A66" s="280"/>
      <c r="B66" s="130" t="str">
        <f>CONCATENATE(Tableau8[[#This Row],[CT
INDIRECT CHANTIER]],Tableau8[[#This Row],[NOM CHANTIER
INDIRECT ST]],Tableau8[[#This Row],[Sous Traitant]],Tableau8[[#This Row],[MO
INDIRECT CT]])</f>
        <v>SEBMONTFERMEILAZORG</v>
      </c>
      <c r="C66" s="231" t="s">
        <v>171</v>
      </c>
      <c r="D66" s="232" t="s">
        <v>109</v>
      </c>
      <c r="E66" s="232" t="s">
        <v>164</v>
      </c>
      <c r="F66" s="233" t="s">
        <v>203</v>
      </c>
      <c r="G66" s="58" t="str">
        <f>IFERROR(IF(B66="","",VLOOKUP(B66,Tableau16[[Ref]:[CP]],6,FALSE)),"")</f>
        <v/>
      </c>
      <c r="H66" s="58" t="str">
        <f>IFERROR(IF(B66="","",VLOOKUP(B66,Tableau16[[Ref]:[CP]],7,FALSE)),"")</f>
        <v/>
      </c>
      <c r="I66" s="128" t="str">
        <f>CONCATENATE(Tableau8[[#This Row],[CT
INDIRECT CHANTIER]],Tableau8[[#This Row],[NOM CHANTIER
INDIRECT ST]],Tableau8[[#This Row],[Sous Traitant]],Tableau8[[#This Row],[MO
INDIRECT CT]],Tableau8[[#This Row],[marché]])</f>
        <v>SEBMONTFERMEILAZORGMARCHEINT</v>
      </c>
      <c r="J66" s="205">
        <f>COUNTIF($I$4:I66,Tableau8[[#This Row],[REF FACT]])</f>
        <v>1</v>
      </c>
      <c r="K66" s="61" t="s">
        <v>110</v>
      </c>
      <c r="L66" s="62">
        <v>44008</v>
      </c>
      <c r="M66" s="58" t="str">
        <f>IF(Tableau8[[#This Row],[Sous Traitant]]&gt;1,VLOOKUP(Tableau8[[#This Row],[Sous Traitant]],Tableau11[[SOUS TRAITANT]:[DELAIS PAIEMENT]],4,FALSE),"")</f>
        <v>45J</v>
      </c>
      <c r="N66" s="63">
        <f t="shared" si="0"/>
        <v>44058</v>
      </c>
      <c r="O66" s="141" t="s">
        <v>158</v>
      </c>
      <c r="P66" s="71">
        <v>3558.22</v>
      </c>
      <c r="Q66" s="60" t="s">
        <v>161</v>
      </c>
      <c r="R66" s="114"/>
      <c r="S66" s="68" t="s">
        <v>96</v>
      </c>
      <c r="T66" s="65">
        <f>SUMIFS($P$4:P66,$I$4:I66,I66)</f>
        <v>3558.22</v>
      </c>
      <c r="U66" s="65" t="e">
        <f>IF(Tableau8[[#This Row],[marché]]="MARCHEINT",VLOOKUP($B66,Tableau16[[Ref]:[AUTRE]],13,FALSE)-Tableau8[[#This Row],[PAYEE]],"")</f>
        <v>#N/A</v>
      </c>
      <c r="V66" s="65" t="str">
        <f>IF(Tableau8[[#This Row],[marché]]="MARCHEEXT",VLOOKUP($B66,Tableau16[[Ref]:[AUTRE]],14,FALSE)-Tableau8[[#This Row],[PAYEE]],"")</f>
        <v/>
      </c>
      <c r="W66" s="65" t="str">
        <f>IF(Tableau8[[#This Row],[marché]]="RG_5%",VLOOKUP($B66,Tableau16[[Ref]:[AUTRE]],15,FALSE)-Tableau8[[#This Row],[PAYEE]],"")</f>
        <v/>
      </c>
      <c r="X66" s="65" t="str">
        <f>IF(Tableau8[[#This Row],[marché]]="BFT_5%",VLOOKUP($B66,Tableau16[[Ref]:[AUTRE]],17,FALSE)-Tableau8[[#This Row],[PAYEE]],"")</f>
        <v/>
      </c>
      <c r="Y66" s="65" t="str">
        <f>IF(Tableau8[[#This Row],[marché]]="AUTRE",VLOOKUP($B66,Tableau16[[Ref]:[AUTRE]],19,FALSE)-Tableau8[[#This Row],[PAYEE]],"")</f>
        <v/>
      </c>
      <c r="Z66" s="65"/>
      <c r="AA66" s="164" t="e">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#N/A</v>
      </c>
    </row>
    <row r="67" spans="1:27" ht="15.75">
      <c r="A67" s="280"/>
      <c r="B67" s="130" t="str">
        <f>CONCATENATE(Tableau8[[#This Row],[CT
INDIRECT CHANTIER]],Tableau8[[#This Row],[NOM CHANTIER
INDIRECT ST]],Tableau8[[#This Row],[Sous Traitant]],Tableau8[[#This Row],[MO
INDIRECT CT]])</f>
        <v>SEBPUTEAUXAZORG</v>
      </c>
      <c r="C67" s="231" t="s">
        <v>171</v>
      </c>
      <c r="D67" s="232" t="s">
        <v>20</v>
      </c>
      <c r="E67" s="232" t="s">
        <v>164</v>
      </c>
      <c r="F67" s="233" t="s">
        <v>203</v>
      </c>
      <c r="G67" s="58" t="str">
        <f>IFERROR(IF(B67="","",VLOOKUP(B67,Tableau16[[Ref]:[CP]],6,FALSE)),"")</f>
        <v/>
      </c>
      <c r="H67" s="58" t="str">
        <f>IFERROR(IF(B67="","",VLOOKUP(B67,Tableau16[[Ref]:[CP]],7,FALSE)),"")</f>
        <v/>
      </c>
      <c r="I67" s="127" t="str">
        <f>CONCATENATE(Tableau8[[#This Row],[CT
INDIRECT CHANTIER]],Tableau8[[#This Row],[NOM CHANTIER
INDIRECT ST]],Tableau8[[#This Row],[Sous Traitant]],Tableau8[[#This Row],[MO
INDIRECT CT]],Tableau8[[#This Row],[marché]])</f>
        <v>SEBPUTEAUXAZORGMARCHEINT</v>
      </c>
      <c r="J67" s="205">
        <f>COUNTIF($I$4:I67,Tableau8[[#This Row],[REF FACT]])</f>
        <v>1</v>
      </c>
      <c r="K67" s="61" t="s">
        <v>111</v>
      </c>
      <c r="L67" s="62">
        <v>43951</v>
      </c>
      <c r="M67" s="58" t="str">
        <f>IF(Tableau8[[#This Row],[Sous Traitant]]&gt;1,VLOOKUP(Tableau8[[#This Row],[Sous Traitant]],Tableau11[[SOUS TRAITANT]:[DELAIS PAIEMENT]],4,FALSE),"")</f>
        <v>45J</v>
      </c>
      <c r="N67" s="63">
        <f t="shared" si="0"/>
        <v>43997</v>
      </c>
      <c r="O67" s="141" t="s">
        <v>158</v>
      </c>
      <c r="P67" s="64">
        <v>6200</v>
      </c>
      <c r="Q67" s="60" t="s">
        <v>161</v>
      </c>
      <c r="R67" s="113"/>
      <c r="S67" s="66" t="s">
        <v>96</v>
      </c>
      <c r="T67" s="65">
        <f>SUMIFS($P$4:P67,$I$4:I67,I67)</f>
        <v>6200</v>
      </c>
      <c r="U67" s="65" t="e">
        <f>IF(Tableau8[[#This Row],[marché]]="MARCHEINT",VLOOKUP($B67,Tableau16[[Ref]:[AUTRE]],13,FALSE)-Tableau8[[#This Row],[PAYEE]],"")</f>
        <v>#N/A</v>
      </c>
      <c r="V67" s="65" t="str">
        <f>IF(Tableau8[[#This Row],[marché]]="MARCHEEXT",VLOOKUP($B67,Tableau16[[Ref]:[AUTRE]],14,FALSE)-Tableau8[[#This Row],[PAYEE]],"")</f>
        <v/>
      </c>
      <c r="W67" s="65" t="str">
        <f>IF(Tableau8[[#This Row],[marché]]="RG_5%",VLOOKUP($B67,Tableau16[[Ref]:[AUTRE]],15,FALSE)-Tableau8[[#This Row],[PAYEE]],"")</f>
        <v/>
      </c>
      <c r="X67" s="65" t="str">
        <f>IF(Tableau8[[#This Row],[marché]]="BFT_5%",VLOOKUP($B67,Tableau16[[Ref]:[AUTRE]],17,FALSE)-Tableau8[[#This Row],[PAYEE]],"")</f>
        <v/>
      </c>
      <c r="Y67" s="65" t="str">
        <f>IF(Tableau8[[#This Row],[marché]]="AUTRE",VLOOKUP($B67,Tableau16[[Ref]:[AUTRE]],19,FALSE)-Tableau8[[#This Row],[PAYEE]],"")</f>
        <v/>
      </c>
      <c r="Z67" s="65"/>
      <c r="AA67" s="164" t="e">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#N/A</v>
      </c>
    </row>
    <row r="68" spans="1:27" ht="15.75">
      <c r="A68" s="280"/>
      <c r="B68" s="130" t="str">
        <f>CONCATENATE(Tableau8[[#This Row],[CT
INDIRECT CHANTIER]],Tableau8[[#This Row],[NOM CHANTIER
INDIRECT ST]],Tableau8[[#This Row],[Sous Traitant]],Tableau8[[#This Row],[MO
INDIRECT CT]])</f>
        <v>SEBBONDOUFLEAZORG</v>
      </c>
      <c r="C68" s="231" t="s">
        <v>171</v>
      </c>
      <c r="D68" s="232" t="s">
        <v>112</v>
      </c>
      <c r="E68" s="232" t="s">
        <v>164</v>
      </c>
      <c r="F68" s="233" t="s">
        <v>203</v>
      </c>
      <c r="G68" s="58" t="str">
        <f>IFERROR(IF(B68="","",VLOOKUP(B68,Tableau16[[Ref]:[CP]],6,FALSE)),"")</f>
        <v/>
      </c>
      <c r="H68" s="58" t="str">
        <f>IFERROR(IF(B68="","",VLOOKUP(B68,Tableau16[[Ref]:[CP]],7,FALSE)),"")</f>
        <v/>
      </c>
      <c r="I68" s="127" t="str">
        <f>CONCATENATE(Tableau8[[#This Row],[CT
INDIRECT CHANTIER]],Tableau8[[#This Row],[NOM CHANTIER
INDIRECT ST]],Tableau8[[#This Row],[Sous Traitant]],Tableau8[[#This Row],[MO
INDIRECT CT]],Tableau8[[#This Row],[marché]])</f>
        <v>SEBBONDOUFLEAZORGMARCHEINT</v>
      </c>
      <c r="J68" s="205">
        <f>COUNTIF($I$4:I68,Tableau8[[#This Row],[REF FACT]])</f>
        <v>1</v>
      </c>
      <c r="K68" s="72" t="s">
        <v>113</v>
      </c>
      <c r="L68" s="62">
        <v>43644</v>
      </c>
      <c r="M68" s="58" t="str">
        <f>IF(Tableau8[[#This Row],[Sous Traitant]]&gt;1,VLOOKUP(Tableau8[[#This Row],[Sous Traitant]],Tableau11[[SOUS TRAITANT]:[DELAIS PAIEMENT]],4,FALSE),"")</f>
        <v>45J</v>
      </c>
      <c r="N68" s="63">
        <f t="shared" si="0"/>
        <v>43692</v>
      </c>
      <c r="O68" s="141" t="s">
        <v>158</v>
      </c>
      <c r="P68" s="71">
        <v>6925</v>
      </c>
      <c r="Q68" s="60" t="s">
        <v>161</v>
      </c>
      <c r="R68" s="113"/>
      <c r="S68" s="68" t="s">
        <v>96</v>
      </c>
      <c r="T68" s="65">
        <f>SUMIFS($P$4:P68,$I$4:I68,I68)</f>
        <v>6925</v>
      </c>
      <c r="U68" s="65" t="e">
        <f>IF(Tableau8[[#This Row],[marché]]="MARCHEINT",VLOOKUP($B68,Tableau16[[Ref]:[AUTRE]],13,FALSE)-Tableau8[[#This Row],[PAYEE]],"")</f>
        <v>#N/A</v>
      </c>
      <c r="V68" s="65" t="str">
        <f>IF(Tableau8[[#This Row],[marché]]="MARCHEEXT",VLOOKUP($B68,Tableau16[[Ref]:[AUTRE]],14,FALSE)-Tableau8[[#This Row],[PAYEE]],"")</f>
        <v/>
      </c>
      <c r="W68" s="65" t="str">
        <f>IF(Tableau8[[#This Row],[marché]]="RG_5%",VLOOKUP($B68,Tableau16[[Ref]:[AUTRE]],15,FALSE)-Tableau8[[#This Row],[PAYEE]],"")</f>
        <v/>
      </c>
      <c r="X68" s="65" t="str">
        <f>IF(Tableau8[[#This Row],[marché]]="BFT_5%",VLOOKUP($B68,Tableau16[[Ref]:[AUTRE]],17,FALSE)-Tableau8[[#This Row],[PAYEE]],"")</f>
        <v/>
      </c>
      <c r="Y68" s="65" t="str">
        <f>IF(Tableau8[[#This Row],[marché]]="AUTRE",VLOOKUP($B68,Tableau16[[Ref]:[AUTRE]],19,FALSE)-Tableau8[[#This Row],[PAYEE]],"")</f>
        <v/>
      </c>
      <c r="Z68" s="65"/>
      <c r="AA68" s="164" t="e">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#N/A</v>
      </c>
    </row>
    <row r="69" spans="1:27" ht="15.75">
      <c r="A69" s="280"/>
      <c r="B69" s="130" t="str">
        <f>CONCATENATE(Tableau8[[#This Row],[CT
INDIRECT CHANTIER]],Tableau8[[#This Row],[NOM CHANTIER
INDIRECT ST]],Tableau8[[#This Row],[Sous Traitant]],Tableau8[[#This Row],[MO
INDIRECT CT]])</f>
        <v>SEBCOMBS ICADEAZORG</v>
      </c>
      <c r="C69" s="231" t="s">
        <v>171</v>
      </c>
      <c r="D69" s="232" t="s">
        <v>114</v>
      </c>
      <c r="E69" s="232" t="s">
        <v>164</v>
      </c>
      <c r="F69" s="233" t="s">
        <v>203</v>
      </c>
      <c r="G69" s="58" t="str">
        <f>IFERROR(IF(B69="","",VLOOKUP(B69,Tableau16[[Ref]:[CP]],6,FALSE)),"")</f>
        <v/>
      </c>
      <c r="H69" s="58" t="str">
        <f>IFERROR(IF(B69="","",VLOOKUP(B69,Tableau16[[Ref]:[CP]],7,FALSE)),"")</f>
        <v/>
      </c>
      <c r="I69" s="128" t="str">
        <f>CONCATENATE(Tableau8[[#This Row],[CT
INDIRECT CHANTIER]],Tableau8[[#This Row],[NOM CHANTIER
INDIRECT ST]],Tableau8[[#This Row],[Sous Traitant]],Tableau8[[#This Row],[MO
INDIRECT CT]],Tableau8[[#This Row],[marché]])</f>
        <v>SEBCOMBS ICADEAZORGMARCHEINT</v>
      </c>
      <c r="J69" s="205">
        <f>COUNTIF($I$4:I69,Tableau8[[#This Row],[REF FACT]])</f>
        <v>1</v>
      </c>
      <c r="K69" s="61" t="s">
        <v>115</v>
      </c>
      <c r="L69" s="62">
        <v>44043</v>
      </c>
      <c r="M69" s="58" t="str">
        <f>IF(Tableau8[[#This Row],[Sous Traitant]]&gt;1,VLOOKUP(Tableau8[[#This Row],[Sous Traitant]],Tableau11[[SOUS TRAITANT]:[DELAIS PAIEMENT]],4,FALSE),"")</f>
        <v>45J</v>
      </c>
      <c r="N69" s="63">
        <f t="shared" si="0"/>
        <v>44089</v>
      </c>
      <c r="O69" s="141" t="s">
        <v>158</v>
      </c>
      <c r="P69" s="71">
        <v>10979.72</v>
      </c>
      <c r="Q69" s="60" t="s">
        <v>161</v>
      </c>
      <c r="R69" s="114"/>
      <c r="S69" s="68" t="s">
        <v>96</v>
      </c>
      <c r="T69" s="65">
        <f>SUMIFS($P$4:P69,$I$4:I69,I69)</f>
        <v>10979.72</v>
      </c>
      <c r="U69" s="65" t="e">
        <f>IF(Tableau8[[#This Row],[marché]]="MARCHEINT",VLOOKUP($B69,Tableau16[[Ref]:[AUTRE]],13,FALSE)-Tableau8[[#This Row],[PAYEE]],"")</f>
        <v>#N/A</v>
      </c>
      <c r="V69" s="65" t="str">
        <f>IF(Tableau8[[#This Row],[marché]]="MARCHEEXT",VLOOKUP($B69,Tableau16[[Ref]:[AUTRE]],14,FALSE)-Tableau8[[#This Row],[PAYEE]],"")</f>
        <v/>
      </c>
      <c r="W69" s="65" t="str">
        <f>IF(Tableau8[[#This Row],[marché]]="RG_5%",VLOOKUP($B69,Tableau16[[Ref]:[AUTRE]],15,FALSE)-Tableau8[[#This Row],[PAYEE]],"")</f>
        <v/>
      </c>
      <c r="X69" s="65" t="str">
        <f>IF(Tableau8[[#This Row],[marché]]="BFT_5%",VLOOKUP($B69,Tableau16[[Ref]:[AUTRE]],17,FALSE)-Tableau8[[#This Row],[PAYEE]],"")</f>
        <v/>
      </c>
      <c r="Y69" s="65" t="str">
        <f>IF(Tableau8[[#This Row],[marché]]="AUTRE",VLOOKUP($B69,Tableau16[[Ref]:[AUTRE]],19,FALSE)-Tableau8[[#This Row],[PAYEE]],"")</f>
        <v/>
      </c>
      <c r="Z69" s="65"/>
      <c r="AA69" s="164" t="e">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#N/A</v>
      </c>
    </row>
    <row r="70" spans="1:27" ht="15.75">
      <c r="A70" s="280"/>
      <c r="B70" s="130" t="str">
        <f>CONCATENATE(Tableau8[[#This Row],[CT
INDIRECT CHANTIER]],Tableau8[[#This Row],[NOM CHANTIER
INDIRECT ST]],Tableau8[[#This Row],[Sous Traitant]],Tableau8[[#This Row],[MO
INDIRECT CT]])</f>
        <v>SEBCOMBS ICADEAZORG</v>
      </c>
      <c r="C70" s="231" t="s">
        <v>171</v>
      </c>
      <c r="D70" s="232" t="s">
        <v>114</v>
      </c>
      <c r="E70" s="232" t="s">
        <v>164</v>
      </c>
      <c r="F70" s="233" t="s">
        <v>203</v>
      </c>
      <c r="G70" s="58" t="str">
        <f>IFERROR(IF(B70="","",VLOOKUP(B70,Tableau16[[Ref]:[CP]],6,FALSE)),"")</f>
        <v/>
      </c>
      <c r="H70" s="58" t="str">
        <f>IFERROR(IF(B70="","",VLOOKUP(B70,Tableau16[[Ref]:[CP]],7,FALSE)),"")</f>
        <v/>
      </c>
      <c r="I70" s="128" t="str">
        <f>CONCATENATE(Tableau8[[#This Row],[CT
INDIRECT CHANTIER]],Tableau8[[#This Row],[NOM CHANTIER
INDIRECT ST]],Tableau8[[#This Row],[Sous Traitant]],Tableau8[[#This Row],[MO
INDIRECT CT]],Tableau8[[#This Row],[marché]])</f>
        <v>SEBCOMBS ICADEAZORGMARCHEINT</v>
      </c>
      <c r="J70" s="205">
        <f>COUNTIF($I$4:I70,Tableau8[[#This Row],[REF FACT]])</f>
        <v>2</v>
      </c>
      <c r="K70" s="61" t="s">
        <v>116</v>
      </c>
      <c r="L70" s="62">
        <v>44043</v>
      </c>
      <c r="M70" s="58" t="str">
        <f>IF(Tableau8[[#This Row],[Sous Traitant]]&gt;1,VLOOKUP(Tableau8[[#This Row],[Sous Traitant]],Tableau11[[SOUS TRAITANT]:[DELAIS PAIEMENT]],4,FALSE),"")</f>
        <v>45J</v>
      </c>
      <c r="N70" s="63">
        <f t="shared" si="0"/>
        <v>44089</v>
      </c>
      <c r="O70" s="141" t="s">
        <v>158</v>
      </c>
      <c r="P70" s="71">
        <v>5347.45</v>
      </c>
      <c r="Q70" s="60" t="s">
        <v>161</v>
      </c>
      <c r="R70" s="114"/>
      <c r="S70" s="68" t="s">
        <v>96</v>
      </c>
      <c r="T70" s="65">
        <f>SUMIFS($P$4:P70,$I$4:I70,I70)</f>
        <v>16327.169999999998</v>
      </c>
      <c r="U70" s="65" t="e">
        <f>IF(Tableau8[[#This Row],[marché]]="MARCHEINT",VLOOKUP($B70,Tableau16[[Ref]:[AUTRE]],13,FALSE)-Tableau8[[#This Row],[PAYEE]],"")</f>
        <v>#N/A</v>
      </c>
      <c r="V70" s="65" t="str">
        <f>IF(Tableau8[[#This Row],[marché]]="MARCHEEXT",VLOOKUP($B70,Tableau16[[Ref]:[AUTRE]],14,FALSE)-Tableau8[[#This Row],[PAYEE]],"")</f>
        <v/>
      </c>
      <c r="W70" s="65" t="str">
        <f>IF(Tableau8[[#This Row],[marché]]="RG_5%",VLOOKUP($B70,Tableau16[[Ref]:[AUTRE]],15,FALSE)-Tableau8[[#This Row],[PAYEE]],"")</f>
        <v/>
      </c>
      <c r="X70" s="65" t="str">
        <f>IF(Tableau8[[#This Row],[marché]]="BFT_5%",VLOOKUP($B70,Tableau16[[Ref]:[AUTRE]],17,FALSE)-Tableau8[[#This Row],[PAYEE]],"")</f>
        <v/>
      </c>
      <c r="Y70" s="65" t="str">
        <f>IF(Tableau8[[#This Row],[marché]]="AUTRE",VLOOKUP($B70,Tableau16[[Ref]:[AUTRE]],19,FALSE)-Tableau8[[#This Row],[PAYEE]],"")</f>
        <v/>
      </c>
      <c r="Z70" s="65"/>
      <c r="AA70" s="164" t="e">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#N/A</v>
      </c>
    </row>
    <row r="71" spans="1:27" ht="15.75">
      <c r="A71" s="280"/>
      <c r="B71" s="130" t="str">
        <f>CONCATENATE(Tableau8[[#This Row],[CT
INDIRECT CHANTIER]],Tableau8[[#This Row],[NOM CHANTIER
INDIRECT ST]],Tableau8[[#This Row],[Sous Traitant]],Tableau8[[#This Row],[MO
INDIRECT CT]])</f>
        <v/>
      </c>
      <c r="C71" s="231"/>
      <c r="D71" s="232"/>
      <c r="E71" s="232"/>
      <c r="F71" s="233"/>
      <c r="G71" s="58"/>
      <c r="H71" s="58"/>
      <c r="I71" s="128"/>
      <c r="J71" s="205">
        <f>COUNTIF($I$4:I71,Tableau8[[#This Row],[REF FACT]])</f>
        <v>0</v>
      </c>
      <c r="K71" s="61"/>
      <c r="L71" s="62"/>
      <c r="M71" s="58" t="str">
        <f>IF(Tableau8[[#This Row],[Sous Traitant]]&gt;1,VLOOKUP(Tableau8[[#This Row],[Sous Traitant]],Tableau11[[SOUS TRAITANT]:[DELAIS PAIEMENT]],4,FALSE),"")</f>
        <v/>
      </c>
      <c r="N71" s="63"/>
      <c r="O71" s="141"/>
      <c r="P71" s="71"/>
      <c r="Q71" s="60"/>
      <c r="R71" s="114"/>
      <c r="S71" s="68"/>
      <c r="T71" s="65">
        <f>SUMIFS($P$4:P71,$I$4:I71,I71)</f>
        <v>0</v>
      </c>
      <c r="U71" s="65" t="str">
        <f>IF(Tableau8[[#This Row],[marché]]="MARCHEINT",VLOOKUP($B71,Tableau16[[Ref]:[AUTRE]],13,FALSE)-Tableau8[[#This Row],[PAYEE]],"")</f>
        <v/>
      </c>
      <c r="V71" s="65" t="str">
        <f>IF(Tableau8[[#This Row],[marché]]="MARCHEEXT",VLOOKUP($B71,Tableau16[[Ref]:[AUTRE]],14,FALSE)-Tableau8[[#This Row],[PAYEE]],"")</f>
        <v/>
      </c>
      <c r="W71" s="65" t="str">
        <f>IF(Tableau8[[#This Row],[marché]]="RG_5%",VLOOKUP($B71,Tableau16[[Ref]:[AUTRE]],15,FALSE)-Tableau8[[#This Row],[PAYEE]],"")</f>
        <v/>
      </c>
      <c r="X71" s="65" t="str">
        <f>IF(Tableau8[[#This Row],[marché]]="BFT_5%",VLOOKUP($B71,Tableau16[[Ref]:[AUTRE]],17,FALSE)-Tableau8[[#This Row],[PAYEE]],"")</f>
        <v/>
      </c>
      <c r="Y71" s="65" t="str">
        <f>IF(Tableau8[[#This Row],[marché]]="AUTRE",VLOOKUP($B71,Tableau16[[Ref]:[AUTRE]],19,FALSE)-Tableau8[[#This Row],[PAYEE]],"")</f>
        <v/>
      </c>
      <c r="Z71" s="65"/>
      <c r="AA71"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72" spans="1:27" ht="15.75">
      <c r="A72" s="280"/>
      <c r="B72" s="130" t="str">
        <f>CONCATENATE(Tableau8[[#This Row],[CT
INDIRECT CHANTIER]],Tableau8[[#This Row],[NOM CHANTIER
INDIRECT ST]],Tableau8[[#This Row],[Sous Traitant]],Tableau8[[#This Row],[MO
INDIRECT CT]])</f>
        <v/>
      </c>
      <c r="C72" s="231"/>
      <c r="D72" s="232"/>
      <c r="E72" s="232"/>
      <c r="F72" s="233"/>
      <c r="G72" s="58"/>
      <c r="H72" s="58"/>
      <c r="I72" s="128"/>
      <c r="J72" s="205">
        <f>COUNTIF($I$4:I72,Tableau8[[#This Row],[REF FACT]])</f>
        <v>0</v>
      </c>
      <c r="K72" s="61"/>
      <c r="L72" s="62"/>
      <c r="M72" s="58" t="str">
        <f>IF(Tableau8[[#This Row],[Sous Traitant]]&gt;1,VLOOKUP(Tableau8[[#This Row],[Sous Traitant]],Tableau11[[SOUS TRAITANT]:[DELAIS PAIEMENT]],4,FALSE),"")</f>
        <v/>
      </c>
      <c r="N72" s="63"/>
      <c r="O72" s="141"/>
      <c r="P72" s="71"/>
      <c r="Q72" s="60"/>
      <c r="R72" s="114"/>
      <c r="S72" s="68"/>
      <c r="T72" s="65">
        <f>SUMIFS($P$4:P72,$I$4:I72,I72)</f>
        <v>0</v>
      </c>
      <c r="U72" s="65" t="str">
        <f>IF(Tableau8[[#This Row],[marché]]="MARCHEINT",VLOOKUP($B72,Tableau16[[Ref]:[AUTRE]],13,FALSE)-Tableau8[[#This Row],[PAYEE]],"")</f>
        <v/>
      </c>
      <c r="V72" s="65" t="str">
        <f>IF(Tableau8[[#This Row],[marché]]="MARCHEEXT",VLOOKUP($B72,Tableau16[[Ref]:[AUTRE]],14,FALSE)-Tableau8[[#This Row],[PAYEE]],"")</f>
        <v/>
      </c>
      <c r="W72" s="65" t="str">
        <f>IF(Tableau8[[#This Row],[marché]]="RG_5%",VLOOKUP($B72,Tableau16[[Ref]:[AUTRE]],15,FALSE)-Tableau8[[#This Row],[PAYEE]],"")</f>
        <v/>
      </c>
      <c r="X72" s="65" t="str">
        <f>IF(Tableau8[[#This Row],[marché]]="BFT_5%",VLOOKUP($B72,Tableau16[[Ref]:[AUTRE]],17,FALSE)-Tableau8[[#This Row],[PAYEE]],"")</f>
        <v/>
      </c>
      <c r="Y72" s="65" t="str">
        <f>IF(Tableau8[[#This Row],[marché]]="AUTRE",VLOOKUP($B72,Tableau16[[Ref]:[AUTRE]],19,FALSE)-Tableau8[[#This Row],[PAYEE]],"")</f>
        <v/>
      </c>
      <c r="Z72" s="65"/>
      <c r="AA72"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73" spans="1:27" ht="15.75">
      <c r="A73" s="280"/>
      <c r="B73" s="130" t="str">
        <f>CONCATENATE(Tableau8[[#This Row],[CT
INDIRECT CHANTIER]],Tableau8[[#This Row],[NOM CHANTIER
INDIRECT ST]],Tableau8[[#This Row],[Sous Traitant]],Tableau8[[#This Row],[MO
INDIRECT CT]])</f>
        <v/>
      </c>
      <c r="C73" s="231"/>
      <c r="D73" s="232"/>
      <c r="E73" s="232"/>
      <c r="F73" s="233"/>
      <c r="G73" s="58"/>
      <c r="H73" s="58"/>
      <c r="I73" s="127"/>
      <c r="J73" s="205">
        <f>COUNTIF($I$4:I73,Tableau8[[#This Row],[REF FACT]])</f>
        <v>0</v>
      </c>
      <c r="K73" s="61"/>
      <c r="L73" s="62"/>
      <c r="M73" s="58" t="str">
        <f>IF(Tableau8[[#This Row],[Sous Traitant]]&gt;1,VLOOKUP(Tableau8[[#This Row],[Sous Traitant]],Tableau11[[SOUS TRAITANT]:[DELAIS PAIEMENT]],4,FALSE),"")</f>
        <v/>
      </c>
      <c r="N73" s="63"/>
      <c r="O73" s="141"/>
      <c r="P73" s="64"/>
      <c r="Q73" s="60"/>
      <c r="R73" s="114"/>
      <c r="S73" s="68"/>
      <c r="T73" s="65">
        <f>SUMIFS($P$4:P73,$I$4:I73,I73)</f>
        <v>0</v>
      </c>
      <c r="U73" s="65" t="str">
        <f>IF(Tableau8[[#This Row],[marché]]="MARCHEINT",VLOOKUP($B73,Tableau16[[Ref]:[AUTRE]],13,FALSE)-Tableau8[[#This Row],[PAYEE]],"")</f>
        <v/>
      </c>
      <c r="V73" s="65" t="str">
        <f>IF(Tableau8[[#This Row],[marché]]="MARCHEEXT",VLOOKUP($B73,Tableau16[[Ref]:[AUTRE]],14,FALSE)-Tableau8[[#This Row],[PAYEE]],"")</f>
        <v/>
      </c>
      <c r="W73" s="65" t="str">
        <f>IF(Tableau8[[#This Row],[marché]]="RG_5%",VLOOKUP($B73,Tableau16[[Ref]:[AUTRE]],15,FALSE)-Tableau8[[#This Row],[PAYEE]],"")</f>
        <v/>
      </c>
      <c r="X73" s="65" t="str">
        <f>IF(Tableau8[[#This Row],[marché]]="BFT_5%",VLOOKUP($B73,Tableau16[[Ref]:[AUTRE]],17,FALSE)-Tableau8[[#This Row],[PAYEE]],"")</f>
        <v/>
      </c>
      <c r="Y73" s="65" t="str">
        <f>IF(Tableau8[[#This Row],[marché]]="AUTRE",VLOOKUP($B73,Tableau16[[Ref]:[AUTRE]],19,FALSE)-Tableau8[[#This Row],[PAYEE]],"")</f>
        <v/>
      </c>
      <c r="Z73" s="65"/>
      <c r="AA73"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74" spans="1:27" ht="15.75">
      <c r="A74" s="280"/>
      <c r="B74" s="130" t="str">
        <f>CONCATENATE(Tableau8[[#This Row],[CT
INDIRECT CHANTIER]],Tableau8[[#This Row],[NOM CHANTIER
INDIRECT ST]],Tableau8[[#This Row],[Sous Traitant]],Tableau8[[#This Row],[MO
INDIRECT CT]])</f>
        <v/>
      </c>
      <c r="C74" s="231"/>
      <c r="D74" s="232"/>
      <c r="E74" s="232"/>
      <c r="F74" s="233"/>
      <c r="G74" s="58"/>
      <c r="H74" s="58"/>
      <c r="I74" s="128"/>
      <c r="J74" s="205">
        <f>COUNTIF($I$4:I74,Tableau8[[#This Row],[REF FACT]])</f>
        <v>0</v>
      </c>
      <c r="K74" s="61"/>
      <c r="L74" s="62"/>
      <c r="M74" s="58" t="str">
        <f>IF(Tableau8[[#This Row],[Sous Traitant]]&gt;1,VLOOKUP(Tableau8[[#This Row],[Sous Traitant]],Tableau11[[SOUS TRAITANT]:[DELAIS PAIEMENT]],4,FALSE),"")</f>
        <v/>
      </c>
      <c r="N74" s="63"/>
      <c r="O74" s="141"/>
      <c r="P74" s="71"/>
      <c r="Q74" s="60"/>
      <c r="R74" s="114"/>
      <c r="S74" s="68"/>
      <c r="T74" s="65">
        <f>SUMIFS($P$4:P74,$I$4:I74,I74)</f>
        <v>0</v>
      </c>
      <c r="U74" s="65" t="str">
        <f>IF(Tableau8[[#This Row],[marché]]="MARCHEINT",VLOOKUP($B74,Tableau16[[Ref]:[AUTRE]],13,FALSE)-Tableau8[[#This Row],[PAYEE]],"")</f>
        <v/>
      </c>
      <c r="V74" s="65" t="str">
        <f>IF(Tableau8[[#This Row],[marché]]="MARCHEEXT",VLOOKUP($B74,Tableau16[[Ref]:[AUTRE]],14,FALSE)-Tableau8[[#This Row],[PAYEE]],"")</f>
        <v/>
      </c>
      <c r="W74" s="65" t="str">
        <f>IF(Tableau8[[#This Row],[marché]]="RG_5%",VLOOKUP($B74,Tableau16[[Ref]:[AUTRE]],15,FALSE)-Tableau8[[#This Row],[PAYEE]],"")</f>
        <v/>
      </c>
      <c r="X74" s="65" t="str">
        <f>IF(Tableau8[[#This Row],[marché]]="BFT_5%",VLOOKUP($B74,Tableau16[[Ref]:[AUTRE]],17,FALSE)-Tableau8[[#This Row],[PAYEE]],"")</f>
        <v/>
      </c>
      <c r="Y74" s="65" t="str">
        <f>IF(Tableau8[[#This Row],[marché]]="AUTRE",VLOOKUP($B74,Tableau16[[Ref]:[AUTRE]],19,FALSE)-Tableau8[[#This Row],[PAYEE]],"")</f>
        <v/>
      </c>
      <c r="Z74" s="65"/>
      <c r="AA74"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75" spans="1:27" ht="15.75">
      <c r="A75" s="281"/>
      <c r="B75" s="130" t="str">
        <f>CONCATENATE(Tableau8[[#This Row],[CT
INDIRECT CHANTIER]],Tableau8[[#This Row],[NOM CHANTIER
INDIRECT ST]],Tableau8[[#This Row],[Sous Traitant]],Tableau8[[#This Row],[MO
INDIRECT CT]])</f>
        <v/>
      </c>
      <c r="C75" s="231"/>
      <c r="D75" s="232"/>
      <c r="E75" s="232"/>
      <c r="F75" s="233"/>
      <c r="G75" s="58"/>
      <c r="H75" s="58"/>
      <c r="I75" s="128"/>
      <c r="J75" s="205">
        <f>COUNTIF($I$4:I75,Tableau8[[#This Row],[REF FACT]])</f>
        <v>0</v>
      </c>
      <c r="K75" s="61"/>
      <c r="L75" s="62"/>
      <c r="M75" s="58" t="str">
        <f>IF(Tableau8[[#This Row],[Sous Traitant]]&gt;1,VLOOKUP(Tableau8[[#This Row],[Sous Traitant]],Tableau11[[SOUS TRAITANT]:[DELAIS PAIEMENT]],4,FALSE),"")</f>
        <v/>
      </c>
      <c r="N75" s="63"/>
      <c r="O75" s="141"/>
      <c r="P75" s="71"/>
      <c r="Q75" s="60"/>
      <c r="R75" s="114"/>
      <c r="S75" s="68"/>
      <c r="T75" s="65">
        <f>SUMIFS($P$4:P75,$I$4:I75,I75)</f>
        <v>0</v>
      </c>
      <c r="U75" s="65" t="str">
        <f>IF(Tableau8[[#This Row],[marché]]="MARCHEINT",VLOOKUP($B75,Tableau16[[Ref]:[AUTRE]],13,FALSE)-Tableau8[[#This Row],[PAYEE]],"")</f>
        <v/>
      </c>
      <c r="V75" s="65" t="str">
        <f>IF(Tableau8[[#This Row],[marché]]="MARCHEEXT",VLOOKUP($B75,Tableau16[[Ref]:[AUTRE]],14,FALSE)-Tableau8[[#This Row],[PAYEE]],"")</f>
        <v/>
      </c>
      <c r="W75" s="65" t="str">
        <f>IF(Tableau8[[#This Row],[marché]]="RG_5%",VLOOKUP($B75,Tableau16[[Ref]:[AUTRE]],15,FALSE)-Tableau8[[#This Row],[PAYEE]],"")</f>
        <v/>
      </c>
      <c r="X75" s="65" t="str">
        <f>IF(Tableau8[[#This Row],[marché]]="BFT_5%",VLOOKUP($B75,Tableau16[[Ref]:[AUTRE]],17,FALSE)-Tableau8[[#This Row],[PAYEE]],"")</f>
        <v/>
      </c>
      <c r="Y75" s="65" t="str">
        <f>IF(Tableau8[[#This Row],[marché]]="AUTRE",VLOOKUP($B75,Tableau16[[Ref]:[AUTRE]],19,FALSE)-Tableau8[[#This Row],[PAYEE]],"")</f>
        <v/>
      </c>
      <c r="Z75" s="65"/>
      <c r="AA75"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76" spans="1:27" ht="15.75">
      <c r="A76" s="276" t="s">
        <v>117</v>
      </c>
      <c r="B76" s="130" t="str">
        <f>CONCATENATE(Tableau8[[#This Row],[CT
INDIRECT CHANTIER]],Tableau8[[#This Row],[NOM CHANTIER
INDIRECT ST]],Tableau8[[#This Row],[Sous Traitant]],Tableau8[[#This Row],[MO
INDIRECT CT]])</f>
        <v/>
      </c>
      <c r="C76" s="234"/>
      <c r="D76" s="235"/>
      <c r="E76" s="232"/>
      <c r="F76" s="233"/>
      <c r="G76" s="58"/>
      <c r="H76" s="58"/>
      <c r="I76" s="124"/>
      <c r="J76" s="205">
        <f>COUNTIF($I$4:I76,Tableau8[[#This Row],[REF FACT]])</f>
        <v>0</v>
      </c>
      <c r="K76" s="73"/>
      <c r="L76" s="69"/>
      <c r="M76" s="58" t="str">
        <f>IF(Tableau8[[#This Row],[Sous Traitant]]&gt;1,VLOOKUP(Tableau8[[#This Row],[Sous Traitant]],Tableau11[[SOUS TRAITANT]:[DELAIS PAIEMENT]],4,FALSE),"")</f>
        <v/>
      </c>
      <c r="N76" s="74"/>
      <c r="O76" s="141"/>
      <c r="P76" s="38"/>
      <c r="Q76" s="60"/>
      <c r="R76" s="114"/>
      <c r="S76" s="154"/>
      <c r="T76" s="65">
        <f>SUMIFS($P$4:P76,$I$4:I76,I76)</f>
        <v>0</v>
      </c>
      <c r="U76" s="65" t="str">
        <f>IF(Tableau8[[#This Row],[marché]]="MARCHEINT",VLOOKUP($B76,Tableau16[[Ref]:[AUTRE]],13,FALSE)-Tableau8[[#This Row],[PAYEE]],"")</f>
        <v/>
      </c>
      <c r="V76" s="65" t="str">
        <f>IF(Tableau8[[#This Row],[marché]]="MARCHEEXT",VLOOKUP($B76,Tableau16[[Ref]:[AUTRE]],14,FALSE)-Tableau8[[#This Row],[PAYEE]],"")</f>
        <v/>
      </c>
      <c r="W76" s="65" t="str">
        <f>IF(Tableau8[[#This Row],[marché]]="RG_5%",VLOOKUP($B76,Tableau16[[Ref]:[AUTRE]],15,FALSE)-Tableau8[[#This Row],[PAYEE]],"")</f>
        <v/>
      </c>
      <c r="X76" s="65" t="str">
        <f>IF(Tableau8[[#This Row],[marché]]="BFT_5%",VLOOKUP($B76,Tableau16[[Ref]:[AUTRE]],17,FALSE)-Tableau8[[#This Row],[PAYEE]],"")</f>
        <v/>
      </c>
      <c r="Y76" s="65" t="str">
        <f>IF(Tableau8[[#This Row],[marché]]="AUTRE",VLOOKUP($B76,Tableau16[[Ref]:[AUTRE]],19,FALSE)-Tableau8[[#This Row],[PAYEE]],"")</f>
        <v/>
      </c>
      <c r="Z76" s="65"/>
      <c r="AA76"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77" spans="1:27" ht="15.75">
      <c r="A77" s="277"/>
      <c r="B77" s="130" t="str">
        <f>CONCATENATE(Tableau8[[#This Row],[CT
INDIRECT CHANTIER]],Tableau8[[#This Row],[NOM CHANTIER
INDIRECT ST]],Tableau8[[#This Row],[Sous Traitant]],Tableau8[[#This Row],[MO
INDIRECT CT]])</f>
        <v/>
      </c>
      <c r="C77" s="234"/>
      <c r="D77" s="235"/>
      <c r="E77" s="232"/>
      <c r="F77" s="233"/>
      <c r="G77" s="58"/>
      <c r="H77" s="58"/>
      <c r="I77" s="124"/>
      <c r="J77" s="205">
        <f>COUNTIF($I$4:I77,Tableau8[[#This Row],[REF FACT]])</f>
        <v>0</v>
      </c>
      <c r="K77" s="73"/>
      <c r="L77" s="69"/>
      <c r="M77" s="58" t="str">
        <f>IF(Tableau8[[#This Row],[Sous Traitant]]&gt;1,VLOOKUP(Tableau8[[#This Row],[Sous Traitant]],Tableau11[[SOUS TRAITANT]:[DELAIS PAIEMENT]],4,FALSE),"")</f>
        <v/>
      </c>
      <c r="N77" s="74"/>
      <c r="O77" s="141"/>
      <c r="P77" s="38"/>
      <c r="Q77" s="60"/>
      <c r="R77" s="114"/>
      <c r="S77" s="154"/>
      <c r="T77" s="65">
        <f>SUMIFS($P$4:P77,$I$4:I77,I77)</f>
        <v>0</v>
      </c>
      <c r="U77" s="65" t="str">
        <f>IF(Tableau8[[#This Row],[marché]]="MARCHEINT",VLOOKUP($B77,Tableau16[[Ref]:[AUTRE]],13,FALSE)-Tableau8[[#This Row],[PAYEE]],"")</f>
        <v/>
      </c>
      <c r="V77" s="65" t="str">
        <f>IF(Tableau8[[#This Row],[marché]]="MARCHEEXT",VLOOKUP($B77,Tableau16[[Ref]:[AUTRE]],14,FALSE)-Tableau8[[#This Row],[PAYEE]],"")</f>
        <v/>
      </c>
      <c r="W77" s="65" t="str">
        <f>IF(Tableau8[[#This Row],[marché]]="RG_5%",VLOOKUP($B77,Tableau16[[Ref]:[AUTRE]],15,FALSE)-Tableau8[[#This Row],[PAYEE]],"")</f>
        <v/>
      </c>
      <c r="X77" s="65" t="str">
        <f>IF(Tableau8[[#This Row],[marché]]="BFT_5%",VLOOKUP($B77,Tableau16[[Ref]:[AUTRE]],17,FALSE)-Tableau8[[#This Row],[PAYEE]],"")</f>
        <v/>
      </c>
      <c r="Y77" s="65" t="str">
        <f>IF(Tableau8[[#This Row],[marché]]="AUTRE",VLOOKUP($B77,Tableau16[[Ref]:[AUTRE]],19,FALSE)-Tableau8[[#This Row],[PAYEE]],"")</f>
        <v/>
      </c>
      <c r="Z77" s="65"/>
      <c r="AA77"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78" spans="1:27" ht="15.75">
      <c r="A78" s="277"/>
      <c r="B78" s="130" t="str">
        <f>CONCATENATE(Tableau8[[#This Row],[CT
INDIRECT CHANTIER]],Tableau8[[#This Row],[NOM CHANTIER
INDIRECT ST]],Tableau8[[#This Row],[Sous Traitant]],Tableau8[[#This Row],[MO
INDIRECT CT]])</f>
        <v/>
      </c>
      <c r="C78" s="234"/>
      <c r="D78" s="235"/>
      <c r="E78" s="232"/>
      <c r="F78" s="233"/>
      <c r="G78" s="58"/>
      <c r="H78" s="58"/>
      <c r="I78" s="124"/>
      <c r="J78" s="205">
        <f>COUNTIF($I$4:I78,Tableau8[[#This Row],[REF FACT]])</f>
        <v>0</v>
      </c>
      <c r="K78" s="73"/>
      <c r="L78" s="69"/>
      <c r="M78" s="58" t="str">
        <f>IF(Tableau8[[#This Row],[Sous Traitant]]&gt;1,VLOOKUP(Tableau8[[#This Row],[Sous Traitant]],Tableau11[[SOUS TRAITANT]:[DELAIS PAIEMENT]],4,FALSE),"")</f>
        <v/>
      </c>
      <c r="N78" s="74"/>
      <c r="O78" s="141"/>
      <c r="P78" s="38"/>
      <c r="Q78" s="60"/>
      <c r="R78" s="114"/>
      <c r="S78" s="154"/>
      <c r="T78" s="65">
        <f>SUMIFS($P$4:P78,$I$4:I78,I78)</f>
        <v>0</v>
      </c>
      <c r="U78" s="65" t="str">
        <f>IF(Tableau8[[#This Row],[marché]]="MARCHEINT",VLOOKUP($B78,Tableau16[[Ref]:[AUTRE]],13,FALSE)-Tableau8[[#This Row],[PAYEE]],"")</f>
        <v/>
      </c>
      <c r="V78" s="65" t="str">
        <f>IF(Tableau8[[#This Row],[marché]]="MARCHEEXT",VLOOKUP($B78,Tableau16[[Ref]:[AUTRE]],14,FALSE)-Tableau8[[#This Row],[PAYEE]],"")</f>
        <v/>
      </c>
      <c r="W78" s="65" t="str">
        <f>IF(Tableau8[[#This Row],[marché]]="RG_5%",VLOOKUP($B78,Tableau16[[Ref]:[AUTRE]],15,FALSE)-Tableau8[[#This Row],[PAYEE]],"")</f>
        <v/>
      </c>
      <c r="X78" s="65" t="str">
        <f>IF(Tableau8[[#This Row],[marché]]="BFT_5%",VLOOKUP($B78,Tableau16[[Ref]:[AUTRE]],17,FALSE)-Tableau8[[#This Row],[PAYEE]],"")</f>
        <v/>
      </c>
      <c r="Y78" s="65" t="str">
        <f>IF(Tableau8[[#This Row],[marché]]="AUTRE",VLOOKUP($B78,Tableau16[[Ref]:[AUTRE]],19,FALSE)-Tableau8[[#This Row],[PAYEE]],"")</f>
        <v/>
      </c>
      <c r="Z78" s="65"/>
      <c r="AA78"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79" spans="1:27" ht="15.75">
      <c r="A79" s="278"/>
      <c r="B79" s="130" t="str">
        <f>CONCATENATE(Tableau8[[#This Row],[CT
INDIRECT CHANTIER]],Tableau8[[#This Row],[NOM CHANTIER
INDIRECT ST]],Tableau8[[#This Row],[Sous Traitant]],Tableau8[[#This Row],[MO
INDIRECT CT]])</f>
        <v/>
      </c>
      <c r="C79" s="234"/>
      <c r="D79" s="235"/>
      <c r="E79" s="232"/>
      <c r="F79" s="233"/>
      <c r="G79" s="58"/>
      <c r="H79" s="58"/>
      <c r="I79" s="124"/>
      <c r="J79" s="205">
        <f>COUNTIF($I$4:I79,Tableau8[[#This Row],[REF FACT]])</f>
        <v>0</v>
      </c>
      <c r="K79" s="73"/>
      <c r="L79" s="69"/>
      <c r="M79" s="58" t="str">
        <f>IF(Tableau8[[#This Row],[Sous Traitant]]&gt;1,VLOOKUP(Tableau8[[#This Row],[Sous Traitant]],Tableau11[[SOUS TRAITANT]:[DELAIS PAIEMENT]],4,FALSE),"")</f>
        <v/>
      </c>
      <c r="N79" s="74"/>
      <c r="O79" s="141"/>
      <c r="P79" s="38"/>
      <c r="Q79" s="60"/>
      <c r="R79" s="114"/>
      <c r="S79" s="154"/>
      <c r="T79" s="65">
        <f>SUMIFS($P$4:P79,$I$4:I79,I79)</f>
        <v>0</v>
      </c>
      <c r="U79" s="65" t="str">
        <f>IF(Tableau8[[#This Row],[marché]]="MARCHEINT",VLOOKUP($B79,Tableau16[[Ref]:[AUTRE]],13,FALSE)-Tableau8[[#This Row],[PAYEE]],"")</f>
        <v/>
      </c>
      <c r="V79" s="65" t="str">
        <f>IF(Tableau8[[#This Row],[marché]]="MARCHEEXT",VLOOKUP($B79,Tableau16[[Ref]:[AUTRE]],14,FALSE)-Tableau8[[#This Row],[PAYEE]],"")</f>
        <v/>
      </c>
      <c r="W79" s="65" t="str">
        <f>IF(Tableau8[[#This Row],[marché]]="RG_5%",VLOOKUP($B79,Tableau16[[Ref]:[AUTRE]],15,FALSE)-Tableau8[[#This Row],[PAYEE]],"")</f>
        <v/>
      </c>
      <c r="X79" s="65" t="str">
        <f>IF(Tableau8[[#This Row],[marché]]="BFT_5%",VLOOKUP($B79,Tableau16[[Ref]:[AUTRE]],17,FALSE)-Tableau8[[#This Row],[PAYEE]],"")</f>
        <v/>
      </c>
      <c r="Y79" s="65" t="str">
        <f>IF(Tableau8[[#This Row],[marché]]="AUTRE",VLOOKUP($B79,Tableau16[[Ref]:[AUTRE]],19,FALSE)-Tableau8[[#This Row],[PAYEE]],"")</f>
        <v/>
      </c>
      <c r="Z79" s="65"/>
      <c r="AA79"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80" spans="1:27" ht="15.75">
      <c r="A80" s="276" t="s">
        <v>118</v>
      </c>
      <c r="B80" s="130" t="str">
        <f>CONCATENATE(Tableau8[[#This Row],[CT
INDIRECT CHANTIER]],Tableau8[[#This Row],[NOM CHANTIER
INDIRECT ST]],Tableau8[[#This Row],[Sous Traitant]],Tableau8[[#This Row],[MO
INDIRECT CT]])</f>
        <v/>
      </c>
      <c r="C80" s="234"/>
      <c r="D80" s="235"/>
      <c r="E80" s="232"/>
      <c r="F80" s="233"/>
      <c r="G80" s="58"/>
      <c r="H80" s="58"/>
      <c r="I80" s="124"/>
      <c r="J80" s="205">
        <f>COUNTIF($I$4:I80,Tableau8[[#This Row],[REF FACT]])</f>
        <v>0</v>
      </c>
      <c r="K80" s="73"/>
      <c r="L80" s="69"/>
      <c r="M80" s="58" t="str">
        <f>IF(Tableau8[[#This Row],[Sous Traitant]]&gt;1,VLOOKUP(Tableau8[[#This Row],[Sous Traitant]],Tableau11[[SOUS TRAITANT]:[DELAIS PAIEMENT]],4,FALSE),"")</f>
        <v/>
      </c>
      <c r="N80" s="74"/>
      <c r="O80" s="141"/>
      <c r="P80" s="38"/>
      <c r="Q80" s="60"/>
      <c r="R80" s="114"/>
      <c r="S80" s="154"/>
      <c r="T80" s="65">
        <f>SUMIFS($P$4:P80,$I$4:I80,I80)</f>
        <v>0</v>
      </c>
      <c r="U80" s="65" t="str">
        <f>IF(Tableau8[[#This Row],[marché]]="MARCHEINT",VLOOKUP($B80,Tableau16[[Ref]:[AUTRE]],13,FALSE)-Tableau8[[#This Row],[PAYEE]],"")</f>
        <v/>
      </c>
      <c r="V80" s="65" t="str">
        <f>IF(Tableau8[[#This Row],[marché]]="MARCHEEXT",VLOOKUP($B80,Tableau16[[Ref]:[AUTRE]],14,FALSE)-Tableau8[[#This Row],[PAYEE]],"")</f>
        <v/>
      </c>
      <c r="W80" s="65" t="str">
        <f>IF(Tableau8[[#This Row],[marché]]="RG_5%",VLOOKUP($B80,Tableau16[[Ref]:[AUTRE]],15,FALSE)-Tableau8[[#This Row],[PAYEE]],"")</f>
        <v/>
      </c>
      <c r="X80" s="65" t="str">
        <f>IF(Tableau8[[#This Row],[marché]]="BFT_5%",VLOOKUP($B80,Tableau16[[Ref]:[AUTRE]],17,FALSE)-Tableau8[[#This Row],[PAYEE]],"")</f>
        <v/>
      </c>
      <c r="Y80" s="65" t="str">
        <f>IF(Tableau8[[#This Row],[marché]]="AUTRE",VLOOKUP($B80,Tableau16[[Ref]:[AUTRE]],19,FALSE)-Tableau8[[#This Row],[PAYEE]],"")</f>
        <v/>
      </c>
      <c r="Z80" s="65"/>
      <c r="AA80"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81" spans="1:27" ht="15.75">
      <c r="A81" s="277"/>
      <c r="B81" s="130" t="str">
        <f>CONCATENATE(Tableau8[[#This Row],[CT
INDIRECT CHANTIER]],Tableau8[[#This Row],[NOM CHANTIER
INDIRECT ST]],Tableau8[[#This Row],[Sous Traitant]],Tableau8[[#This Row],[MO
INDIRECT CT]])</f>
        <v/>
      </c>
      <c r="C81" s="234"/>
      <c r="D81" s="235"/>
      <c r="E81" s="232"/>
      <c r="F81" s="233"/>
      <c r="G81" s="58"/>
      <c r="H81" s="58"/>
      <c r="I81" s="124"/>
      <c r="J81" s="205">
        <f>COUNTIF($I$4:I81,Tableau8[[#This Row],[REF FACT]])</f>
        <v>0</v>
      </c>
      <c r="K81" s="73"/>
      <c r="L81" s="69"/>
      <c r="M81" s="58" t="str">
        <f>IF(Tableau8[[#This Row],[Sous Traitant]]&gt;1,VLOOKUP(Tableau8[[#This Row],[Sous Traitant]],Tableau11[[SOUS TRAITANT]:[DELAIS PAIEMENT]],4,FALSE),"")</f>
        <v/>
      </c>
      <c r="N81" s="74"/>
      <c r="O81" s="141"/>
      <c r="P81" s="38"/>
      <c r="Q81" s="60"/>
      <c r="R81" s="114"/>
      <c r="S81" s="154"/>
      <c r="T81" s="65">
        <f>SUMIFS($P$4:P81,$I$4:I81,I81)</f>
        <v>0</v>
      </c>
      <c r="U81" s="65" t="str">
        <f>IF(Tableau8[[#This Row],[marché]]="MARCHEINT",VLOOKUP($B81,Tableau16[[Ref]:[AUTRE]],13,FALSE)-Tableau8[[#This Row],[PAYEE]],"")</f>
        <v/>
      </c>
      <c r="V81" s="65" t="str">
        <f>IF(Tableau8[[#This Row],[marché]]="MARCHEEXT",VLOOKUP($B81,Tableau16[[Ref]:[AUTRE]],14,FALSE)-Tableau8[[#This Row],[PAYEE]],"")</f>
        <v/>
      </c>
      <c r="W81" s="65" t="str">
        <f>IF(Tableau8[[#This Row],[marché]]="RG_5%",VLOOKUP($B81,Tableau16[[Ref]:[AUTRE]],15,FALSE)-Tableau8[[#This Row],[PAYEE]],"")</f>
        <v/>
      </c>
      <c r="X81" s="65" t="str">
        <f>IF(Tableau8[[#This Row],[marché]]="BFT_5%",VLOOKUP($B81,Tableau16[[Ref]:[AUTRE]],17,FALSE)-Tableau8[[#This Row],[PAYEE]],"")</f>
        <v/>
      </c>
      <c r="Y81" s="65" t="str">
        <f>IF(Tableau8[[#This Row],[marché]]="AUTRE",VLOOKUP($B81,Tableau16[[Ref]:[AUTRE]],19,FALSE)-Tableau8[[#This Row],[PAYEE]],"")</f>
        <v/>
      </c>
      <c r="Z81" s="65"/>
      <c r="AA81"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82" spans="1:27" ht="15.75">
      <c r="A82" s="277"/>
      <c r="B82" s="130" t="str">
        <f>CONCATENATE(Tableau8[[#This Row],[CT
INDIRECT CHANTIER]],Tableau8[[#This Row],[NOM CHANTIER
INDIRECT ST]],Tableau8[[#This Row],[Sous Traitant]],Tableau8[[#This Row],[MO
INDIRECT CT]])</f>
        <v/>
      </c>
      <c r="C82" s="234"/>
      <c r="D82" s="235"/>
      <c r="E82" s="232"/>
      <c r="F82" s="233"/>
      <c r="G82" s="58"/>
      <c r="H82" s="58"/>
      <c r="I82" s="124"/>
      <c r="J82" s="205">
        <f>COUNTIF($I$4:I82,Tableau8[[#This Row],[REF FACT]])</f>
        <v>0</v>
      </c>
      <c r="K82" s="73"/>
      <c r="L82" s="69"/>
      <c r="M82" s="58" t="str">
        <f>IF(Tableau8[[#This Row],[Sous Traitant]]&gt;1,VLOOKUP(Tableau8[[#This Row],[Sous Traitant]],Tableau11[[SOUS TRAITANT]:[DELAIS PAIEMENT]],4,FALSE),"")</f>
        <v/>
      </c>
      <c r="N82" s="74"/>
      <c r="O82" s="141"/>
      <c r="P82" s="38"/>
      <c r="Q82" s="60"/>
      <c r="R82" s="114"/>
      <c r="S82" s="154"/>
      <c r="T82" s="65">
        <f>SUMIFS($P$4:P82,$I$4:I82,I82)</f>
        <v>0</v>
      </c>
      <c r="U82" s="65" t="str">
        <f>IF(Tableau8[[#This Row],[marché]]="MARCHEINT",VLOOKUP($B82,Tableau16[[Ref]:[AUTRE]],13,FALSE)-Tableau8[[#This Row],[PAYEE]],"")</f>
        <v/>
      </c>
      <c r="V82" s="65" t="str">
        <f>IF(Tableau8[[#This Row],[marché]]="MARCHEEXT",VLOOKUP($B82,Tableau16[[Ref]:[AUTRE]],14,FALSE)-Tableau8[[#This Row],[PAYEE]],"")</f>
        <v/>
      </c>
      <c r="W82" s="65" t="str">
        <f>IF(Tableau8[[#This Row],[marché]]="RG_5%",VLOOKUP($B82,Tableau16[[Ref]:[AUTRE]],15,FALSE)-Tableau8[[#This Row],[PAYEE]],"")</f>
        <v/>
      </c>
      <c r="X82" s="65" t="str">
        <f>IF(Tableau8[[#This Row],[marché]]="BFT_5%",VLOOKUP($B82,Tableau16[[Ref]:[AUTRE]],17,FALSE)-Tableau8[[#This Row],[PAYEE]],"")</f>
        <v/>
      </c>
      <c r="Y82" s="65" t="str">
        <f>IF(Tableau8[[#This Row],[marché]]="AUTRE",VLOOKUP($B82,Tableau16[[Ref]:[AUTRE]],19,FALSE)-Tableau8[[#This Row],[PAYEE]],"")</f>
        <v/>
      </c>
      <c r="Z82" s="65"/>
      <c r="AA82"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83" spans="1:27" ht="15.75">
      <c r="A83" s="278"/>
      <c r="B83" s="130" t="str">
        <f>CONCATENATE(Tableau8[[#This Row],[CT
INDIRECT CHANTIER]],Tableau8[[#This Row],[NOM CHANTIER
INDIRECT ST]],Tableau8[[#This Row],[Sous Traitant]],Tableau8[[#This Row],[MO
INDIRECT CT]])</f>
        <v/>
      </c>
      <c r="C83" s="234"/>
      <c r="D83" s="235"/>
      <c r="E83" s="232"/>
      <c r="F83" s="233"/>
      <c r="G83" s="58"/>
      <c r="H83" s="58"/>
      <c r="I83" s="124"/>
      <c r="J83" s="205">
        <f>COUNTIF($I$4:I83,Tableau8[[#This Row],[REF FACT]])</f>
        <v>0</v>
      </c>
      <c r="K83" s="73"/>
      <c r="L83" s="69"/>
      <c r="M83" s="58" t="str">
        <f>IF(Tableau8[[#This Row],[Sous Traitant]]&gt;1,VLOOKUP(Tableau8[[#This Row],[Sous Traitant]],Tableau11[[SOUS TRAITANT]:[DELAIS PAIEMENT]],4,FALSE),"")</f>
        <v/>
      </c>
      <c r="N83" s="74"/>
      <c r="O83" s="141"/>
      <c r="P83" s="38"/>
      <c r="Q83" s="60"/>
      <c r="R83" s="114"/>
      <c r="S83" s="154"/>
      <c r="T83" s="65">
        <f>SUMIFS($P$4:P83,$I$4:I83,I83)</f>
        <v>0</v>
      </c>
      <c r="U83" s="65" t="str">
        <f>IF(Tableau8[[#This Row],[marché]]="MARCHEINT",VLOOKUP($B83,Tableau16[[Ref]:[AUTRE]],13,FALSE)-Tableau8[[#This Row],[PAYEE]],"")</f>
        <v/>
      </c>
      <c r="V83" s="65" t="str">
        <f>IF(Tableau8[[#This Row],[marché]]="MARCHEEXT",VLOOKUP($B83,Tableau16[[Ref]:[AUTRE]],14,FALSE)-Tableau8[[#This Row],[PAYEE]],"")</f>
        <v/>
      </c>
      <c r="W83" s="65" t="str">
        <f>IF(Tableau8[[#This Row],[marché]]="RG_5%",VLOOKUP($B83,Tableau16[[Ref]:[AUTRE]],15,FALSE)-Tableau8[[#This Row],[PAYEE]],"")</f>
        <v/>
      </c>
      <c r="X83" s="65" t="str">
        <f>IF(Tableau8[[#This Row],[marché]]="BFT_5%",VLOOKUP($B83,Tableau16[[Ref]:[AUTRE]],17,FALSE)-Tableau8[[#This Row],[PAYEE]],"")</f>
        <v/>
      </c>
      <c r="Y83" s="65" t="str">
        <f>IF(Tableau8[[#This Row],[marché]]="AUTRE",VLOOKUP($B83,Tableau16[[Ref]:[AUTRE]],19,FALSE)-Tableau8[[#This Row],[PAYEE]],"")</f>
        <v/>
      </c>
      <c r="Z83" s="65"/>
      <c r="AA83"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84" spans="1:27" ht="15.75">
      <c r="A84" s="276" t="s">
        <v>119</v>
      </c>
      <c r="B84" s="130" t="str">
        <f>CONCATENATE(Tableau8[[#This Row],[CT
INDIRECT CHANTIER]],Tableau8[[#This Row],[NOM CHANTIER
INDIRECT ST]],Tableau8[[#This Row],[Sous Traitant]],Tableau8[[#This Row],[MO
INDIRECT CT]])</f>
        <v/>
      </c>
      <c r="C84" s="234"/>
      <c r="D84" s="235"/>
      <c r="E84" s="232"/>
      <c r="F84" s="233"/>
      <c r="G84" s="58"/>
      <c r="H84" s="58"/>
      <c r="I84" s="124"/>
      <c r="J84" s="205">
        <f>COUNTIF($I$4:I84,Tableau8[[#This Row],[REF FACT]])</f>
        <v>0</v>
      </c>
      <c r="K84" s="73"/>
      <c r="L84" s="69"/>
      <c r="M84" s="58" t="str">
        <f>IF(Tableau8[[#This Row],[Sous Traitant]]&gt;1,VLOOKUP(Tableau8[[#This Row],[Sous Traitant]],Tableau11[[SOUS TRAITANT]:[DELAIS PAIEMENT]],4,FALSE),"")</f>
        <v/>
      </c>
      <c r="N84" s="74"/>
      <c r="O84" s="141"/>
      <c r="P84" s="38"/>
      <c r="Q84" s="60"/>
      <c r="R84" s="114"/>
      <c r="S84" s="154"/>
      <c r="T84" s="65">
        <f>SUMIFS($P$4:P84,$I$4:I84,I84)</f>
        <v>0</v>
      </c>
      <c r="U84" s="65" t="str">
        <f>IF(Tableau8[[#This Row],[marché]]="MARCHEINT",VLOOKUP($B84,Tableau16[[Ref]:[AUTRE]],13,FALSE)-Tableau8[[#This Row],[PAYEE]],"")</f>
        <v/>
      </c>
      <c r="V84" s="65" t="str">
        <f>IF(Tableau8[[#This Row],[marché]]="MARCHEEXT",VLOOKUP($B84,Tableau16[[Ref]:[AUTRE]],14,FALSE)-Tableau8[[#This Row],[PAYEE]],"")</f>
        <v/>
      </c>
      <c r="W84" s="65" t="str">
        <f>IF(Tableau8[[#This Row],[marché]]="RG_5%",VLOOKUP($B84,Tableau16[[Ref]:[AUTRE]],15,FALSE)-Tableau8[[#This Row],[PAYEE]],"")</f>
        <v/>
      </c>
      <c r="X84" s="65" t="str">
        <f>IF(Tableau8[[#This Row],[marché]]="BFT_5%",VLOOKUP($B84,Tableau16[[Ref]:[AUTRE]],17,FALSE)-Tableau8[[#This Row],[PAYEE]],"")</f>
        <v/>
      </c>
      <c r="Y84" s="65" t="str">
        <f>IF(Tableau8[[#This Row],[marché]]="AUTRE",VLOOKUP($B84,Tableau16[[Ref]:[AUTRE]],19,FALSE)-Tableau8[[#This Row],[PAYEE]],"")</f>
        <v/>
      </c>
      <c r="Z84" s="65"/>
      <c r="AA84"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85" spans="1:27" ht="15.75">
      <c r="A85" s="277"/>
      <c r="B85" s="130" t="str">
        <f>CONCATENATE(Tableau8[[#This Row],[CT
INDIRECT CHANTIER]],Tableau8[[#This Row],[NOM CHANTIER
INDIRECT ST]],Tableau8[[#This Row],[Sous Traitant]],Tableau8[[#This Row],[MO
INDIRECT CT]])</f>
        <v/>
      </c>
      <c r="C85" s="234"/>
      <c r="D85" s="235"/>
      <c r="E85" s="232"/>
      <c r="F85" s="233"/>
      <c r="G85" s="58"/>
      <c r="H85" s="58"/>
      <c r="I85" s="124"/>
      <c r="J85" s="205">
        <f>COUNTIF($I$4:I85,Tableau8[[#This Row],[REF FACT]])</f>
        <v>0</v>
      </c>
      <c r="K85" s="73"/>
      <c r="L85" s="69"/>
      <c r="M85" s="58" t="str">
        <f>IF(Tableau8[[#This Row],[Sous Traitant]]&gt;1,VLOOKUP(Tableau8[[#This Row],[Sous Traitant]],Tableau11[[SOUS TRAITANT]:[DELAIS PAIEMENT]],4,FALSE),"")</f>
        <v/>
      </c>
      <c r="N85" s="74"/>
      <c r="O85" s="141"/>
      <c r="P85" s="38"/>
      <c r="Q85" s="60"/>
      <c r="R85" s="114"/>
      <c r="S85" s="154"/>
      <c r="T85" s="65">
        <f>SUMIFS($P$4:P85,$I$4:I85,I85)</f>
        <v>0</v>
      </c>
      <c r="U85" s="65" t="str">
        <f>IF(Tableau8[[#This Row],[marché]]="MARCHEINT",VLOOKUP($B85,Tableau16[[Ref]:[AUTRE]],13,FALSE)-Tableau8[[#This Row],[PAYEE]],"")</f>
        <v/>
      </c>
      <c r="V85" s="65" t="str">
        <f>IF(Tableau8[[#This Row],[marché]]="MARCHEEXT",VLOOKUP($B85,Tableau16[[Ref]:[AUTRE]],14,FALSE)-Tableau8[[#This Row],[PAYEE]],"")</f>
        <v/>
      </c>
      <c r="W85" s="65" t="str">
        <f>IF(Tableau8[[#This Row],[marché]]="RG_5%",VLOOKUP($B85,Tableau16[[Ref]:[AUTRE]],15,FALSE)-Tableau8[[#This Row],[PAYEE]],"")</f>
        <v/>
      </c>
      <c r="X85" s="65" t="str">
        <f>IF(Tableau8[[#This Row],[marché]]="BFT_5%",VLOOKUP($B85,Tableau16[[Ref]:[AUTRE]],17,FALSE)-Tableau8[[#This Row],[PAYEE]],"")</f>
        <v/>
      </c>
      <c r="Y85" s="65" t="str">
        <f>IF(Tableau8[[#This Row],[marché]]="AUTRE",VLOOKUP($B85,Tableau16[[Ref]:[AUTRE]],19,FALSE)-Tableau8[[#This Row],[PAYEE]],"")</f>
        <v/>
      </c>
      <c r="Z85" s="65"/>
      <c r="AA85"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86" spans="1:27" ht="15.75">
      <c r="A86" s="277"/>
      <c r="B86" s="130" t="str">
        <f>CONCATENATE(Tableau8[[#This Row],[CT
INDIRECT CHANTIER]],Tableau8[[#This Row],[NOM CHANTIER
INDIRECT ST]],Tableau8[[#This Row],[Sous Traitant]],Tableau8[[#This Row],[MO
INDIRECT CT]])</f>
        <v/>
      </c>
      <c r="C86" s="234"/>
      <c r="D86" s="235"/>
      <c r="E86" s="232"/>
      <c r="F86" s="233"/>
      <c r="G86" s="58"/>
      <c r="H86" s="58"/>
      <c r="I86" s="124"/>
      <c r="J86" s="205">
        <f>COUNTIF($I$4:I86,Tableau8[[#This Row],[REF FACT]])</f>
        <v>0</v>
      </c>
      <c r="K86" s="73"/>
      <c r="L86" s="69"/>
      <c r="M86" s="58" t="str">
        <f>IF(Tableau8[[#This Row],[Sous Traitant]]&gt;1,VLOOKUP(Tableau8[[#This Row],[Sous Traitant]],Tableau11[[SOUS TRAITANT]:[DELAIS PAIEMENT]],4,FALSE),"")</f>
        <v/>
      </c>
      <c r="N86" s="74"/>
      <c r="O86" s="141"/>
      <c r="P86" s="38"/>
      <c r="Q86" s="60"/>
      <c r="R86" s="114"/>
      <c r="S86" s="154"/>
      <c r="T86" s="65">
        <f>SUMIFS($P$4:P86,$I$4:I86,I86)</f>
        <v>0</v>
      </c>
      <c r="U86" s="65" t="str">
        <f>IF(Tableau8[[#This Row],[marché]]="MARCHEINT",VLOOKUP($B86,Tableau16[[Ref]:[AUTRE]],13,FALSE)-Tableau8[[#This Row],[PAYEE]],"")</f>
        <v/>
      </c>
      <c r="V86" s="65" t="str">
        <f>IF(Tableau8[[#This Row],[marché]]="MARCHEEXT",VLOOKUP($B86,Tableau16[[Ref]:[AUTRE]],14,FALSE)-Tableau8[[#This Row],[PAYEE]],"")</f>
        <v/>
      </c>
      <c r="W86" s="65" t="str">
        <f>IF(Tableau8[[#This Row],[marché]]="RG_5%",VLOOKUP($B86,Tableau16[[Ref]:[AUTRE]],15,FALSE)-Tableau8[[#This Row],[PAYEE]],"")</f>
        <v/>
      </c>
      <c r="X86" s="65" t="str">
        <f>IF(Tableau8[[#This Row],[marché]]="BFT_5%",VLOOKUP($B86,Tableau16[[Ref]:[AUTRE]],17,FALSE)-Tableau8[[#This Row],[PAYEE]],"")</f>
        <v/>
      </c>
      <c r="Y86" s="65" t="str">
        <f>IF(Tableau8[[#This Row],[marché]]="AUTRE",VLOOKUP($B86,Tableau16[[Ref]:[AUTRE]],19,FALSE)-Tableau8[[#This Row],[PAYEE]],"")</f>
        <v/>
      </c>
      <c r="Z86" s="65"/>
      <c r="AA86"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87" spans="1:27" ht="15.75">
      <c r="A87" s="278"/>
      <c r="B87" s="130" t="str">
        <f>CONCATENATE(Tableau8[[#This Row],[CT
INDIRECT CHANTIER]],Tableau8[[#This Row],[NOM CHANTIER
INDIRECT ST]],Tableau8[[#This Row],[Sous Traitant]],Tableau8[[#This Row],[MO
INDIRECT CT]])</f>
        <v/>
      </c>
      <c r="C87" s="234"/>
      <c r="D87" s="235"/>
      <c r="E87" s="232"/>
      <c r="F87" s="233"/>
      <c r="G87" s="58"/>
      <c r="H87" s="58"/>
      <c r="I87" s="124"/>
      <c r="J87" s="205">
        <f>COUNTIF($I$4:I87,Tableau8[[#This Row],[REF FACT]])</f>
        <v>0</v>
      </c>
      <c r="K87" s="73"/>
      <c r="L87" s="69"/>
      <c r="M87" s="58" t="str">
        <f>IF(Tableau8[[#This Row],[Sous Traitant]]&gt;1,VLOOKUP(Tableau8[[#This Row],[Sous Traitant]],Tableau11[[SOUS TRAITANT]:[DELAIS PAIEMENT]],4,FALSE),"")</f>
        <v/>
      </c>
      <c r="N87" s="74"/>
      <c r="O87" s="141"/>
      <c r="P87" s="38"/>
      <c r="Q87" s="60"/>
      <c r="R87" s="114"/>
      <c r="S87" s="154"/>
      <c r="T87" s="65">
        <f>SUMIFS($P$4:P87,$I$4:I87,I87)</f>
        <v>0</v>
      </c>
      <c r="U87" s="65" t="str">
        <f>IF(Tableau8[[#This Row],[marché]]="MARCHEINT",VLOOKUP($B87,Tableau16[[Ref]:[AUTRE]],13,FALSE)-Tableau8[[#This Row],[PAYEE]],"")</f>
        <v/>
      </c>
      <c r="V87" s="65" t="str">
        <f>IF(Tableau8[[#This Row],[marché]]="MARCHEEXT",VLOOKUP($B87,Tableau16[[Ref]:[AUTRE]],14,FALSE)-Tableau8[[#This Row],[PAYEE]],"")</f>
        <v/>
      </c>
      <c r="W87" s="65" t="str">
        <f>IF(Tableau8[[#This Row],[marché]]="RG_5%",VLOOKUP($B87,Tableau16[[Ref]:[AUTRE]],15,FALSE)-Tableau8[[#This Row],[PAYEE]],"")</f>
        <v/>
      </c>
      <c r="X87" s="65" t="str">
        <f>IF(Tableau8[[#This Row],[marché]]="BFT_5%",VLOOKUP($B87,Tableau16[[Ref]:[AUTRE]],17,FALSE)-Tableau8[[#This Row],[PAYEE]],"")</f>
        <v/>
      </c>
      <c r="Y87" s="65" t="str">
        <f>IF(Tableau8[[#This Row],[marché]]="AUTRE",VLOOKUP($B87,Tableau16[[Ref]:[AUTRE]],19,FALSE)-Tableau8[[#This Row],[PAYEE]],"")</f>
        <v/>
      </c>
      <c r="Z87" s="65"/>
      <c r="AA87"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88" spans="1:27" ht="15.75">
      <c r="A88" s="276" t="s">
        <v>120</v>
      </c>
      <c r="B88" s="130" t="str">
        <f>CONCATENATE(Tableau8[[#This Row],[CT
INDIRECT CHANTIER]],Tableau8[[#This Row],[NOM CHANTIER
INDIRECT ST]],Tableau8[[#This Row],[Sous Traitant]],Tableau8[[#This Row],[MO
INDIRECT CT]])</f>
        <v/>
      </c>
      <c r="C88" s="234"/>
      <c r="D88" s="235"/>
      <c r="E88" s="232"/>
      <c r="F88" s="233"/>
      <c r="G88" s="58"/>
      <c r="H88" s="58"/>
      <c r="I88" s="124"/>
      <c r="J88" s="205">
        <f>COUNTIF($I$4:I88,Tableau8[[#This Row],[REF FACT]])</f>
        <v>0</v>
      </c>
      <c r="K88" s="73"/>
      <c r="L88" s="69"/>
      <c r="M88" s="58" t="str">
        <f>IF(Tableau8[[#This Row],[Sous Traitant]]&gt;1,VLOOKUP(Tableau8[[#This Row],[Sous Traitant]],Tableau11[[SOUS TRAITANT]:[DELAIS PAIEMENT]],4,FALSE),"")</f>
        <v/>
      </c>
      <c r="N88" s="74"/>
      <c r="O88" s="141"/>
      <c r="P88" s="38"/>
      <c r="Q88" s="60"/>
      <c r="R88" s="114"/>
      <c r="S88" s="154"/>
      <c r="T88" s="65">
        <f>SUMIFS($P$4:P88,$I$4:I88,I88)</f>
        <v>0</v>
      </c>
      <c r="U88" s="65" t="str">
        <f>IF(Tableau8[[#This Row],[marché]]="MARCHEINT",VLOOKUP($B88,Tableau16[[Ref]:[AUTRE]],13,FALSE)-Tableau8[[#This Row],[PAYEE]],"")</f>
        <v/>
      </c>
      <c r="V88" s="65" t="str">
        <f>IF(Tableau8[[#This Row],[marché]]="MARCHEEXT",VLOOKUP($B88,Tableau16[[Ref]:[AUTRE]],14,FALSE)-Tableau8[[#This Row],[PAYEE]],"")</f>
        <v/>
      </c>
      <c r="W88" s="65" t="str">
        <f>IF(Tableau8[[#This Row],[marché]]="RG_5%",VLOOKUP($B88,Tableau16[[Ref]:[AUTRE]],15,FALSE)-Tableau8[[#This Row],[PAYEE]],"")</f>
        <v/>
      </c>
      <c r="X88" s="65" t="str">
        <f>IF(Tableau8[[#This Row],[marché]]="BFT_5%",VLOOKUP($B88,Tableau16[[Ref]:[AUTRE]],17,FALSE)-Tableau8[[#This Row],[PAYEE]],"")</f>
        <v/>
      </c>
      <c r="Y88" s="65" t="str">
        <f>IF(Tableau8[[#This Row],[marché]]="AUTRE",VLOOKUP($B88,Tableau16[[Ref]:[AUTRE]],19,FALSE)-Tableau8[[#This Row],[PAYEE]],"")</f>
        <v/>
      </c>
      <c r="Z88" s="65"/>
      <c r="AA88"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89" spans="1:27" ht="15.75">
      <c r="A89" s="277"/>
      <c r="B89" s="130" t="str">
        <f>CONCATENATE(Tableau8[[#This Row],[CT
INDIRECT CHANTIER]],Tableau8[[#This Row],[NOM CHANTIER
INDIRECT ST]],Tableau8[[#This Row],[Sous Traitant]],Tableau8[[#This Row],[MO
INDIRECT CT]])</f>
        <v/>
      </c>
      <c r="C89" s="234"/>
      <c r="D89" s="235"/>
      <c r="E89" s="232"/>
      <c r="F89" s="233"/>
      <c r="G89" s="58"/>
      <c r="H89" s="58"/>
      <c r="I89" s="124"/>
      <c r="J89" s="205">
        <f>COUNTIF($I$4:I89,Tableau8[[#This Row],[REF FACT]])</f>
        <v>0</v>
      </c>
      <c r="K89" s="73"/>
      <c r="L89" s="69"/>
      <c r="M89" s="58" t="str">
        <f>IF(Tableau8[[#This Row],[Sous Traitant]]&gt;1,VLOOKUP(Tableau8[[#This Row],[Sous Traitant]],Tableau11[[SOUS TRAITANT]:[DELAIS PAIEMENT]],4,FALSE),"")</f>
        <v/>
      </c>
      <c r="N89" s="74"/>
      <c r="O89" s="141"/>
      <c r="P89" s="38"/>
      <c r="Q89" s="60"/>
      <c r="R89" s="114"/>
      <c r="S89" s="154"/>
      <c r="T89" s="65">
        <f>SUMIFS($P$4:P89,$I$4:I89,I89)</f>
        <v>0</v>
      </c>
      <c r="U89" s="65" t="str">
        <f>IF(Tableau8[[#This Row],[marché]]="MARCHEINT",VLOOKUP($B89,Tableau16[[Ref]:[AUTRE]],13,FALSE)-Tableau8[[#This Row],[PAYEE]],"")</f>
        <v/>
      </c>
      <c r="V89" s="65" t="str">
        <f>IF(Tableau8[[#This Row],[marché]]="MARCHEEXT",VLOOKUP($B89,Tableau16[[Ref]:[AUTRE]],14,FALSE)-Tableau8[[#This Row],[PAYEE]],"")</f>
        <v/>
      </c>
      <c r="W89" s="65" t="str">
        <f>IF(Tableau8[[#This Row],[marché]]="RG_5%",VLOOKUP($B89,Tableau16[[Ref]:[AUTRE]],15,FALSE)-Tableau8[[#This Row],[PAYEE]],"")</f>
        <v/>
      </c>
      <c r="X89" s="65" t="str">
        <f>IF(Tableau8[[#This Row],[marché]]="BFT_5%",VLOOKUP($B89,Tableau16[[Ref]:[AUTRE]],17,FALSE)-Tableau8[[#This Row],[PAYEE]],"")</f>
        <v/>
      </c>
      <c r="Y89" s="65" t="str">
        <f>IF(Tableau8[[#This Row],[marché]]="AUTRE",VLOOKUP($B89,Tableau16[[Ref]:[AUTRE]],19,FALSE)-Tableau8[[#This Row],[PAYEE]],"")</f>
        <v/>
      </c>
      <c r="Z89" s="65"/>
      <c r="AA89"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90" spans="1:27" ht="15.75">
      <c r="A90" s="277"/>
      <c r="B90" s="130" t="str">
        <f>CONCATENATE(Tableau8[[#This Row],[CT
INDIRECT CHANTIER]],Tableau8[[#This Row],[NOM CHANTIER
INDIRECT ST]],Tableau8[[#This Row],[Sous Traitant]],Tableau8[[#This Row],[MO
INDIRECT CT]])</f>
        <v/>
      </c>
      <c r="C90" s="234"/>
      <c r="D90" s="235"/>
      <c r="E90" s="232"/>
      <c r="F90" s="233"/>
      <c r="G90" s="58"/>
      <c r="H90" s="58"/>
      <c r="I90" s="124"/>
      <c r="J90" s="205">
        <f>COUNTIF($I$4:I90,Tableau8[[#This Row],[REF FACT]])</f>
        <v>0</v>
      </c>
      <c r="K90" s="73"/>
      <c r="L90" s="69"/>
      <c r="M90" s="58" t="str">
        <f>IF(Tableau8[[#This Row],[Sous Traitant]]&gt;1,VLOOKUP(Tableau8[[#This Row],[Sous Traitant]],Tableau11[[SOUS TRAITANT]:[DELAIS PAIEMENT]],4,FALSE),"")</f>
        <v/>
      </c>
      <c r="N90" s="74"/>
      <c r="O90" s="141"/>
      <c r="P90" s="38"/>
      <c r="Q90" s="60"/>
      <c r="R90" s="114"/>
      <c r="S90" s="154"/>
      <c r="T90" s="65">
        <f>SUMIFS($P$4:P90,$I$4:I90,I90)</f>
        <v>0</v>
      </c>
      <c r="U90" s="65" t="str">
        <f>IF(Tableau8[[#This Row],[marché]]="MARCHEINT",VLOOKUP($B90,Tableau16[[Ref]:[AUTRE]],13,FALSE)-Tableau8[[#This Row],[PAYEE]],"")</f>
        <v/>
      </c>
      <c r="V90" s="65" t="str">
        <f>IF(Tableau8[[#This Row],[marché]]="MARCHEEXT",VLOOKUP($B90,Tableau16[[Ref]:[AUTRE]],14,FALSE)-Tableau8[[#This Row],[PAYEE]],"")</f>
        <v/>
      </c>
      <c r="W90" s="65" t="str">
        <f>IF(Tableau8[[#This Row],[marché]]="RG_5%",VLOOKUP($B90,Tableau16[[Ref]:[AUTRE]],15,FALSE)-Tableau8[[#This Row],[PAYEE]],"")</f>
        <v/>
      </c>
      <c r="X90" s="65" t="str">
        <f>IF(Tableau8[[#This Row],[marché]]="BFT_5%",VLOOKUP($B90,Tableau16[[Ref]:[AUTRE]],17,FALSE)-Tableau8[[#This Row],[PAYEE]],"")</f>
        <v/>
      </c>
      <c r="Y90" s="65" t="str">
        <f>IF(Tableau8[[#This Row],[marché]]="AUTRE",VLOOKUP($B90,Tableau16[[Ref]:[AUTRE]],19,FALSE)-Tableau8[[#This Row],[PAYEE]],"")</f>
        <v/>
      </c>
      <c r="Z90" s="65"/>
      <c r="AA90"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91" spans="1:27" ht="15.75">
      <c r="A91" s="278"/>
      <c r="B91" s="130" t="str">
        <f>CONCATENATE(Tableau8[[#This Row],[CT
INDIRECT CHANTIER]],Tableau8[[#This Row],[NOM CHANTIER
INDIRECT ST]],Tableau8[[#This Row],[Sous Traitant]],Tableau8[[#This Row],[MO
INDIRECT CT]])</f>
        <v/>
      </c>
      <c r="C91" s="236"/>
      <c r="D91" s="237"/>
      <c r="E91" s="232"/>
      <c r="F91" s="233"/>
      <c r="G91" s="58" t="str">
        <f>IFERROR(IF(B91="","",VLOOKUP(B91,Tableau16[[Ref]:[CP]],6,FALSE)),"")</f>
        <v/>
      </c>
      <c r="H91" s="58" t="str">
        <f>IFERROR(IF(B91="","",VLOOKUP(B91,Tableau16[[Ref]:[CP]],7,FALSE)),"")</f>
        <v/>
      </c>
      <c r="I91" s="125" t="str">
        <f>CONCATENATE(Tableau8[[#This Row],[CT
INDIRECT CHANTIER]],Tableau8[[#This Row],[NOM CHANTIER
INDIRECT ST]],Tableau8[[#This Row],[Sous Traitant]],Tableau8[[#This Row],[MO
INDIRECT CT]],Tableau8[[#This Row],[marché]])</f>
        <v/>
      </c>
      <c r="J91" s="205">
        <f>COUNTIF($I$4:I91,Tableau8[[#This Row],[REF FACT]])</f>
        <v>49</v>
      </c>
      <c r="K91" s="75"/>
      <c r="L91" s="76"/>
      <c r="M91" s="58" t="str">
        <f>IF(Tableau8[[#This Row],[Sous Traitant]]&gt;1,VLOOKUP(Tableau8[[#This Row],[Sous Traitant]],Tableau11[[SOUS TRAITANT]:[DELAIS PAIEMENT]],4,FALSE),"")</f>
        <v/>
      </c>
      <c r="N91" s="77"/>
      <c r="O91" s="141"/>
      <c r="P91" s="55"/>
      <c r="Q91" s="60"/>
      <c r="R91" s="155"/>
      <c r="S91" s="156"/>
      <c r="T91" s="65">
        <f>SUMIFS($P$4:P91,$I$4:I91,I91)</f>
        <v>0</v>
      </c>
      <c r="U91" s="65" t="str">
        <f>IF(Tableau8[[#This Row],[marché]]="MARCHEINT",VLOOKUP($B91,Tableau16[[Ref]:[AUTRE]],13,FALSE)-Tableau8[[#This Row],[PAYEE]],"")</f>
        <v/>
      </c>
      <c r="V91" s="65" t="str">
        <f>IF(Tableau8[[#This Row],[marché]]="MARCHEEXT",VLOOKUP($B91,Tableau16[[Ref]:[AUTRE]],14,FALSE)-Tableau8[[#This Row],[PAYEE]],"")</f>
        <v/>
      </c>
      <c r="W91" s="65" t="str">
        <f>IF(Tableau8[[#This Row],[marché]]="RG_5%",VLOOKUP($B91,Tableau16[[Ref]:[AUTRE]],15,FALSE)-Tableau8[[#This Row],[PAYEE]],"")</f>
        <v/>
      </c>
      <c r="X91" s="65" t="str">
        <f>IF(Tableau8[[#This Row],[marché]]="BFT_5%",VLOOKUP($B91,Tableau16[[Ref]:[AUTRE]],17,FALSE)-Tableau8[[#This Row],[PAYEE]],"")</f>
        <v/>
      </c>
      <c r="Y91" s="65" t="str">
        <f>IF(Tableau8[[#This Row],[marché]]="AUTRE",VLOOKUP($B91,Tableau16[[Ref]:[AUTRE]],19,FALSE)-Tableau8[[#This Row],[PAYEE]],"")</f>
        <v/>
      </c>
      <c r="Z91" s="65"/>
      <c r="AA91" s="164" t="str">
        <f>IF(Tableau8[[#This Row],[marché]]="MARCHEINT",Tableau8[[#This Row],[MARCHE INT]]+Tableau8[[#This Row],[PAYEE]],IF(Tableau8[[#This Row],[marché]]="MARCHEEXT",Tableau8[[#This Row],[MARCHE EXT]]+Tableau8[[#This Row],[PAYEE]],IF(Tableau8[[#This Row],[marché]]="RG_5%",Tableau8[[#This Row],[RG_5%]]+Tableau8[[#This Row],[PAYEE]],IF(Tableau8[[#This Row],[marché]]="BFT_5%",Tableau8[[#This Row],[BFT_5%]]+Tableau8[[#This Row],[PAYEE]],IF(Tableau8[[#This Row],[marché]]="AUTRE",Tableau8[[#This Row],[AUTRE]]+Tableau8[[#This Row],[PAYEE]],"")))))</f>
        <v/>
      </c>
    </row>
    <row r="94" spans="1:27">
      <c r="D94" s="238" t="s">
        <v>214</v>
      </c>
    </row>
  </sheetData>
  <mergeCells count="14">
    <mergeCell ref="A80:A83"/>
    <mergeCell ref="A84:A87"/>
    <mergeCell ref="A88:A91"/>
    <mergeCell ref="A16:A19"/>
    <mergeCell ref="A20:A23"/>
    <mergeCell ref="A24:A27"/>
    <mergeCell ref="A28:A31"/>
    <mergeCell ref="A32:A75"/>
    <mergeCell ref="A76:A79"/>
    <mergeCell ref="A1:R1"/>
    <mergeCell ref="A2:R2"/>
    <mergeCell ref="A4:A7"/>
    <mergeCell ref="A8:A11"/>
    <mergeCell ref="A12:A15"/>
  </mergeCells>
  <conditionalFormatting sqref="U32:Z91">
    <cfRule type="expression" dxfId="5" priority="1">
      <formula>U32&lt;0</formula>
    </cfRule>
  </conditionalFormatting>
  <conditionalFormatting sqref="C4:Z91">
    <cfRule type="expression" dxfId="4" priority="18">
      <formula>($R4&gt;0)</formula>
    </cfRule>
  </conditionalFormatting>
  <dataValidations count="1">
    <dataValidation operator="greaterThan" allowBlank="1" showInputMessage="1" showErrorMessage="1" sqref="K73:L73 Q3 J3:L3 K4:L56 O3 P3:P75" xr:uid="{00000000-0002-0000-0100-000000000000}"/>
  </dataValidations>
  <pageMargins left="0.7" right="0.7" top="0.75" bottom="0.75" header="0.3" footer="0.3"/>
  <pageSetup paperSize="9" orientation="portrait" horizontalDpi="4294967293" verticalDpi="0" r:id="rId1"/>
  <tableParts count="1">
    <tablePart r:id="rId2"/>
  </tableParts>
  <extLst>
    <ext xmlns:x14="http://schemas.microsoft.com/office/spreadsheetml/2009/9/main" uri="{CCE6A557-97BC-4b89-ADB6-D9C93CAAB3DF}">
      <x14:dataValidations xmlns:xm="http://schemas.microsoft.com/office/excel/2006/main" count="4">
        <x14:dataValidation type="list" operator="greaterThan" allowBlank="1" showInputMessage="1" showErrorMessage="1" xr:uid="{00000000-0002-0000-0100-000001000000}">
          <x14:formula1>
            <xm:f>'E:\[SUIVI COMPLET CHANTIER SOUS TRAITANT.xlsx]DONNEES'!#REF!</xm:f>
          </x14:formula1>
          <xm:sqref>Q4:Q31</xm:sqref>
        </x14:dataValidation>
        <x14:dataValidation type="list" operator="greaterThan" allowBlank="1" showInputMessage="1" showErrorMessage="1" xr:uid="{00000000-0002-0000-0100-000002000000}">
          <x14:formula1>
            <xm:f>DONNEES!$D$2:$D$11</xm:f>
          </x14:formula1>
          <xm:sqref>O4:O91</xm:sqref>
        </x14:dataValidation>
        <x14:dataValidation type="list" allowBlank="1" showInputMessage="1" showErrorMessage="1" xr:uid="{00000000-0002-0000-0100-000003000000}">
          <x14:formula1>
            <xm:f>DONNEES!$B$2:$B$10</xm:f>
          </x14:formula1>
          <xm:sqref>Q32:Q91 E32:E91</xm:sqref>
        </x14:dataValidation>
        <x14:dataValidation type="list" allowBlank="1" showInputMessage="1" showErrorMessage="1" xr:uid="{00000000-0002-0000-0100-000004000000}">
          <x14:formula1>
            <xm:f>DONNEES!$P$1:$AO$1</xm:f>
          </x14:formula1>
          <xm:sqref>C32:C70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L84"/>
  <sheetViews>
    <sheetView zoomScale="90" zoomScaleNormal="90" workbookViewId="0">
      <selection activeCell="D13" sqref="D13"/>
    </sheetView>
  </sheetViews>
  <sheetFormatPr baseColWidth="10" defaultRowHeight="15"/>
  <cols>
    <col min="1" max="1" width="9" style="134" customWidth="1"/>
    <col min="2" max="2" width="14.85546875" bestFit="1" customWidth="1"/>
    <col min="3" max="3" width="11.42578125" style="26"/>
    <col min="4" max="4" width="20.5703125" style="174" customWidth="1"/>
    <col min="5" max="5" width="12.42578125" style="142" bestFit="1" customWidth="1"/>
    <col min="6" max="6" width="20.5703125" style="174" bestFit="1" customWidth="1"/>
    <col min="7" max="7" width="12.5703125" bestFit="1" customWidth="1"/>
    <col min="8" max="8" width="19" customWidth="1"/>
    <col min="9" max="11" width="16.140625" customWidth="1"/>
    <col min="12" max="12" width="57.42578125" bestFit="1" customWidth="1"/>
  </cols>
  <sheetData>
    <row r="1" spans="1:12" ht="23.25">
      <c r="B1" s="15" t="s">
        <v>1</v>
      </c>
      <c r="C1" s="202" t="s">
        <v>174</v>
      </c>
      <c r="D1" s="174" t="s">
        <v>210</v>
      </c>
      <c r="F1" s="180" t="s">
        <v>13</v>
      </c>
      <c r="G1" s="187" t="s">
        <v>14</v>
      </c>
      <c r="H1" s="187" t="s">
        <v>15</v>
      </c>
      <c r="I1" s="187" t="s">
        <v>16</v>
      </c>
      <c r="J1" s="16" t="s">
        <v>151</v>
      </c>
      <c r="K1" s="16" t="s">
        <v>152</v>
      </c>
      <c r="L1" s="187" t="s">
        <v>126</v>
      </c>
    </row>
    <row r="2" spans="1:12">
      <c r="B2" s="15" t="s">
        <v>19</v>
      </c>
      <c r="C2" s="202" t="s">
        <v>74</v>
      </c>
      <c r="D2" s="174" t="s">
        <v>200</v>
      </c>
      <c r="F2" s="181" t="s">
        <v>157</v>
      </c>
      <c r="G2" s="183">
        <f>VLOOKUP($C$6,'MARCHE CONTRAT PV'!$A$4:R41,12,FALSE)</f>
        <v>100000</v>
      </c>
      <c r="H2" s="184"/>
      <c r="I2" s="185"/>
      <c r="J2" s="19"/>
      <c r="K2" s="18"/>
      <c r="L2" s="183"/>
    </row>
    <row r="3" spans="1:12">
      <c r="B3" s="15" t="s">
        <v>21</v>
      </c>
      <c r="C3" s="202" t="s">
        <v>161</v>
      </c>
      <c r="D3" s="174" t="s">
        <v>198</v>
      </c>
      <c r="F3" s="181" t="s">
        <v>41</v>
      </c>
      <c r="G3" s="183">
        <f>IFERROR(VLOOKUP($C$6,'MARCHE CONTRAT PV'!$A$4:R42,15,FALSE),0)</f>
        <v>5000</v>
      </c>
      <c r="H3" s="20">
        <f>SUMIFS(Tableau8[PAYEE],Tableau8[REF FACT],'RECAP FACT'!$L3)</f>
        <v>0</v>
      </c>
      <c r="I3" s="20">
        <f>(G3-H3)</f>
        <v>5000</v>
      </c>
      <c r="J3" s="21"/>
      <c r="K3" s="22"/>
      <c r="L3" s="20" t="str">
        <f>CONCATENATE($C$3,$C$2,$C$1,$C$4,$F3)</f>
        <v>FREDCHATENAY MALABRY - IRENADH2ORG_5%</v>
      </c>
    </row>
    <row r="4" spans="1:12">
      <c r="B4" s="23" t="s">
        <v>23</v>
      </c>
      <c r="C4" s="202" t="s">
        <v>201</v>
      </c>
      <c r="D4" s="174" t="s">
        <v>199</v>
      </c>
      <c r="F4" s="181" t="s">
        <v>147</v>
      </c>
      <c r="G4" s="183">
        <f>IFERROR(VLOOKUP($C$6,'MARCHE CONTRAT PV'!$A$4:R43,16,FALSE),0)</f>
        <v>2000</v>
      </c>
      <c r="H4" s="20">
        <f>SUMIFS(Tableau8[PAYEE],Tableau8[REF FACT],'RECAP FACT'!$L4)</f>
        <v>0</v>
      </c>
      <c r="I4" s="186"/>
      <c r="J4" s="24"/>
      <c r="K4" s="25"/>
      <c r="L4" s="20" t="str">
        <f t="shared" ref="L4:L7" si="0">CONCATENATE($C$3,$C$2,$C$1,$C$4,$F4)</f>
        <v>FREDCHATENAY MALABRY - IRENADH2OP_2%</v>
      </c>
    </row>
    <row r="5" spans="1:12">
      <c r="B5" s="26"/>
      <c r="C5" s="166"/>
      <c r="D5" s="175"/>
      <c r="F5" s="181" t="s">
        <v>42</v>
      </c>
      <c r="G5" s="183">
        <f>IFERROR(VLOOKUP($C$6,'MARCHE CONTRAT PV'!$A$4:R44,17,FALSE),0)</f>
        <v>5000</v>
      </c>
      <c r="H5" s="20">
        <f>SUMIFS(Tableau8[PAYEE],Tableau8[REF FACT],'RECAP FACT'!$L5)</f>
        <v>0</v>
      </c>
      <c r="I5" s="20">
        <f>(G5-H5)</f>
        <v>5000</v>
      </c>
      <c r="J5" s="21"/>
      <c r="K5" s="22"/>
      <c r="L5" s="20" t="str">
        <f t="shared" si="0"/>
        <v>FREDCHATENAY MALABRY - IRENADH2OBFT_5%</v>
      </c>
    </row>
    <row r="6" spans="1:12">
      <c r="B6" s="166" t="s">
        <v>126</v>
      </c>
      <c r="C6" s="39" t="str">
        <f>CONCATENATE($C$3,$C$2,$C$1,$C$4)</f>
        <v>FREDCHATENAY MALABRY - IRENADH2O</v>
      </c>
      <c r="D6" s="175"/>
      <c r="F6" s="181" t="s">
        <v>150</v>
      </c>
      <c r="G6" s="183">
        <f>IFERROR(VLOOKUP($C$6,'MARCHE CONTRAT PV'!$A$4:R45,18,FALSE),0)</f>
        <v>3000</v>
      </c>
      <c r="H6" s="20">
        <f>SUMIFS(Tableau8[PAYEE],Tableau8[REF FACT],'RECAP FACT'!$L6)</f>
        <v>0</v>
      </c>
      <c r="I6" s="20">
        <f>(G6-H6)</f>
        <v>3000</v>
      </c>
      <c r="J6" s="21"/>
      <c r="K6" s="22"/>
      <c r="L6" s="20" t="str">
        <f t="shared" si="0"/>
        <v>FREDCHATENAY MALABRY - IRENADH2OE_3%</v>
      </c>
    </row>
    <row r="7" spans="1:12">
      <c r="B7" s="26"/>
      <c r="F7" s="182" t="s">
        <v>25</v>
      </c>
      <c r="G7" s="183">
        <f>IFERROR(VLOOKUP($C$6,'MARCHE CONTRAT PV'!$A$4:R46,19,FALSE),0)</f>
        <v>0</v>
      </c>
      <c r="H7" s="20">
        <f>SUMIFS(Tableau8[PAYEE],Tableau8[REF FACT],'RECAP FACT'!$L7)</f>
        <v>2000</v>
      </c>
      <c r="I7" s="20">
        <f>(G7-H7)</f>
        <v>-2000</v>
      </c>
      <c r="J7" s="28"/>
      <c r="K7" s="29"/>
      <c r="L7" s="20" t="str">
        <f t="shared" si="0"/>
        <v>FREDCHATENAY MALABRY - IRENADH2OAUTRE</v>
      </c>
    </row>
    <row r="8" spans="1:12" ht="15.75" thickBot="1">
      <c r="B8" s="26"/>
    </row>
    <row r="9" spans="1:12" ht="24" thickBot="1">
      <c r="B9" s="40" t="s">
        <v>158</v>
      </c>
      <c r="C9" s="41"/>
      <c r="D9" s="176"/>
      <c r="E9" s="168"/>
      <c r="F9" s="282">
        <f>VLOOKUP(C6,'MARCHE CONTRAT PV'!$A$4:R42,13,FALSE)</f>
        <v>30000</v>
      </c>
      <c r="G9" s="283"/>
      <c r="I9" s="30"/>
      <c r="J9" s="31"/>
      <c r="K9" s="30"/>
    </row>
    <row r="10" spans="1:12">
      <c r="B10" s="32" t="s">
        <v>27</v>
      </c>
      <c r="C10" s="199" t="s">
        <v>28</v>
      </c>
      <c r="D10" s="200" t="s">
        <v>29</v>
      </c>
      <c r="E10" s="201" t="s">
        <v>15</v>
      </c>
      <c r="F10" s="200" t="s">
        <v>18</v>
      </c>
      <c r="G10" s="32" t="s">
        <v>30</v>
      </c>
      <c r="H10" s="33"/>
      <c r="I10" s="33"/>
      <c r="J10" s="31"/>
      <c r="K10" s="33"/>
    </row>
    <row r="11" spans="1:12">
      <c r="A11" s="207" t="str">
        <f t="shared" ref="A11:A31" si="1">CONCATENATE($C$3,$C$2,$C$1,$C$4,$B$9)</f>
        <v>FREDCHATENAY MALABRY - IRENADH2OMARCHEINT</v>
      </c>
      <c r="B11" s="23">
        <v>1</v>
      </c>
      <c r="C11" s="191">
        <f t="array" ref="C11">IFERROR(INDEX(Tableau8[[ref fact2]:[payé / présenté le]],MATCH(1,(Tableau8[REF FACT]='RECAP FACT'!$A11)*(Tableau8[fact n°]='RECAP FACT'!$B11),0),1),"")</f>
        <v>162</v>
      </c>
      <c r="D11" s="192">
        <f t="array" ref="D11">IFERROR(INDEX(Tableau8[[ref fact2]:[payé / présenté le]],MATCH(1,(Tableau8[REF FACT]='RECAP FACT'!$A11)*(Tableau8[fact n°]='RECAP FACT'!$B11),0),2),"")</f>
        <v>44043</v>
      </c>
      <c r="E11" s="193">
        <f t="array" ref="E11">IFERROR(INDEX(Tableau8[[ref fact2]:[payé / présenté le]],MATCH(1,(Tableau8[REF FACT]='RECAP FACT'!$A11)*(Tableau8[fact n°]='RECAP FACT'!$B11),0),6),"")</f>
        <v>1216</v>
      </c>
      <c r="F11" s="192">
        <f t="array" ref="F11">IFERROR(INDEX(Tableau8[[ref fact2]:[payé / présenté le]],MATCH(1,(Tableau8[REF FACT]='RECAP FACT'!$A11)*(Tableau8[fact n°]='RECAP FACT'!$B11),0),8),"")</f>
        <v>0</v>
      </c>
      <c r="G11" s="23" t="str">
        <f t="array" ref="G11">IFERROR(INDEX(Tableau8[ref fact2],MATCH(1,(Tableau8[REF FACT]='RECAP FACT'!$A$11)*(Tableau8[fact n°]='RECAP FACT'!F11),0),1),"")</f>
        <v/>
      </c>
      <c r="H11" s="30"/>
      <c r="I11" s="30"/>
      <c r="J11" s="35"/>
      <c r="K11" s="30"/>
    </row>
    <row r="12" spans="1:12" ht="15.75" thickBot="1">
      <c r="A12" s="207" t="str">
        <f t="shared" si="1"/>
        <v>FREDCHATENAY MALABRY - IRENADH2OMARCHEINT</v>
      </c>
      <c r="B12" s="23">
        <v>2</v>
      </c>
      <c r="C12" s="191">
        <f t="array" ref="C12">IFERROR(INDEX(Tableau8[[ref fact2]:[payé / présenté le]],MATCH(1,(Tableau8[REF FACT]='RECAP FACT'!$A12)*(Tableau8[fact n°]='RECAP FACT'!$B12),0),1),"")</f>
        <v>163</v>
      </c>
      <c r="D12" s="192">
        <f t="array" ref="D12">IFERROR(INDEX(Tableau8[[ref fact2]:[payé / présenté le]],MATCH(1,(Tableau8[REF FACT]='RECAP FACT'!$A12)*(Tableau8[fact n°]='RECAP FACT'!$B12),0),2),"")</f>
        <v>44043</v>
      </c>
      <c r="E12" s="193">
        <f t="array" ref="E12">IFERROR(INDEX(Tableau8[[ref fact2]:[payé / présenté le]],MATCH(1,(Tableau8[REF FACT]='RECAP FACT'!$A12)*(Tableau8[fact n°]='RECAP FACT'!$B12),0),6),"")</f>
        <v>4259.25</v>
      </c>
      <c r="F12" s="192">
        <f t="array" ref="F12">IFERROR(INDEX(Tableau8[[ref fact2]:[payé / présenté le]],MATCH(1,(Tableau8[REF FACT]='RECAP FACT'!$A12)*(Tableau8[fact n°]='RECAP FACT'!$B12),0),8),"")</f>
        <v>0</v>
      </c>
      <c r="G12" s="23" t="str">
        <f t="array" ref="G12">IFERROR(INDEX(Tableau8[ref fact2],MATCH(1,(Tableau8[REF FACT]='RECAP FACT'!$A$11)*(Tableau8[fact n°]='RECAP FACT'!F12),0),1),"")</f>
        <v/>
      </c>
      <c r="H12" s="30"/>
      <c r="I12" s="30"/>
      <c r="J12" s="35"/>
      <c r="K12" s="30"/>
    </row>
    <row r="13" spans="1:12" ht="15" customHeight="1">
      <c r="A13" s="207" t="str">
        <f t="shared" si="1"/>
        <v>FREDCHATENAY MALABRY - IRENADH2OMARCHEINT</v>
      </c>
      <c r="B13" s="23">
        <v>3</v>
      </c>
      <c r="C13" s="191">
        <f t="array" ref="C13">IFERROR(INDEX(Tableau8[[ref fact2]:[payé / présenté le]],MATCH(1,(Tableau8[REF FACT]='RECAP FACT'!$A13)*(Tableau8[fact n°]='RECAP FACT'!$B13),0),1),"")</f>
        <v>170</v>
      </c>
      <c r="D13" s="192">
        <f t="array" ref="D13">IFERROR(INDEX(Tableau8[[ref fact2]:[payé / présenté le]],MATCH(1,(Tableau8[REF FACT]='RECAP FACT'!$A13)*(Tableau8[fact n°]='RECAP FACT'!$B13),0),2),"")</f>
        <v>44043</v>
      </c>
      <c r="E13" s="193">
        <f t="array" ref="E13">IFERROR(INDEX(Tableau8[[ref fact2]:[payé / présenté le]],MATCH(1,(Tableau8[REF FACT]='RECAP FACT'!$A13)*(Tableau8[fact n°]='RECAP FACT'!$B13),0),6),"")</f>
        <v>4867.8</v>
      </c>
      <c r="F13" s="192">
        <f t="array" ref="F13">IFERROR(INDEX(Tableau8[[ref fact2]:[payé / présenté le]],MATCH(1,(Tableau8[REF FACT]='RECAP FACT'!$A13)*(Tableau8[fact n°]='RECAP FACT'!$B13),0),8),"")</f>
        <v>0</v>
      </c>
      <c r="G13" s="23" t="str">
        <f t="array" ref="G13">IFERROR(INDEX(Tableau8[ref fact2],MATCH(1,(Tableau8[REF FACT]='RECAP FACT'!$A$11)*(Tableau8[fact n°]='RECAP FACT'!F13),0),1),"")</f>
        <v/>
      </c>
      <c r="H13" s="30"/>
      <c r="I13" s="293" t="s">
        <v>26</v>
      </c>
      <c r="J13" s="289">
        <f>F9</f>
        <v>30000</v>
      </c>
      <c r="K13" s="289"/>
    </row>
    <row r="14" spans="1:12" ht="15" customHeight="1">
      <c r="A14" s="207" t="str">
        <f t="shared" si="1"/>
        <v>FREDCHATENAY MALABRY - IRENADH2OMARCHEINT</v>
      </c>
      <c r="B14" s="23">
        <v>4</v>
      </c>
      <c r="C14" s="191" t="str">
        <f t="array" ref="C14">IFERROR(INDEX(Tableau8[[ref fact2]:[payé / présenté le]],MATCH(1,(Tableau8[REF FACT]='RECAP FACT'!$A14)*(Tableau8[fact n°]='RECAP FACT'!$B14),0),1),"")</f>
        <v/>
      </c>
      <c r="D14" s="192" t="str">
        <f t="array" ref="D14">IFERROR(INDEX(Tableau8[[ref fact2]:[payé / présenté le]],MATCH(1,(Tableau8[REF FACT]='RECAP FACT'!$A14)*(Tableau8[fact n°]='RECAP FACT'!$B14),0),2),"")</f>
        <v/>
      </c>
      <c r="E14" s="193" t="str">
        <f t="array" ref="E14">IFERROR(INDEX(Tableau8[[ref fact2]:[payé / présenté le]],MATCH(1,(Tableau8[REF FACT]='RECAP FACT'!$A14)*(Tableau8[fact n°]='RECAP FACT'!$B14),0),6),"")</f>
        <v/>
      </c>
      <c r="F14" s="192" t="str">
        <f t="array" ref="F14">IFERROR(INDEX(Tableau8[[ref fact2]:[payé / présenté le]],MATCH(1,(Tableau8[REF FACT]='RECAP FACT'!$A14)*(Tableau8[fact n°]='RECAP FACT'!$B14),0),8),"")</f>
        <v/>
      </c>
      <c r="G14" s="23" t="str">
        <f t="array" ref="G14">IFERROR(INDEX(Tableau8[ref fact2],MATCH(1,(Tableau8[REF FACT]='RECAP FACT'!$A$11)*(Tableau8[fact n°]='RECAP FACT'!F14),0),1),"")</f>
        <v/>
      </c>
      <c r="H14" s="30"/>
      <c r="I14" s="284"/>
      <c r="J14" s="289"/>
      <c r="K14" s="289"/>
    </row>
    <row r="15" spans="1:12" ht="15" customHeight="1">
      <c r="A15" s="207" t="str">
        <f t="shared" si="1"/>
        <v>FREDCHATENAY MALABRY - IRENADH2OMARCHEINT</v>
      </c>
      <c r="B15" s="23">
        <v>5</v>
      </c>
      <c r="C15" s="191" t="str">
        <f t="array" ref="C15">IFERROR(INDEX(Tableau8[[ref fact2]:[payé / présenté le]],MATCH(1,(Tableau8[REF FACT]='RECAP FACT'!$A15)*(Tableau8[fact n°]='RECAP FACT'!$B15),0),1),"")</f>
        <v/>
      </c>
      <c r="D15" s="192" t="str">
        <f t="array" ref="D15">IFERROR(INDEX(Tableau8[[ref fact2]:[payé / présenté le]],MATCH(1,(Tableau8[REF FACT]='RECAP FACT'!$A15)*(Tableau8[fact n°]='RECAP FACT'!$B15),0),2),"")</f>
        <v/>
      </c>
      <c r="E15" s="193" t="str">
        <f t="array" ref="E15">IFERROR(INDEX(Tableau8[[ref fact2]:[payé / présenté le]],MATCH(1,(Tableau8[REF FACT]='RECAP FACT'!$A15)*(Tableau8[fact n°]='RECAP FACT'!$B15),0),6),"")</f>
        <v/>
      </c>
      <c r="F15" s="192" t="str">
        <f t="array" ref="F15">IFERROR(INDEX(Tableau8[[ref fact2]:[payé / présenté le]],MATCH(1,(Tableau8[REF FACT]='RECAP FACT'!$A15)*(Tableau8[fact n°]='RECAP FACT'!$B15),0),8),"")</f>
        <v/>
      </c>
      <c r="G15" s="23" t="str">
        <f t="array" ref="G15">IFERROR(INDEX(Tableau8[ref fact2],MATCH(1,(Tableau8[REF FACT]='RECAP FACT'!$A$11)*(Tableau8[fact n°]='RECAP FACT'!F15),0),1),"")</f>
        <v/>
      </c>
      <c r="H15" s="30"/>
      <c r="I15" s="284" t="s">
        <v>35</v>
      </c>
      <c r="J15" s="289">
        <f>(E32)</f>
        <v>10343.049999999999</v>
      </c>
      <c r="K15" s="289"/>
    </row>
    <row r="16" spans="1:12" ht="15" customHeight="1">
      <c r="A16" s="207" t="str">
        <f t="shared" si="1"/>
        <v>FREDCHATENAY MALABRY - IRENADH2OMARCHEINT</v>
      </c>
      <c r="B16" s="23">
        <v>6</v>
      </c>
      <c r="C16" s="191" t="str">
        <f t="array" ref="C16">IFERROR(INDEX(Tableau8[[ref fact2]:[payé / présenté le]],MATCH(1,(Tableau8[REF FACT]='RECAP FACT'!$A16)*(Tableau8[fact n°]='RECAP FACT'!$B16),0),1),"")</f>
        <v/>
      </c>
      <c r="D16" s="192" t="str">
        <f t="array" ref="D16">IFERROR(INDEX(Tableau8[[ref fact2]:[payé / présenté le]],MATCH(1,(Tableau8[REF FACT]='RECAP FACT'!$A16)*(Tableau8[fact n°]='RECAP FACT'!$B16),0),2),"")</f>
        <v/>
      </c>
      <c r="E16" s="193" t="str">
        <f t="array" ref="E16">IFERROR(INDEX(Tableau8[[ref fact2]:[payé / présenté le]],MATCH(1,(Tableau8[REF FACT]='RECAP FACT'!$A16)*(Tableau8[fact n°]='RECAP FACT'!$B16),0),6),"")</f>
        <v/>
      </c>
      <c r="F16" s="192" t="str">
        <f t="array" ref="F16">IFERROR(INDEX(Tableau8[[ref fact2]:[payé / présenté le]],MATCH(1,(Tableau8[REF FACT]='RECAP FACT'!$A16)*(Tableau8[fact n°]='RECAP FACT'!$B16),0),8),"")</f>
        <v/>
      </c>
      <c r="G16" s="23" t="str">
        <f t="array" ref="G16">IFERROR(INDEX(Tableau8[ref fact2],MATCH(1,(Tableau8[REF FACT]='RECAP FACT'!$A$11)*(Tableau8[fact n°]='RECAP FACT'!F16),0),1),"")</f>
        <v/>
      </c>
      <c r="H16" s="30"/>
      <c r="I16" s="284"/>
      <c r="J16" s="289"/>
      <c r="K16" s="289"/>
    </row>
    <row r="17" spans="1:11" ht="15" customHeight="1">
      <c r="A17" s="207" t="str">
        <f t="shared" si="1"/>
        <v>FREDCHATENAY MALABRY - IRENADH2OMARCHEINT</v>
      </c>
      <c r="B17" s="23">
        <v>7</v>
      </c>
      <c r="C17" s="191" t="str">
        <f t="array" ref="C17">IFERROR(INDEX(Tableau8[[ref fact2]:[payé / présenté le]],MATCH(1,(Tableau8[REF FACT]='RECAP FACT'!$A17)*(Tableau8[fact n°]='RECAP FACT'!$B17),0),1),"")</f>
        <v/>
      </c>
      <c r="D17" s="192" t="str">
        <f t="array" ref="D17">IFERROR(INDEX(Tableau8[[ref fact2]:[payé / présenté le]],MATCH(1,(Tableau8[REF FACT]='RECAP FACT'!$A17)*(Tableau8[fact n°]='RECAP FACT'!$B17),0),2),"")</f>
        <v/>
      </c>
      <c r="E17" s="193" t="str">
        <f t="array" ref="E17">IFERROR(INDEX(Tableau8[[ref fact2]:[payé / présenté le]],MATCH(1,(Tableau8[REF FACT]='RECAP FACT'!$A17)*(Tableau8[fact n°]='RECAP FACT'!$B17),0),6),"")</f>
        <v/>
      </c>
      <c r="F17" s="192" t="str">
        <f t="array" ref="F17">IFERROR(INDEX(Tableau8[[ref fact2]:[payé / présenté le]],MATCH(1,(Tableau8[REF FACT]='RECAP FACT'!$A17)*(Tableau8[fact n°]='RECAP FACT'!$B17),0),8),"")</f>
        <v/>
      </c>
      <c r="G17" s="23" t="str">
        <f t="array" ref="G17">IFERROR(INDEX(Tableau8[ref fact2],MATCH(1,(Tableau8[REF FACT]='RECAP FACT'!$A$11)*(Tableau8[fact n°]='RECAP FACT'!F17),0),1),"")</f>
        <v/>
      </c>
      <c r="H17" s="30"/>
      <c r="I17" s="284" t="s">
        <v>36</v>
      </c>
      <c r="J17" s="289">
        <f>(J13-J15)</f>
        <v>19656.95</v>
      </c>
      <c r="K17" s="289"/>
    </row>
    <row r="18" spans="1:11" ht="15.75" customHeight="1" thickBot="1">
      <c r="A18" s="207" t="str">
        <f t="shared" si="1"/>
        <v>FREDCHATENAY MALABRY - IRENADH2OMARCHEINT</v>
      </c>
      <c r="B18" s="23">
        <v>8</v>
      </c>
      <c r="C18" s="191" t="str">
        <f t="array" ref="C18">IFERROR(INDEX(Tableau8[[ref fact2]:[payé / présenté le]],MATCH(1,(Tableau8[REF FACT]='RECAP FACT'!$A18)*(Tableau8[fact n°]='RECAP FACT'!$B18),0),1),"")</f>
        <v/>
      </c>
      <c r="D18" s="192" t="str">
        <f t="array" ref="D18">IFERROR(INDEX(Tableau8[[ref fact2]:[payé / présenté le]],MATCH(1,(Tableau8[REF FACT]='RECAP FACT'!$A18)*(Tableau8[fact n°]='RECAP FACT'!$B18),0),2),"")</f>
        <v/>
      </c>
      <c r="E18" s="193" t="str">
        <f t="array" ref="E18">IFERROR(INDEX(Tableau8[[ref fact2]:[payé / présenté le]],MATCH(1,(Tableau8[REF FACT]='RECAP FACT'!$A18)*(Tableau8[fact n°]='RECAP FACT'!$B18),0),6),"")</f>
        <v/>
      </c>
      <c r="F18" s="192" t="str">
        <f t="array" ref="F18">IFERROR(INDEX(Tableau8[[ref fact2]:[payé / présenté le]],MATCH(1,(Tableau8[REF FACT]='RECAP FACT'!$A18)*(Tableau8[fact n°]='RECAP FACT'!$B18),0),8),"")</f>
        <v/>
      </c>
      <c r="G18" s="23" t="str">
        <f t="array" ref="G18">IFERROR(INDEX(Tableau8[ref fact2],MATCH(1,(Tableau8[REF FACT]='RECAP FACT'!$A$11)*(Tableau8[fact n°]='RECAP FACT'!F18),0),1),"")</f>
        <v/>
      </c>
      <c r="H18" s="30"/>
      <c r="I18" s="285"/>
      <c r="J18" s="289"/>
      <c r="K18" s="289"/>
    </row>
    <row r="19" spans="1:11">
      <c r="A19" s="207" t="str">
        <f t="shared" si="1"/>
        <v>FREDCHATENAY MALABRY - IRENADH2OMARCHEINT</v>
      </c>
      <c r="B19" s="23">
        <v>9</v>
      </c>
      <c r="C19" s="191" t="str">
        <f t="array" ref="C19">IFERROR(INDEX(Tableau8[[ref fact2]:[payé / présenté le]],MATCH(1,(Tableau8[REF FACT]='RECAP FACT'!$A19)*(Tableau8[fact n°]='RECAP FACT'!$B19),0),1),"")</f>
        <v/>
      </c>
      <c r="D19" s="192" t="str">
        <f t="array" ref="D19">IFERROR(INDEX(Tableau8[[ref fact2]:[payé / présenté le]],MATCH(1,(Tableau8[REF FACT]='RECAP FACT'!$A19)*(Tableau8[fact n°]='RECAP FACT'!$B19),0),2),"")</f>
        <v/>
      </c>
      <c r="E19" s="193" t="str">
        <f t="array" ref="E19">IFERROR(INDEX(Tableau8[[ref fact2]:[payé / présenté le]],MATCH(1,(Tableau8[REF FACT]='RECAP FACT'!$A19)*(Tableau8[fact n°]='RECAP FACT'!$B19),0),6),"")</f>
        <v/>
      </c>
      <c r="F19" s="192" t="str">
        <f t="array" ref="F19">IFERROR(INDEX(Tableau8[[ref fact2]:[payé / présenté le]],MATCH(1,(Tableau8[REF FACT]='RECAP FACT'!$A19)*(Tableau8[fact n°]='RECAP FACT'!$B19),0),8),"")</f>
        <v/>
      </c>
      <c r="G19" s="23" t="str">
        <f t="array" ref="G19">IFERROR(INDEX(Tableau8[ref fact2],MATCH(1,(Tableau8[REF FACT]='RECAP FACT'!$A$11)*(Tableau8[fact n°]='RECAP FACT'!F19),0),1),"")</f>
        <v/>
      </c>
      <c r="H19" s="30"/>
      <c r="I19" s="30"/>
      <c r="J19" s="35"/>
      <c r="K19" s="30"/>
    </row>
    <row r="20" spans="1:11">
      <c r="A20" s="207" t="str">
        <f t="shared" si="1"/>
        <v>FREDCHATENAY MALABRY - IRENADH2OMARCHEINT</v>
      </c>
      <c r="B20" s="23">
        <v>10</v>
      </c>
      <c r="C20" s="191" t="str">
        <f t="array" ref="C20">IFERROR(INDEX(Tableau8[[ref fact2]:[payé / présenté le]],MATCH(1,(Tableau8[REF FACT]='RECAP FACT'!$A20)*(Tableau8[fact n°]='RECAP FACT'!$B20),0),1),"")</f>
        <v/>
      </c>
      <c r="D20" s="192" t="str">
        <f t="array" ref="D20">IFERROR(INDEX(Tableau8[[ref fact2]:[payé / présenté le]],MATCH(1,(Tableau8[REF FACT]='RECAP FACT'!$A20)*(Tableau8[fact n°]='RECAP FACT'!$B20),0),2),"")</f>
        <v/>
      </c>
      <c r="E20" s="193" t="str">
        <f t="array" ref="E20">IFERROR(INDEX(Tableau8[[ref fact2]:[payé / présenté le]],MATCH(1,(Tableau8[REF FACT]='RECAP FACT'!$A20)*(Tableau8[fact n°]='RECAP FACT'!$B20),0),6),"")</f>
        <v/>
      </c>
      <c r="F20" s="192" t="str">
        <f t="array" ref="F20">IFERROR(INDEX(Tableau8[[ref fact2]:[payé / présenté le]],MATCH(1,(Tableau8[REF FACT]='RECAP FACT'!$A20)*(Tableau8[fact n°]='RECAP FACT'!$B20),0),8),"")</f>
        <v/>
      </c>
      <c r="G20" s="23" t="str">
        <f t="array" ref="G20">IFERROR(INDEX(Tableau8[ref fact2],MATCH(1,(Tableau8[REF FACT]='RECAP FACT'!$A$11)*(Tableau8[fact n°]='RECAP FACT'!F20),0),1),"")</f>
        <v/>
      </c>
      <c r="H20" s="30"/>
      <c r="I20" s="30"/>
      <c r="J20" s="35"/>
      <c r="K20" s="30"/>
    </row>
    <row r="21" spans="1:11">
      <c r="A21" s="207" t="str">
        <f t="shared" si="1"/>
        <v>FREDCHATENAY MALABRY - IRENADH2OMARCHEINT</v>
      </c>
      <c r="B21" s="23">
        <v>11</v>
      </c>
      <c r="C21" s="191" t="str">
        <f t="array" ref="C21">IFERROR(INDEX(Tableau8[[ref fact2]:[payé / présenté le]],MATCH(1,(Tableau8[REF FACT]='RECAP FACT'!$A21)*(Tableau8[fact n°]='RECAP FACT'!$B21),0),1),"")</f>
        <v/>
      </c>
      <c r="D21" s="192" t="str">
        <f t="array" ref="D21">IFERROR(INDEX(Tableau8[[ref fact2]:[payé / présenté le]],MATCH(1,(Tableau8[REF FACT]='RECAP FACT'!$A21)*(Tableau8[fact n°]='RECAP FACT'!$B21),0),2),"")</f>
        <v/>
      </c>
      <c r="E21" s="193" t="str">
        <f t="array" ref="E21">IFERROR(INDEX(Tableau8[[ref fact2]:[payé / présenté le]],MATCH(1,(Tableau8[REF FACT]='RECAP FACT'!$A21)*(Tableau8[fact n°]='RECAP FACT'!$B21),0),6),"")</f>
        <v/>
      </c>
      <c r="F21" s="192" t="str">
        <f t="array" ref="F21">IFERROR(INDEX(Tableau8[[ref fact2]:[payé / présenté le]],MATCH(1,(Tableau8[REF FACT]='RECAP FACT'!$A21)*(Tableau8[fact n°]='RECAP FACT'!$B21),0),8),"")</f>
        <v/>
      </c>
      <c r="G21" s="23" t="str">
        <f t="array" ref="G21">IFERROR(INDEX(Tableau8[ref fact2],MATCH(1,(Tableau8[REF FACT]='RECAP FACT'!$A$11)*(Tableau8[fact n°]='RECAP FACT'!F21),0),1),"")</f>
        <v/>
      </c>
      <c r="H21" s="30"/>
      <c r="I21" s="30"/>
      <c r="J21" s="35"/>
      <c r="K21" s="30"/>
    </row>
    <row r="22" spans="1:11">
      <c r="A22" s="207" t="str">
        <f t="shared" si="1"/>
        <v>FREDCHATENAY MALABRY - IRENADH2OMARCHEINT</v>
      </c>
      <c r="B22" s="23">
        <v>12</v>
      </c>
      <c r="C22" s="191" t="str">
        <f t="array" ref="C22">IFERROR(INDEX(Tableau8[[ref fact2]:[payé / présenté le]],MATCH(1,(Tableau8[REF FACT]='RECAP FACT'!$A22)*(Tableau8[fact n°]='RECAP FACT'!$B22),0),1),"")</f>
        <v/>
      </c>
      <c r="D22" s="192" t="str">
        <f t="array" ref="D22">IFERROR(INDEX(Tableau8[[ref fact2]:[payé / présenté le]],MATCH(1,(Tableau8[REF FACT]='RECAP FACT'!$A22)*(Tableau8[fact n°]='RECAP FACT'!$B22),0),2),"")</f>
        <v/>
      </c>
      <c r="E22" s="193" t="str">
        <f t="array" ref="E22">IFERROR(INDEX(Tableau8[[ref fact2]:[payé / présenté le]],MATCH(1,(Tableau8[REF FACT]='RECAP FACT'!$A22)*(Tableau8[fact n°]='RECAP FACT'!$B22),0),6),"")</f>
        <v/>
      </c>
      <c r="F22" s="192" t="str">
        <f t="array" ref="F22">IFERROR(INDEX(Tableau8[[ref fact2]:[payé / présenté le]],MATCH(1,(Tableau8[REF FACT]='RECAP FACT'!$A22)*(Tableau8[fact n°]='RECAP FACT'!$B22),0),8),"")</f>
        <v/>
      </c>
      <c r="G22" s="23" t="str">
        <f t="array" ref="G22">IFERROR(INDEX(Tableau8[ref fact2],MATCH(1,(Tableau8[REF FACT]='RECAP FACT'!$A$11)*(Tableau8[fact n°]='RECAP FACT'!F22),0),1),"")</f>
        <v/>
      </c>
      <c r="H22" s="30"/>
      <c r="I22" s="30"/>
      <c r="J22" s="35"/>
      <c r="K22" s="30"/>
    </row>
    <row r="23" spans="1:11">
      <c r="A23" s="207" t="str">
        <f t="shared" si="1"/>
        <v>FREDCHATENAY MALABRY - IRENADH2OMARCHEINT</v>
      </c>
      <c r="B23" s="23">
        <v>13</v>
      </c>
      <c r="C23" s="191" t="str">
        <f t="array" ref="C23">IFERROR(INDEX(Tableau8[[ref fact2]:[payé / présenté le]],MATCH(1,(Tableau8[REF FACT]='RECAP FACT'!$A23)*(Tableau8[fact n°]='RECAP FACT'!$B23),0),1),"")</f>
        <v/>
      </c>
      <c r="D23" s="192" t="str">
        <f t="array" ref="D23">IFERROR(INDEX(Tableau8[[ref fact2]:[payé / présenté le]],MATCH(1,(Tableau8[REF FACT]='RECAP FACT'!$A23)*(Tableau8[fact n°]='RECAP FACT'!$B23),0),2),"")</f>
        <v/>
      </c>
      <c r="E23" s="193" t="str">
        <f t="array" ref="E23">IFERROR(INDEX(Tableau8[[ref fact2]:[payé / présenté le]],MATCH(1,(Tableau8[REF FACT]='RECAP FACT'!$A23)*(Tableau8[fact n°]='RECAP FACT'!$B23),0),6),"")</f>
        <v/>
      </c>
      <c r="F23" s="192" t="str">
        <f t="array" ref="F23">IFERROR(INDEX(Tableau8[[ref fact2]:[payé / présenté le]],MATCH(1,(Tableau8[REF FACT]='RECAP FACT'!$A23)*(Tableau8[fact n°]='RECAP FACT'!$B23),0),8),"")</f>
        <v/>
      </c>
      <c r="G23" s="23" t="str">
        <f t="array" ref="G23">IFERROR(INDEX(Tableau8[ref fact2],MATCH(1,(Tableau8[REF FACT]='RECAP FACT'!$A$11)*(Tableau8[fact n°]='RECAP FACT'!F23),0),1),"")</f>
        <v/>
      </c>
      <c r="H23" s="30"/>
      <c r="I23" s="30"/>
      <c r="J23" s="35"/>
      <c r="K23" s="30"/>
    </row>
    <row r="24" spans="1:11">
      <c r="A24" s="207" t="str">
        <f t="shared" si="1"/>
        <v>FREDCHATENAY MALABRY - IRENADH2OMARCHEINT</v>
      </c>
      <c r="B24" s="23">
        <v>14</v>
      </c>
      <c r="C24" s="191" t="str">
        <f t="array" ref="C24">IFERROR(INDEX(Tableau8[[ref fact2]:[payé / présenté le]],MATCH(1,(Tableau8[REF FACT]='RECAP FACT'!$A24)*(Tableau8[fact n°]='RECAP FACT'!$B24),0),1),"")</f>
        <v/>
      </c>
      <c r="D24" s="192" t="str">
        <f t="array" ref="D24">IFERROR(INDEX(Tableau8[[ref fact2]:[payé / présenté le]],MATCH(1,(Tableau8[REF FACT]='RECAP FACT'!$A24)*(Tableau8[fact n°]='RECAP FACT'!$B24),0),2),"")</f>
        <v/>
      </c>
      <c r="E24" s="193" t="str">
        <f t="array" ref="E24">IFERROR(INDEX(Tableau8[[ref fact2]:[payé / présenté le]],MATCH(1,(Tableau8[REF FACT]='RECAP FACT'!$A24)*(Tableau8[fact n°]='RECAP FACT'!$B24),0),6),"")</f>
        <v/>
      </c>
      <c r="F24" s="192" t="str">
        <f t="array" ref="F24">IFERROR(INDEX(Tableau8[[ref fact2]:[payé / présenté le]],MATCH(1,(Tableau8[REF FACT]='RECAP FACT'!$A24)*(Tableau8[fact n°]='RECAP FACT'!$B24),0),8),"")</f>
        <v/>
      </c>
      <c r="G24" s="23" t="str">
        <f t="array" ref="G24">IFERROR(INDEX(Tableau8[ref fact2],MATCH(1,(Tableau8[REF FACT]='RECAP FACT'!$A$11)*(Tableau8[fact n°]='RECAP FACT'!F24),0),1),"")</f>
        <v/>
      </c>
      <c r="H24" s="30"/>
      <c r="I24" s="30"/>
      <c r="J24" s="35"/>
      <c r="K24" s="30"/>
    </row>
    <row r="25" spans="1:11">
      <c r="A25" s="207" t="str">
        <f t="shared" si="1"/>
        <v>FREDCHATENAY MALABRY - IRENADH2OMARCHEINT</v>
      </c>
      <c r="B25" s="23">
        <v>15</v>
      </c>
      <c r="C25" s="191" t="str">
        <f t="array" ref="C25">IFERROR(INDEX(Tableau8[[ref fact2]:[payé / présenté le]],MATCH(1,(Tableau8[REF FACT]='RECAP FACT'!$A25)*(Tableau8[fact n°]='RECAP FACT'!$B25),0),1),"")</f>
        <v/>
      </c>
      <c r="D25" s="192" t="str">
        <f t="array" ref="D25">IFERROR(INDEX(Tableau8[[ref fact2]:[payé / présenté le]],MATCH(1,(Tableau8[REF FACT]='RECAP FACT'!$A25)*(Tableau8[fact n°]='RECAP FACT'!$B25),0),2),"")</f>
        <v/>
      </c>
      <c r="E25" s="193" t="str">
        <f t="array" ref="E25">IFERROR(INDEX(Tableau8[[ref fact2]:[payé / présenté le]],MATCH(1,(Tableau8[REF FACT]='RECAP FACT'!$A25)*(Tableau8[fact n°]='RECAP FACT'!$B25),0),6),"")</f>
        <v/>
      </c>
      <c r="F25" s="192" t="str">
        <f t="array" ref="F25">IFERROR(INDEX(Tableau8[[ref fact2]:[payé / présenté le]],MATCH(1,(Tableau8[REF FACT]='RECAP FACT'!$A25)*(Tableau8[fact n°]='RECAP FACT'!$B25),0),8),"")</f>
        <v/>
      </c>
      <c r="G25" s="23" t="str">
        <f t="array" ref="G25">IFERROR(INDEX(Tableau8[ref fact2],MATCH(1,(Tableau8[REF FACT]='RECAP FACT'!$A$11)*(Tableau8[fact n°]='RECAP FACT'!F25),0),1),"")</f>
        <v/>
      </c>
      <c r="J25" s="27"/>
    </row>
    <row r="26" spans="1:11">
      <c r="A26" s="207" t="str">
        <f t="shared" si="1"/>
        <v>FREDCHATENAY MALABRY - IRENADH2OMARCHEINT</v>
      </c>
      <c r="B26" s="23">
        <v>16</v>
      </c>
      <c r="C26" s="191" t="str">
        <f t="array" ref="C26">IFERROR(INDEX(Tableau8[[ref fact2]:[payé / présenté le]],MATCH(1,(Tableau8[REF FACT]='RECAP FACT'!$A26)*(Tableau8[fact n°]='RECAP FACT'!$B26),0),1),"")</f>
        <v/>
      </c>
      <c r="D26" s="192" t="str">
        <f t="array" ref="D26">IFERROR(INDEX(Tableau8[[ref fact2]:[payé / présenté le]],MATCH(1,(Tableau8[REF FACT]='RECAP FACT'!$A26)*(Tableau8[fact n°]='RECAP FACT'!$B26),0),2),"")</f>
        <v/>
      </c>
      <c r="E26" s="193" t="str">
        <f t="array" ref="E26">IFERROR(INDEX(Tableau8[[ref fact2]:[payé / présenté le]],MATCH(1,(Tableau8[REF FACT]='RECAP FACT'!$A26)*(Tableau8[fact n°]='RECAP FACT'!$B26),0),6),"")</f>
        <v/>
      </c>
      <c r="F26" s="192" t="str">
        <f t="array" ref="F26">IFERROR(INDEX(Tableau8[[ref fact2]:[payé / présenté le]],MATCH(1,(Tableau8[REF FACT]='RECAP FACT'!$A26)*(Tableau8[fact n°]='RECAP FACT'!$B26),0),8),"")</f>
        <v/>
      </c>
      <c r="G26" s="23" t="str">
        <f t="array" ref="G26">IFERROR(INDEX(Tableau8[ref fact2],MATCH(1,(Tableau8[REF FACT]='RECAP FACT'!$A$11)*(Tableau8[fact n°]='RECAP FACT'!F26),0),1),"")</f>
        <v/>
      </c>
      <c r="J26" s="27"/>
    </row>
    <row r="27" spans="1:11">
      <c r="A27" s="207" t="str">
        <f t="shared" si="1"/>
        <v>FREDCHATENAY MALABRY - IRENADH2OMARCHEINT</v>
      </c>
      <c r="B27" s="23">
        <v>17</v>
      </c>
      <c r="C27" s="191" t="str">
        <f t="array" ref="C27">IFERROR(INDEX(Tableau8[[ref fact2]:[payé / présenté le]],MATCH(1,(Tableau8[REF FACT]='RECAP FACT'!$A27)*(Tableau8[fact n°]='RECAP FACT'!$B27),0),1),"")</f>
        <v/>
      </c>
      <c r="D27" s="192" t="str">
        <f t="array" ref="D27">IFERROR(INDEX(Tableau8[[ref fact2]:[payé / présenté le]],MATCH(1,(Tableau8[REF FACT]='RECAP FACT'!$A27)*(Tableau8[fact n°]='RECAP FACT'!$B27),0),2),"")</f>
        <v/>
      </c>
      <c r="E27" s="193" t="str">
        <f t="array" ref="E27">IFERROR(INDEX(Tableau8[[ref fact2]:[payé / présenté le]],MATCH(1,(Tableau8[REF FACT]='RECAP FACT'!$A27)*(Tableau8[fact n°]='RECAP FACT'!$B27),0),6),"")</f>
        <v/>
      </c>
      <c r="F27" s="192" t="str">
        <f t="array" ref="F27">IFERROR(INDEX(Tableau8[[ref fact2]:[payé / présenté le]],MATCH(1,(Tableau8[REF FACT]='RECAP FACT'!$A27)*(Tableau8[fact n°]='RECAP FACT'!$B27),0),8),"")</f>
        <v/>
      </c>
      <c r="G27" s="23" t="str">
        <f t="array" ref="G27">IFERROR(INDEX(Tableau8[ref fact2],MATCH(1,(Tableau8[REF FACT]='RECAP FACT'!$A$11)*(Tableau8[fact n°]='RECAP FACT'!F27),0),1),"")</f>
        <v/>
      </c>
      <c r="J27" s="27"/>
    </row>
    <row r="28" spans="1:11">
      <c r="A28" s="207" t="str">
        <f t="shared" si="1"/>
        <v>FREDCHATENAY MALABRY - IRENADH2OMARCHEINT</v>
      </c>
      <c r="B28" s="23">
        <v>18</v>
      </c>
      <c r="C28" s="191" t="str">
        <f t="array" ref="C28">IFERROR(INDEX(Tableau8[[ref fact2]:[payé / présenté le]],MATCH(1,(Tableau8[REF FACT]='RECAP FACT'!$A28)*(Tableau8[fact n°]='RECAP FACT'!$B28),0),1),"")</f>
        <v/>
      </c>
      <c r="D28" s="192" t="str">
        <f t="array" ref="D28">IFERROR(INDEX(Tableau8[[ref fact2]:[payé / présenté le]],MATCH(1,(Tableau8[REF FACT]='RECAP FACT'!$A28)*(Tableau8[fact n°]='RECAP FACT'!$B28),0),2),"")</f>
        <v/>
      </c>
      <c r="E28" s="193" t="str">
        <f t="array" ref="E28">IFERROR(INDEX(Tableau8[[ref fact2]:[payé / présenté le]],MATCH(1,(Tableau8[REF FACT]='RECAP FACT'!$A28)*(Tableau8[fact n°]='RECAP FACT'!$B28),0),6),"")</f>
        <v/>
      </c>
      <c r="F28" s="192" t="str">
        <f t="array" ref="F28">IFERROR(INDEX(Tableau8[[ref fact2]:[payé / présenté le]],MATCH(1,(Tableau8[REF FACT]='RECAP FACT'!$A28)*(Tableau8[fact n°]='RECAP FACT'!$B28),0),8),"")</f>
        <v/>
      </c>
      <c r="G28" s="23" t="str">
        <f t="array" ref="G28">IFERROR(INDEX(Tableau8[ref fact2],MATCH(1,(Tableau8[REF FACT]='RECAP FACT'!$A$11)*(Tableau8[fact n°]='RECAP FACT'!F28),0),1),"")</f>
        <v/>
      </c>
      <c r="J28" s="27"/>
    </row>
    <row r="29" spans="1:11">
      <c r="A29" s="207" t="str">
        <f t="shared" si="1"/>
        <v>FREDCHATENAY MALABRY - IRENADH2OMARCHEINT</v>
      </c>
      <c r="B29" s="23">
        <v>19</v>
      </c>
      <c r="C29" s="191" t="str">
        <f t="array" ref="C29">IFERROR(INDEX(Tableau8[[ref fact2]:[payé / présenté le]],MATCH(1,(Tableau8[REF FACT]='RECAP FACT'!$A29)*(Tableau8[fact n°]='RECAP FACT'!$B29),0),1),"")</f>
        <v/>
      </c>
      <c r="D29" s="192" t="str">
        <f t="array" ref="D29">IFERROR(INDEX(Tableau8[[ref fact2]:[payé / présenté le]],MATCH(1,(Tableau8[REF FACT]='RECAP FACT'!$A29)*(Tableau8[fact n°]='RECAP FACT'!$B29),0),2),"")</f>
        <v/>
      </c>
      <c r="E29" s="193" t="str">
        <f t="array" ref="E29">IFERROR(INDEX(Tableau8[[ref fact2]:[payé / présenté le]],MATCH(1,(Tableau8[REF FACT]='RECAP FACT'!$A29)*(Tableau8[fact n°]='RECAP FACT'!$B29),0),6),"")</f>
        <v/>
      </c>
      <c r="F29" s="192" t="str">
        <f t="array" ref="F29">IFERROR(INDEX(Tableau8[[ref fact2]:[payé / présenté le]],MATCH(1,(Tableau8[REF FACT]='RECAP FACT'!$A29)*(Tableau8[fact n°]='RECAP FACT'!$B29),0),8),"")</f>
        <v/>
      </c>
      <c r="G29" s="23" t="str">
        <f t="array" ref="G29">IFERROR(INDEX(Tableau8[ref fact2],MATCH(1,(Tableau8[REF FACT]='RECAP FACT'!$A$11)*(Tableau8[fact n°]='RECAP FACT'!F29),0),1),"")</f>
        <v/>
      </c>
      <c r="J29" s="27"/>
    </row>
    <row r="30" spans="1:11">
      <c r="A30" s="207" t="str">
        <f t="shared" si="1"/>
        <v>FREDCHATENAY MALABRY - IRENADH2OMARCHEINT</v>
      </c>
      <c r="B30" s="23">
        <v>20</v>
      </c>
      <c r="C30" s="191" t="str">
        <f t="array" ref="C30">IFERROR(INDEX(Tableau8[[ref fact2]:[payé / présenté le]],MATCH(1,(Tableau8[REF FACT]='RECAP FACT'!$A30)*(Tableau8[fact n°]='RECAP FACT'!$B30),0),1),"")</f>
        <v/>
      </c>
      <c r="D30" s="192" t="str">
        <f t="array" ref="D30">IFERROR(INDEX(Tableau8[[ref fact2]:[payé / présenté le]],MATCH(1,(Tableau8[REF FACT]='RECAP FACT'!$A30)*(Tableau8[fact n°]='RECAP FACT'!$B30),0),2),"")</f>
        <v/>
      </c>
      <c r="E30" s="193" t="str">
        <f t="array" ref="E30">IFERROR(INDEX(Tableau8[[ref fact2]:[payé / présenté le]],MATCH(1,(Tableau8[REF FACT]='RECAP FACT'!$A30)*(Tableau8[fact n°]='RECAP FACT'!$B30),0),6),"")</f>
        <v/>
      </c>
      <c r="F30" s="192" t="str">
        <f t="array" ref="F30">IFERROR(INDEX(Tableau8[[ref fact2]:[payé / présenté le]],MATCH(1,(Tableau8[REF FACT]='RECAP FACT'!$A30)*(Tableau8[fact n°]='RECAP FACT'!$B30),0),8),"")</f>
        <v/>
      </c>
      <c r="G30" s="23" t="str">
        <f t="array" ref="G30">IFERROR(INDEX(Tableau8[ref fact2],MATCH(1,(Tableau8[REF FACT]='RECAP FACT'!$A$11)*(Tableau8[fact n°]='RECAP FACT'!F30),0),1),"")</f>
        <v/>
      </c>
      <c r="J30" s="27"/>
    </row>
    <row r="31" spans="1:11">
      <c r="A31" s="207" t="str">
        <f t="shared" si="1"/>
        <v>FREDCHATENAY MALABRY - IRENADH2OMARCHEINT</v>
      </c>
      <c r="B31" s="23">
        <v>21</v>
      </c>
      <c r="C31" s="191" t="str">
        <f>IFERROR(INDEX(Tableau8[[ref fact2]:[payé / présenté le]],MATCH(1,(Tableau8[REF FACT]='RECAP FACT'!$A31)*(Tableau8[fact n°]='RECAP FACT'!$B31),0),1),"")</f>
        <v/>
      </c>
      <c r="D31" s="192" t="str">
        <f t="array" ref="D31">IFERROR(INDEX(Tableau8[[ref fact2]:[payé / présenté le]],MATCH(1,(Tableau8[REF FACT]='RECAP FACT'!$A31)*(Tableau8[fact n°]='RECAP FACT'!$B31),0),2),"")</f>
        <v/>
      </c>
      <c r="E31" s="193" t="str">
        <f t="array" ref="E31">IFERROR(INDEX(Tableau8[[ref fact2]:[payé / présenté le]],MATCH(1,(Tableau8[REF FACT]='RECAP FACT'!$A31)*(Tableau8[fact n°]='RECAP FACT'!$B31),0),6),"")</f>
        <v/>
      </c>
      <c r="F31" s="192" t="str">
        <f t="array" ref="F31">IFERROR(INDEX(Tableau8[[ref fact2]:[payé / présenté le]],MATCH(1,(Tableau8[REF FACT]='RECAP FACT'!$A31)*(Tableau8[fact n°]='RECAP FACT'!$B31),0),8),"")</f>
        <v/>
      </c>
      <c r="G31" s="23" t="str">
        <f t="array" ref="G31">IFERROR(INDEX(Tableau8[ref fact2],MATCH(1,(Tableau8[REF FACT]='RECAP FACT'!$A$11)*(Tableau8[fact n°]='RECAP FACT'!F31),0),1),"")</f>
        <v/>
      </c>
      <c r="J31" s="27"/>
    </row>
    <row r="32" spans="1:11">
      <c r="A32" s="207"/>
      <c r="B32" s="23"/>
      <c r="C32" s="286" t="s">
        <v>32</v>
      </c>
      <c r="D32" s="286"/>
      <c r="E32" s="183">
        <f>SUM(E11:E31)</f>
        <v>10343.049999999999</v>
      </c>
      <c r="F32" s="177"/>
      <c r="G32" s="7"/>
      <c r="J32" s="27"/>
    </row>
    <row r="33" spans="1:11">
      <c r="A33" s="207"/>
      <c r="B33" s="26"/>
    </row>
    <row r="34" spans="1:11">
      <c r="A34" s="207"/>
      <c r="B34" s="26"/>
    </row>
    <row r="35" spans="1:11" ht="23.25">
      <c r="A35" s="207"/>
      <c r="B35" s="165" t="s">
        <v>159</v>
      </c>
      <c r="C35" s="173"/>
      <c r="D35" s="178"/>
      <c r="E35" s="169"/>
      <c r="F35" s="291">
        <f>VLOOKUP(C6,'MARCHE CONTRAT PV'!$A$4:R42,14,FALSE)</f>
        <v>55000</v>
      </c>
      <c r="G35" s="292"/>
    </row>
    <row r="36" spans="1:11">
      <c r="A36" s="207"/>
      <c r="B36" s="36" t="s">
        <v>27</v>
      </c>
      <c r="C36" s="36" t="s">
        <v>28</v>
      </c>
      <c r="D36" s="167" t="s">
        <v>29</v>
      </c>
      <c r="E36" s="170" t="s">
        <v>15</v>
      </c>
      <c r="F36" s="167" t="s">
        <v>33</v>
      </c>
      <c r="G36" s="36" t="s">
        <v>30</v>
      </c>
      <c r="H36" s="26"/>
      <c r="I36" s="26"/>
      <c r="J36" s="26"/>
      <c r="K36" s="26"/>
    </row>
    <row r="37" spans="1:11">
      <c r="A37" s="207" t="str">
        <f>IFERROR(CONCATENATE($C$3,$C$2,$C$1,$C$4,$B$35),"")</f>
        <v>FREDCHATENAY MALABRY - IRENADH2OMARCHEEXT</v>
      </c>
      <c r="B37" s="23">
        <v>1</v>
      </c>
      <c r="C37" s="191" t="str">
        <f t="array" ref="C37">IFERROR(INDEX(Tableau8[[ref fact2]:[payé / présenté le]],MATCH(1,(Tableau8[REF FACT]='RECAP FACT'!$A37)*(Tableau8[fact n°]='RECAP FACT'!$B37),0),1),"")</f>
        <v/>
      </c>
      <c r="D37" s="192" t="str">
        <f t="array" ref="D37">IFERROR(INDEX(Tableau8[[ref fact2]:[payé / présenté le]],MATCH(1,(Tableau8[REF FACT]='RECAP FACT'!$A37)*(Tableau8[fact n°]='RECAP FACT'!$B37),0),2),"")</f>
        <v/>
      </c>
      <c r="E37" s="193" t="str">
        <f t="array" ref="E37">IFERROR(INDEX(Tableau8[[ref fact2]:[payé / présenté le]],MATCH(1,(Tableau8[REF FACT]='RECAP FACT'!$A37)*(Tableau8[fact n°]='RECAP FACT'!$B37),0),6),"")</f>
        <v/>
      </c>
      <c r="F37" s="177" t="str">
        <f t="array" ref="F37">IFERROR(INDEX(Tableau8[[ref fact2]:[payé / présenté le]],MATCH(1,(Tableau8[REF FACT]='RECAP FACT'!$A37)*(Tableau8[fact n°]='RECAP FACT'!$B37),0),8),"")</f>
        <v/>
      </c>
      <c r="G37" s="23" t="str">
        <f t="array" ref="G37">IFERROR(INDEX(Tableau8[ref fact2],MATCH(1,(Tableau8[REF FACT]='RECAP FACT'!$A$11)*(Tableau8[fact n°]='RECAP FACT'!F37),0),1),"")</f>
        <v/>
      </c>
    </row>
    <row r="38" spans="1:11" ht="15.75" thickBot="1">
      <c r="A38" s="207" t="str">
        <f t="shared" ref="A38:A57" si="2">CONCATENATE($C$3,$C$2,$C$1,$C$4,$B$35)</f>
        <v>FREDCHATENAY MALABRY - IRENADH2OMARCHEEXT</v>
      </c>
      <c r="B38" s="23">
        <v>2</v>
      </c>
      <c r="C38" s="191" t="str">
        <f t="array" ref="C38">IFERROR(INDEX(Tableau8[[ref fact2]:[payé / présenté le]],MATCH(1,(Tableau8[REF FACT]='RECAP FACT'!$A38)*(Tableau8[fact n°]='RECAP FACT'!$B38),0),1),"")</f>
        <v/>
      </c>
      <c r="D38" s="192" t="str">
        <f t="array" ref="D38">IFERROR(INDEX(Tableau8[[ref fact2]:[payé / présenté le]],MATCH(1,(Tableau8[REF FACT]='RECAP FACT'!$A38)*(Tableau8[fact n°]='RECAP FACT'!$B38),0),2),"")</f>
        <v/>
      </c>
      <c r="E38" s="193" t="str">
        <f t="array" ref="E38">IFERROR(INDEX(Tableau8[[ref fact2]:[payé / présenté le]],MATCH(1,(Tableau8[REF FACT]='RECAP FACT'!$A38)*(Tableau8[fact n°]='RECAP FACT'!$B38),0),6),"")</f>
        <v/>
      </c>
      <c r="F38" s="177" t="str">
        <f t="array" ref="F38">IFERROR(INDEX(Tableau8[[ref fact2]:[payé / présenté le]],MATCH(1,(Tableau8[REF FACT]='RECAP FACT'!$A38)*(Tableau8[fact n°]='RECAP FACT'!$B38),0),8),"")</f>
        <v/>
      </c>
      <c r="G38" s="34"/>
    </row>
    <row r="39" spans="1:11" ht="15" customHeight="1">
      <c r="A39" s="207" t="str">
        <f t="shared" si="2"/>
        <v>FREDCHATENAY MALABRY - IRENADH2OMARCHEEXT</v>
      </c>
      <c r="B39" s="23">
        <v>3</v>
      </c>
      <c r="C39" s="191" t="str">
        <f t="array" ref="C39">IFERROR(INDEX(Tableau8[[ref fact2]:[payé / présenté le]],MATCH(1,(Tableau8[REF FACT]='RECAP FACT'!$A39)*(Tableau8[fact n°]='RECAP FACT'!$B39),0),1),"")</f>
        <v/>
      </c>
      <c r="D39" s="192" t="str">
        <f t="array" ref="D39">IFERROR(INDEX(Tableau8[[ref fact2]:[payé / présenté le]],MATCH(1,(Tableau8[REF FACT]='RECAP FACT'!$A39)*(Tableau8[fact n°]='RECAP FACT'!$B39),0),2),"")</f>
        <v/>
      </c>
      <c r="E39" s="193" t="str">
        <f t="array" ref="E39">IFERROR(INDEX(Tableau8[[ref fact2]:[payé / présenté le]],MATCH(1,(Tableau8[REF FACT]='RECAP FACT'!$A39)*(Tableau8[fact n°]='RECAP FACT'!$B39),0),6),"")</f>
        <v/>
      </c>
      <c r="F39" s="177" t="str">
        <f t="array" ref="F39">IFERROR(INDEX(Tableau8[[ref fact2]:[payé / présenté le]],MATCH(1,(Tableau8[REF FACT]='RECAP FACT'!$A39)*(Tableau8[fact n°]='RECAP FACT'!$B39),0),8),"")</f>
        <v/>
      </c>
      <c r="G39" s="7"/>
      <c r="I39" s="287" t="s">
        <v>26</v>
      </c>
      <c r="J39" s="290">
        <f>F35</f>
        <v>55000</v>
      </c>
      <c r="K39" s="290"/>
    </row>
    <row r="40" spans="1:11" ht="15" customHeight="1">
      <c r="A40" s="207" t="str">
        <f t="shared" si="2"/>
        <v>FREDCHATENAY MALABRY - IRENADH2OMARCHEEXT</v>
      </c>
      <c r="B40" s="23">
        <v>4</v>
      </c>
      <c r="C40" s="191" t="str">
        <f t="array" ref="C40">IFERROR(INDEX(Tableau8[[ref fact2]:[payé / présenté le]],MATCH(1,(Tableau8[REF FACT]='RECAP FACT'!$A40)*(Tableau8[fact n°]='RECAP FACT'!$B40),0),1),"")</f>
        <v/>
      </c>
      <c r="D40" s="192" t="str">
        <f t="array" ref="D40">IFERROR(INDEX(Tableau8[[ref fact2]:[payé / présenté le]],MATCH(1,(Tableau8[REF FACT]='RECAP FACT'!$A40)*(Tableau8[fact n°]='RECAP FACT'!$B40),0),2),"")</f>
        <v/>
      </c>
      <c r="E40" s="193" t="str">
        <f t="array" ref="E40">IFERROR(INDEX(Tableau8[[ref fact2]:[payé / présenté le]],MATCH(1,(Tableau8[REF FACT]='RECAP FACT'!$A40)*(Tableau8[fact n°]='RECAP FACT'!$B40),0),6),"")</f>
        <v/>
      </c>
      <c r="F40" s="177" t="str">
        <f t="array" ref="F40">IFERROR(INDEX(Tableau8[[ref fact2]:[payé / présenté le]],MATCH(1,(Tableau8[REF FACT]='RECAP FACT'!$A40)*(Tableau8[fact n°]='RECAP FACT'!$B40),0),8),"")</f>
        <v/>
      </c>
      <c r="G40" s="34"/>
      <c r="I40" s="288"/>
      <c r="J40" s="290"/>
      <c r="K40" s="290"/>
    </row>
    <row r="41" spans="1:11" ht="15" customHeight="1">
      <c r="A41" s="207" t="str">
        <f t="shared" si="2"/>
        <v>FREDCHATENAY MALABRY - IRENADH2OMARCHEEXT</v>
      </c>
      <c r="B41" s="23">
        <v>5</v>
      </c>
      <c r="C41" s="191" t="str">
        <f t="array" ref="C41">IFERROR(INDEX(Tableau8[[ref fact2]:[payé / présenté le]],MATCH(1,(Tableau8[REF FACT]='RECAP FACT'!$A41)*(Tableau8[fact n°]='RECAP FACT'!$B41),0),1),"")</f>
        <v/>
      </c>
      <c r="D41" s="192" t="str">
        <f t="array" ref="D41">IFERROR(INDEX(Tableau8[[ref fact2]:[payé / présenté le]],MATCH(1,(Tableau8[REF FACT]='RECAP FACT'!$A41)*(Tableau8[fact n°]='RECAP FACT'!$B41),0),2),"")</f>
        <v/>
      </c>
      <c r="E41" s="193" t="str">
        <f t="array" ref="E41">IFERROR(INDEX(Tableau8[[ref fact2]:[payé / présenté le]],MATCH(1,(Tableau8[REF FACT]='RECAP FACT'!$A41)*(Tableau8[fact n°]='RECAP FACT'!$B41),0),6),"")</f>
        <v/>
      </c>
      <c r="F41" s="177" t="str">
        <f t="array" ref="F41">IFERROR(INDEX(Tableau8[[ref fact2]:[payé / présenté le]],MATCH(1,(Tableau8[REF FACT]='RECAP FACT'!$A41)*(Tableau8[fact n°]='RECAP FACT'!$B41),0),8),"")</f>
        <v/>
      </c>
      <c r="G41" s="7"/>
      <c r="I41" s="288" t="s">
        <v>35</v>
      </c>
      <c r="J41" s="290">
        <f>(E58)</f>
        <v>0</v>
      </c>
      <c r="K41" s="290"/>
    </row>
    <row r="42" spans="1:11" ht="15" customHeight="1">
      <c r="A42" s="207" t="str">
        <f t="shared" si="2"/>
        <v>FREDCHATENAY MALABRY - IRENADH2OMARCHEEXT</v>
      </c>
      <c r="B42" s="23">
        <v>6</v>
      </c>
      <c r="C42" s="191" t="str">
        <f t="array" ref="C42">IFERROR(INDEX(Tableau8[[ref fact2]:[payé / présenté le]],MATCH(1,(Tableau8[REF FACT]='RECAP FACT'!$A42)*(Tableau8[fact n°]='RECAP FACT'!$B42),0),1),"")</f>
        <v/>
      </c>
      <c r="D42" s="192" t="str">
        <f t="array" ref="D42">IFERROR(INDEX(Tableau8[[ref fact2]:[payé / présenté le]],MATCH(1,(Tableau8[REF FACT]='RECAP FACT'!$A42)*(Tableau8[fact n°]='RECAP FACT'!$B42),0),2),"")</f>
        <v/>
      </c>
      <c r="E42" s="193" t="str">
        <f t="array" ref="E42">IFERROR(INDEX(Tableau8[[ref fact2]:[payé / présenté le]],MATCH(1,(Tableau8[REF FACT]='RECAP FACT'!$A42)*(Tableau8[fact n°]='RECAP FACT'!$B42),0),6),"")</f>
        <v/>
      </c>
      <c r="F42" s="177" t="str">
        <f t="array" ref="F42">IFERROR(INDEX(Tableau8[[ref fact2]:[payé / présenté le]],MATCH(1,(Tableau8[REF FACT]='RECAP FACT'!$A42)*(Tableau8[fact n°]='RECAP FACT'!$B42),0),8),"")</f>
        <v/>
      </c>
      <c r="G42" s="34"/>
      <c r="I42" s="288"/>
      <c r="J42" s="290"/>
      <c r="K42" s="290"/>
    </row>
    <row r="43" spans="1:11" ht="15" customHeight="1">
      <c r="A43" s="207" t="str">
        <f t="shared" si="2"/>
        <v>FREDCHATENAY MALABRY - IRENADH2OMARCHEEXT</v>
      </c>
      <c r="B43" s="23">
        <v>7</v>
      </c>
      <c r="C43" s="191" t="str">
        <f t="array" ref="C43">IFERROR(INDEX(Tableau8[[ref fact2]:[payé / présenté le]],MATCH(1,(Tableau8[REF FACT]='RECAP FACT'!$A43)*(Tableau8[fact n°]='RECAP FACT'!$B43),0),1),"")</f>
        <v/>
      </c>
      <c r="D43" s="192" t="str">
        <f t="array" ref="D43">IFERROR(INDEX(Tableau8[[ref fact2]:[payé / présenté le]],MATCH(1,(Tableau8[REF FACT]='RECAP FACT'!$A43)*(Tableau8[fact n°]='RECAP FACT'!$B43),0),2),"")</f>
        <v/>
      </c>
      <c r="E43" s="193" t="str">
        <f t="array" ref="E43">IFERROR(INDEX(Tableau8[[ref fact2]:[payé / présenté le]],MATCH(1,(Tableau8[REF FACT]='RECAP FACT'!$A43)*(Tableau8[fact n°]='RECAP FACT'!$B43),0),6),"")</f>
        <v/>
      </c>
      <c r="F43" s="177" t="str">
        <f t="array" ref="F43">IFERROR(INDEX(Tableau8[[ref fact2]:[payé / présenté le]],MATCH(1,(Tableau8[REF FACT]='RECAP FACT'!$A43)*(Tableau8[fact n°]='RECAP FACT'!$B43),0),8),"")</f>
        <v/>
      </c>
      <c r="G43" s="7"/>
      <c r="I43" s="288" t="s">
        <v>36</v>
      </c>
      <c r="J43" s="290">
        <f>(J39-J41)</f>
        <v>55000</v>
      </c>
      <c r="K43" s="290"/>
    </row>
    <row r="44" spans="1:11" ht="15.75" customHeight="1" thickBot="1">
      <c r="A44" s="207" t="str">
        <f>CONCATENATE($C$3,$C$2,$C$1,$C$4,$B$35)</f>
        <v>FREDCHATENAY MALABRY - IRENADH2OMARCHEEXT</v>
      </c>
      <c r="B44" s="23">
        <v>8</v>
      </c>
      <c r="C44" s="191" t="str">
        <f t="array" ref="C44">IFERROR(INDEX(Tableau8[[ref fact2]:[payé / présenté le]],MATCH(1,(Tableau8[REF FACT]='RECAP FACT'!$A44)*(Tableau8[fact n°]='RECAP FACT'!$B44),0),1),"")</f>
        <v/>
      </c>
      <c r="D44" s="192" t="str">
        <f t="array" ref="D44">IFERROR(INDEX(Tableau8[[ref fact2]:[payé / présenté le]],MATCH(1,(Tableau8[REF FACT]='RECAP FACT'!$A44)*(Tableau8[fact n°]='RECAP FACT'!$B44),0),2),"")</f>
        <v/>
      </c>
      <c r="E44" s="193" t="str">
        <f t="array" ref="E44">IFERROR(INDEX(Tableau8[[ref fact2]:[payé / présenté le]],MATCH(1,(Tableau8[REF FACT]='RECAP FACT'!$A44)*(Tableau8[fact n°]='RECAP FACT'!$B44),0),6),"")</f>
        <v/>
      </c>
      <c r="F44" s="177" t="str">
        <f t="array" ref="F44">IFERROR(INDEX(Tableau8[[ref fact2]:[payé / présenté le]],MATCH(1,(Tableau8[REF FACT]='RECAP FACT'!$A44)*(Tableau8[fact n°]='RECAP FACT'!$B44),0),8),"")</f>
        <v/>
      </c>
      <c r="G44" s="7"/>
      <c r="I44" s="294"/>
      <c r="J44" s="290"/>
      <c r="K44" s="290"/>
    </row>
    <row r="45" spans="1:11">
      <c r="A45" s="207" t="str">
        <f t="shared" si="2"/>
        <v>FREDCHATENAY MALABRY - IRENADH2OMARCHEEXT</v>
      </c>
      <c r="B45" s="23">
        <v>9</v>
      </c>
      <c r="C45" s="191" t="str">
        <f t="array" ref="C45">IFERROR(INDEX(Tableau8[[ref fact2]:[payé / présenté le]],MATCH(1,(Tableau8[REF FACT]='RECAP FACT'!$A45)*(Tableau8[fact n°]='RECAP FACT'!$B45),0),1),"")</f>
        <v/>
      </c>
      <c r="D45" s="192" t="str">
        <f t="array" ref="D45">IFERROR(INDEX(Tableau8[[ref fact2]:[payé / présenté le]],MATCH(1,(Tableau8[REF FACT]='RECAP FACT'!$A45)*(Tableau8[fact n°]='RECAP FACT'!$B45),0),2),"")</f>
        <v/>
      </c>
      <c r="E45" s="193" t="str">
        <f t="array" ref="E45">IFERROR(INDEX(Tableau8[[ref fact2]:[payé / présenté le]],MATCH(1,(Tableau8[REF FACT]='RECAP FACT'!$A45)*(Tableau8[fact n°]='RECAP FACT'!$B45),0),6),"")</f>
        <v/>
      </c>
      <c r="F45" s="177" t="str">
        <f t="array" ref="F45">IFERROR(INDEX(Tableau8[[ref fact2]:[payé / présenté le]],MATCH(1,(Tableau8[REF FACT]='RECAP FACT'!$A45)*(Tableau8[fact n°]='RECAP FACT'!$B45),0),8),"")</f>
        <v/>
      </c>
      <c r="G45" s="7"/>
    </row>
    <row r="46" spans="1:11">
      <c r="A46" s="207" t="str">
        <f t="shared" si="2"/>
        <v>FREDCHATENAY MALABRY - IRENADH2OMARCHEEXT</v>
      </c>
      <c r="B46" s="23">
        <v>10</v>
      </c>
      <c r="C46" s="191" t="str">
        <f t="array" ref="C46">IFERROR(INDEX(Tableau8[[ref fact2]:[payé / présenté le]],MATCH(1,(Tableau8[REF FACT]='RECAP FACT'!$A46)*(Tableau8[fact n°]='RECAP FACT'!$B46),0),1),"")</f>
        <v/>
      </c>
      <c r="D46" s="192" t="str">
        <f t="array" ref="D46">IFERROR(INDEX(Tableau8[[ref fact2]:[payé / présenté le]],MATCH(1,(Tableau8[REF FACT]='RECAP FACT'!$A46)*(Tableau8[fact n°]='RECAP FACT'!$B46),0),2),"")</f>
        <v/>
      </c>
      <c r="E46" s="193" t="str">
        <f t="array" ref="E46">IFERROR(INDEX(Tableau8[[ref fact2]:[payé / présenté le]],MATCH(1,(Tableau8[REF FACT]='RECAP FACT'!$A46)*(Tableau8[fact n°]='RECAP FACT'!$B46),0),6),"")</f>
        <v/>
      </c>
      <c r="F46" s="177" t="str">
        <f t="array" ref="F46">IFERROR(INDEX(Tableau8[[ref fact2]:[payé / présenté le]],MATCH(1,(Tableau8[REF FACT]='RECAP FACT'!$A46)*(Tableau8[fact n°]='RECAP FACT'!$B46),0),8),"")</f>
        <v/>
      </c>
      <c r="G46" s="7"/>
    </row>
    <row r="47" spans="1:11">
      <c r="A47" s="207" t="str">
        <f t="shared" si="2"/>
        <v>FREDCHATENAY MALABRY - IRENADH2OMARCHEEXT</v>
      </c>
      <c r="B47" s="23">
        <v>11</v>
      </c>
      <c r="C47" s="191" t="str">
        <f t="array" ref="C47">IFERROR(INDEX(Tableau8[[ref fact2]:[payé / présenté le]],MATCH(1,(Tableau8[REF FACT]='RECAP FACT'!$A47)*(Tableau8[fact n°]='RECAP FACT'!$B47),0),1),"")</f>
        <v/>
      </c>
      <c r="D47" s="192" t="str">
        <f t="array" ref="D47">IFERROR(INDEX(Tableau8[[ref fact2]:[payé / présenté le]],MATCH(1,(Tableau8[REF FACT]='RECAP FACT'!$A47)*(Tableau8[fact n°]='RECAP FACT'!$B47),0),2),"")</f>
        <v/>
      </c>
      <c r="E47" s="193" t="str">
        <f t="array" ref="E47">IFERROR(INDEX(Tableau8[[ref fact2]:[payé / présenté le]],MATCH(1,(Tableau8[REF FACT]='RECAP FACT'!$A47)*(Tableau8[fact n°]='RECAP FACT'!$B47),0),6),"")</f>
        <v/>
      </c>
      <c r="F47" s="177" t="str">
        <f t="array" ref="F47">IFERROR(INDEX(Tableau8[[ref fact2]:[payé / présenté le]],MATCH(1,(Tableau8[REF FACT]='RECAP FACT'!$A47)*(Tableau8[fact n°]='RECAP FACT'!$B47),0),8),"")</f>
        <v/>
      </c>
      <c r="G47" s="7"/>
    </row>
    <row r="48" spans="1:11">
      <c r="A48" s="207" t="str">
        <f t="shared" si="2"/>
        <v>FREDCHATENAY MALABRY - IRENADH2OMARCHEEXT</v>
      </c>
      <c r="B48" s="23">
        <v>12</v>
      </c>
      <c r="C48" s="191" t="str">
        <f t="array" ref="C48">IFERROR(INDEX(Tableau8[[ref fact2]:[payé / présenté le]],MATCH(1,(Tableau8[REF FACT]='RECAP FACT'!$A48)*(Tableau8[fact n°]='RECAP FACT'!$B48),0),1),"")</f>
        <v/>
      </c>
      <c r="D48" s="192" t="str">
        <f t="array" ref="D48">IFERROR(INDEX(Tableau8[[ref fact2]:[payé / présenté le]],MATCH(1,(Tableau8[REF FACT]='RECAP FACT'!$A48)*(Tableau8[fact n°]='RECAP FACT'!$B48),0),2),"")</f>
        <v/>
      </c>
      <c r="E48" s="193" t="str">
        <f t="array" ref="E48">IFERROR(INDEX(Tableau8[[ref fact2]:[payé / présenté le]],MATCH(1,(Tableau8[REF FACT]='RECAP FACT'!$A48)*(Tableau8[fact n°]='RECAP FACT'!$B48),0),6),"")</f>
        <v/>
      </c>
      <c r="F48" s="177" t="str">
        <f t="array" ref="F48">IFERROR(INDEX(Tableau8[[ref fact2]:[payé / présenté le]],MATCH(1,(Tableau8[REF FACT]='RECAP FACT'!$A48)*(Tableau8[fact n°]='RECAP FACT'!$B48),0),8),"")</f>
        <v/>
      </c>
      <c r="G48" s="7"/>
    </row>
    <row r="49" spans="1:11">
      <c r="A49" s="207" t="str">
        <f>CONCATENATE($C$3,$C$2,$C$1,$C$4,$B$35)</f>
        <v>FREDCHATENAY MALABRY - IRENADH2OMARCHEEXT</v>
      </c>
      <c r="B49" s="23">
        <v>13</v>
      </c>
      <c r="C49" s="191" t="str">
        <f t="array" ref="C49">IFERROR(INDEX(Tableau8[[ref fact2]:[payé / présenté le]],MATCH(1,(Tableau8[REF FACT]='RECAP FACT'!$A49)*(Tableau8[fact n°]='RECAP FACT'!$B49),0),1),"")</f>
        <v/>
      </c>
      <c r="D49" s="192" t="str">
        <f t="array" ref="D49">IFERROR(INDEX(Tableau8[[ref fact2]:[payé / présenté le]],MATCH(1,(Tableau8[REF FACT]='RECAP FACT'!$A49)*(Tableau8[fact n°]='RECAP FACT'!$B49),0),2),"")</f>
        <v/>
      </c>
      <c r="E49" s="193" t="str">
        <f t="array" ref="E49">IFERROR(INDEX(Tableau8[[ref fact2]:[payé / présenté le]],MATCH(1,(Tableau8[REF FACT]='RECAP FACT'!$A49)*(Tableau8[fact n°]='RECAP FACT'!$B49),0),6),"")</f>
        <v/>
      </c>
      <c r="F49" s="177" t="str">
        <f t="array" ref="F49">IFERROR(INDEX(Tableau8[[ref fact2]:[payé / présenté le]],MATCH(1,(Tableau8[REF FACT]='RECAP FACT'!$A49)*(Tableau8[fact n°]='RECAP FACT'!$B49),0),8),"")</f>
        <v/>
      </c>
      <c r="G49" s="7"/>
    </row>
    <row r="50" spans="1:11">
      <c r="A50" s="207" t="str">
        <f t="shared" si="2"/>
        <v>FREDCHATENAY MALABRY - IRENADH2OMARCHEEXT</v>
      </c>
      <c r="B50" s="23">
        <v>14</v>
      </c>
      <c r="C50" s="191" t="str">
        <f t="array" ref="C50">IFERROR(INDEX(Tableau8[[ref fact2]:[payé / présenté le]],MATCH(1,(Tableau8[REF FACT]='RECAP FACT'!$A50)*(Tableau8[fact n°]='RECAP FACT'!$B50),0),1),"")</f>
        <v/>
      </c>
      <c r="D50" s="192" t="str">
        <f t="array" ref="D50">IFERROR(INDEX(Tableau8[[ref fact2]:[payé / présenté le]],MATCH(1,(Tableau8[REF FACT]='RECAP FACT'!$A50)*(Tableau8[fact n°]='RECAP FACT'!$B50),0),2),"")</f>
        <v/>
      </c>
      <c r="E50" s="193" t="str">
        <f t="array" ref="E50">IFERROR(INDEX(Tableau8[[ref fact2]:[payé / présenté le]],MATCH(1,(Tableau8[REF FACT]='RECAP FACT'!$A50)*(Tableau8[fact n°]='RECAP FACT'!$B50),0),6),"")</f>
        <v/>
      </c>
      <c r="F50" s="177" t="str">
        <f t="array" ref="F50">IFERROR(INDEX(Tableau8[[ref fact2]:[payé / présenté le]],MATCH(1,(Tableau8[REF FACT]='RECAP FACT'!$A50)*(Tableau8[fact n°]='RECAP FACT'!$B50),0),8),"")</f>
        <v/>
      </c>
      <c r="G50" s="7"/>
    </row>
    <row r="51" spans="1:11">
      <c r="A51" s="207" t="str">
        <f t="shared" si="2"/>
        <v>FREDCHATENAY MALABRY - IRENADH2OMARCHEEXT</v>
      </c>
      <c r="B51" s="23">
        <v>15</v>
      </c>
      <c r="C51" s="191" t="str">
        <f t="array" ref="C51">IFERROR(INDEX(Tableau8[[ref fact2]:[payé / présenté le]],MATCH(1,(Tableau8[REF FACT]='RECAP FACT'!$A51)*(Tableau8[fact n°]='RECAP FACT'!$B51),0),1),"")</f>
        <v/>
      </c>
      <c r="D51" s="192" t="str">
        <f t="array" ref="D51">IFERROR(INDEX(Tableau8[[ref fact2]:[payé / présenté le]],MATCH(1,(Tableau8[REF FACT]='RECAP FACT'!$A51)*(Tableau8[fact n°]='RECAP FACT'!$B51),0),2),"")</f>
        <v/>
      </c>
      <c r="E51" s="193" t="str">
        <f t="array" ref="E51">IFERROR(INDEX(Tableau8[[ref fact2]:[payé / présenté le]],MATCH(1,(Tableau8[REF FACT]='RECAP FACT'!$A51)*(Tableau8[fact n°]='RECAP FACT'!$B51),0),6),"")</f>
        <v/>
      </c>
      <c r="F51" s="177" t="str">
        <f t="array" ref="F51">IFERROR(INDEX(Tableau8[[ref fact2]:[payé / présenté le]],MATCH(1,(Tableau8[REF FACT]='RECAP FACT'!$A51)*(Tableau8[fact n°]='RECAP FACT'!$B51),0),8),"")</f>
        <v/>
      </c>
      <c r="G51" s="7"/>
    </row>
    <row r="52" spans="1:11">
      <c r="A52" s="207" t="str">
        <f t="shared" si="2"/>
        <v>FREDCHATENAY MALABRY - IRENADH2OMARCHEEXT</v>
      </c>
      <c r="B52" s="23">
        <v>16</v>
      </c>
      <c r="C52" s="191" t="str">
        <f t="array" ref="C52">IFERROR(INDEX(Tableau8[[ref fact2]:[payé / présenté le]],MATCH(1,(Tableau8[REF FACT]='RECAP FACT'!$A52)*(Tableau8[fact n°]='RECAP FACT'!$B52),0),1),"")</f>
        <v/>
      </c>
      <c r="D52" s="192" t="str">
        <f t="array" ref="D52">IFERROR(INDEX(Tableau8[[ref fact2]:[payé / présenté le]],MATCH(1,(Tableau8[REF FACT]='RECAP FACT'!$A52)*(Tableau8[fact n°]='RECAP FACT'!$B52),0),2),"")</f>
        <v/>
      </c>
      <c r="E52" s="193" t="str">
        <f t="array" ref="E52">IFERROR(INDEX(Tableau8[[ref fact2]:[payé / présenté le]],MATCH(1,(Tableau8[REF FACT]='RECAP FACT'!$A52)*(Tableau8[fact n°]='RECAP FACT'!$B52),0),6),"")</f>
        <v/>
      </c>
      <c r="F52" s="177" t="str">
        <f t="array" ref="F52">IFERROR(INDEX(Tableau8[[ref fact2]:[payé / présenté le]],MATCH(1,(Tableau8[REF FACT]='RECAP FACT'!$A52)*(Tableau8[fact n°]='RECAP FACT'!$B52),0),8),"")</f>
        <v/>
      </c>
      <c r="G52" s="7"/>
    </row>
    <row r="53" spans="1:11">
      <c r="A53" s="207" t="str">
        <f t="shared" si="2"/>
        <v>FREDCHATENAY MALABRY - IRENADH2OMARCHEEXT</v>
      </c>
      <c r="B53" s="23">
        <v>17</v>
      </c>
      <c r="C53" s="191" t="str">
        <f t="array" ref="C53">IFERROR(INDEX(Tableau8[[ref fact2]:[payé / présenté le]],MATCH(1,(Tableau8[REF FACT]='RECAP FACT'!$A53)*(Tableau8[fact n°]='RECAP FACT'!$B53),0),1),"")</f>
        <v/>
      </c>
      <c r="D53" s="192" t="str">
        <f t="array" ref="D53">IFERROR(INDEX(Tableau8[[ref fact2]:[payé / présenté le]],MATCH(1,(Tableau8[REF FACT]='RECAP FACT'!$A53)*(Tableau8[fact n°]='RECAP FACT'!$B53),0),2),"")</f>
        <v/>
      </c>
      <c r="E53" s="193" t="str">
        <f t="array" ref="E53">IFERROR(INDEX(Tableau8[[ref fact2]:[payé / présenté le]],MATCH(1,(Tableau8[REF FACT]='RECAP FACT'!$A53)*(Tableau8[fact n°]='RECAP FACT'!$B53),0),6),"")</f>
        <v/>
      </c>
      <c r="F53" s="177" t="str">
        <f t="array" ref="F53">IFERROR(INDEX(Tableau8[[ref fact2]:[payé / présenté le]],MATCH(1,(Tableau8[REF FACT]='RECAP FACT'!$A53)*(Tableau8[fact n°]='RECAP FACT'!$B53),0),8),"")</f>
        <v/>
      </c>
      <c r="G53" s="7"/>
    </row>
    <row r="54" spans="1:11">
      <c r="A54" s="207" t="str">
        <f t="shared" si="2"/>
        <v>FREDCHATENAY MALABRY - IRENADH2OMARCHEEXT</v>
      </c>
      <c r="B54" s="23">
        <v>18</v>
      </c>
      <c r="C54" s="191" t="str">
        <f t="array" ref="C54">IFERROR(INDEX(Tableau8[[ref fact2]:[payé / présenté le]],MATCH(1,(Tableau8[REF FACT]='RECAP FACT'!$A54)*(Tableau8[fact n°]='RECAP FACT'!$B54),0),1),"")</f>
        <v/>
      </c>
      <c r="D54" s="192" t="str">
        <f t="array" ref="D54">IFERROR(INDEX(Tableau8[[ref fact2]:[payé / présenté le]],MATCH(1,(Tableau8[REF FACT]='RECAP FACT'!$A54)*(Tableau8[fact n°]='RECAP FACT'!$B54),0),2),"")</f>
        <v/>
      </c>
      <c r="E54" s="193" t="str">
        <f t="array" ref="E54">IFERROR(INDEX(Tableau8[[ref fact2]:[payé / présenté le]],MATCH(1,(Tableau8[REF FACT]='RECAP FACT'!$A54)*(Tableau8[fact n°]='RECAP FACT'!$B54),0),6),"")</f>
        <v/>
      </c>
      <c r="F54" s="177" t="str">
        <f t="array" ref="F54">IFERROR(INDEX(Tableau8[[ref fact2]:[payé / présenté le]],MATCH(1,(Tableau8[REF FACT]='RECAP FACT'!$A54)*(Tableau8[fact n°]='RECAP FACT'!$B54),0),8),"")</f>
        <v/>
      </c>
      <c r="G54" s="7"/>
    </row>
    <row r="55" spans="1:11">
      <c r="A55" s="207" t="str">
        <f t="shared" si="2"/>
        <v>FREDCHATENAY MALABRY - IRENADH2OMARCHEEXT</v>
      </c>
      <c r="B55" s="23">
        <v>19</v>
      </c>
      <c r="C55" s="191" t="str">
        <f t="array" ref="C55">IFERROR(INDEX(Tableau8[[ref fact2]:[payé / présenté le]],MATCH(1,(Tableau8[REF FACT]='RECAP FACT'!$A55)*(Tableau8[fact n°]='RECAP FACT'!$B55),0),1),"")</f>
        <v/>
      </c>
      <c r="D55" s="192" t="str">
        <f t="array" ref="D55">IFERROR(INDEX(Tableau8[[ref fact2]:[payé / présenté le]],MATCH(1,(Tableau8[REF FACT]='RECAP FACT'!$A55)*(Tableau8[fact n°]='RECAP FACT'!$B55),0),2),"")</f>
        <v/>
      </c>
      <c r="E55" s="193" t="str">
        <f t="array" ref="E55">IFERROR(INDEX(Tableau8[[ref fact2]:[payé / présenté le]],MATCH(1,(Tableau8[REF FACT]='RECAP FACT'!$A55)*(Tableau8[fact n°]='RECAP FACT'!$B55),0),6),"")</f>
        <v/>
      </c>
      <c r="F55" s="177" t="str">
        <f t="array" ref="F55">IFERROR(INDEX(Tableau8[[ref fact2]:[payé / présenté le]],MATCH(1,(Tableau8[REF FACT]='RECAP FACT'!$A55)*(Tableau8[fact n°]='RECAP FACT'!$B55),0),8),"")</f>
        <v/>
      </c>
      <c r="G55" s="7"/>
    </row>
    <row r="56" spans="1:11">
      <c r="A56" s="207" t="str">
        <f t="shared" si="2"/>
        <v>FREDCHATENAY MALABRY - IRENADH2OMARCHEEXT</v>
      </c>
      <c r="B56" s="23">
        <v>20</v>
      </c>
      <c r="C56" s="191" t="str">
        <f t="array" ref="C56">IFERROR(INDEX(Tableau8[[ref fact2]:[payé / présenté le]],MATCH(1,(Tableau8[REF FACT]='RECAP FACT'!$A56)*(Tableau8[fact n°]='RECAP FACT'!$B56),0),1),"")</f>
        <v/>
      </c>
      <c r="D56" s="192" t="str">
        <f t="array" ref="D56">IFERROR(INDEX(Tableau8[[ref fact2]:[payé / présenté le]],MATCH(1,(Tableau8[REF FACT]='RECAP FACT'!$A56)*(Tableau8[fact n°]='RECAP FACT'!$B56),0),2),"")</f>
        <v/>
      </c>
      <c r="E56" s="193" t="str">
        <f t="array" ref="E56">IFERROR(INDEX(Tableau8[[ref fact2]:[payé / présenté le]],MATCH(1,(Tableau8[REF FACT]='RECAP FACT'!$A56)*(Tableau8[fact n°]='RECAP FACT'!$B56),0),6),"")</f>
        <v/>
      </c>
      <c r="F56" s="177" t="str">
        <f t="array" ref="F56">IFERROR(INDEX(Tableau8[[ref fact2]:[payé / présenté le]],MATCH(1,(Tableau8[REF FACT]='RECAP FACT'!$A56)*(Tableau8[fact n°]='RECAP FACT'!$B56),0),8),"")</f>
        <v/>
      </c>
      <c r="G56" s="7"/>
    </row>
    <row r="57" spans="1:11">
      <c r="A57" s="207" t="str">
        <f t="shared" si="2"/>
        <v>FREDCHATENAY MALABRY - IRENADH2OMARCHEEXT</v>
      </c>
      <c r="B57" s="23">
        <v>21</v>
      </c>
      <c r="C57" s="191" t="str">
        <f t="array" ref="C57">IFERROR(INDEX(Tableau8[[ref fact2]:[payé / présenté le]],MATCH(1,(Tableau8[REF FACT]='RECAP FACT'!$A57)*(Tableau8[fact n°]='RECAP FACT'!$B57),0),1),"")</f>
        <v/>
      </c>
      <c r="D57" s="192" t="str">
        <f t="array" ref="D57">IFERROR(INDEX(Tableau8[[ref fact2]:[payé / présenté le]],MATCH(1,(Tableau8[REF FACT]='RECAP FACT'!$A57)*(Tableau8[fact n°]='RECAP FACT'!$B57),0),2),"")</f>
        <v/>
      </c>
      <c r="E57" s="193" t="str">
        <f t="array" ref="E57">IFERROR(INDEX(Tableau8[[ref fact2]:[payé / présenté le]],MATCH(1,(Tableau8[REF FACT]='RECAP FACT'!$A57)*(Tableau8[fact n°]='RECAP FACT'!$B57),0),6),"")</f>
        <v/>
      </c>
      <c r="F57" s="177" t="str">
        <f t="array" ref="F57">IFERROR(INDEX(Tableau8[[ref fact2]:[payé / présenté le]],MATCH(1,(Tableau8[REF FACT]='RECAP FACT'!$A57)*(Tableau8[fact n°]='RECAP FACT'!$B57),0),8),"")</f>
        <v/>
      </c>
      <c r="G57" s="7"/>
    </row>
    <row r="58" spans="1:11">
      <c r="A58" s="207"/>
      <c r="B58" s="23"/>
      <c r="C58" s="295" t="s">
        <v>32</v>
      </c>
      <c r="D58" s="295"/>
      <c r="E58" s="183">
        <f>SUM(E37:E57)</f>
        <v>0</v>
      </c>
      <c r="F58" s="177"/>
      <c r="G58" s="7"/>
    </row>
    <row r="59" spans="1:11">
      <c r="A59" s="207"/>
      <c r="B59" s="26"/>
    </row>
    <row r="60" spans="1:11">
      <c r="A60" s="207"/>
      <c r="B60" s="26"/>
    </row>
    <row r="61" spans="1:11" ht="23.25">
      <c r="A61" s="207"/>
      <c r="B61" s="42" t="s">
        <v>145</v>
      </c>
      <c r="C61" s="43"/>
      <c r="D61" s="179"/>
      <c r="E61" s="171"/>
      <c r="F61" s="301">
        <f>(C84)</f>
        <v>1500</v>
      </c>
      <c r="G61" s="301"/>
      <c r="H61" s="301"/>
    </row>
    <row r="62" spans="1:11">
      <c r="A62" s="207"/>
      <c r="B62" s="37" t="s">
        <v>27</v>
      </c>
      <c r="C62" s="37" t="s">
        <v>34</v>
      </c>
      <c r="D62" s="189" t="s">
        <v>28</v>
      </c>
      <c r="E62" s="190" t="s">
        <v>29</v>
      </c>
      <c r="F62" s="189" t="s">
        <v>15</v>
      </c>
      <c r="G62" s="37" t="s">
        <v>16</v>
      </c>
      <c r="H62" s="196" t="s">
        <v>153</v>
      </c>
      <c r="I62" s="26"/>
      <c r="J62" s="26"/>
      <c r="K62" s="26"/>
    </row>
    <row r="63" spans="1:11">
      <c r="A63" s="207" t="str">
        <f>CONCATENATE($C$3,$C$2,$C$1,$C$4,$B$61)</f>
        <v>FREDCHATENAY MALABRY - IRENADH2OTS/TMA/CFA</v>
      </c>
      <c r="B63" s="23">
        <v>1</v>
      </c>
      <c r="C63" s="23">
        <v>1500</v>
      </c>
      <c r="D63" s="191">
        <f t="array" ref="D63">IFERROR(INDEX(Tableau8[[ref fact2]:[payé / présenté le]],MATCH(1,(Tableau8[REF FACT]='RECAP FACT'!$A63)*(Tableau8[fact n°]='RECAP FACT'!$B63),0),1),"")</f>
        <v>161</v>
      </c>
      <c r="E63" s="192">
        <f t="array" ref="E63">IFERROR(INDEX(Tableau8[[ref fact2]:[payé / présenté le]],MATCH(1,(Tableau8[REF FACT]='RECAP FACT'!$A63)*(Tableau8[fact n°]='RECAP FACT'!$B63),0),2),"")</f>
        <v>44043</v>
      </c>
      <c r="F63" s="193">
        <f t="array" ref="F63">IFERROR(INDEX(Tableau8[[ref fact2]:[payé / présenté le]],MATCH(1,(Tableau8[REF FACT]='RECAP FACT'!$A63)*(Tableau8[fact n°]='RECAP FACT'!$B63),0),6),"")</f>
        <v>950</v>
      </c>
      <c r="G63" s="188">
        <f>(C63-F63)</f>
        <v>550</v>
      </c>
      <c r="H63" s="197" t="str">
        <f>IFERROR(INDEX(Tableau8[[ref fact2]:[payé / présenté le]],MATCH(1,(Tableau8[REF FACT]='RECAP FACT'!$A63)*(Tableau8[fact n°]='RECAP FACT'!$B63),0),8),"")</f>
        <v/>
      </c>
    </row>
    <row r="64" spans="1:11" ht="15.75" thickBot="1">
      <c r="A64" s="207" t="str">
        <f t="shared" ref="A64:A83" si="3">CONCATENATE($C$3,$C$2,$C$1,$C$4,$B$61)</f>
        <v>FREDCHATENAY MALABRY - IRENADH2OTS/TMA/CFA</v>
      </c>
      <c r="B64" s="23">
        <v>2</v>
      </c>
      <c r="C64" s="23"/>
      <c r="D64" s="191" t="str">
        <f>IFERROR(INDEX(Tableau8[[ref fact2]:[payé / présenté le]],MATCH(1,(Tableau8[REF FACT]='RECAP FACT'!$A64)*(Tableau8[fact n°]='RECAP FACT'!$B64),0),1),"")</f>
        <v/>
      </c>
      <c r="E64" s="192" t="str">
        <f t="array" ref="E64">IFERROR(INDEX(Tableau8[[ref fact2]:[payé / présenté le]],MATCH(1,(Tableau8[REF FACT]='RECAP FACT'!$A64)*(Tableau8[fact n°]='RECAP FACT'!$B64),0),2),"")</f>
        <v/>
      </c>
      <c r="F64" s="193"/>
      <c r="G64" s="188"/>
      <c r="H64" s="197" t="str">
        <f>IFERROR(INDEX(Tableau8[[ref fact2]:[payé / présenté le]],MATCH(1,(Tableau8[REF FACT]='RECAP FACT'!$A64)*(Tableau8[fact n°]='RECAP FACT'!$B64),0),8),"")</f>
        <v/>
      </c>
    </row>
    <row r="65" spans="1:12" ht="15" customHeight="1">
      <c r="A65" s="207" t="str">
        <f t="shared" si="3"/>
        <v>FREDCHATENAY MALABRY - IRENADH2OTS/TMA/CFA</v>
      </c>
      <c r="B65" s="23">
        <v>3</v>
      </c>
      <c r="C65" s="23"/>
      <c r="D65" s="191" t="str">
        <f t="array" ref="D65">IFERROR(INDEX(Tableau8[[ref fact2]:[payé / présenté le]],MATCH(1,(Tableau8[REF FACT]='RECAP FACT'!$A65)*(Tableau8[fact n°]='RECAP FACT'!$B65),0),1),"")</f>
        <v/>
      </c>
      <c r="E65" s="192" t="str">
        <f t="array" ref="E65">IFERROR(INDEX(Tableau8[[ref fact2]:[payé / présenté le]],MATCH(1,(Tableau8[REF FACT]='RECAP FACT'!$A65)*(Tableau8[fact n°]='RECAP FACT'!$B65),0),2),"")</f>
        <v/>
      </c>
      <c r="F65" s="193"/>
      <c r="G65" s="188"/>
      <c r="H65" s="197" t="str">
        <f>IFERROR(INDEX(Tableau8[[ref fact2]:[payé / présenté le]],MATCH(1,(Tableau8[REF FACT]='RECAP FACT'!$A65)*(Tableau8[fact n°]='RECAP FACT'!$B65),0),8),"")</f>
        <v/>
      </c>
      <c r="J65" s="302" t="s">
        <v>26</v>
      </c>
      <c r="K65" s="299">
        <f>F61</f>
        <v>1500</v>
      </c>
      <c r="L65" s="300"/>
    </row>
    <row r="66" spans="1:12" ht="15" customHeight="1">
      <c r="A66" s="207" t="str">
        <f t="shared" si="3"/>
        <v>FREDCHATENAY MALABRY - IRENADH2OTS/TMA/CFA</v>
      </c>
      <c r="B66" s="23">
        <v>4</v>
      </c>
      <c r="C66" s="23"/>
      <c r="D66" s="191" t="str">
        <f t="array" ref="D66">IFERROR(INDEX(Tableau8[[ref fact2]:[payé / présenté le]],MATCH(1,(Tableau8[REF FACT]='RECAP FACT'!$A66)*(Tableau8[fact n°]='RECAP FACT'!$B66),0),1),"")</f>
        <v/>
      </c>
      <c r="E66" s="192" t="str">
        <f t="array" ref="E66">IFERROR(INDEX(Tableau8[[ref fact2]:[payé / présenté le]],MATCH(1,(Tableau8[REF FACT]='RECAP FACT'!$A66)*(Tableau8[fact n°]='RECAP FACT'!$B66),0),2),"")</f>
        <v/>
      </c>
      <c r="F66" s="193"/>
      <c r="G66" s="188"/>
      <c r="H66" s="197" t="str">
        <f>IFERROR(INDEX(Tableau8[[ref fact2]:[payé / présenté le]],MATCH(1,(Tableau8[REF FACT]='RECAP FACT'!$A66)*(Tableau8[fact n°]='RECAP FACT'!$B66),0),8),"")</f>
        <v/>
      </c>
      <c r="J66" s="297"/>
      <c r="K66" s="299"/>
      <c r="L66" s="300"/>
    </row>
    <row r="67" spans="1:12" ht="15" customHeight="1">
      <c r="A67" s="207" t="str">
        <f t="shared" si="3"/>
        <v>FREDCHATENAY MALABRY - IRENADH2OTS/TMA/CFA</v>
      </c>
      <c r="B67" s="23">
        <v>5</v>
      </c>
      <c r="C67" s="23"/>
      <c r="D67" s="191" t="str">
        <f t="array" ref="D67">IFERROR(INDEX(Tableau8[[ref fact2]:[payé / présenté le]],MATCH(1,(Tableau8[REF FACT]='RECAP FACT'!$A67)*(Tableau8[fact n°]='RECAP FACT'!$B67),0),1),"")</f>
        <v/>
      </c>
      <c r="E67" s="192" t="str">
        <f t="array" ref="E67">IFERROR(INDEX(Tableau8[[ref fact2]:[payé / présenté le]],MATCH(1,(Tableau8[REF FACT]='RECAP FACT'!$A67)*(Tableau8[fact n°]='RECAP FACT'!$B67),0),2),"")</f>
        <v/>
      </c>
      <c r="F67" s="193"/>
      <c r="G67" s="17"/>
      <c r="H67" s="197" t="str">
        <f>IFERROR(INDEX(Tableau8[[ref fact2]:[payé / présenté le]],MATCH(1,(Tableau8[REF FACT]='RECAP FACT'!$A67)*(Tableau8[fact n°]='RECAP FACT'!$B67),0),8),"")</f>
        <v/>
      </c>
      <c r="J67" s="296" t="s">
        <v>35</v>
      </c>
      <c r="K67" s="299">
        <f>(F84)</f>
        <v>950</v>
      </c>
      <c r="L67" s="300"/>
    </row>
    <row r="68" spans="1:12" ht="15" customHeight="1">
      <c r="A68" s="207" t="str">
        <f t="shared" si="3"/>
        <v>FREDCHATENAY MALABRY - IRENADH2OTS/TMA/CFA</v>
      </c>
      <c r="B68" s="23">
        <v>6</v>
      </c>
      <c r="C68" s="23"/>
      <c r="D68" s="191" t="str">
        <f t="array" ref="D68">IFERROR(INDEX(Tableau8[[ref fact2]:[payé / présenté le]],MATCH(1,(Tableau8[REF FACT]='RECAP FACT'!$A68)*(Tableau8[fact n°]='RECAP FACT'!$B68),0),1),"")</f>
        <v/>
      </c>
      <c r="E68" s="192" t="str">
        <f t="array" ref="E68">IFERROR(INDEX(Tableau8[[ref fact2]:[payé / présenté le]],MATCH(1,(Tableau8[REF FACT]='RECAP FACT'!$A68)*(Tableau8[fact n°]='RECAP FACT'!$B68),0),2),"")</f>
        <v/>
      </c>
      <c r="F68" s="193"/>
      <c r="G68" s="17"/>
      <c r="H68" s="197" t="str">
        <f>IFERROR(INDEX(Tableau8[[ref fact2]:[payé / présenté le]],MATCH(1,(Tableau8[REF FACT]='RECAP FACT'!$A68)*(Tableau8[fact n°]='RECAP FACT'!$B68),0),8),"")</f>
        <v/>
      </c>
      <c r="J68" s="297"/>
      <c r="K68" s="299"/>
      <c r="L68" s="300"/>
    </row>
    <row r="69" spans="1:12" ht="15" customHeight="1">
      <c r="A69" s="207" t="str">
        <f t="shared" si="3"/>
        <v>FREDCHATENAY MALABRY - IRENADH2OTS/TMA/CFA</v>
      </c>
      <c r="B69" s="23">
        <v>7</v>
      </c>
      <c r="C69" s="23"/>
      <c r="D69" s="191" t="str">
        <f t="array" ref="D69">IFERROR(INDEX(Tableau8[[ref fact2]:[payé / présenté le]],MATCH(1,(Tableau8[REF FACT]='RECAP FACT'!$A69)*(Tableau8[fact n°]='RECAP FACT'!$B69),0),1),"")</f>
        <v/>
      </c>
      <c r="E69" s="192" t="str">
        <f t="array" ref="E69">IFERROR(INDEX(Tableau8[[ref fact2]:[payé / présenté le]],MATCH(1,(Tableau8[REF FACT]='RECAP FACT'!$A69)*(Tableau8[fact n°]='RECAP FACT'!$B69),0),2),"")</f>
        <v/>
      </c>
      <c r="F69" s="193"/>
      <c r="G69" s="17"/>
      <c r="H69" s="197" t="str">
        <f>IFERROR(INDEX(Tableau8[[ref fact2]:[payé / présenté le]],MATCH(1,(Tableau8[REF FACT]='RECAP FACT'!$A69)*(Tableau8[fact n°]='RECAP FACT'!$B69),0),8),"")</f>
        <v/>
      </c>
      <c r="J69" s="296" t="s">
        <v>36</v>
      </c>
      <c r="K69" s="299">
        <f>(K65-K67)</f>
        <v>550</v>
      </c>
      <c r="L69" s="300"/>
    </row>
    <row r="70" spans="1:12" ht="15.75" customHeight="1" thickBot="1">
      <c r="A70" s="207" t="str">
        <f t="shared" si="3"/>
        <v>FREDCHATENAY MALABRY - IRENADH2OTS/TMA/CFA</v>
      </c>
      <c r="B70" s="23">
        <v>8</v>
      </c>
      <c r="C70" s="23"/>
      <c r="D70" s="191" t="str">
        <f t="array" ref="D70">IFERROR(INDEX(Tableau8[[ref fact2]:[payé / présenté le]],MATCH(1,(Tableau8[REF FACT]='RECAP FACT'!$A70)*(Tableau8[fact n°]='RECAP FACT'!$B70),0),1),"")</f>
        <v/>
      </c>
      <c r="E70" s="192" t="str">
        <f t="array" ref="E70">IFERROR(INDEX(Tableau8[[ref fact2]:[payé / présenté le]],MATCH(1,(Tableau8[REF FACT]='RECAP FACT'!$A70)*(Tableau8[fact n°]='RECAP FACT'!$B70),0),2),"")</f>
        <v/>
      </c>
      <c r="F70" s="193"/>
      <c r="G70" s="17"/>
      <c r="H70" s="197" t="str">
        <f>IFERROR(INDEX(Tableau8[[ref fact2]:[payé / présenté le]],MATCH(1,(Tableau8[REF FACT]='RECAP FACT'!$A70)*(Tableau8[fact n°]='RECAP FACT'!$B70),0),8),"")</f>
        <v/>
      </c>
      <c r="J70" s="298"/>
      <c r="K70" s="299"/>
      <c r="L70" s="300"/>
    </row>
    <row r="71" spans="1:12">
      <c r="A71" s="207" t="str">
        <f t="shared" si="3"/>
        <v>FREDCHATENAY MALABRY - IRENADH2OTS/TMA/CFA</v>
      </c>
      <c r="B71" s="23">
        <v>9</v>
      </c>
      <c r="C71" s="23"/>
      <c r="D71" s="191" t="str">
        <f t="array" ref="D71">IFERROR(INDEX(Tableau8[[ref fact2]:[payé / présenté le]],MATCH(1,(Tableau8[REF FACT]='RECAP FACT'!$A71)*(Tableau8[fact n°]='RECAP FACT'!$B71),0),1),"")</f>
        <v/>
      </c>
      <c r="E71" s="192" t="str">
        <f t="array" ref="E71">IFERROR(INDEX(Tableau8[[ref fact2]:[payé / présenté le]],MATCH(1,(Tableau8[REF FACT]='RECAP FACT'!$A71)*(Tableau8[fact n°]='RECAP FACT'!$B71),0),2),"")</f>
        <v/>
      </c>
      <c r="F71" s="193"/>
      <c r="G71" s="17"/>
      <c r="H71" s="197" t="str">
        <f>IFERROR(INDEX(Tableau8[[ref fact2]:[payé / présenté le]],MATCH(1,(Tableau8[REF FACT]='RECAP FACT'!$A71)*(Tableau8[fact n°]='RECAP FACT'!$B71),0),8),"")</f>
        <v/>
      </c>
    </row>
    <row r="72" spans="1:12">
      <c r="A72" s="207" t="str">
        <f t="shared" si="3"/>
        <v>FREDCHATENAY MALABRY - IRENADH2OTS/TMA/CFA</v>
      </c>
      <c r="B72" s="23">
        <v>10</v>
      </c>
      <c r="C72" s="23"/>
      <c r="D72" s="191" t="str">
        <f t="array" ref="D72">IFERROR(INDEX(Tableau8[[ref fact2]:[payé / présenté le]],MATCH(1,(Tableau8[REF FACT]='RECAP FACT'!$A72)*(Tableau8[fact n°]='RECAP FACT'!$B72),0),1),"")</f>
        <v/>
      </c>
      <c r="E72" s="192" t="str">
        <f t="array" ref="E72">IFERROR(INDEX(Tableau8[[ref fact2]:[payé / présenté le]],MATCH(1,(Tableau8[REF FACT]='RECAP FACT'!$A72)*(Tableau8[fact n°]='RECAP FACT'!$B72),0),2),"")</f>
        <v/>
      </c>
      <c r="F72" s="193"/>
      <c r="G72" s="17"/>
      <c r="H72" s="197" t="str">
        <f>IFERROR(INDEX(Tableau8[[ref fact2]:[payé / présenté le]],MATCH(1,(Tableau8[REF FACT]='RECAP FACT'!$A72)*(Tableau8[fact n°]='RECAP FACT'!$B72),0),8),"")</f>
        <v/>
      </c>
    </row>
    <row r="73" spans="1:12">
      <c r="A73" s="207" t="str">
        <f t="shared" si="3"/>
        <v>FREDCHATENAY MALABRY - IRENADH2OTS/TMA/CFA</v>
      </c>
      <c r="B73" s="23">
        <v>11</v>
      </c>
      <c r="C73" s="23"/>
      <c r="D73" s="191" t="str">
        <f t="array" ref="D73">IFERROR(INDEX(Tableau8[[ref fact2]:[payé / présenté le]],MATCH(1,(Tableau8[REF FACT]='RECAP FACT'!$A73)*(Tableau8[fact n°]='RECAP FACT'!$B73),0),1),"")</f>
        <v/>
      </c>
      <c r="E73" s="192" t="str">
        <f t="array" ref="E73">IFERROR(INDEX(Tableau8[[ref fact2]:[payé / présenté le]],MATCH(1,(Tableau8[REF FACT]='RECAP FACT'!$A73)*(Tableau8[fact n°]='RECAP FACT'!$B73),0),2),"")</f>
        <v/>
      </c>
      <c r="F73" s="193"/>
      <c r="G73" s="17"/>
      <c r="H73" s="197" t="str">
        <f>IFERROR(INDEX(Tableau8[[ref fact2]:[payé / présenté le]],MATCH(1,(Tableau8[REF FACT]='RECAP FACT'!$A73)*(Tableau8[fact n°]='RECAP FACT'!$B73),0),8),"")</f>
        <v/>
      </c>
    </row>
    <row r="74" spans="1:12">
      <c r="A74" s="207" t="str">
        <f t="shared" si="3"/>
        <v>FREDCHATENAY MALABRY - IRENADH2OTS/TMA/CFA</v>
      </c>
      <c r="B74" s="23">
        <v>12</v>
      </c>
      <c r="C74" s="23"/>
      <c r="D74" s="191" t="str">
        <f t="array" ref="D74">IFERROR(INDEX(Tableau8[[ref fact2]:[payé / présenté le]],MATCH(1,(Tableau8[REF FACT]='RECAP FACT'!$A74)*(Tableau8[fact n°]='RECAP FACT'!$B74),0),1),"")</f>
        <v/>
      </c>
      <c r="E74" s="192" t="str">
        <f t="array" ref="E74">IFERROR(INDEX(Tableau8[[ref fact2]:[payé / présenté le]],MATCH(1,(Tableau8[REF FACT]='RECAP FACT'!$A74)*(Tableau8[fact n°]='RECAP FACT'!$B74),0),2),"")</f>
        <v/>
      </c>
      <c r="F74" s="193"/>
      <c r="G74" s="17"/>
      <c r="H74" s="197" t="str">
        <f>IFERROR(INDEX(Tableau8[[ref fact2]:[payé / présenté le]],MATCH(1,(Tableau8[REF FACT]='RECAP FACT'!$A74)*(Tableau8[fact n°]='RECAP FACT'!$B74),0),8),"")</f>
        <v/>
      </c>
    </row>
    <row r="75" spans="1:12">
      <c r="A75" s="207" t="str">
        <f t="shared" si="3"/>
        <v>FREDCHATENAY MALABRY - IRENADH2OTS/TMA/CFA</v>
      </c>
      <c r="B75" s="23">
        <v>13</v>
      </c>
      <c r="C75" s="23"/>
      <c r="D75" s="191" t="str">
        <f t="array" ref="D75">IFERROR(INDEX(Tableau8[[ref fact2]:[payé / présenté le]],MATCH(1,(Tableau8[REF FACT]='RECAP FACT'!$A75)*(Tableau8[fact n°]='RECAP FACT'!$B75),0),1),"")</f>
        <v/>
      </c>
      <c r="E75" s="192" t="str">
        <f t="array" ref="E75">IFERROR(INDEX(Tableau8[[ref fact2]:[payé / présenté le]],MATCH(1,(Tableau8[REF FACT]='RECAP FACT'!$A75)*(Tableau8[fact n°]='RECAP FACT'!$B75),0),2),"")</f>
        <v/>
      </c>
      <c r="F75" s="193"/>
      <c r="G75" s="17"/>
      <c r="H75" s="197" t="str">
        <f>IFERROR(INDEX(Tableau8[[ref fact2]:[payé / présenté le]],MATCH(1,(Tableau8[REF FACT]='RECAP FACT'!$A75)*(Tableau8[fact n°]='RECAP FACT'!$B75),0),8),"")</f>
        <v/>
      </c>
    </row>
    <row r="76" spans="1:12">
      <c r="A76" s="207" t="str">
        <f t="shared" si="3"/>
        <v>FREDCHATENAY MALABRY - IRENADH2OTS/TMA/CFA</v>
      </c>
      <c r="B76" s="23">
        <v>14</v>
      </c>
      <c r="C76" s="23"/>
      <c r="D76" s="191" t="str">
        <f t="array" ref="D76">IFERROR(INDEX(Tableau8[[ref fact2]:[payé / présenté le]],MATCH(1,(Tableau8[REF FACT]='RECAP FACT'!$A76)*(Tableau8[fact n°]='RECAP FACT'!$B76),0),1),"")</f>
        <v/>
      </c>
      <c r="E76" s="192" t="str">
        <f t="array" ref="E76">IFERROR(INDEX(Tableau8[[ref fact2]:[payé / présenté le]],MATCH(1,(Tableau8[REF FACT]='RECAP FACT'!$A76)*(Tableau8[fact n°]='RECAP FACT'!$B76),0),2),"")</f>
        <v/>
      </c>
      <c r="F76" s="193"/>
      <c r="G76" s="17"/>
      <c r="H76" s="197" t="str">
        <f>IFERROR(INDEX(Tableau8[[ref fact2]:[payé / présenté le]],MATCH(1,(Tableau8[REF FACT]='RECAP FACT'!$A76)*(Tableau8[fact n°]='RECAP FACT'!$B76),0),8),"")</f>
        <v/>
      </c>
    </row>
    <row r="77" spans="1:12">
      <c r="A77" s="207" t="str">
        <f t="shared" si="3"/>
        <v>FREDCHATENAY MALABRY - IRENADH2OTS/TMA/CFA</v>
      </c>
      <c r="B77" s="23">
        <v>15</v>
      </c>
      <c r="C77" s="23"/>
      <c r="D77" s="191" t="str">
        <f t="array" ref="D77">IFERROR(INDEX(Tableau8[[ref fact2]:[payé / présenté le]],MATCH(1,(Tableau8[REF FACT]='RECAP FACT'!$A77)*(Tableau8[fact n°]='RECAP FACT'!$B77),0),1),"")</f>
        <v/>
      </c>
      <c r="E77" s="192" t="str">
        <f t="array" ref="E77">IFERROR(INDEX(Tableau8[[ref fact2]:[payé / présenté le]],MATCH(1,(Tableau8[REF FACT]='RECAP FACT'!$A77)*(Tableau8[fact n°]='RECAP FACT'!$B77),0),2),"")</f>
        <v/>
      </c>
      <c r="F77" s="193"/>
      <c r="G77" s="17"/>
      <c r="H77" s="197" t="str">
        <f>IFERROR(INDEX(Tableau8[[ref fact2]:[payé / présenté le]],MATCH(1,(Tableau8[REF FACT]='RECAP FACT'!$A77)*(Tableau8[fact n°]='RECAP FACT'!$B77),0),8),"")</f>
        <v/>
      </c>
    </row>
    <row r="78" spans="1:12">
      <c r="A78" s="207" t="str">
        <f t="shared" si="3"/>
        <v>FREDCHATENAY MALABRY - IRENADH2OTS/TMA/CFA</v>
      </c>
      <c r="B78" s="23">
        <v>16</v>
      </c>
      <c r="C78" s="23"/>
      <c r="D78" s="191" t="str">
        <f t="array" ref="D78">IFERROR(INDEX(Tableau8[[ref fact2]:[payé / présenté le]],MATCH(1,(Tableau8[REF FACT]='RECAP FACT'!$A78)*(Tableau8[fact n°]='RECAP FACT'!$B78),0),1),"")</f>
        <v/>
      </c>
      <c r="E78" s="192" t="str">
        <f t="array" ref="E78">IFERROR(INDEX(Tableau8[[ref fact2]:[payé / présenté le]],MATCH(1,(Tableau8[REF FACT]='RECAP FACT'!$A78)*(Tableau8[fact n°]='RECAP FACT'!$B78),0),2),"")</f>
        <v/>
      </c>
      <c r="F78" s="193"/>
      <c r="G78" s="17"/>
      <c r="H78" s="197" t="str">
        <f>IFERROR(INDEX(Tableau8[[ref fact2]:[payé / présenté le]],MATCH(1,(Tableau8[REF FACT]='RECAP FACT'!$A78)*(Tableau8[fact n°]='RECAP FACT'!$B78),0),8),"")</f>
        <v/>
      </c>
    </row>
    <row r="79" spans="1:12">
      <c r="A79" s="207" t="str">
        <f t="shared" si="3"/>
        <v>FREDCHATENAY MALABRY - IRENADH2OTS/TMA/CFA</v>
      </c>
      <c r="B79" s="23">
        <v>17</v>
      </c>
      <c r="C79" s="23"/>
      <c r="D79" s="191" t="str">
        <f t="array" ref="D79">IFERROR(INDEX(Tableau8[[ref fact2]:[payé / présenté le]],MATCH(1,(Tableau8[REF FACT]='RECAP FACT'!$A79)*(Tableau8[fact n°]='RECAP FACT'!$B79),0),1),"")</f>
        <v/>
      </c>
      <c r="E79" s="192" t="str">
        <f t="array" ref="E79">IFERROR(INDEX(Tableau8[[ref fact2]:[payé / présenté le]],MATCH(1,(Tableau8[REF FACT]='RECAP FACT'!$A79)*(Tableau8[fact n°]='RECAP FACT'!$B79),0),2),"")</f>
        <v/>
      </c>
      <c r="F79" s="193"/>
      <c r="G79" s="17"/>
      <c r="H79" s="197" t="str">
        <f>IFERROR(INDEX(Tableau8[[ref fact2]:[payé / présenté le]],MATCH(1,(Tableau8[REF FACT]='RECAP FACT'!$A79)*(Tableau8[fact n°]='RECAP FACT'!$B79),0),8),"")</f>
        <v/>
      </c>
    </row>
    <row r="80" spans="1:12">
      <c r="A80" s="207" t="str">
        <f t="shared" si="3"/>
        <v>FREDCHATENAY MALABRY - IRENADH2OTS/TMA/CFA</v>
      </c>
      <c r="B80" s="23">
        <v>18</v>
      </c>
      <c r="C80" s="23"/>
      <c r="D80" s="191" t="str">
        <f t="array" ref="D80">IFERROR(INDEX(Tableau8[[ref fact2]:[payé / présenté le]],MATCH(1,(Tableau8[REF FACT]='RECAP FACT'!$A80)*(Tableau8[fact n°]='RECAP FACT'!$B80),0),1),"")</f>
        <v/>
      </c>
      <c r="E80" s="192" t="str">
        <f t="array" ref="E80">IFERROR(INDEX(Tableau8[[ref fact2]:[payé / présenté le]],MATCH(1,(Tableau8[REF FACT]='RECAP FACT'!$A80)*(Tableau8[fact n°]='RECAP FACT'!$B80),0),2),"")</f>
        <v/>
      </c>
      <c r="F80" s="193"/>
      <c r="G80" s="17"/>
      <c r="H80" s="197" t="str">
        <f>IFERROR(INDEX(Tableau8[[ref fact2]:[payé / présenté le]],MATCH(1,(Tableau8[REF FACT]='RECAP FACT'!$A80)*(Tableau8[fact n°]='RECAP FACT'!$B80),0),8),"")</f>
        <v/>
      </c>
    </row>
    <row r="81" spans="1:8">
      <c r="A81" s="207" t="str">
        <f t="shared" si="3"/>
        <v>FREDCHATENAY MALABRY - IRENADH2OTS/TMA/CFA</v>
      </c>
      <c r="B81" s="23">
        <v>19</v>
      </c>
      <c r="C81" s="23"/>
      <c r="D81" s="191" t="str">
        <f t="array" ref="D81">IFERROR(INDEX(Tableau8[[ref fact2]:[payé / présenté le]],MATCH(1,(Tableau8[REF FACT]='RECAP FACT'!$A81)*(Tableau8[fact n°]='RECAP FACT'!$B81),0),1),"")</f>
        <v/>
      </c>
      <c r="E81" s="192" t="str">
        <f t="array" ref="E81">IFERROR(INDEX(Tableau8[[ref fact2]:[payé / présenté le]],MATCH(1,(Tableau8[REF FACT]='RECAP FACT'!$A81)*(Tableau8[fact n°]='RECAP FACT'!$B81),0),2),"")</f>
        <v/>
      </c>
      <c r="F81" s="193"/>
      <c r="G81" s="17"/>
      <c r="H81" s="197" t="str">
        <f>IFERROR(INDEX(Tableau8[[ref fact2]:[payé / présenté le]],MATCH(1,(Tableau8[REF FACT]='RECAP FACT'!$A81)*(Tableau8[fact n°]='RECAP FACT'!$B81),0),8),"")</f>
        <v/>
      </c>
    </row>
    <row r="82" spans="1:8">
      <c r="A82" s="207" t="str">
        <f t="shared" si="3"/>
        <v>FREDCHATENAY MALABRY - IRENADH2OTS/TMA/CFA</v>
      </c>
      <c r="B82" s="23">
        <v>20</v>
      </c>
      <c r="C82" s="23"/>
      <c r="D82" s="191" t="str">
        <f t="array" ref="D82">IFERROR(INDEX(Tableau8[[ref fact2]:[payé / présenté le]],MATCH(1,(Tableau8[REF FACT]='RECAP FACT'!$A82)*(Tableau8[fact n°]='RECAP FACT'!$B82),0),1),"")</f>
        <v/>
      </c>
      <c r="E82" s="192" t="str">
        <f t="array" ref="E82">IFERROR(INDEX(Tableau8[[ref fact2]:[payé / présenté le]],MATCH(1,(Tableau8[REF FACT]='RECAP FACT'!$A82)*(Tableau8[fact n°]='RECAP FACT'!$B82),0),2),"")</f>
        <v/>
      </c>
      <c r="F82" s="193"/>
      <c r="G82" s="17"/>
      <c r="H82" s="197" t="str">
        <f>IFERROR(INDEX(Tableau8[[ref fact2]:[payé / présenté le]],MATCH(1,(Tableau8[REF FACT]='RECAP FACT'!$A82)*(Tableau8[fact n°]='RECAP FACT'!$B82),0),8),"")</f>
        <v/>
      </c>
    </row>
    <row r="83" spans="1:8">
      <c r="A83" s="207" t="str">
        <f t="shared" si="3"/>
        <v>FREDCHATENAY MALABRY - IRENADH2OTS/TMA/CFA</v>
      </c>
      <c r="B83" s="23">
        <v>21</v>
      </c>
      <c r="C83" s="23"/>
      <c r="D83" s="191" t="str">
        <f t="array" ref="D83">IFERROR(INDEX(Tableau8[[ref fact2]:[payé / présenté le]],MATCH(1,(Tableau8[REF FACT]='RECAP FACT'!$A83)*(Tableau8[fact n°]='RECAP FACT'!$B83),0),1),"")</f>
        <v/>
      </c>
      <c r="E83" s="192" t="str">
        <f t="array" ref="E83">IFERROR(INDEX(Tableau8[[ref fact2]:[payé / présenté le]],MATCH(1,(Tableau8[REF FACT]='RECAP FACT'!$A83)*(Tableau8[fact n°]='RECAP FACT'!$B83),0),2),"")</f>
        <v/>
      </c>
      <c r="F83" s="193"/>
      <c r="G83" s="17"/>
      <c r="H83" s="197" t="str">
        <f>IFERROR(INDEX(Tableau8[[ref fact2]:[payé / présenté le]],MATCH(1,(Tableau8[REF FACT]='RECAP FACT'!$A83)*(Tableau8[fact n°]='RECAP FACT'!$B83),0),8),"")</f>
        <v/>
      </c>
    </row>
    <row r="84" spans="1:8">
      <c r="A84" s="207"/>
      <c r="B84" s="23" t="s">
        <v>32</v>
      </c>
      <c r="C84" s="23">
        <f>SUM(C63:C83)</f>
        <v>1500</v>
      </c>
      <c r="D84" s="194"/>
      <c r="E84" s="195"/>
      <c r="F84" s="193">
        <f>SUM(F63:F83)</f>
        <v>950</v>
      </c>
      <c r="G84" s="172">
        <f>SUM(G63:G83)</f>
        <v>550</v>
      </c>
      <c r="H84" s="198"/>
    </row>
  </sheetData>
  <mergeCells count="23">
    <mergeCell ref="J67:J68"/>
    <mergeCell ref="J69:J70"/>
    <mergeCell ref="K69:L70"/>
    <mergeCell ref="K67:L68"/>
    <mergeCell ref="F61:H61"/>
    <mergeCell ref="K65:L66"/>
    <mergeCell ref="J65:J66"/>
    <mergeCell ref="I41:I42"/>
    <mergeCell ref="I43:I44"/>
    <mergeCell ref="C58:D58"/>
    <mergeCell ref="J43:K44"/>
    <mergeCell ref="J41:K42"/>
    <mergeCell ref="F9:G9"/>
    <mergeCell ref="I17:I18"/>
    <mergeCell ref="C32:D32"/>
    <mergeCell ref="I39:I40"/>
    <mergeCell ref="J17:K18"/>
    <mergeCell ref="J39:K40"/>
    <mergeCell ref="F35:G35"/>
    <mergeCell ref="I13:I14"/>
    <mergeCell ref="I15:I16"/>
    <mergeCell ref="J15:K16"/>
    <mergeCell ref="J13:K14"/>
  </mergeCells>
  <conditionalFormatting sqref="F11:F31 F37:F57 F64:F83">
    <cfRule type="expression" dxfId="3" priority="1">
      <formula>$F11=0</formula>
    </cfRule>
  </conditionalFormatting>
  <pageMargins left="0.7" right="0.7" top="0.75" bottom="0.75" header="0.3" footer="0.3"/>
  <pageSetup paperSize="9" orientation="portrait" horizontalDpi="4294967293"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0000000}">
          <x14:formula1>
            <xm:f>DONNEES!$P$1:$AO$1</xm:f>
          </x14:formula1>
          <xm:sqref>C1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1:T56"/>
  <sheetViews>
    <sheetView zoomScale="70" zoomScaleNormal="70" workbookViewId="0">
      <pane xSplit="1" topLeftCell="B1" activePane="topRight" state="frozen"/>
      <selection pane="topRight" activeCell="C15" sqref="C15"/>
    </sheetView>
  </sheetViews>
  <sheetFormatPr baseColWidth="10" defaultRowHeight="15"/>
  <cols>
    <col min="1" max="1" width="10.5703125" customWidth="1"/>
    <col min="2" max="2" width="16" customWidth="1"/>
    <col min="3" max="3" width="20.42578125" customWidth="1"/>
    <col min="4" max="4" width="16" style="216" customWidth="1"/>
    <col min="5" max="8" width="16" customWidth="1"/>
    <col min="9" max="20" width="16.85546875" customWidth="1"/>
  </cols>
  <sheetData>
    <row r="1" spans="1:20" ht="45.75">
      <c r="A1" s="303" t="s">
        <v>0</v>
      </c>
      <c r="B1" s="303"/>
      <c r="C1" s="303"/>
      <c r="D1" s="303"/>
      <c r="E1" s="303"/>
      <c r="F1" s="303"/>
      <c r="G1" s="303"/>
      <c r="H1" s="303"/>
      <c r="I1" s="303"/>
      <c r="J1" s="303"/>
      <c r="K1" s="303"/>
      <c r="L1" s="303"/>
      <c r="M1" s="303"/>
      <c r="N1" s="303"/>
      <c r="O1" s="303"/>
      <c r="P1" s="303"/>
      <c r="Q1" s="303"/>
      <c r="R1" s="303"/>
      <c r="S1" s="303"/>
      <c r="T1" s="1">
        <f ca="1">TODAY()</f>
        <v>44123</v>
      </c>
    </row>
    <row r="2" spans="1:20" s="121" customFormat="1" ht="56.25">
      <c r="A2" s="2" t="s">
        <v>1</v>
      </c>
      <c r="B2" s="2" t="s">
        <v>166</v>
      </c>
      <c r="C2" s="2" t="s">
        <v>11</v>
      </c>
      <c r="D2" s="2" t="s">
        <v>37</v>
      </c>
      <c r="E2" s="2" t="s">
        <v>167</v>
      </c>
      <c r="F2" s="2" t="s">
        <v>168</v>
      </c>
      <c r="G2" s="2" t="s">
        <v>169</v>
      </c>
      <c r="H2" s="2" t="s">
        <v>170</v>
      </c>
      <c r="I2" s="3" t="s">
        <v>2</v>
      </c>
      <c r="J2" s="4" t="s">
        <v>204</v>
      </c>
      <c r="K2" s="4" t="s">
        <v>205</v>
      </c>
      <c r="L2" s="4" t="s">
        <v>206</v>
      </c>
      <c r="M2" s="4" t="s">
        <v>207</v>
      </c>
      <c r="N2" s="4" t="s">
        <v>208</v>
      </c>
      <c r="O2" s="4" t="s">
        <v>209</v>
      </c>
      <c r="P2" s="4" t="s">
        <v>8</v>
      </c>
      <c r="Q2" s="4" t="s">
        <v>9</v>
      </c>
      <c r="R2" s="4" t="s">
        <v>3</v>
      </c>
      <c r="S2" s="5" t="s">
        <v>10</v>
      </c>
      <c r="T2" s="4" t="s">
        <v>4</v>
      </c>
    </row>
    <row r="3" spans="1:20" ht="26.25">
      <c r="A3" s="6" t="s">
        <v>171</v>
      </c>
      <c r="B3" s="6"/>
      <c r="C3" s="219">
        <v>1100</v>
      </c>
      <c r="D3" s="213" t="s">
        <v>40</v>
      </c>
      <c r="E3" s="6"/>
      <c r="F3" s="6"/>
      <c r="G3" s="6"/>
      <c r="H3" s="6"/>
      <c r="I3" s="7"/>
      <c r="J3" s="8">
        <v>43698</v>
      </c>
      <c r="K3" s="8">
        <v>43466</v>
      </c>
      <c r="L3" s="8">
        <v>43722</v>
      </c>
      <c r="M3" s="8"/>
      <c r="N3" s="8"/>
      <c r="O3" s="8"/>
      <c r="P3" s="9"/>
      <c r="Q3" s="9"/>
      <c r="R3" s="9" t="s">
        <v>5</v>
      </c>
      <c r="S3" s="9" t="s">
        <v>5</v>
      </c>
      <c r="T3" s="9"/>
    </row>
    <row r="4" spans="1:20" ht="26.25">
      <c r="A4" s="6" t="s">
        <v>172</v>
      </c>
      <c r="B4" s="6"/>
      <c r="C4" s="219">
        <v>1101</v>
      </c>
      <c r="D4" s="213" t="s">
        <v>12</v>
      </c>
      <c r="E4" s="6"/>
      <c r="F4" s="6"/>
      <c r="G4" s="6"/>
      <c r="H4" s="6"/>
      <c r="I4" s="7"/>
      <c r="J4" s="8">
        <v>43993</v>
      </c>
      <c r="K4" s="8">
        <v>44043</v>
      </c>
      <c r="L4" s="8">
        <v>44029</v>
      </c>
      <c r="M4" s="8">
        <v>44021</v>
      </c>
      <c r="N4" s="8">
        <v>43978</v>
      </c>
      <c r="O4" s="8">
        <v>43852</v>
      </c>
      <c r="P4" s="9"/>
      <c r="Q4" s="9"/>
      <c r="R4" s="9" t="s">
        <v>5</v>
      </c>
      <c r="S4" s="9" t="s">
        <v>5</v>
      </c>
      <c r="T4" s="9"/>
    </row>
    <row r="5" spans="1:20" ht="26.25">
      <c r="A5" s="10" t="s">
        <v>173</v>
      </c>
      <c r="B5" s="10"/>
      <c r="C5" s="219">
        <v>1102</v>
      </c>
      <c r="D5" s="213" t="s">
        <v>12</v>
      </c>
      <c r="E5" s="10"/>
      <c r="F5" s="10"/>
      <c r="G5" s="10"/>
      <c r="H5" s="10"/>
      <c r="I5" s="7"/>
      <c r="J5" s="8">
        <v>43373</v>
      </c>
      <c r="K5" s="8">
        <v>43922</v>
      </c>
      <c r="L5" s="8">
        <v>43549</v>
      </c>
      <c r="M5" s="8">
        <v>43657</v>
      </c>
      <c r="N5" s="8">
        <v>43507</v>
      </c>
      <c r="O5" s="8"/>
      <c r="P5" s="9"/>
      <c r="Q5" s="9"/>
      <c r="R5" s="9" t="s">
        <v>5</v>
      </c>
      <c r="S5" s="9" t="s">
        <v>5</v>
      </c>
      <c r="T5" s="9"/>
    </row>
    <row r="6" spans="1:20" ht="26.25">
      <c r="A6" s="6" t="s">
        <v>174</v>
      </c>
      <c r="B6" s="6"/>
      <c r="C6" s="219">
        <v>1103</v>
      </c>
      <c r="D6" s="213" t="s">
        <v>12</v>
      </c>
      <c r="E6" s="6"/>
      <c r="F6" s="6"/>
      <c r="G6" s="6"/>
      <c r="H6" s="6"/>
      <c r="I6" s="7"/>
      <c r="J6" s="8">
        <v>44013</v>
      </c>
      <c r="K6" s="8">
        <v>44429</v>
      </c>
      <c r="L6" s="8">
        <v>43888</v>
      </c>
      <c r="M6" s="8">
        <v>44046</v>
      </c>
      <c r="N6" s="8">
        <v>43849</v>
      </c>
      <c r="O6" s="8">
        <v>43888</v>
      </c>
      <c r="P6" s="9"/>
      <c r="Q6" s="9"/>
      <c r="R6" s="9" t="s">
        <v>6</v>
      </c>
      <c r="S6" s="9" t="s">
        <v>6</v>
      </c>
      <c r="T6" s="9"/>
    </row>
    <row r="7" spans="1:20" ht="26.25">
      <c r="A7" s="10" t="s">
        <v>175</v>
      </c>
      <c r="B7" s="10"/>
      <c r="C7" s="219">
        <v>1104</v>
      </c>
      <c r="D7" s="213" t="s">
        <v>12</v>
      </c>
      <c r="E7" s="10"/>
      <c r="F7" s="10"/>
      <c r="G7" s="10"/>
      <c r="H7" s="10"/>
      <c r="I7" s="7"/>
      <c r="J7" s="8">
        <v>43662</v>
      </c>
      <c r="K7" s="8">
        <v>43721</v>
      </c>
      <c r="L7" s="8">
        <v>43703</v>
      </c>
      <c r="M7" s="8" t="s">
        <v>6</v>
      </c>
      <c r="N7" s="8">
        <v>43479</v>
      </c>
      <c r="O7" s="8"/>
      <c r="P7" s="9"/>
      <c r="Q7" s="9"/>
      <c r="R7" s="9" t="s">
        <v>5</v>
      </c>
      <c r="S7" s="9" t="s">
        <v>5</v>
      </c>
      <c r="T7" s="9"/>
    </row>
    <row r="8" spans="1:20" ht="26.25">
      <c r="A8" s="6" t="s">
        <v>176</v>
      </c>
      <c r="B8" s="6"/>
      <c r="C8" s="219">
        <v>1105</v>
      </c>
      <c r="D8" s="213" t="s">
        <v>12</v>
      </c>
      <c r="E8" s="6"/>
      <c r="F8" s="6"/>
      <c r="G8" s="6"/>
      <c r="H8" s="6"/>
      <c r="I8" s="7"/>
      <c r="J8" s="8">
        <v>43587</v>
      </c>
      <c r="K8" s="8">
        <v>43466</v>
      </c>
      <c r="L8" s="8">
        <v>43628</v>
      </c>
      <c r="M8" s="8" t="s">
        <v>6</v>
      </c>
      <c r="N8" s="8">
        <v>43607</v>
      </c>
      <c r="O8" s="8"/>
      <c r="P8" s="9"/>
      <c r="Q8" s="9"/>
      <c r="R8" s="9" t="s">
        <v>5</v>
      </c>
      <c r="S8" s="9" t="s">
        <v>5</v>
      </c>
      <c r="T8" s="9"/>
    </row>
    <row r="9" spans="1:20" ht="26.25">
      <c r="A9" s="6" t="s">
        <v>177</v>
      </c>
      <c r="B9" s="6"/>
      <c r="C9" s="219">
        <v>1106</v>
      </c>
      <c r="D9" s="213" t="s">
        <v>12</v>
      </c>
      <c r="E9" s="6"/>
      <c r="F9" s="6"/>
      <c r="G9" s="6"/>
      <c r="H9" s="6"/>
      <c r="I9" s="7"/>
      <c r="J9" s="8">
        <v>43916</v>
      </c>
      <c r="K9" s="8">
        <v>43831</v>
      </c>
      <c r="L9" s="8">
        <v>43969</v>
      </c>
      <c r="M9" s="8">
        <v>43969</v>
      </c>
      <c r="N9" s="8">
        <v>43880</v>
      </c>
      <c r="O9" s="8"/>
      <c r="P9" s="9"/>
      <c r="Q9" s="9"/>
      <c r="R9" s="9" t="s">
        <v>5</v>
      </c>
      <c r="S9" s="9" t="s">
        <v>5</v>
      </c>
      <c r="T9" s="9"/>
    </row>
    <row r="10" spans="1:20" ht="26.25">
      <c r="A10" s="6" t="s">
        <v>183</v>
      </c>
      <c r="B10" s="6"/>
      <c r="C10" s="219">
        <v>1107</v>
      </c>
      <c r="D10" s="213" t="s">
        <v>12</v>
      </c>
      <c r="E10" s="6"/>
      <c r="F10" s="6"/>
      <c r="G10" s="6"/>
      <c r="H10" s="6"/>
      <c r="I10" s="7"/>
      <c r="J10" s="8">
        <v>43529</v>
      </c>
      <c r="K10" s="8">
        <v>43669</v>
      </c>
      <c r="L10" s="8">
        <v>43605</v>
      </c>
      <c r="M10" s="8">
        <v>43650</v>
      </c>
      <c r="N10" s="8">
        <v>43655</v>
      </c>
      <c r="O10" s="8"/>
      <c r="P10" s="9"/>
      <c r="Q10" s="9"/>
      <c r="R10" s="9" t="s">
        <v>5</v>
      </c>
      <c r="S10" s="9" t="s">
        <v>5</v>
      </c>
      <c r="T10" s="9"/>
    </row>
    <row r="11" spans="1:20" ht="26.25">
      <c r="A11" s="6" t="s">
        <v>178</v>
      </c>
      <c r="B11" s="6"/>
      <c r="C11" s="219">
        <v>1108</v>
      </c>
      <c r="D11" s="213" t="s">
        <v>12</v>
      </c>
      <c r="E11" s="6"/>
      <c r="F11" s="6"/>
      <c r="G11" s="6"/>
      <c r="H11" s="6"/>
      <c r="I11" s="7"/>
      <c r="J11" s="8">
        <v>44027</v>
      </c>
      <c r="K11" s="8">
        <v>43862</v>
      </c>
      <c r="L11" s="8">
        <v>43986</v>
      </c>
      <c r="M11" s="8"/>
      <c r="N11" s="8"/>
      <c r="O11" s="8"/>
      <c r="P11" s="9"/>
      <c r="Q11" s="9"/>
      <c r="R11" s="9" t="s">
        <v>5</v>
      </c>
      <c r="S11" s="9" t="s">
        <v>5</v>
      </c>
      <c r="T11" s="9"/>
    </row>
    <row r="12" spans="1:20" ht="26.25">
      <c r="A12" s="6" t="s">
        <v>182</v>
      </c>
      <c r="B12" s="6"/>
      <c r="C12" s="219">
        <v>1109</v>
      </c>
      <c r="D12" s="213" t="s">
        <v>12</v>
      </c>
      <c r="E12" s="6"/>
      <c r="F12" s="6"/>
      <c r="G12" s="6"/>
      <c r="H12" s="6"/>
      <c r="I12" s="7"/>
      <c r="J12" s="8">
        <v>44060</v>
      </c>
      <c r="K12" s="8">
        <v>43831</v>
      </c>
      <c r="L12" s="8">
        <v>44035</v>
      </c>
      <c r="M12" s="8">
        <v>44004</v>
      </c>
      <c r="N12" s="8">
        <v>43493</v>
      </c>
      <c r="O12" s="8">
        <v>44021</v>
      </c>
      <c r="P12" s="9"/>
      <c r="Q12" s="9" t="s">
        <v>5</v>
      </c>
      <c r="R12" s="9" t="s">
        <v>5</v>
      </c>
      <c r="S12" s="9" t="s">
        <v>5</v>
      </c>
      <c r="T12" s="9" t="s">
        <v>5</v>
      </c>
    </row>
    <row r="13" spans="1:20" ht="26.25">
      <c r="A13" s="6" t="s">
        <v>179</v>
      </c>
      <c r="B13" s="6"/>
      <c r="C13" s="219">
        <v>1110</v>
      </c>
      <c r="D13" s="213" t="s">
        <v>40</v>
      </c>
      <c r="E13" s="6"/>
      <c r="F13" s="6"/>
      <c r="G13" s="6"/>
      <c r="H13" s="6"/>
      <c r="I13" s="7"/>
      <c r="J13" s="8">
        <v>44049</v>
      </c>
      <c r="K13" s="8">
        <v>44196</v>
      </c>
      <c r="L13" s="8">
        <v>43970</v>
      </c>
      <c r="M13" s="8">
        <v>0</v>
      </c>
      <c r="N13" s="8">
        <v>43865</v>
      </c>
      <c r="O13" s="8"/>
      <c r="P13" s="9"/>
      <c r="Q13" s="9"/>
      <c r="R13" s="9"/>
      <c r="S13" s="9" t="s">
        <v>5</v>
      </c>
      <c r="T13" s="9" t="s">
        <v>5</v>
      </c>
    </row>
    <row r="14" spans="1:20" ht="26.25">
      <c r="A14" s="10" t="s">
        <v>181</v>
      </c>
      <c r="B14" s="10"/>
      <c r="C14" s="219">
        <v>1111</v>
      </c>
      <c r="D14" s="213" t="s">
        <v>40</v>
      </c>
      <c r="E14" s="10"/>
      <c r="F14" s="10"/>
      <c r="G14" s="10"/>
      <c r="H14" s="10"/>
      <c r="I14" s="7"/>
      <c r="J14" s="8">
        <v>43430</v>
      </c>
      <c r="K14" s="8">
        <v>43466</v>
      </c>
      <c r="L14" s="8">
        <v>43451</v>
      </c>
      <c r="M14" s="8">
        <v>43479</v>
      </c>
      <c r="N14" s="8">
        <v>43479</v>
      </c>
      <c r="O14" s="8"/>
      <c r="P14" s="9"/>
      <c r="Q14" s="9"/>
      <c r="R14" s="9" t="s">
        <v>5</v>
      </c>
      <c r="S14" s="9" t="s">
        <v>5</v>
      </c>
      <c r="T14" s="9"/>
    </row>
    <row r="15" spans="1:20" ht="26.25">
      <c r="A15" s="6" t="s">
        <v>180</v>
      </c>
      <c r="B15" s="6"/>
      <c r="C15" s="219">
        <v>1112</v>
      </c>
      <c r="D15" s="213" t="s">
        <v>40</v>
      </c>
      <c r="E15" s="6"/>
      <c r="F15" s="6"/>
      <c r="G15" s="6"/>
      <c r="H15" s="6"/>
      <c r="I15" s="7"/>
      <c r="J15" s="8">
        <v>43737</v>
      </c>
      <c r="K15" s="8">
        <v>43466</v>
      </c>
      <c r="L15" s="8"/>
      <c r="M15" s="8">
        <v>43746</v>
      </c>
      <c r="N15" s="8"/>
      <c r="O15" s="8"/>
      <c r="P15" s="9"/>
      <c r="Q15" s="9"/>
      <c r="R15" s="9" t="s">
        <v>5</v>
      </c>
      <c r="S15" s="9" t="s">
        <v>5</v>
      </c>
      <c r="T15" s="9"/>
    </row>
    <row r="16" spans="1:20" ht="26.25">
      <c r="A16" s="6" t="s">
        <v>184</v>
      </c>
      <c r="B16" s="6"/>
      <c r="C16" s="219">
        <v>1113</v>
      </c>
      <c r="D16" s="213" t="s">
        <v>40</v>
      </c>
      <c r="E16" s="6"/>
      <c r="F16" s="6"/>
      <c r="G16" s="6"/>
      <c r="H16" s="6"/>
      <c r="I16" s="7"/>
      <c r="J16" s="9"/>
      <c r="K16" s="8">
        <v>44196</v>
      </c>
      <c r="L16" s="8"/>
      <c r="M16" s="8"/>
      <c r="N16" s="8"/>
      <c r="O16" s="8"/>
      <c r="P16" s="9"/>
      <c r="Q16" s="9"/>
      <c r="R16" s="9"/>
      <c r="S16" s="9" t="s">
        <v>5</v>
      </c>
      <c r="T16" s="9"/>
    </row>
    <row r="17" spans="1:20" ht="26.25">
      <c r="A17" s="6" t="s">
        <v>185</v>
      </c>
      <c r="B17" s="6"/>
      <c r="C17" s="219">
        <v>1114</v>
      </c>
      <c r="D17" s="213" t="s">
        <v>40</v>
      </c>
      <c r="E17" s="6"/>
      <c r="F17" s="6"/>
      <c r="G17" s="6"/>
      <c r="H17" s="6"/>
      <c r="I17" s="7"/>
      <c r="J17" s="8">
        <v>43600</v>
      </c>
      <c r="K17" s="8">
        <v>43466</v>
      </c>
      <c r="L17" s="8">
        <v>43515</v>
      </c>
      <c r="M17" s="8">
        <v>43647</v>
      </c>
      <c r="N17" s="8">
        <v>43661</v>
      </c>
      <c r="O17" s="8"/>
      <c r="P17" s="9"/>
      <c r="Q17" s="9"/>
      <c r="R17" s="9" t="s">
        <v>6</v>
      </c>
      <c r="S17" s="9" t="s">
        <v>6</v>
      </c>
      <c r="T17" s="9"/>
    </row>
    <row r="18" spans="1:20" ht="26.25">
      <c r="A18" s="10" t="s">
        <v>186</v>
      </c>
      <c r="B18" s="10"/>
      <c r="C18" s="219">
        <v>1115</v>
      </c>
      <c r="D18" s="213" t="s">
        <v>40</v>
      </c>
      <c r="E18" s="10"/>
      <c r="F18" s="10"/>
      <c r="G18" s="10"/>
      <c r="H18" s="10"/>
      <c r="I18" s="7"/>
      <c r="J18" s="8">
        <v>43654</v>
      </c>
      <c r="K18" s="8">
        <v>43437</v>
      </c>
      <c r="L18" s="8" t="s">
        <v>7</v>
      </c>
      <c r="M18" s="8">
        <v>43469</v>
      </c>
      <c r="N18" s="8">
        <v>43473</v>
      </c>
      <c r="O18" s="8"/>
      <c r="P18" s="9"/>
      <c r="Q18" s="9"/>
      <c r="R18" s="9" t="s">
        <v>5</v>
      </c>
      <c r="S18" s="9" t="s">
        <v>5</v>
      </c>
      <c r="T18" s="9"/>
    </row>
    <row r="19" spans="1:20" ht="26.25">
      <c r="A19" s="6" t="s">
        <v>187</v>
      </c>
      <c r="B19" s="6"/>
      <c r="C19" s="219">
        <v>1116</v>
      </c>
      <c r="D19" s="213" t="s">
        <v>40</v>
      </c>
      <c r="E19" s="6"/>
      <c r="F19" s="6"/>
      <c r="G19" s="6"/>
      <c r="H19" s="6"/>
      <c r="I19" s="7"/>
      <c r="J19" s="8">
        <v>44040</v>
      </c>
      <c r="K19" s="8">
        <v>43831</v>
      </c>
      <c r="L19" s="8">
        <v>44034</v>
      </c>
      <c r="M19" s="8">
        <v>43922</v>
      </c>
      <c r="N19" s="8">
        <v>43921</v>
      </c>
      <c r="O19" s="8"/>
      <c r="P19" s="9"/>
      <c r="Q19" s="9"/>
      <c r="R19" s="9" t="s">
        <v>5</v>
      </c>
      <c r="S19" s="9" t="s">
        <v>5</v>
      </c>
      <c r="T19" s="9"/>
    </row>
    <row r="20" spans="1:20" ht="26.25">
      <c r="A20" s="6" t="s">
        <v>188</v>
      </c>
      <c r="B20" s="6"/>
      <c r="C20" s="219">
        <v>1117</v>
      </c>
      <c r="D20" s="213" t="s">
        <v>40</v>
      </c>
      <c r="E20" s="6"/>
      <c r="F20" s="6"/>
      <c r="G20" s="6"/>
      <c r="H20" s="6"/>
      <c r="I20" s="7"/>
      <c r="J20" s="8">
        <v>44055</v>
      </c>
      <c r="K20" s="8">
        <v>44010</v>
      </c>
      <c r="L20" s="8">
        <v>44018</v>
      </c>
      <c r="M20" s="8">
        <v>44028</v>
      </c>
      <c r="N20" s="8">
        <v>43970</v>
      </c>
      <c r="O20" s="8">
        <v>43976</v>
      </c>
      <c r="P20" s="9"/>
      <c r="Q20" s="9"/>
      <c r="R20" s="9" t="s">
        <v>6</v>
      </c>
      <c r="S20" s="9" t="s">
        <v>6</v>
      </c>
      <c r="T20" s="9"/>
    </row>
    <row r="21" spans="1:20" ht="26.25">
      <c r="A21" s="6" t="s">
        <v>189</v>
      </c>
      <c r="B21" s="6"/>
      <c r="C21" s="219">
        <v>1118</v>
      </c>
      <c r="D21" s="213" t="s">
        <v>40</v>
      </c>
      <c r="E21" s="6"/>
      <c r="F21" s="6"/>
      <c r="G21" s="6"/>
      <c r="H21" s="6"/>
      <c r="I21" s="7"/>
      <c r="J21" s="8">
        <v>43957</v>
      </c>
      <c r="K21" s="8">
        <v>43831</v>
      </c>
      <c r="L21" s="8">
        <v>43981</v>
      </c>
      <c r="M21" s="8">
        <v>43994</v>
      </c>
      <c r="N21" s="8">
        <v>43908</v>
      </c>
      <c r="O21" s="8">
        <v>43907</v>
      </c>
      <c r="P21" s="9"/>
      <c r="Q21" s="9"/>
      <c r="R21" s="9" t="s">
        <v>6</v>
      </c>
      <c r="S21" s="9" t="s">
        <v>5</v>
      </c>
      <c r="T21" s="9"/>
    </row>
    <row r="22" spans="1:20" ht="26.25">
      <c r="A22" s="6" t="s">
        <v>192</v>
      </c>
      <c r="B22" s="6"/>
      <c r="C22" s="219">
        <v>1119</v>
      </c>
      <c r="D22" s="213" t="s">
        <v>40</v>
      </c>
      <c r="E22" s="6"/>
      <c r="F22" s="6"/>
      <c r="G22" s="6"/>
      <c r="H22" s="6"/>
      <c r="I22" s="7"/>
      <c r="J22" s="8">
        <v>44056</v>
      </c>
      <c r="K22" s="8">
        <v>44196</v>
      </c>
      <c r="L22" s="8">
        <v>44057</v>
      </c>
      <c r="M22" s="8">
        <v>44057</v>
      </c>
      <c r="N22" s="8">
        <v>43977</v>
      </c>
      <c r="O22" s="8">
        <v>44057</v>
      </c>
      <c r="P22" s="9"/>
      <c r="Q22" s="9"/>
      <c r="R22" s="9"/>
      <c r="S22" s="9"/>
      <c r="T22" s="9"/>
    </row>
    <row r="23" spans="1:20" ht="26.25">
      <c r="A23" s="6" t="s">
        <v>190</v>
      </c>
      <c r="B23" s="6"/>
      <c r="C23" s="219">
        <v>1120</v>
      </c>
      <c r="D23" s="213" t="s">
        <v>40</v>
      </c>
      <c r="E23" s="6"/>
      <c r="F23" s="6"/>
      <c r="G23" s="6"/>
      <c r="H23" s="6"/>
      <c r="I23" s="7"/>
      <c r="J23" s="8">
        <v>44042</v>
      </c>
      <c r="K23" s="8"/>
      <c r="L23" s="8">
        <v>44015</v>
      </c>
      <c r="M23" s="8"/>
      <c r="N23" s="8">
        <v>43970</v>
      </c>
      <c r="O23" s="8"/>
      <c r="P23" s="9"/>
      <c r="Q23" s="9"/>
      <c r="R23" s="9"/>
      <c r="S23" s="9"/>
      <c r="T23" s="9"/>
    </row>
    <row r="24" spans="1:20" ht="26.25">
      <c r="A24" s="10" t="s">
        <v>191</v>
      </c>
      <c r="B24" s="10"/>
      <c r="C24" s="219">
        <v>1121</v>
      </c>
      <c r="D24" s="213" t="s">
        <v>40</v>
      </c>
      <c r="E24" s="10"/>
      <c r="F24" s="10"/>
      <c r="G24" s="10"/>
      <c r="H24" s="10"/>
      <c r="I24" s="7"/>
      <c r="J24" s="8">
        <v>43537</v>
      </c>
      <c r="K24" s="8">
        <v>43610</v>
      </c>
      <c r="L24" s="8">
        <v>43595</v>
      </c>
      <c r="M24" s="8">
        <v>43545</v>
      </c>
      <c r="N24" s="8">
        <v>43550</v>
      </c>
      <c r="O24" s="8"/>
      <c r="P24" s="9"/>
      <c r="Q24" s="9"/>
      <c r="R24" s="9" t="s">
        <v>5</v>
      </c>
      <c r="S24" s="9" t="s">
        <v>5</v>
      </c>
      <c r="T24" s="9"/>
    </row>
    <row r="25" spans="1:20" ht="26.25">
      <c r="A25" s="6" t="s">
        <v>193</v>
      </c>
      <c r="B25" s="6"/>
      <c r="C25" s="219">
        <v>1122</v>
      </c>
      <c r="D25" s="213" t="s">
        <v>40</v>
      </c>
      <c r="E25" s="6"/>
      <c r="F25" s="6"/>
      <c r="G25" s="6"/>
      <c r="H25" s="6"/>
      <c r="I25" s="7"/>
      <c r="J25" s="8">
        <v>43986</v>
      </c>
      <c r="K25" s="8">
        <v>43257</v>
      </c>
      <c r="L25" s="8">
        <v>43875</v>
      </c>
      <c r="M25" s="8">
        <v>43733</v>
      </c>
      <c r="N25" s="8">
        <v>43718</v>
      </c>
      <c r="O25" s="8">
        <v>43815</v>
      </c>
      <c r="P25" s="9"/>
      <c r="Q25" s="9"/>
      <c r="R25" s="9" t="s">
        <v>5</v>
      </c>
      <c r="S25" s="9" t="s">
        <v>5</v>
      </c>
      <c r="T25" s="9"/>
    </row>
    <row r="26" spans="1:20" ht="26.25">
      <c r="A26" s="10" t="s">
        <v>194</v>
      </c>
      <c r="B26" s="10"/>
      <c r="C26" s="219">
        <v>1123</v>
      </c>
      <c r="D26" s="213" t="s">
        <v>40</v>
      </c>
      <c r="E26" s="10"/>
      <c r="F26" s="10"/>
      <c r="G26" s="10"/>
      <c r="H26" s="10"/>
      <c r="I26" s="7"/>
      <c r="J26" s="8">
        <v>43552</v>
      </c>
      <c r="K26" s="8">
        <v>43240</v>
      </c>
      <c r="L26" s="8" t="s">
        <v>7</v>
      </c>
      <c r="M26" s="8">
        <v>43587</v>
      </c>
      <c r="N26" s="8">
        <v>43549</v>
      </c>
      <c r="O26" s="8"/>
      <c r="P26" s="9"/>
      <c r="Q26" s="9"/>
      <c r="R26" s="9" t="s">
        <v>5</v>
      </c>
      <c r="S26" s="9" t="s">
        <v>5</v>
      </c>
      <c r="T26" s="9"/>
    </row>
    <row r="27" spans="1:20" ht="26.25">
      <c r="A27" s="10" t="s">
        <v>195</v>
      </c>
      <c r="B27" s="10"/>
      <c r="C27" s="219">
        <v>1124</v>
      </c>
      <c r="D27" s="213" t="s">
        <v>40</v>
      </c>
      <c r="E27" s="10"/>
      <c r="F27" s="10"/>
      <c r="G27" s="10"/>
      <c r="H27" s="10"/>
      <c r="I27" s="7"/>
      <c r="J27" s="8">
        <v>43467</v>
      </c>
      <c r="K27" s="8">
        <v>43477</v>
      </c>
      <c r="L27" s="8">
        <v>43441</v>
      </c>
      <c r="M27" s="8"/>
      <c r="N27" s="8"/>
      <c r="O27" s="8"/>
      <c r="P27" s="9"/>
      <c r="Q27" s="9"/>
      <c r="R27" s="9" t="s">
        <v>5</v>
      </c>
      <c r="S27" s="9" t="s">
        <v>5</v>
      </c>
      <c r="T27" s="9"/>
    </row>
    <row r="28" spans="1:20" ht="26.25">
      <c r="A28" s="6" t="s">
        <v>196</v>
      </c>
      <c r="B28" s="6"/>
      <c r="C28" s="219">
        <v>1125</v>
      </c>
      <c r="D28" s="213" t="s">
        <v>40</v>
      </c>
      <c r="E28" s="6"/>
      <c r="F28" s="6"/>
      <c r="G28" s="6"/>
      <c r="H28" s="6"/>
      <c r="I28" s="7"/>
      <c r="J28" s="8">
        <v>44060</v>
      </c>
      <c r="K28" s="8">
        <v>43831</v>
      </c>
      <c r="L28" s="8">
        <v>44061</v>
      </c>
      <c r="M28" s="8">
        <v>44019</v>
      </c>
      <c r="N28" s="8">
        <v>43885</v>
      </c>
      <c r="O28" s="8">
        <v>44069</v>
      </c>
      <c r="P28" s="9"/>
      <c r="Q28" s="9" t="s">
        <v>5</v>
      </c>
      <c r="R28" s="9" t="s">
        <v>6</v>
      </c>
      <c r="S28" s="9" t="s">
        <v>6</v>
      </c>
      <c r="T28" s="9"/>
    </row>
    <row r="29" spans="1:20" ht="26.25">
      <c r="A29" s="6"/>
      <c r="B29" s="6"/>
      <c r="C29" s="219"/>
      <c r="D29" s="213"/>
      <c r="E29" s="6"/>
      <c r="F29" s="6"/>
      <c r="G29" s="6"/>
      <c r="H29" s="6"/>
      <c r="I29" s="7"/>
      <c r="J29" s="8"/>
      <c r="K29" s="8"/>
      <c r="L29" s="8"/>
      <c r="M29" s="8"/>
      <c r="N29" s="8"/>
      <c r="O29" s="8"/>
      <c r="P29" s="9"/>
      <c r="Q29" s="9"/>
      <c r="R29" s="9"/>
      <c r="S29" s="9"/>
      <c r="T29" s="9"/>
    </row>
    <row r="30" spans="1:20" ht="26.25">
      <c r="A30" s="6"/>
      <c r="B30" s="6"/>
      <c r="C30" s="219"/>
      <c r="D30" s="213"/>
      <c r="E30" s="6"/>
      <c r="F30" s="6"/>
      <c r="G30" s="6"/>
      <c r="H30" s="6"/>
      <c r="I30" s="7"/>
      <c r="J30" s="8"/>
      <c r="K30" s="8"/>
      <c r="L30" s="8"/>
      <c r="M30" s="8"/>
      <c r="N30" s="8"/>
      <c r="O30" s="8"/>
      <c r="P30" s="9"/>
      <c r="Q30" s="9"/>
      <c r="R30" s="9"/>
      <c r="S30" s="9"/>
      <c r="T30" s="9"/>
    </row>
    <row r="31" spans="1:20" ht="26.25">
      <c r="A31" s="10"/>
      <c r="B31" s="10"/>
      <c r="C31" s="220"/>
      <c r="D31" s="213"/>
      <c r="E31" s="10"/>
      <c r="F31" s="10"/>
      <c r="G31" s="10"/>
      <c r="H31" s="10"/>
      <c r="I31" s="7"/>
      <c r="J31" s="8"/>
      <c r="K31" s="8"/>
      <c r="L31" s="8"/>
      <c r="M31" s="8"/>
      <c r="N31" s="8"/>
      <c r="O31" s="8"/>
      <c r="P31" s="9"/>
      <c r="Q31" s="9"/>
      <c r="R31" s="9"/>
      <c r="S31" s="9"/>
      <c r="T31" s="9"/>
    </row>
    <row r="32" spans="1:20" ht="26.25">
      <c r="A32" s="6"/>
      <c r="B32" s="6"/>
      <c r="C32" s="219"/>
      <c r="D32" s="213"/>
      <c r="E32" s="6"/>
      <c r="F32" s="6"/>
      <c r="G32" s="6"/>
      <c r="H32" s="6"/>
      <c r="I32" s="7"/>
      <c r="J32" s="8"/>
      <c r="K32" s="8"/>
      <c r="L32" s="8"/>
      <c r="M32" s="8"/>
      <c r="N32" s="8"/>
      <c r="O32" s="8"/>
      <c r="P32" s="9"/>
      <c r="Q32" s="9"/>
      <c r="R32" s="9"/>
      <c r="S32" s="9"/>
      <c r="T32" s="9"/>
    </row>
    <row r="33" spans="1:20" ht="26.25">
      <c r="A33" s="6"/>
      <c r="B33" s="6"/>
      <c r="C33" s="219"/>
      <c r="D33" s="213"/>
      <c r="E33" s="6"/>
      <c r="F33" s="6"/>
      <c r="G33" s="6"/>
      <c r="H33" s="6"/>
      <c r="I33" s="7"/>
      <c r="J33" s="8"/>
      <c r="K33" s="8"/>
      <c r="L33" s="8"/>
      <c r="M33" s="8"/>
      <c r="N33" s="8"/>
      <c r="O33" s="8"/>
      <c r="P33" s="9"/>
      <c r="Q33" s="9"/>
      <c r="R33" s="9"/>
      <c r="S33" s="9"/>
      <c r="T33" s="9"/>
    </row>
    <row r="34" spans="1:20" ht="26.25">
      <c r="A34" s="10"/>
      <c r="B34" s="10"/>
      <c r="C34" s="220"/>
      <c r="D34" s="213"/>
      <c r="E34" s="10"/>
      <c r="F34" s="10"/>
      <c r="G34" s="10"/>
      <c r="H34" s="10"/>
      <c r="I34" s="7"/>
      <c r="J34" s="8"/>
      <c r="K34" s="8"/>
      <c r="L34" s="8"/>
      <c r="M34" s="8"/>
      <c r="N34" s="8"/>
      <c r="O34" s="8"/>
      <c r="P34" s="9"/>
      <c r="Q34" s="9"/>
      <c r="R34" s="9"/>
      <c r="S34" s="9"/>
      <c r="T34" s="9"/>
    </row>
    <row r="35" spans="1:20" ht="26.25">
      <c r="A35" s="6"/>
      <c r="B35" s="6"/>
      <c r="C35" s="219"/>
      <c r="D35" s="213"/>
      <c r="E35" s="6"/>
      <c r="F35" s="6"/>
      <c r="G35" s="6"/>
      <c r="H35" s="6"/>
      <c r="I35" s="7"/>
      <c r="J35" s="8"/>
      <c r="K35" s="8"/>
      <c r="L35" s="8"/>
      <c r="M35" s="8"/>
      <c r="N35" s="8"/>
      <c r="O35" s="8"/>
      <c r="P35" s="9"/>
      <c r="Q35" s="9"/>
      <c r="R35" s="9"/>
      <c r="S35" s="9"/>
      <c r="T35" s="9"/>
    </row>
    <row r="36" spans="1:20" ht="26.25">
      <c r="A36" s="6"/>
      <c r="B36" s="6"/>
      <c r="C36" s="219"/>
      <c r="D36" s="213"/>
      <c r="E36" s="6"/>
      <c r="F36" s="6"/>
      <c r="G36" s="6"/>
      <c r="H36" s="6"/>
      <c r="I36" s="7"/>
      <c r="J36" s="8"/>
      <c r="K36" s="8"/>
      <c r="L36" s="8"/>
      <c r="M36" s="8"/>
      <c r="N36" s="8"/>
      <c r="O36" s="8"/>
      <c r="P36" s="9"/>
      <c r="Q36" s="9"/>
      <c r="R36" s="9"/>
      <c r="S36" s="9"/>
      <c r="T36" s="9"/>
    </row>
    <row r="37" spans="1:20" ht="26.25">
      <c r="A37" s="6"/>
      <c r="B37" s="6"/>
      <c r="C37" s="219"/>
      <c r="D37" s="213"/>
      <c r="E37" s="6"/>
      <c r="F37" s="6"/>
      <c r="G37" s="6"/>
      <c r="H37" s="6"/>
      <c r="I37" s="7"/>
      <c r="J37" s="8"/>
      <c r="K37" s="8"/>
      <c r="L37" s="8"/>
      <c r="M37" s="8"/>
      <c r="N37" s="8"/>
      <c r="O37" s="8"/>
      <c r="P37" s="9"/>
      <c r="Q37" s="9"/>
      <c r="R37" s="9"/>
      <c r="S37" s="9"/>
      <c r="T37" s="9"/>
    </row>
    <row r="38" spans="1:20" ht="26.25">
      <c r="A38" s="6"/>
      <c r="B38" s="6"/>
      <c r="C38" s="219"/>
      <c r="D38" s="213"/>
      <c r="E38" s="6"/>
      <c r="F38" s="6"/>
      <c r="G38" s="6"/>
      <c r="H38" s="6"/>
      <c r="I38" s="7"/>
      <c r="J38" s="8"/>
      <c r="K38" s="8"/>
      <c r="L38" s="8"/>
      <c r="M38" s="8"/>
      <c r="N38" s="8"/>
      <c r="O38" s="8"/>
      <c r="P38" s="9"/>
      <c r="Q38" s="9"/>
      <c r="R38" s="9"/>
      <c r="S38" s="9"/>
      <c r="T38" s="9"/>
    </row>
    <row r="39" spans="1:20" ht="26.25">
      <c r="A39" s="6"/>
      <c r="B39" s="6"/>
      <c r="C39" s="219"/>
      <c r="D39" s="213"/>
      <c r="E39" s="6"/>
      <c r="F39" s="6"/>
      <c r="G39" s="6"/>
      <c r="H39" s="6"/>
      <c r="I39" s="7"/>
      <c r="J39" s="8"/>
      <c r="K39" s="8"/>
      <c r="L39" s="8"/>
      <c r="M39" s="8"/>
      <c r="N39" s="8"/>
      <c r="O39" s="8"/>
      <c r="P39" s="9"/>
      <c r="Q39" s="9"/>
      <c r="R39" s="9"/>
      <c r="S39" s="9"/>
      <c r="T39" s="9"/>
    </row>
    <row r="40" spans="1:20" ht="26.25">
      <c r="A40" s="6"/>
      <c r="B40" s="6"/>
      <c r="C40" s="219"/>
      <c r="D40" s="213"/>
      <c r="E40" s="6"/>
      <c r="F40" s="6"/>
      <c r="G40" s="6"/>
      <c r="H40" s="6"/>
      <c r="I40" s="7"/>
      <c r="J40" s="8"/>
      <c r="K40" s="8"/>
      <c r="L40" s="8"/>
      <c r="M40" s="8"/>
      <c r="N40" s="8"/>
      <c r="O40" s="8"/>
      <c r="P40" s="9"/>
      <c r="Q40" s="9"/>
      <c r="R40" s="9"/>
      <c r="S40" s="9"/>
      <c r="T40" s="9"/>
    </row>
    <row r="41" spans="1:20" ht="26.25">
      <c r="A41" s="6"/>
      <c r="B41" s="6"/>
      <c r="C41" s="219"/>
      <c r="D41" s="213"/>
      <c r="E41" s="6"/>
      <c r="F41" s="6"/>
      <c r="G41" s="6"/>
      <c r="H41" s="6"/>
      <c r="I41" s="7"/>
      <c r="J41" s="8"/>
      <c r="K41" s="8"/>
      <c r="L41" s="8"/>
      <c r="M41" s="8"/>
      <c r="N41" s="8"/>
      <c r="O41" s="8"/>
      <c r="P41" s="9"/>
      <c r="Q41" s="9"/>
      <c r="R41" s="9"/>
      <c r="S41" s="9"/>
      <c r="T41" s="9"/>
    </row>
    <row r="42" spans="1:20" ht="26.25">
      <c r="A42" s="6"/>
      <c r="B42" s="6"/>
      <c r="C42" s="219"/>
      <c r="D42" s="213"/>
      <c r="E42" s="6"/>
      <c r="F42" s="6"/>
      <c r="G42" s="6"/>
      <c r="H42" s="6"/>
      <c r="I42" s="7"/>
      <c r="J42" s="8"/>
      <c r="K42" s="8"/>
      <c r="L42" s="8"/>
      <c r="M42" s="8"/>
      <c r="N42" s="8"/>
      <c r="O42" s="8"/>
      <c r="P42" s="9"/>
      <c r="Q42" s="9"/>
      <c r="R42" s="9"/>
      <c r="S42" s="9"/>
      <c r="T42" s="9"/>
    </row>
    <row r="43" spans="1:20" ht="25.5">
      <c r="A43" s="217"/>
      <c r="B43" s="217"/>
      <c r="C43" s="221"/>
      <c r="D43" s="218"/>
      <c r="E43" s="217"/>
      <c r="F43" s="217"/>
      <c r="G43" s="217"/>
      <c r="H43" s="217"/>
      <c r="I43" s="7"/>
      <c r="J43" s="8"/>
      <c r="K43" s="8"/>
      <c r="L43" s="8"/>
      <c r="M43" s="8"/>
      <c r="N43" s="8"/>
      <c r="O43" s="8"/>
      <c r="P43" s="9"/>
      <c r="Q43" s="9"/>
      <c r="R43" s="9"/>
      <c r="S43" s="9"/>
      <c r="T43" s="9"/>
    </row>
    <row r="44" spans="1:20" ht="26.25">
      <c r="A44" s="6"/>
      <c r="B44" s="6"/>
      <c r="C44" s="219"/>
      <c r="D44" s="213"/>
      <c r="E44" s="6"/>
      <c r="F44" s="6"/>
      <c r="G44" s="6"/>
      <c r="H44" s="6"/>
      <c r="I44" s="7"/>
      <c r="J44" s="8"/>
      <c r="K44" s="8"/>
      <c r="L44" s="8"/>
      <c r="M44" s="8"/>
      <c r="N44" s="8"/>
      <c r="O44" s="8"/>
      <c r="P44" s="9"/>
      <c r="Q44" s="9"/>
      <c r="R44" s="9"/>
      <c r="S44" s="9"/>
      <c r="T44" s="9"/>
    </row>
    <row r="45" spans="1:20" ht="26.25">
      <c r="A45" s="6"/>
      <c r="B45" s="6"/>
      <c r="C45" s="219"/>
      <c r="D45" s="213"/>
      <c r="E45" s="6"/>
      <c r="F45" s="6"/>
      <c r="G45" s="6"/>
      <c r="H45" s="6"/>
      <c r="I45" s="7"/>
      <c r="J45" s="8"/>
      <c r="K45" s="8"/>
      <c r="L45" s="8"/>
      <c r="M45" s="8"/>
      <c r="N45" s="8"/>
      <c r="O45" s="8"/>
      <c r="P45" s="9"/>
      <c r="Q45" s="9"/>
      <c r="R45" s="9"/>
      <c r="S45" s="9"/>
      <c r="T45" s="9"/>
    </row>
    <row r="46" spans="1:20" ht="26.25">
      <c r="A46" s="11"/>
      <c r="B46" s="11"/>
      <c r="C46" s="222"/>
      <c r="D46" s="214"/>
      <c r="E46" s="11"/>
      <c r="F46" s="11"/>
      <c r="G46" s="11"/>
      <c r="H46" s="11"/>
      <c r="I46" s="7"/>
      <c r="J46" s="8"/>
      <c r="K46" s="8"/>
      <c r="L46" s="8"/>
      <c r="M46" s="8"/>
      <c r="N46" s="8"/>
      <c r="O46" s="8"/>
      <c r="P46" s="9"/>
      <c r="Q46" s="9"/>
      <c r="R46" s="9"/>
      <c r="S46" s="9"/>
      <c r="T46" s="9"/>
    </row>
    <row r="47" spans="1:20" ht="26.25">
      <c r="A47" s="10"/>
      <c r="B47" s="10"/>
      <c r="C47" s="220"/>
      <c r="D47" s="213"/>
      <c r="E47" s="10"/>
      <c r="F47" s="10"/>
      <c r="G47" s="10"/>
      <c r="H47" s="10"/>
      <c r="I47" s="7"/>
      <c r="J47" s="9"/>
      <c r="K47" s="9"/>
      <c r="L47" s="8"/>
      <c r="M47" s="8"/>
      <c r="N47" s="8"/>
      <c r="O47" s="8"/>
      <c r="P47" s="9"/>
      <c r="Q47" s="9"/>
      <c r="R47" s="9"/>
      <c r="S47" s="9"/>
      <c r="T47" s="9"/>
    </row>
    <row r="48" spans="1:20" ht="26.25">
      <c r="A48" s="6"/>
      <c r="B48" s="6"/>
      <c r="C48" s="219"/>
      <c r="D48" s="213"/>
      <c r="E48" s="6"/>
      <c r="F48" s="6"/>
      <c r="G48" s="6"/>
      <c r="H48" s="6"/>
      <c r="I48" s="7"/>
      <c r="J48" s="8"/>
      <c r="K48" s="8"/>
      <c r="L48" s="8"/>
      <c r="M48" s="8"/>
      <c r="N48" s="8"/>
      <c r="O48" s="8"/>
      <c r="P48" s="9"/>
      <c r="Q48" s="9"/>
      <c r="R48" s="9"/>
      <c r="S48" s="9"/>
      <c r="T48" s="9"/>
    </row>
    <row r="49" spans="1:20" ht="26.25">
      <c r="A49" s="10"/>
      <c r="B49" s="10"/>
      <c r="C49" s="220"/>
      <c r="D49" s="213"/>
      <c r="E49" s="10"/>
      <c r="F49" s="10"/>
      <c r="G49" s="10"/>
      <c r="H49" s="10"/>
      <c r="I49" s="7"/>
      <c r="J49" s="9"/>
      <c r="K49" s="9"/>
      <c r="L49" s="8"/>
      <c r="M49" s="8"/>
      <c r="N49" s="8"/>
      <c r="O49" s="8"/>
      <c r="P49" s="9"/>
      <c r="Q49" s="9"/>
      <c r="R49" s="9"/>
      <c r="S49" s="9"/>
      <c r="T49" s="9"/>
    </row>
    <row r="50" spans="1:20" ht="26.25">
      <c r="A50" s="6"/>
      <c r="B50" s="6"/>
      <c r="C50" s="219"/>
      <c r="D50" s="213"/>
      <c r="E50" s="6"/>
      <c r="F50" s="6"/>
      <c r="G50" s="6"/>
      <c r="H50" s="6"/>
      <c r="I50" s="7"/>
      <c r="J50" s="8"/>
      <c r="K50" s="8"/>
      <c r="L50" s="8"/>
      <c r="M50" s="8"/>
      <c r="N50" s="8"/>
      <c r="O50" s="8"/>
      <c r="P50" s="9"/>
      <c r="Q50" s="9"/>
      <c r="R50" s="9"/>
      <c r="S50" s="9"/>
      <c r="T50" s="9"/>
    </row>
    <row r="51" spans="1:20" ht="26.25">
      <c r="A51" s="6"/>
      <c r="B51" s="6"/>
      <c r="C51" s="219"/>
      <c r="D51" s="213"/>
      <c r="E51" s="6"/>
      <c r="F51" s="6"/>
      <c r="G51" s="6"/>
      <c r="H51" s="6"/>
      <c r="I51" s="7"/>
      <c r="J51" s="8"/>
      <c r="K51" s="8"/>
      <c r="L51" s="8"/>
      <c r="M51" s="8"/>
      <c r="N51" s="8"/>
      <c r="O51" s="8"/>
      <c r="P51" s="9"/>
      <c r="Q51" s="9"/>
      <c r="R51" s="9"/>
      <c r="S51" s="9"/>
      <c r="T51" s="9"/>
    </row>
    <row r="52" spans="1:20" ht="26.25">
      <c r="A52" s="6"/>
      <c r="B52" s="6"/>
      <c r="C52" s="219"/>
      <c r="D52" s="213"/>
      <c r="E52" s="6"/>
      <c r="F52" s="6"/>
      <c r="G52" s="6"/>
      <c r="H52" s="6"/>
      <c r="I52" s="7"/>
      <c r="J52" s="8"/>
      <c r="K52" s="8"/>
      <c r="L52" s="8"/>
      <c r="M52" s="8"/>
      <c r="N52" s="8"/>
      <c r="O52" s="8"/>
      <c r="P52" s="9"/>
      <c r="Q52" s="9"/>
      <c r="R52" s="9"/>
      <c r="S52" s="9"/>
      <c r="T52" s="9"/>
    </row>
    <row r="53" spans="1:20" ht="26.25">
      <c r="A53" s="6"/>
      <c r="B53" s="6"/>
      <c r="C53" s="219"/>
      <c r="D53" s="213"/>
      <c r="E53" s="6"/>
      <c r="F53" s="6"/>
      <c r="G53" s="6"/>
      <c r="H53" s="6"/>
      <c r="I53" s="7"/>
      <c r="J53" s="9"/>
      <c r="K53" s="9"/>
      <c r="L53" s="8"/>
      <c r="M53" s="8"/>
      <c r="N53" s="8"/>
      <c r="O53" s="8"/>
      <c r="P53" s="9"/>
      <c r="Q53" s="9"/>
      <c r="R53" s="9"/>
      <c r="S53" s="9"/>
      <c r="T53" s="9"/>
    </row>
    <row r="54" spans="1:20" ht="26.25">
      <c r="A54" s="6"/>
      <c r="B54" s="6"/>
      <c r="C54" s="219"/>
      <c r="D54" s="213"/>
      <c r="E54" s="6"/>
      <c r="F54" s="6"/>
      <c r="G54" s="6"/>
      <c r="H54" s="6"/>
      <c r="I54" s="7"/>
      <c r="J54" s="9"/>
      <c r="K54" s="9"/>
      <c r="L54" s="8"/>
      <c r="M54" s="8"/>
      <c r="N54" s="8"/>
      <c r="O54" s="8"/>
      <c r="P54" s="9"/>
      <c r="Q54" s="9"/>
      <c r="R54" s="9"/>
      <c r="S54" s="9"/>
      <c r="T54" s="9"/>
    </row>
    <row r="55" spans="1:20" ht="26.25">
      <c r="A55" s="6"/>
      <c r="B55" s="6"/>
      <c r="C55" s="219"/>
      <c r="D55" s="213"/>
      <c r="E55" s="6"/>
      <c r="F55" s="6"/>
      <c r="G55" s="6"/>
      <c r="H55" s="6"/>
      <c r="I55" s="7"/>
      <c r="J55" s="9"/>
      <c r="K55" s="9"/>
      <c r="L55" s="8"/>
      <c r="M55" s="8"/>
      <c r="N55" s="8"/>
      <c r="O55" s="8"/>
      <c r="P55" s="9"/>
      <c r="Q55" s="9"/>
      <c r="R55" s="9"/>
      <c r="S55" s="9"/>
      <c r="T55" s="9"/>
    </row>
    <row r="56" spans="1:20" ht="26.25">
      <c r="A56" s="12"/>
      <c r="B56" s="12"/>
      <c r="C56" s="223"/>
      <c r="D56" s="215"/>
      <c r="E56" s="12"/>
      <c r="F56" s="12"/>
      <c r="G56" s="12"/>
      <c r="H56" s="12"/>
      <c r="I56" s="13"/>
      <c r="J56" s="14"/>
      <c r="K56" s="14"/>
      <c r="L56" s="8"/>
      <c r="M56" s="8"/>
      <c r="N56" s="8"/>
      <c r="O56" s="8"/>
      <c r="P56" s="14"/>
      <c r="Q56" s="9"/>
      <c r="R56" s="9"/>
      <c r="S56" s="9"/>
      <c r="T56" s="9"/>
    </row>
  </sheetData>
  <mergeCells count="1">
    <mergeCell ref="A1:S1"/>
  </mergeCells>
  <conditionalFormatting sqref="P3:T56">
    <cfRule type="expression" dxfId="2" priority="1">
      <formula>P3="NON"</formula>
    </cfRule>
  </conditionalFormatting>
  <conditionalFormatting sqref="J3:J56 L3:O56">
    <cfRule type="expression" dxfId="1" priority="6">
      <formula>(J3+90)&lt;$T$1</formula>
    </cfRule>
  </conditionalFormatting>
  <conditionalFormatting sqref="K3:K56">
    <cfRule type="expression" dxfId="0" priority="7">
      <formula>K3&lt;=$T$1</formula>
    </cfRule>
  </conditionalFormatting>
  <pageMargins left="0.7" right="0.7" top="0.75" bottom="0.75" header="0.3" footer="0.3"/>
  <tableParts count="1">
    <tablePart r:id="rId1"/>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DONNEES!$F$2:$F$4</xm:f>
          </x14:formula1>
          <xm:sqref>D3:D28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5"/>
  <dimension ref="B1:AO51"/>
  <sheetViews>
    <sheetView tabSelected="1" zoomScale="70" zoomScaleNormal="70" workbookViewId="0">
      <selection activeCell="P2" sqref="P2"/>
    </sheetView>
  </sheetViews>
  <sheetFormatPr baseColWidth="10" defaultRowHeight="15"/>
  <cols>
    <col min="1" max="1" width="8.5703125" customWidth="1"/>
    <col min="2" max="2" width="11.85546875" customWidth="1"/>
    <col min="3" max="3" width="4.5703125" customWidth="1"/>
    <col min="4" max="4" width="11.85546875" customWidth="1"/>
    <col min="5" max="5" width="3.42578125" customWidth="1"/>
    <col min="6" max="6" width="11.85546875" customWidth="1"/>
    <col min="7" max="7" width="4.85546875" customWidth="1"/>
    <col min="8" max="8" width="11.85546875" customWidth="1"/>
    <col min="9" max="9" width="4.7109375" customWidth="1"/>
    <col min="10" max="10" width="11.85546875" customWidth="1"/>
    <col min="11" max="11" width="3.85546875" customWidth="1"/>
    <col min="12" max="12" width="11.85546875" customWidth="1"/>
    <col min="13" max="13" width="3.42578125" customWidth="1"/>
    <col min="14" max="14" width="11.42578125" customWidth="1"/>
    <col min="15" max="15" width="11.85546875" customWidth="1"/>
    <col min="16" max="16" width="23" bestFit="1" customWidth="1"/>
    <col min="17" max="18" width="11.85546875" customWidth="1"/>
    <col min="19" max="19" width="35.28515625" bestFit="1" customWidth="1"/>
    <col min="20" max="20" width="11.85546875" customWidth="1"/>
    <col min="21" max="21" width="31" bestFit="1" customWidth="1"/>
    <col min="22" max="23" width="11.85546875" customWidth="1"/>
    <col min="24" max="24" width="22.85546875" bestFit="1" customWidth="1"/>
    <col min="25" max="27" width="11.85546875" customWidth="1"/>
    <col min="28" max="28" width="15.7109375" bestFit="1" customWidth="1"/>
    <col min="29" max="29" width="15.28515625" customWidth="1"/>
    <col min="30" max="30" width="18.140625" customWidth="1"/>
    <col min="31" max="31" width="22" customWidth="1"/>
    <col min="33" max="34" width="13.28515625" customWidth="1"/>
    <col min="35" max="35" width="17.140625" customWidth="1"/>
    <col min="36" max="36" width="13.28515625" customWidth="1"/>
    <col min="38" max="38" width="12.85546875" customWidth="1"/>
    <col min="39" max="39" width="13.28515625" customWidth="1"/>
    <col min="42" max="42" width="16.5703125" customWidth="1"/>
    <col min="43" max="43" width="13" customWidth="1"/>
    <col min="44" max="44" width="16.5703125" customWidth="1"/>
    <col min="45" max="45" width="14.85546875" customWidth="1"/>
    <col min="46" max="46" width="34.140625" customWidth="1"/>
    <col min="47" max="47" width="23.85546875" customWidth="1"/>
    <col min="49" max="49" width="15.85546875" customWidth="1"/>
    <col min="50" max="50" width="18.42578125" customWidth="1"/>
    <col min="51" max="51" width="14.28515625" customWidth="1"/>
    <col min="52" max="52" width="12.85546875" customWidth="1"/>
  </cols>
  <sheetData>
    <row r="1" spans="2:41" ht="31.5" thickTop="1" thickBot="1">
      <c r="B1" s="44" t="s">
        <v>21</v>
      </c>
      <c r="C1" s="44"/>
      <c r="D1" s="44" t="s">
        <v>17</v>
      </c>
      <c r="E1" s="44"/>
      <c r="F1" s="44" t="s">
        <v>37</v>
      </c>
      <c r="G1" s="44"/>
      <c r="H1" s="44" t="s">
        <v>38</v>
      </c>
      <c r="I1" s="44"/>
      <c r="J1" s="44" t="s">
        <v>143</v>
      </c>
      <c r="K1" s="44"/>
      <c r="L1" s="247" t="s">
        <v>23</v>
      </c>
      <c r="N1" s="44" t="s">
        <v>39</v>
      </c>
      <c r="O1" s="307" t="s">
        <v>197</v>
      </c>
      <c r="P1" s="251" t="s">
        <v>171</v>
      </c>
      <c r="Q1" s="252" t="s">
        <v>172</v>
      </c>
      <c r="R1" s="253" t="s">
        <v>173</v>
      </c>
      <c r="S1" s="252" t="s">
        <v>174</v>
      </c>
      <c r="T1" s="253" t="s">
        <v>175</v>
      </c>
      <c r="U1" s="252" t="s">
        <v>176</v>
      </c>
      <c r="V1" s="254" t="s">
        <v>177</v>
      </c>
      <c r="W1" s="252" t="s">
        <v>183</v>
      </c>
      <c r="X1" s="254" t="s">
        <v>178</v>
      </c>
      <c r="Y1" s="252" t="s">
        <v>182</v>
      </c>
      <c r="Z1" s="254" t="s">
        <v>179</v>
      </c>
      <c r="AA1" s="255" t="s">
        <v>181</v>
      </c>
      <c r="AB1" s="254" t="s">
        <v>180</v>
      </c>
      <c r="AC1" s="252" t="s">
        <v>184</v>
      </c>
      <c r="AD1" s="254" t="s">
        <v>185</v>
      </c>
      <c r="AE1" s="255" t="s">
        <v>186</v>
      </c>
      <c r="AF1" s="254" t="s">
        <v>187</v>
      </c>
      <c r="AG1" s="252" t="s">
        <v>188</v>
      </c>
      <c r="AH1" s="254" t="s">
        <v>189</v>
      </c>
      <c r="AI1" s="252" t="s">
        <v>192</v>
      </c>
      <c r="AJ1" s="254" t="s">
        <v>190</v>
      </c>
      <c r="AK1" s="255" t="s">
        <v>191</v>
      </c>
      <c r="AL1" s="254" t="s">
        <v>193</v>
      </c>
      <c r="AM1" s="255" t="s">
        <v>194</v>
      </c>
      <c r="AN1" s="253" t="s">
        <v>195</v>
      </c>
      <c r="AO1" s="256" t="s">
        <v>196</v>
      </c>
    </row>
    <row r="2" spans="2:41" ht="15.75" thickTop="1">
      <c r="B2" t="s">
        <v>160</v>
      </c>
      <c r="D2" t="s">
        <v>159</v>
      </c>
      <c r="F2" t="s">
        <v>12</v>
      </c>
      <c r="H2" t="s">
        <v>6</v>
      </c>
      <c r="J2" t="s">
        <v>144</v>
      </c>
      <c r="L2" s="245" t="s">
        <v>221</v>
      </c>
      <c r="N2" s="45">
        <f ca="1">TODAY()</f>
        <v>44123</v>
      </c>
      <c r="O2" s="308"/>
      <c r="P2" t="s">
        <v>68</v>
      </c>
      <c r="S2" t="s">
        <v>75</v>
      </c>
      <c r="U2" t="s">
        <v>74</v>
      </c>
      <c r="X2" t="s">
        <v>85</v>
      </c>
      <c r="AB2" t="s">
        <v>100</v>
      </c>
      <c r="AO2" s="257"/>
    </row>
    <row r="3" spans="2:41">
      <c r="B3" t="s">
        <v>22</v>
      </c>
      <c r="D3" t="s">
        <v>158</v>
      </c>
      <c r="F3" t="s">
        <v>40</v>
      </c>
      <c r="H3" t="s">
        <v>5</v>
      </c>
      <c r="J3" t="s">
        <v>145</v>
      </c>
      <c r="L3" s="246" t="s">
        <v>201</v>
      </c>
      <c r="O3" s="308"/>
      <c r="P3" t="s">
        <v>70</v>
      </c>
      <c r="S3" t="s">
        <v>77</v>
      </c>
      <c r="X3" t="s">
        <v>88</v>
      </c>
      <c r="AB3" t="s">
        <v>102</v>
      </c>
      <c r="AO3" s="257"/>
    </row>
    <row r="4" spans="2:41">
      <c r="B4" t="s">
        <v>161</v>
      </c>
      <c r="D4" t="s">
        <v>145</v>
      </c>
      <c r="H4" s="44"/>
      <c r="L4" s="248" t="s">
        <v>202</v>
      </c>
      <c r="O4" s="308"/>
      <c r="P4" t="s">
        <v>218</v>
      </c>
      <c r="S4" t="s">
        <v>79</v>
      </c>
      <c r="X4" t="s">
        <v>90</v>
      </c>
      <c r="AB4" t="s">
        <v>90</v>
      </c>
      <c r="AO4" s="257"/>
    </row>
    <row r="5" spans="2:41">
      <c r="B5" t="s">
        <v>162</v>
      </c>
      <c r="D5" t="s">
        <v>41</v>
      </c>
      <c r="L5" t="s">
        <v>203</v>
      </c>
      <c r="O5" s="308"/>
      <c r="P5" t="s">
        <v>73</v>
      </c>
      <c r="S5" t="s">
        <v>81</v>
      </c>
      <c r="X5" t="s">
        <v>92</v>
      </c>
      <c r="AB5" t="s">
        <v>104</v>
      </c>
      <c r="AO5" s="257"/>
    </row>
    <row r="6" spans="2:41">
      <c r="B6" t="s">
        <v>163</v>
      </c>
      <c r="D6" t="s">
        <v>42</v>
      </c>
      <c r="O6" s="308"/>
      <c r="S6" t="s">
        <v>82</v>
      </c>
      <c r="X6" t="s">
        <v>94</v>
      </c>
      <c r="AB6" t="s">
        <v>90</v>
      </c>
      <c r="AO6" s="257"/>
    </row>
    <row r="7" spans="2:41">
      <c r="B7" t="s">
        <v>43</v>
      </c>
      <c r="D7" t="s">
        <v>25</v>
      </c>
      <c r="O7" s="308"/>
      <c r="X7" t="s">
        <v>97</v>
      </c>
      <c r="AB7" t="s">
        <v>107</v>
      </c>
      <c r="AO7" s="257"/>
    </row>
    <row r="8" spans="2:41">
      <c r="B8" t="s">
        <v>164</v>
      </c>
      <c r="O8" s="308"/>
      <c r="AB8" t="s">
        <v>102</v>
      </c>
      <c r="AO8" s="257"/>
    </row>
    <row r="9" spans="2:41">
      <c r="B9" t="s">
        <v>165</v>
      </c>
      <c r="O9" s="308"/>
      <c r="AB9" t="s">
        <v>102</v>
      </c>
      <c r="AO9" s="257"/>
    </row>
    <row r="10" spans="2:41">
      <c r="O10" s="308"/>
      <c r="AB10" t="s">
        <v>109</v>
      </c>
      <c r="AO10" s="257"/>
    </row>
    <row r="11" spans="2:41">
      <c r="O11" s="308"/>
      <c r="AB11" t="s">
        <v>20</v>
      </c>
      <c r="AO11" s="257"/>
    </row>
    <row r="12" spans="2:41">
      <c r="O12" s="308"/>
      <c r="AB12" t="s">
        <v>112</v>
      </c>
      <c r="AO12" s="257"/>
    </row>
    <row r="13" spans="2:41">
      <c r="O13" s="308"/>
      <c r="AB13" t="s">
        <v>114</v>
      </c>
      <c r="AO13" s="257"/>
    </row>
    <row r="14" spans="2:41">
      <c r="O14" s="308"/>
      <c r="AB14" t="s">
        <v>114</v>
      </c>
      <c r="AO14" s="257"/>
    </row>
    <row r="15" spans="2:41">
      <c r="O15" s="308"/>
      <c r="AO15" s="257"/>
    </row>
    <row r="16" spans="2:41">
      <c r="O16" s="308"/>
      <c r="AO16" s="257"/>
    </row>
    <row r="17" spans="4:41">
      <c r="O17" s="308"/>
      <c r="AO17" s="257"/>
    </row>
    <row r="18" spans="4:41">
      <c r="O18" s="308"/>
      <c r="AO18" s="257"/>
    </row>
    <row r="19" spans="4:41">
      <c r="O19" s="308"/>
      <c r="AO19" s="257"/>
    </row>
    <row r="20" spans="4:41" ht="15.75" thickBot="1">
      <c r="O20" s="309"/>
      <c r="P20" s="250"/>
      <c r="Q20" s="250"/>
      <c r="R20" s="250"/>
      <c r="S20" s="250"/>
      <c r="T20" s="250"/>
      <c r="U20" s="250"/>
      <c r="V20" s="250"/>
      <c r="W20" s="250"/>
      <c r="X20" s="250"/>
      <c r="Y20" s="250"/>
      <c r="Z20" s="250"/>
      <c r="AA20" s="250"/>
      <c r="AB20" s="250"/>
      <c r="AC20" s="250"/>
      <c r="AD20" s="250"/>
      <c r="AE20" s="250"/>
      <c r="AF20" s="250"/>
      <c r="AG20" s="250"/>
      <c r="AH20" s="250"/>
      <c r="AI20" s="250"/>
      <c r="AJ20" s="250"/>
      <c r="AK20" s="250"/>
      <c r="AL20" s="250"/>
      <c r="AM20" s="250"/>
      <c r="AN20" s="250"/>
      <c r="AO20" s="258"/>
    </row>
    <row r="21" spans="4:41" ht="15.75" thickTop="1">
      <c r="O21" s="304" t="s">
        <v>21</v>
      </c>
      <c r="P21" s="27" t="s">
        <v>160</v>
      </c>
      <c r="Q21" s="27"/>
      <c r="R21" s="27"/>
      <c r="S21" s="27" t="s">
        <v>161</v>
      </c>
      <c r="T21" s="27"/>
      <c r="U21" s="27" t="s">
        <v>161</v>
      </c>
      <c r="V21" s="27"/>
      <c r="W21" s="27"/>
      <c r="X21" s="27" t="s">
        <v>162</v>
      </c>
      <c r="Y21" s="27"/>
      <c r="Z21" s="27"/>
      <c r="AA21" s="27"/>
      <c r="AB21" s="27" t="s">
        <v>43</v>
      </c>
      <c r="AC21" s="27"/>
      <c r="AD21" s="27"/>
      <c r="AE21" s="27"/>
      <c r="AF21" s="27"/>
      <c r="AG21" s="27"/>
      <c r="AH21" s="27"/>
      <c r="AI21" s="27"/>
      <c r="AJ21" s="27"/>
      <c r="AK21" s="27"/>
      <c r="AL21" s="27"/>
      <c r="AM21" s="27"/>
      <c r="AN21" s="27"/>
      <c r="AO21" s="257"/>
    </row>
    <row r="22" spans="4:41">
      <c r="O22" s="305"/>
      <c r="P22" t="s">
        <v>22</v>
      </c>
      <c r="S22" t="s">
        <v>162</v>
      </c>
      <c r="AB22" t="s">
        <v>164</v>
      </c>
      <c r="AO22" s="257"/>
    </row>
    <row r="23" spans="4:41">
      <c r="O23" s="305"/>
      <c r="AO23" s="257"/>
    </row>
    <row r="24" spans="4:41">
      <c r="O24" s="305"/>
      <c r="AO24" s="257"/>
    </row>
    <row r="25" spans="4:41">
      <c r="O25" s="305"/>
      <c r="AO25" s="257"/>
    </row>
    <row r="26" spans="4:41">
      <c r="O26" s="305"/>
      <c r="AO26" s="257"/>
    </row>
    <row r="27" spans="4:41">
      <c r="O27" s="305"/>
      <c r="AO27" s="257"/>
    </row>
    <row r="28" spans="4:41">
      <c r="O28" s="305"/>
      <c r="AO28" s="257"/>
    </row>
    <row r="29" spans="4:41">
      <c r="O29" s="305"/>
      <c r="AO29" s="257"/>
    </row>
    <row r="30" spans="4:41" ht="15.75" thickBot="1">
      <c r="O30" s="306"/>
      <c r="P30" s="250"/>
      <c r="Q30" s="250"/>
      <c r="R30" s="250"/>
      <c r="S30" s="250" t="s">
        <v>160</v>
      </c>
      <c r="T30" s="250"/>
      <c r="U30" s="250"/>
      <c r="V30" s="250"/>
      <c r="W30" s="250"/>
      <c r="X30" s="250"/>
      <c r="Y30" s="250"/>
      <c r="Z30" s="250"/>
      <c r="AA30" s="250"/>
      <c r="AB30" s="250"/>
      <c r="AC30" s="250"/>
      <c r="AD30" s="250"/>
      <c r="AE30" s="250"/>
      <c r="AF30" s="250"/>
      <c r="AG30" s="250"/>
      <c r="AH30" s="250"/>
      <c r="AI30" s="250"/>
      <c r="AJ30" s="250"/>
      <c r="AK30" s="250"/>
      <c r="AL30" s="250"/>
      <c r="AM30" s="250"/>
      <c r="AN30" s="250"/>
      <c r="AO30" s="258"/>
    </row>
    <row r="31" spans="4:41" ht="15.75" thickTop="1">
      <c r="O31" s="310" t="s">
        <v>23</v>
      </c>
      <c r="P31" s="27" t="s">
        <v>221</v>
      </c>
      <c r="Q31" s="27"/>
      <c r="R31" s="27"/>
      <c r="S31" s="27" t="s">
        <v>221</v>
      </c>
      <c r="T31" s="27"/>
      <c r="U31" s="27" t="s">
        <v>201</v>
      </c>
      <c r="V31" s="27"/>
      <c r="W31" s="27"/>
      <c r="X31" s="27" t="s">
        <v>202</v>
      </c>
      <c r="Y31" s="27"/>
      <c r="Z31" s="27"/>
      <c r="AA31" s="27"/>
      <c r="AB31" s="27" t="s">
        <v>202</v>
      </c>
      <c r="AC31" s="27"/>
      <c r="AD31" s="27"/>
      <c r="AE31" s="27"/>
      <c r="AF31" s="27"/>
      <c r="AG31" s="27"/>
      <c r="AH31" s="27"/>
      <c r="AI31" s="27"/>
      <c r="AJ31" s="27"/>
      <c r="AK31" s="27"/>
      <c r="AL31" s="27"/>
      <c r="AM31" s="27"/>
      <c r="AN31" s="27"/>
      <c r="AO31" s="257"/>
    </row>
    <row r="32" spans="4:41">
      <c r="D32" s="249"/>
      <c r="O32" s="311"/>
      <c r="P32" s="27" t="s">
        <v>221</v>
      </c>
      <c r="Q32" s="27"/>
      <c r="R32" s="27"/>
      <c r="S32" s="27" t="s">
        <v>201</v>
      </c>
      <c r="T32" s="27"/>
      <c r="U32" s="27"/>
      <c r="V32" s="27"/>
      <c r="W32" s="27"/>
      <c r="X32" s="27"/>
      <c r="Y32" s="27"/>
      <c r="Z32" s="27"/>
      <c r="AA32" s="27"/>
      <c r="AB32" s="27" t="s">
        <v>203</v>
      </c>
      <c r="AC32" s="27"/>
      <c r="AD32" s="27"/>
      <c r="AE32" s="27"/>
      <c r="AF32" s="27"/>
      <c r="AG32" s="27"/>
      <c r="AH32" s="27"/>
      <c r="AI32" s="27"/>
      <c r="AJ32" s="27"/>
      <c r="AK32" s="27"/>
      <c r="AL32" s="27"/>
      <c r="AM32" s="27"/>
      <c r="AN32" s="27"/>
      <c r="AO32" s="257"/>
    </row>
    <row r="33" spans="15:41">
      <c r="O33" s="311"/>
      <c r="P33" s="27" t="s">
        <v>221</v>
      </c>
      <c r="Q33" s="27"/>
      <c r="R33" s="27"/>
      <c r="S33" s="27" t="s">
        <v>202</v>
      </c>
      <c r="T33" s="27"/>
      <c r="U33" s="27"/>
      <c r="V33" s="27"/>
      <c r="W33" s="27"/>
      <c r="X33" s="27"/>
      <c r="Y33" s="27"/>
      <c r="Z33" s="27"/>
      <c r="AA33" s="27"/>
      <c r="AB33" s="27"/>
      <c r="AC33" s="27"/>
      <c r="AD33" s="27"/>
      <c r="AE33" s="27"/>
      <c r="AF33" s="27"/>
      <c r="AG33" s="27"/>
      <c r="AH33" s="27"/>
      <c r="AI33" s="27"/>
      <c r="AJ33" s="27"/>
      <c r="AK33" s="27"/>
      <c r="AL33" s="27"/>
      <c r="AM33" s="27"/>
      <c r="AN33" s="27"/>
      <c r="AO33" s="257"/>
    </row>
    <row r="34" spans="15:41">
      <c r="O34" s="311"/>
      <c r="P34" s="27" t="s">
        <v>221</v>
      </c>
      <c r="Q34" s="27"/>
      <c r="R34" s="27"/>
      <c r="S34" s="27"/>
      <c r="T34" s="27"/>
      <c r="U34" s="27"/>
      <c r="V34" s="27"/>
      <c r="W34" s="27"/>
      <c r="X34" s="27"/>
      <c r="Y34" s="27"/>
      <c r="Z34" s="27"/>
      <c r="AA34" s="27"/>
      <c r="AB34" s="27"/>
      <c r="AC34" s="27"/>
      <c r="AD34" s="27"/>
      <c r="AE34" s="27"/>
      <c r="AF34" s="27"/>
      <c r="AG34" s="27"/>
      <c r="AH34" s="27"/>
      <c r="AI34" s="27"/>
      <c r="AJ34" s="27"/>
      <c r="AK34" s="27"/>
      <c r="AL34" s="27"/>
      <c r="AM34" s="27"/>
      <c r="AN34" s="27"/>
      <c r="AO34" s="257"/>
    </row>
    <row r="35" spans="15:41">
      <c r="O35" s="311"/>
      <c r="P35" s="27" t="s">
        <v>221</v>
      </c>
      <c r="Q35" s="27"/>
      <c r="R35" s="27"/>
      <c r="S35" s="27"/>
      <c r="T35" s="27"/>
      <c r="U35" s="27"/>
      <c r="V35" s="27"/>
      <c r="W35" s="27"/>
      <c r="X35" s="27"/>
      <c r="Y35" s="27"/>
      <c r="Z35" s="27"/>
      <c r="AA35" s="27"/>
      <c r="AB35" s="27"/>
      <c r="AC35" s="27"/>
      <c r="AD35" s="27"/>
      <c r="AE35" s="27"/>
      <c r="AF35" s="27"/>
      <c r="AG35" s="27"/>
      <c r="AH35" s="27"/>
      <c r="AI35" s="27"/>
      <c r="AJ35" s="27"/>
      <c r="AK35" s="27"/>
      <c r="AL35" s="27"/>
      <c r="AM35" s="27"/>
      <c r="AN35" s="27"/>
      <c r="AO35" s="257"/>
    </row>
    <row r="36" spans="15:41">
      <c r="O36" s="311"/>
      <c r="P36" s="27" t="s">
        <v>221</v>
      </c>
      <c r="Q36" s="27"/>
      <c r="R36" s="27"/>
      <c r="S36" s="27"/>
      <c r="T36" s="27"/>
      <c r="U36" s="27"/>
      <c r="V36" s="27"/>
      <c r="W36" s="27"/>
      <c r="X36" s="27"/>
      <c r="Y36" s="27"/>
      <c r="Z36" s="27"/>
      <c r="AA36" s="27"/>
      <c r="AB36" s="27"/>
      <c r="AC36" s="27"/>
      <c r="AD36" s="27"/>
      <c r="AE36" s="27"/>
      <c r="AF36" s="27"/>
      <c r="AG36" s="27"/>
      <c r="AH36" s="27"/>
      <c r="AI36" s="27"/>
      <c r="AJ36" s="27"/>
      <c r="AK36" s="27"/>
      <c r="AL36" s="27"/>
      <c r="AM36" s="27"/>
      <c r="AN36" s="27"/>
      <c r="AO36" s="257"/>
    </row>
    <row r="37" spans="15:41">
      <c r="O37" s="311"/>
      <c r="P37" s="27" t="s">
        <v>221</v>
      </c>
      <c r="Q37" s="27"/>
      <c r="R37" s="27"/>
      <c r="S37" s="27"/>
      <c r="T37" s="27"/>
      <c r="U37" s="27"/>
      <c r="V37" s="27"/>
      <c r="W37" s="27"/>
      <c r="X37" s="27"/>
      <c r="Y37" s="27"/>
      <c r="Z37" s="27"/>
      <c r="AA37" s="27"/>
      <c r="AB37" s="27"/>
      <c r="AC37" s="27"/>
      <c r="AD37" s="27"/>
      <c r="AE37" s="27"/>
      <c r="AF37" s="27"/>
      <c r="AG37" s="27"/>
      <c r="AH37" s="27"/>
      <c r="AI37" s="27"/>
      <c r="AJ37" s="27"/>
      <c r="AK37" s="27"/>
      <c r="AL37" s="27"/>
      <c r="AM37" s="27"/>
      <c r="AN37" s="27"/>
      <c r="AO37" s="257"/>
    </row>
    <row r="38" spans="15:41">
      <c r="O38" s="311"/>
      <c r="P38" s="27" t="s">
        <v>221</v>
      </c>
      <c r="Q38" s="27"/>
      <c r="R38" s="27"/>
      <c r="S38" s="27"/>
      <c r="T38" s="27"/>
      <c r="U38" s="27"/>
      <c r="V38" s="27"/>
      <c r="W38" s="27"/>
      <c r="X38" s="27"/>
      <c r="Y38" s="27"/>
      <c r="Z38" s="27"/>
      <c r="AA38" s="27"/>
      <c r="AB38" s="27"/>
      <c r="AC38" s="27"/>
      <c r="AD38" s="27"/>
      <c r="AE38" s="27"/>
      <c r="AF38" s="27"/>
      <c r="AG38" s="27"/>
      <c r="AH38" s="27"/>
      <c r="AI38" s="27"/>
      <c r="AJ38" s="27"/>
      <c r="AK38" s="27"/>
      <c r="AL38" s="27"/>
      <c r="AM38" s="27"/>
      <c r="AN38" s="27"/>
      <c r="AO38" s="257"/>
    </row>
    <row r="39" spans="15:41">
      <c r="O39" s="311"/>
      <c r="P39" s="27" t="s">
        <v>221</v>
      </c>
      <c r="Q39" s="27"/>
      <c r="R39" s="27"/>
      <c r="S39" s="27"/>
      <c r="T39" s="27"/>
      <c r="U39" s="27"/>
      <c r="V39" s="27"/>
      <c r="W39" s="27"/>
      <c r="X39" s="27"/>
      <c r="Y39" s="27"/>
      <c r="Z39" s="27"/>
      <c r="AA39" s="27"/>
      <c r="AB39" s="27"/>
      <c r="AC39" s="27"/>
      <c r="AD39" s="27"/>
      <c r="AE39" s="27"/>
      <c r="AF39" s="27"/>
      <c r="AG39" s="27"/>
      <c r="AH39" s="27"/>
      <c r="AI39" s="27"/>
      <c r="AJ39" s="27"/>
      <c r="AK39" s="27"/>
      <c r="AL39" s="27"/>
      <c r="AM39" s="27"/>
      <c r="AN39" s="27"/>
      <c r="AO39" s="257"/>
    </row>
    <row r="40" spans="15:41">
      <c r="O40" s="311"/>
      <c r="P40" s="27" t="s">
        <v>221</v>
      </c>
      <c r="Q40" s="27"/>
      <c r="R40" s="27"/>
      <c r="S40" s="27"/>
      <c r="T40" s="27"/>
      <c r="U40" s="27"/>
      <c r="V40" s="27"/>
      <c r="W40" s="27"/>
      <c r="X40" s="27"/>
      <c r="Y40" s="27"/>
      <c r="Z40" s="27"/>
      <c r="AA40" s="27"/>
      <c r="AB40" s="27"/>
      <c r="AC40" s="27"/>
      <c r="AD40" s="27"/>
      <c r="AE40" s="27"/>
      <c r="AF40" s="27"/>
      <c r="AG40" s="27"/>
      <c r="AH40" s="27"/>
      <c r="AI40" s="27"/>
      <c r="AJ40" s="27"/>
      <c r="AK40" s="27"/>
      <c r="AL40" s="27"/>
      <c r="AM40" s="27"/>
      <c r="AN40" s="27"/>
      <c r="AO40" s="257"/>
    </row>
    <row r="41" spans="15:41">
      <c r="O41" s="311"/>
      <c r="P41" s="27" t="s">
        <v>221</v>
      </c>
      <c r="Q41" s="27"/>
      <c r="R41" s="27"/>
      <c r="S41" s="27"/>
      <c r="T41" s="27"/>
      <c r="U41" s="27"/>
      <c r="V41" s="27"/>
      <c r="W41" s="27"/>
      <c r="X41" s="27"/>
      <c r="Y41" s="27"/>
      <c r="Z41" s="27"/>
      <c r="AA41" s="27"/>
      <c r="AB41" s="27"/>
      <c r="AC41" s="27"/>
      <c r="AD41" s="27"/>
      <c r="AE41" s="27"/>
      <c r="AF41" s="27"/>
      <c r="AG41" s="27"/>
      <c r="AH41" s="27"/>
      <c r="AI41" s="27"/>
      <c r="AJ41" s="27"/>
      <c r="AK41" s="27"/>
      <c r="AL41" s="27"/>
      <c r="AM41" s="27"/>
      <c r="AN41" s="27"/>
      <c r="AO41" s="257"/>
    </row>
    <row r="42" spans="15:41">
      <c r="O42" s="311"/>
      <c r="P42" s="27" t="s">
        <v>221</v>
      </c>
      <c r="Q42" s="27"/>
      <c r="R42" s="27"/>
      <c r="S42" s="27"/>
      <c r="T42" s="27"/>
      <c r="U42" s="27"/>
      <c r="V42" s="27"/>
      <c r="W42" s="27"/>
      <c r="X42" s="27"/>
      <c r="Y42" s="27"/>
      <c r="Z42" s="27"/>
      <c r="AA42" s="27"/>
      <c r="AB42" s="27"/>
      <c r="AC42" s="27"/>
      <c r="AD42" s="27"/>
      <c r="AE42" s="27"/>
      <c r="AF42" s="27"/>
      <c r="AG42" s="27"/>
      <c r="AH42" s="27"/>
      <c r="AI42" s="27"/>
      <c r="AJ42" s="27"/>
      <c r="AK42" s="27"/>
      <c r="AL42" s="27"/>
      <c r="AM42" s="27"/>
      <c r="AN42" s="27"/>
      <c r="AO42" s="257"/>
    </row>
    <row r="43" spans="15:41">
      <c r="O43" s="311"/>
      <c r="P43" s="27" t="s">
        <v>221</v>
      </c>
      <c r="Q43" s="27"/>
      <c r="R43" s="27"/>
      <c r="S43" s="27"/>
      <c r="T43" s="27"/>
      <c r="U43" s="27"/>
      <c r="V43" s="27"/>
      <c r="W43" s="27"/>
      <c r="X43" s="27"/>
      <c r="Y43" s="27"/>
      <c r="Z43" s="27"/>
      <c r="AA43" s="27"/>
      <c r="AB43" s="27"/>
      <c r="AC43" s="27"/>
      <c r="AD43" s="27"/>
      <c r="AE43" s="27"/>
      <c r="AF43" s="27"/>
      <c r="AG43" s="27"/>
      <c r="AH43" s="27"/>
      <c r="AI43" s="27"/>
      <c r="AJ43" s="27"/>
      <c r="AK43" s="27"/>
      <c r="AL43" s="27"/>
      <c r="AM43" s="27"/>
      <c r="AN43" s="27"/>
      <c r="AO43" s="257"/>
    </row>
    <row r="44" spans="15:41">
      <c r="O44" s="311"/>
      <c r="P44" s="27" t="s">
        <v>221</v>
      </c>
      <c r="Q44" s="27"/>
      <c r="R44" s="27"/>
      <c r="S44" s="27"/>
      <c r="T44" s="27"/>
      <c r="U44" s="27"/>
      <c r="V44" s="27"/>
      <c r="W44" s="27"/>
      <c r="X44" s="27"/>
      <c r="Y44" s="27"/>
      <c r="Z44" s="27"/>
      <c r="AA44" s="27"/>
      <c r="AB44" s="27"/>
      <c r="AC44" s="27"/>
      <c r="AD44" s="27"/>
      <c r="AE44" s="27"/>
      <c r="AF44" s="27"/>
      <c r="AG44" s="27"/>
      <c r="AH44" s="27"/>
      <c r="AI44" s="27"/>
      <c r="AJ44" s="27"/>
      <c r="AK44" s="27"/>
      <c r="AL44" s="27"/>
      <c r="AM44" s="27"/>
      <c r="AN44" s="27"/>
      <c r="AO44" s="257"/>
    </row>
    <row r="45" spans="15:41">
      <c r="O45" s="311"/>
      <c r="P45" s="27" t="s">
        <v>221</v>
      </c>
      <c r="Q45" s="27"/>
      <c r="R45" s="27"/>
      <c r="S45" s="27"/>
      <c r="T45" s="27"/>
      <c r="U45" s="27"/>
      <c r="V45" s="27"/>
      <c r="W45" s="27"/>
      <c r="X45" s="27"/>
      <c r="Y45" s="27"/>
      <c r="Z45" s="27"/>
      <c r="AA45" s="27"/>
      <c r="AB45" s="27"/>
      <c r="AC45" s="27"/>
      <c r="AD45" s="27"/>
      <c r="AE45" s="27"/>
      <c r="AF45" s="27"/>
      <c r="AG45" s="27"/>
      <c r="AH45" s="27"/>
      <c r="AI45" s="27"/>
      <c r="AJ45" s="27"/>
      <c r="AK45" s="27"/>
      <c r="AL45" s="27"/>
      <c r="AM45" s="27"/>
      <c r="AN45" s="27"/>
      <c r="AO45" s="257"/>
    </row>
    <row r="46" spans="15:41">
      <c r="O46" s="311"/>
      <c r="P46" s="27" t="s">
        <v>221</v>
      </c>
      <c r="Q46" s="27"/>
      <c r="R46" s="27"/>
      <c r="S46" s="27"/>
      <c r="T46" s="27"/>
      <c r="U46" s="27"/>
      <c r="V46" s="27"/>
      <c r="W46" s="27"/>
      <c r="X46" s="27"/>
      <c r="Y46" s="27"/>
      <c r="Z46" s="27"/>
      <c r="AA46" s="27"/>
      <c r="AB46" s="27"/>
      <c r="AC46" s="27"/>
      <c r="AD46" s="27"/>
      <c r="AE46" s="27"/>
      <c r="AF46" s="27"/>
      <c r="AG46" s="27"/>
      <c r="AH46" s="27"/>
      <c r="AI46" s="27"/>
      <c r="AJ46" s="27"/>
      <c r="AK46" s="27"/>
      <c r="AL46" s="27"/>
      <c r="AM46" s="27"/>
      <c r="AN46" s="27"/>
      <c r="AO46" s="257"/>
    </row>
    <row r="47" spans="15:41">
      <c r="O47" s="311"/>
      <c r="P47" s="27" t="s">
        <v>221</v>
      </c>
      <c r="Q47" s="27"/>
      <c r="R47" s="27"/>
      <c r="S47" s="27"/>
      <c r="T47" s="27"/>
      <c r="U47" s="27"/>
      <c r="V47" s="27"/>
      <c r="W47" s="27"/>
      <c r="X47" s="27"/>
      <c r="Y47" s="27"/>
      <c r="Z47" s="27"/>
      <c r="AA47" s="27"/>
      <c r="AB47" s="27"/>
      <c r="AC47" s="27"/>
      <c r="AD47" s="27"/>
      <c r="AE47" s="27"/>
      <c r="AF47" s="27"/>
      <c r="AG47" s="27"/>
      <c r="AH47" s="27"/>
      <c r="AI47" s="27"/>
      <c r="AJ47" s="27"/>
      <c r="AK47" s="27"/>
      <c r="AL47" s="27"/>
      <c r="AM47" s="27"/>
      <c r="AN47" s="27"/>
      <c r="AO47" s="257"/>
    </row>
    <row r="48" spans="15:41">
      <c r="O48" s="311"/>
      <c r="P48" s="27" t="s">
        <v>221</v>
      </c>
      <c r="Q48" s="27"/>
      <c r="R48" s="27"/>
      <c r="S48" s="27"/>
      <c r="T48" s="27"/>
      <c r="U48" s="27"/>
      <c r="V48" s="27"/>
      <c r="W48" s="27"/>
      <c r="X48" s="27"/>
      <c r="Y48" s="27"/>
      <c r="Z48" s="27"/>
      <c r="AA48" s="27"/>
      <c r="AB48" s="27"/>
      <c r="AC48" s="27"/>
      <c r="AD48" s="27"/>
      <c r="AE48" s="27"/>
      <c r="AF48" s="27"/>
      <c r="AG48" s="27"/>
      <c r="AH48" s="27"/>
      <c r="AI48" s="27"/>
      <c r="AJ48" s="27"/>
      <c r="AK48" s="27"/>
      <c r="AL48" s="27"/>
      <c r="AM48" s="27"/>
      <c r="AN48" s="27"/>
      <c r="AO48" s="257"/>
    </row>
    <row r="49" spans="15:41">
      <c r="O49" s="311"/>
      <c r="P49" s="27" t="s">
        <v>221</v>
      </c>
      <c r="Q49" s="27"/>
      <c r="R49" s="27"/>
      <c r="S49" s="27"/>
      <c r="T49" s="27"/>
      <c r="U49" s="27"/>
      <c r="V49" s="27"/>
      <c r="W49" s="27"/>
      <c r="X49" s="27"/>
      <c r="Y49" s="27"/>
      <c r="Z49" s="27"/>
      <c r="AA49" s="27"/>
      <c r="AB49" s="27"/>
      <c r="AC49" s="27"/>
      <c r="AD49" s="27"/>
      <c r="AE49" s="27"/>
      <c r="AF49" s="27"/>
      <c r="AG49" s="27"/>
      <c r="AH49" s="27"/>
      <c r="AI49" s="27"/>
      <c r="AJ49" s="27"/>
      <c r="AK49" s="27"/>
      <c r="AL49" s="27"/>
      <c r="AM49" s="27"/>
      <c r="AN49" s="27"/>
      <c r="AO49" s="257"/>
    </row>
    <row r="50" spans="15:41" ht="15.75" thickBot="1">
      <c r="O50" s="312"/>
      <c r="P50" s="27" t="s">
        <v>221</v>
      </c>
      <c r="Q50" s="250"/>
      <c r="R50" s="250"/>
      <c r="S50" s="250"/>
      <c r="T50" s="250"/>
      <c r="U50" s="250"/>
      <c r="V50" s="250"/>
      <c r="W50" s="250"/>
      <c r="X50" s="250"/>
      <c r="Y50" s="250"/>
      <c r="Z50" s="250"/>
      <c r="AA50" s="250"/>
      <c r="AB50" s="250"/>
      <c r="AC50" s="250"/>
      <c r="AD50" s="250"/>
      <c r="AE50" s="250"/>
      <c r="AF50" s="250"/>
      <c r="AG50" s="250"/>
      <c r="AH50" s="250"/>
      <c r="AI50" s="250"/>
      <c r="AJ50" s="250"/>
      <c r="AK50" s="250"/>
      <c r="AL50" s="250"/>
      <c r="AM50" s="250"/>
      <c r="AN50" s="250"/>
      <c r="AO50" s="258"/>
    </row>
    <row r="51" spans="15:41" ht="15.75" thickTop="1"/>
  </sheetData>
  <mergeCells count="3">
    <mergeCell ref="O21:O30"/>
    <mergeCell ref="O1:O20"/>
    <mergeCell ref="O31:O50"/>
  </mergeCells>
  <dataValidations count="2">
    <dataValidation type="list" allowBlank="1" showInputMessage="1" showErrorMessage="1" sqref="P21:AO30" xr:uid="{FF4B2A57-AA01-401A-9D70-B4D708E9E2C0}">
      <formula1>OFFSET($B$2,,,COUNTA($B:$B)-1)</formula1>
    </dataValidation>
    <dataValidation type="list" allowBlank="1" showInputMessage="1" showErrorMessage="1" sqref="P31:AO50" xr:uid="{CC2D5FB3-0E0A-409A-A285-6CEC0C0E00B4}">
      <formula1>OFFSET($L$2,,,COUNTA($L:$L)-1)</formula1>
    </dataValidation>
  </dataValidations>
  <pageMargins left="0.7" right="0.7" top="0.75" bottom="0.75" header="0.3" footer="0.3"/>
  <pageSetup paperSize="9" orientation="portrait" horizontalDpi="4294967293" verticalDpi="0" r:id="rId1"/>
  <tableParts count="6">
    <tablePart r:id="rId2"/>
    <tablePart r:id="rId3"/>
    <tablePart r:id="rId4"/>
    <tablePart r:id="rId5"/>
    <tablePart r:id="rId6"/>
    <tablePart r:id="rId7"/>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44C6A8-9CF9-4217-8A98-B5F74CD0361C}">
  <sheetPr codeName="Feuil6"/>
  <dimension ref="B4:B6"/>
  <sheetViews>
    <sheetView workbookViewId="0">
      <selection activeCell="F13" sqref="F13"/>
    </sheetView>
  </sheetViews>
  <sheetFormatPr baseColWidth="10" defaultRowHeight="15"/>
  <sheetData>
    <row r="4" spans="2:2" ht="30" customHeight="1">
      <c r="B4" t="s">
        <v>219</v>
      </c>
    </row>
    <row r="6" spans="2:2">
      <c r="B6" t="s">
        <v>220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CD819A-4DD9-43B4-8DD5-8FAC0FCEF30B}">
  <sheetPr codeName="Feuil7"/>
  <dimension ref="B1:AN9"/>
  <sheetViews>
    <sheetView zoomScale="70" zoomScaleNormal="70" workbookViewId="0">
      <selection activeCell="O16" sqref="O16"/>
    </sheetView>
  </sheetViews>
  <sheetFormatPr baseColWidth="10" defaultRowHeight="15"/>
  <cols>
    <col min="1" max="1" width="16.140625" customWidth="1"/>
    <col min="2" max="2" width="11.85546875" customWidth="1"/>
    <col min="3" max="3" width="4.5703125" customWidth="1"/>
    <col min="4" max="4" width="11.85546875" customWidth="1"/>
    <col min="5" max="5" width="3.42578125" customWidth="1"/>
    <col min="6" max="6" width="11.85546875" customWidth="1"/>
    <col min="7" max="7" width="4.85546875" customWidth="1"/>
    <col min="8" max="8" width="11.85546875" customWidth="1"/>
    <col min="9" max="9" width="4.7109375" customWidth="1"/>
    <col min="10" max="10" width="11.85546875" customWidth="1"/>
    <col min="11" max="11" width="6.140625" customWidth="1"/>
    <col min="12" max="12" width="11.85546875" customWidth="1"/>
    <col min="13" max="13" width="3.42578125" customWidth="1"/>
    <col min="14" max="27" width="11.85546875" customWidth="1"/>
    <col min="28" max="28" width="15.28515625" customWidth="1"/>
    <col min="29" max="29" width="18.140625" customWidth="1"/>
    <col min="30" max="30" width="22" customWidth="1"/>
    <col min="32" max="33" width="13.28515625" customWidth="1"/>
    <col min="34" max="34" width="17.140625" customWidth="1"/>
    <col min="35" max="35" width="13.28515625" customWidth="1"/>
    <col min="37" max="37" width="12.85546875" customWidth="1"/>
    <col min="38" max="38" width="13.28515625" customWidth="1"/>
    <col min="41" max="41" width="16.5703125" customWidth="1"/>
    <col min="42" max="42" width="13" customWidth="1"/>
    <col min="43" max="43" width="16.5703125" customWidth="1"/>
    <col min="44" max="44" width="14.85546875" customWidth="1"/>
    <col min="45" max="45" width="34.140625" customWidth="1"/>
    <col min="46" max="46" width="23.85546875" customWidth="1"/>
    <col min="48" max="48" width="15.85546875" customWidth="1"/>
    <col min="49" max="49" width="18.42578125" customWidth="1"/>
    <col min="50" max="50" width="14.28515625" customWidth="1"/>
    <col min="51" max="51" width="12.85546875" customWidth="1"/>
  </cols>
  <sheetData>
    <row r="1" spans="2:40" ht="30">
      <c r="B1" s="44" t="s">
        <v>21</v>
      </c>
      <c r="C1" s="44"/>
      <c r="D1" s="44" t="s">
        <v>17</v>
      </c>
      <c r="E1" s="44"/>
      <c r="F1" s="44" t="s">
        <v>37</v>
      </c>
      <c r="G1" s="44"/>
      <c r="H1" s="44" t="s">
        <v>38</v>
      </c>
      <c r="I1" s="44"/>
      <c r="J1" s="44" t="s">
        <v>143</v>
      </c>
      <c r="K1" s="44"/>
      <c r="L1" s="44" t="s">
        <v>39</v>
      </c>
      <c r="N1" t="s">
        <v>197</v>
      </c>
      <c r="O1" s="208" t="s">
        <v>171</v>
      </c>
      <c r="P1" s="209" t="s">
        <v>172</v>
      </c>
      <c r="Q1" s="210" t="s">
        <v>173</v>
      </c>
      <c r="R1" s="209" t="s">
        <v>174</v>
      </c>
      <c r="S1" s="210" t="s">
        <v>175</v>
      </c>
      <c r="T1" s="209" t="s">
        <v>176</v>
      </c>
      <c r="U1" s="208" t="s">
        <v>177</v>
      </c>
      <c r="V1" s="209" t="s">
        <v>183</v>
      </c>
      <c r="W1" s="208" t="s">
        <v>178</v>
      </c>
      <c r="X1" s="209" t="s">
        <v>182</v>
      </c>
      <c r="Y1" s="208" t="s">
        <v>179</v>
      </c>
      <c r="Z1" s="211" t="s">
        <v>181</v>
      </c>
      <c r="AA1" s="208" t="s">
        <v>180</v>
      </c>
      <c r="AB1" s="209" t="s">
        <v>184</v>
      </c>
      <c r="AC1" s="208" t="s">
        <v>185</v>
      </c>
      <c r="AD1" s="211" t="s">
        <v>186</v>
      </c>
      <c r="AE1" s="208" t="s">
        <v>187</v>
      </c>
      <c r="AF1" s="209" t="s">
        <v>188</v>
      </c>
      <c r="AG1" s="208" t="s">
        <v>189</v>
      </c>
      <c r="AH1" s="209" t="s">
        <v>192</v>
      </c>
      <c r="AI1" s="208" t="s">
        <v>190</v>
      </c>
      <c r="AJ1" s="211" t="s">
        <v>191</v>
      </c>
      <c r="AK1" s="208" t="s">
        <v>193</v>
      </c>
      <c r="AL1" s="211" t="s">
        <v>194</v>
      </c>
      <c r="AM1" s="210" t="s">
        <v>195</v>
      </c>
      <c r="AN1" s="209" t="s">
        <v>196</v>
      </c>
    </row>
    <row r="2" spans="2:40">
      <c r="B2" t="s">
        <v>160</v>
      </c>
      <c r="D2" t="s">
        <v>159</v>
      </c>
      <c r="F2" t="s">
        <v>12</v>
      </c>
      <c r="H2" t="s">
        <v>6</v>
      </c>
      <c r="J2" t="s">
        <v>144</v>
      </c>
      <c r="L2" s="45">
        <f ca="1">TODAY()</f>
        <v>44123</v>
      </c>
      <c r="O2" t="s">
        <v>68</v>
      </c>
      <c r="R2" t="s">
        <v>74</v>
      </c>
    </row>
    <row r="3" spans="2:40">
      <c r="B3" t="s">
        <v>22</v>
      </c>
      <c r="D3" t="s">
        <v>158</v>
      </c>
      <c r="F3" t="s">
        <v>40</v>
      </c>
      <c r="H3" t="s">
        <v>5</v>
      </c>
      <c r="J3" t="s">
        <v>145</v>
      </c>
      <c r="O3" t="s">
        <v>70</v>
      </c>
    </row>
    <row r="4" spans="2:40">
      <c r="B4" t="s">
        <v>161</v>
      </c>
      <c r="D4" t="s">
        <v>145</v>
      </c>
      <c r="H4" s="44"/>
      <c r="O4" t="s">
        <v>218</v>
      </c>
    </row>
    <row r="5" spans="2:40">
      <c r="B5" t="s">
        <v>162</v>
      </c>
      <c r="D5" t="s">
        <v>41</v>
      </c>
      <c r="O5" t="s">
        <v>73</v>
      </c>
    </row>
    <row r="6" spans="2:40">
      <c r="B6" t="s">
        <v>163</v>
      </c>
      <c r="D6" t="s">
        <v>42</v>
      </c>
    </row>
    <row r="7" spans="2:40">
      <c r="B7" t="s">
        <v>43</v>
      </c>
      <c r="D7" t="s">
        <v>25</v>
      </c>
    </row>
    <row r="8" spans="2:40">
      <c r="B8" t="s">
        <v>164</v>
      </c>
    </row>
    <row r="9" spans="2:40">
      <c r="B9" t="s">
        <v>165</v>
      </c>
    </row>
  </sheetData>
  <pageMargins left="0.7" right="0.7" top="0.75" bottom="0.75" header="0.3" footer="0.3"/>
  <tableParts count="5">
    <tablePart r:id="rId1"/>
    <tablePart r:id="rId2"/>
    <tablePart r:id="rId3"/>
    <tablePart r:id="rId4"/>
    <tablePart r:id="rId5"/>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MARCHE CONTRAT PV</vt:lpstr>
      <vt:lpstr>FACT ST</vt:lpstr>
      <vt:lpstr>RECAP FACT</vt:lpstr>
      <vt:lpstr>DOCS ADM</vt:lpstr>
      <vt:lpstr>DONNEES</vt:lpstr>
      <vt:lpstr>Feuil2</vt:lpstr>
      <vt:lpstr>DONNEESOld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Dany</cp:lastModifiedBy>
  <dcterms:created xsi:type="dcterms:W3CDTF">2020-08-30T10:09:41Z</dcterms:created>
  <dcterms:modified xsi:type="dcterms:W3CDTF">2020-10-19T08:56:06Z</dcterms:modified>
</cp:coreProperties>
</file>