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3585" yWindow="900" windowWidth="28920" windowHeight="16320" tabRatio="935" activeTab="12"/>
  </bookViews>
  <sheets>
    <sheet name="SYNTHESE" sheetId="1" r:id="rId1"/>
    <sheet name="RECETTES" sheetId="2" r:id="rId2"/>
    <sheet name="DCH" sheetId="3" r:id="rId3"/>
    <sheet name="CHAPEAU" sheetId="4" r:id="rId4"/>
    <sheet name="TS" sheetId="5" r:id="rId5"/>
    <sheet name="ECARTS" sheetId="7" r:id="rId6"/>
    <sheet name="Synthese DS" sheetId="8" r:id="rId7"/>
    <sheet name="MO Qte" sheetId="76" r:id="rId8"/>
    <sheet name="BETON Qte" sheetId="77" r:id="rId9"/>
    <sheet name="ACIER Qte" sheetId="78" r:id="rId10"/>
    <sheet name="DETAILS" sheetId="12" r:id="rId11"/>
    <sheet name="RECAP IND" sheetId="13" r:id="rId12"/>
    <sheet name="Transfert" sheetId="14" r:id="rId13"/>
    <sheet name="Ecart PP" sheetId="15" r:id="rId14"/>
    <sheet name="Ecart Indirects" sheetId="16" r:id="rId15"/>
    <sheet name="Ecart STGO" sheetId="18" r:id="rId16"/>
    <sheet name="Ecart STCEA" sheetId="19" r:id="rId17"/>
    <sheet name="Ecart STCET" sheetId="21" r:id="rId18"/>
    <sheet name="Risques" sheetId="22" r:id="rId19"/>
    <sheet name="OPP" sheetId="23" r:id="rId20"/>
    <sheet name="PAM" sheetId="24" r:id="rId21"/>
  </sheets>
  <definedNames>
    <definedName name="_Key2" localSheetId="16" hidden="1">#REF!</definedName>
    <definedName name="_Key2" localSheetId="17" hidden="1">#REF!</definedName>
    <definedName name="_Key2" localSheetId="15" hidden="1">#REF!</definedName>
    <definedName name="_Key2" hidden="1">#REF!</definedName>
    <definedName name="_Order2" hidden="1">255</definedName>
    <definedName name="_Sort" localSheetId="16" hidden="1">#REF!</definedName>
    <definedName name="_Sort" localSheetId="17" hidden="1">#REF!</definedName>
    <definedName name="_Sort" localSheetId="15" hidden="1">#REF!</definedName>
    <definedName name="_Sort" hidden="1">#REF!</definedName>
    <definedName name="k" localSheetId="16" hidden="1">#REF!</definedName>
    <definedName name="k" localSheetId="17" hidden="1">#REF!</definedName>
    <definedName name="k" localSheetId="15" hidden="1">#REF!</definedName>
    <definedName name="k" hidden="1">#REF!</definedName>
    <definedName name="Recette_Contrat">OFFSET(RECETTES!$F$18,,,COUNTA(RECETTES!$F:$F)-3)</definedName>
    <definedName name="ss" localSheetId="16" hidden="1">#REF!</definedName>
    <definedName name="ss" localSheetId="17" hidden="1">#REF!</definedName>
    <definedName name="ss" localSheetId="15" hidden="1">#REF!</definedName>
    <definedName name="ss" hidden="1">#REF!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22" l="1"/>
  <c r="P7" i="22"/>
  <c r="P9" i="22"/>
  <c r="P12" i="22"/>
  <c r="P13" i="22"/>
  <c r="P14" i="22"/>
  <c r="P15" i="22"/>
  <c r="P5" i="23"/>
  <c r="P6" i="23"/>
  <c r="P8" i="23"/>
  <c r="P11" i="23"/>
  <c r="P12" i="23"/>
  <c r="P13" i="23"/>
  <c r="P14" i="23"/>
  <c r="P15" i="23"/>
  <c r="M46" i="3"/>
  <c r="T14" i="14"/>
  <c r="T47" i="14"/>
  <c r="T34" i="14"/>
  <c r="T48" i="14"/>
  <c r="S14" i="14"/>
  <c r="S47" i="14"/>
  <c r="S34" i="14"/>
  <c r="S48" i="14"/>
  <c r="R14" i="14"/>
  <c r="R47" i="14"/>
  <c r="R34" i="14"/>
  <c r="R48" i="14"/>
  <c r="Q14" i="14"/>
  <c r="Q47" i="14"/>
  <c r="Q34" i="14"/>
  <c r="Q48" i="14"/>
  <c r="P14" i="14"/>
  <c r="P47" i="14"/>
  <c r="P34" i="14"/>
  <c r="P48" i="14"/>
  <c r="O14" i="14"/>
  <c r="O47" i="14"/>
  <c r="O34" i="14"/>
  <c r="O48" i="14"/>
  <c r="N14" i="14"/>
  <c r="N47" i="14"/>
  <c r="N34" i="14"/>
  <c r="N48" i="14"/>
  <c r="M14" i="14"/>
  <c r="M47" i="14"/>
  <c r="M34" i="14"/>
  <c r="M48" i="14"/>
  <c r="L14" i="14"/>
  <c r="L47" i="14"/>
  <c r="L34" i="14"/>
  <c r="L48" i="14"/>
  <c r="K14" i="14"/>
  <c r="K47" i="14"/>
  <c r="K34" i="14"/>
  <c r="K48" i="14"/>
  <c r="J14" i="14"/>
  <c r="J47" i="14"/>
  <c r="J34" i="14"/>
  <c r="J48" i="14"/>
  <c r="I14" i="14"/>
  <c r="I47" i="14"/>
  <c r="I34" i="14"/>
  <c r="I48" i="14"/>
  <c r="H14" i="14"/>
  <c r="H47" i="14"/>
  <c r="H34" i="14"/>
  <c r="H48" i="14"/>
  <c r="G14" i="14"/>
  <c r="G47" i="14"/>
  <c r="G34" i="14"/>
  <c r="G48" i="14"/>
  <c r="F14" i="14"/>
  <c r="F47" i="14"/>
  <c r="F34" i="14"/>
  <c r="F48" i="14"/>
  <c r="E14" i="14"/>
  <c r="E47" i="14"/>
  <c r="E34" i="14"/>
  <c r="E48" i="14"/>
  <c r="D14" i="14"/>
  <c r="D47" i="14"/>
  <c r="D34" i="14"/>
  <c r="D48" i="14"/>
  <c r="C14" i="14"/>
  <c r="C47" i="14"/>
  <c r="C34" i="14"/>
  <c r="C48" i="14"/>
  <c r="U35" i="14"/>
  <c r="U36" i="14"/>
  <c r="U37" i="14"/>
  <c r="U38" i="14"/>
  <c r="U39" i="14"/>
  <c r="U40" i="14"/>
  <c r="U41" i="14"/>
  <c r="U42" i="14"/>
  <c r="U43" i="14"/>
  <c r="U44" i="14"/>
  <c r="U45" i="14"/>
  <c r="U46" i="14"/>
  <c r="U47" i="14"/>
  <c r="U33" i="14"/>
  <c r="U32" i="14"/>
  <c r="U31" i="14"/>
  <c r="U30" i="14"/>
  <c r="U29" i="14"/>
  <c r="U28" i="14"/>
  <c r="U27" i="14"/>
  <c r="U26" i="14"/>
  <c r="U25" i="14"/>
  <c r="U24" i="14"/>
  <c r="U23" i="14"/>
  <c r="U22" i="14"/>
  <c r="U21" i="14"/>
  <c r="U20" i="14"/>
  <c r="U19" i="14"/>
  <c r="U18" i="14"/>
  <c r="U17" i="14"/>
  <c r="U16" i="14"/>
  <c r="U15" i="14"/>
  <c r="D41" i="7"/>
  <c r="M41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J41" i="3"/>
  <c r="I41" i="3"/>
  <c r="H41" i="3"/>
  <c r="F41" i="3"/>
  <c r="E12" i="13"/>
  <c r="G12" i="13"/>
  <c r="E13" i="13"/>
  <c r="G13" i="13"/>
  <c r="E14" i="13"/>
  <c r="G14" i="13"/>
  <c r="E15" i="13"/>
  <c r="G15" i="13"/>
  <c r="E16" i="13"/>
  <c r="G16" i="13"/>
  <c r="E17" i="13"/>
  <c r="G17" i="13"/>
  <c r="E18" i="13"/>
  <c r="G18" i="13"/>
  <c r="E19" i="13"/>
  <c r="G19" i="13"/>
  <c r="E20" i="13"/>
  <c r="G20" i="13"/>
  <c r="E21" i="13"/>
  <c r="G21" i="13"/>
  <c r="E22" i="13"/>
  <c r="G22" i="13"/>
  <c r="E23" i="13"/>
  <c r="G23" i="13"/>
  <c r="G24" i="13"/>
  <c r="B24" i="13"/>
  <c r="C24" i="13"/>
  <c r="D24" i="13"/>
  <c r="E24" i="13"/>
  <c r="H24" i="13"/>
  <c r="F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AQ34" i="12"/>
  <c r="AQ33" i="12"/>
  <c r="AQ32" i="12"/>
  <c r="AQ31" i="12"/>
  <c r="AQ30" i="12"/>
  <c r="AQ29" i="12"/>
  <c r="AQ28" i="12"/>
  <c r="AQ27" i="12"/>
  <c r="AQ26" i="12"/>
  <c r="AQ25" i="12"/>
  <c r="AQ24" i="12"/>
  <c r="AQ23" i="12"/>
  <c r="AQ22" i="12"/>
  <c r="AQ21" i="12"/>
  <c r="AQ20" i="12"/>
  <c r="AQ19" i="12"/>
  <c r="AQ18" i="12"/>
  <c r="AQ17" i="12"/>
  <c r="AQ16" i="12"/>
  <c r="AQ15" i="12"/>
  <c r="AQ14" i="12"/>
  <c r="AQ13" i="12"/>
  <c r="AQ12" i="12"/>
  <c r="AQ11" i="12"/>
  <c r="AQ10" i="12"/>
  <c r="AQ9" i="12"/>
  <c r="AQ8" i="12"/>
  <c r="F34" i="12"/>
  <c r="AR34" i="12"/>
  <c r="F33" i="12"/>
  <c r="AR33" i="12"/>
  <c r="F32" i="12"/>
  <c r="AR32" i="12"/>
  <c r="F31" i="12"/>
  <c r="AR31" i="12"/>
  <c r="F30" i="12"/>
  <c r="AR30" i="12"/>
  <c r="F29" i="12"/>
  <c r="AR29" i="12"/>
  <c r="F28" i="12"/>
  <c r="AR28" i="12"/>
  <c r="F27" i="12"/>
  <c r="AR27" i="12"/>
  <c r="F26" i="12"/>
  <c r="AR26" i="12"/>
  <c r="F25" i="12"/>
  <c r="AR25" i="12"/>
  <c r="F24" i="12"/>
  <c r="AR24" i="12"/>
  <c r="F23" i="12"/>
  <c r="AR23" i="12"/>
  <c r="F22" i="12"/>
  <c r="AR22" i="12"/>
  <c r="F21" i="12"/>
  <c r="AR21" i="12"/>
  <c r="F20" i="12"/>
  <c r="AR20" i="12"/>
  <c r="F19" i="12"/>
  <c r="AR19" i="12"/>
  <c r="F18" i="12"/>
  <c r="AR18" i="12"/>
  <c r="F17" i="12"/>
  <c r="AR17" i="12"/>
  <c r="F16" i="12"/>
  <c r="AR16" i="12"/>
  <c r="F15" i="12"/>
  <c r="AR15" i="12"/>
  <c r="F14" i="12"/>
  <c r="AR14" i="12"/>
  <c r="F13" i="12"/>
  <c r="AR13" i="12"/>
  <c r="F12" i="12"/>
  <c r="AR12" i="12"/>
  <c r="F11" i="12"/>
  <c r="AR11" i="12"/>
  <c r="F10" i="12"/>
  <c r="AR10" i="12"/>
  <c r="F9" i="12"/>
  <c r="AR9" i="12"/>
  <c r="AR8" i="12"/>
  <c r="AS34" i="12"/>
  <c r="AS33" i="12"/>
  <c r="AS32" i="12"/>
  <c r="AS31" i="12"/>
  <c r="AS30" i="12"/>
  <c r="AS29" i="12"/>
  <c r="AS28" i="12"/>
  <c r="AS27" i="12"/>
  <c r="AS26" i="12"/>
  <c r="AS25" i="12"/>
  <c r="AS24" i="12"/>
  <c r="AS23" i="12"/>
  <c r="AS22" i="12"/>
  <c r="AS21" i="12"/>
  <c r="AS20" i="12"/>
  <c r="AS19" i="12"/>
  <c r="AS18" i="12"/>
  <c r="AS17" i="12"/>
  <c r="AS16" i="12"/>
  <c r="AS15" i="12"/>
  <c r="AS14" i="12"/>
  <c r="AS13" i="12"/>
  <c r="AS12" i="12"/>
  <c r="AS11" i="12"/>
  <c r="AS10" i="12"/>
  <c r="AS9" i="12"/>
  <c r="AS8" i="12"/>
  <c r="AT34" i="12"/>
  <c r="AT33" i="12"/>
  <c r="AT32" i="12"/>
  <c r="AT31" i="12"/>
  <c r="AT30" i="12"/>
  <c r="AT29" i="12"/>
  <c r="AT28" i="12"/>
  <c r="AT27" i="12"/>
  <c r="AT26" i="12"/>
  <c r="AT25" i="12"/>
  <c r="AT24" i="12"/>
  <c r="AT23" i="12"/>
  <c r="AT22" i="12"/>
  <c r="AT21" i="12"/>
  <c r="AT20" i="12"/>
  <c r="AT19" i="12"/>
  <c r="AT18" i="12"/>
  <c r="AT17" i="12"/>
  <c r="AT16" i="12"/>
  <c r="AT15" i="12"/>
  <c r="AT14" i="12"/>
  <c r="AT13" i="12"/>
  <c r="AT12" i="12"/>
  <c r="AT11" i="12"/>
  <c r="AT10" i="12"/>
  <c r="AT9" i="12"/>
  <c r="AT8" i="12"/>
  <c r="AU34" i="12"/>
  <c r="AU33" i="12"/>
  <c r="AU32" i="12"/>
  <c r="AU31" i="12"/>
  <c r="AU30" i="12"/>
  <c r="AU29" i="12"/>
  <c r="AU28" i="12"/>
  <c r="AU27" i="12"/>
  <c r="AU26" i="12"/>
  <c r="AU25" i="12"/>
  <c r="AU24" i="12"/>
  <c r="AU23" i="12"/>
  <c r="AU22" i="12"/>
  <c r="AU21" i="12"/>
  <c r="AU20" i="12"/>
  <c r="AU19" i="12"/>
  <c r="AU18" i="12"/>
  <c r="AU17" i="12"/>
  <c r="AU16" i="12"/>
  <c r="AU15" i="12"/>
  <c r="AU14" i="12"/>
  <c r="AU13" i="12"/>
  <c r="AU12" i="12"/>
  <c r="AU11" i="12"/>
  <c r="AU10" i="12"/>
  <c r="AU9" i="12"/>
  <c r="AU8" i="12"/>
  <c r="F8" i="12"/>
  <c r="AQ83" i="12"/>
  <c r="AQ81" i="12"/>
  <c r="AQ78" i="12"/>
  <c r="AQ75" i="12"/>
  <c r="AQ73" i="12"/>
  <c r="AQ71" i="12"/>
  <c r="AQ70" i="12"/>
  <c r="AQ68" i="12"/>
  <c r="AQ65" i="12"/>
  <c r="AQ63" i="12"/>
  <c r="AQ61" i="12"/>
  <c r="AQ56" i="12"/>
  <c r="AQ54" i="12"/>
  <c r="AQ45" i="12"/>
  <c r="AQ44" i="12"/>
  <c r="AQ42" i="12"/>
  <c r="AQ41" i="12"/>
  <c r="AQ37" i="12"/>
  <c r="AQ36" i="12"/>
  <c r="AQ35" i="12"/>
  <c r="F83" i="12"/>
  <c r="AR83" i="12"/>
  <c r="F81" i="12"/>
  <c r="AR81" i="12"/>
  <c r="F78" i="12"/>
  <c r="AR78" i="12"/>
  <c r="F75" i="12"/>
  <c r="AR75" i="12"/>
  <c r="F73" i="12"/>
  <c r="AR73" i="12"/>
  <c r="F71" i="12"/>
  <c r="AR71" i="12"/>
  <c r="AR70" i="12"/>
  <c r="F68" i="12"/>
  <c r="AR68" i="12"/>
  <c r="F65" i="12"/>
  <c r="AR65" i="12"/>
  <c r="F63" i="12"/>
  <c r="AR63" i="12"/>
  <c r="F61" i="12"/>
  <c r="AR61" i="12"/>
  <c r="F56" i="12"/>
  <c r="AR56" i="12"/>
  <c r="F54" i="12"/>
  <c r="AR54" i="12"/>
  <c r="F45" i="12"/>
  <c r="AR45" i="12"/>
  <c r="AR44" i="12"/>
  <c r="F42" i="12"/>
  <c r="AR42" i="12"/>
  <c r="F41" i="12"/>
  <c r="AR41" i="12"/>
  <c r="F37" i="12"/>
  <c r="AR37" i="12"/>
  <c r="AR36" i="12"/>
  <c r="AR35" i="12"/>
  <c r="AQ84" i="12"/>
  <c r="F84" i="12"/>
  <c r="AR84" i="12"/>
  <c r="AS84" i="12"/>
  <c r="AS83" i="12"/>
  <c r="AQ82" i="12"/>
  <c r="F82" i="12"/>
  <c r="AR82" i="12"/>
  <c r="AS82" i="12"/>
  <c r="AS81" i="12"/>
  <c r="AQ80" i="12"/>
  <c r="F80" i="12"/>
  <c r="AR80" i="12"/>
  <c r="AS80" i="12"/>
  <c r="AQ79" i="12"/>
  <c r="F79" i="12"/>
  <c r="AR79" i="12"/>
  <c r="AS79" i="12"/>
  <c r="AS78" i="12"/>
  <c r="AQ77" i="12"/>
  <c r="F77" i="12"/>
  <c r="AR77" i="12"/>
  <c r="AS77" i="12"/>
  <c r="AQ76" i="12"/>
  <c r="F76" i="12"/>
  <c r="AR76" i="12"/>
  <c r="AS76" i="12"/>
  <c r="AS75" i="12"/>
  <c r="AQ74" i="12"/>
  <c r="F74" i="12"/>
  <c r="AR74" i="12"/>
  <c r="AS74" i="12"/>
  <c r="AS73" i="12"/>
  <c r="AQ72" i="12"/>
  <c r="F72" i="12"/>
  <c r="AR72" i="12"/>
  <c r="AS72" i="12"/>
  <c r="AS71" i="12"/>
  <c r="AS70" i="12"/>
  <c r="AQ69" i="12"/>
  <c r="F69" i="12"/>
  <c r="AR69" i="12"/>
  <c r="AS69" i="12"/>
  <c r="AS68" i="12"/>
  <c r="AQ67" i="12"/>
  <c r="F67" i="12"/>
  <c r="AR67" i="12"/>
  <c r="AS67" i="12"/>
  <c r="AQ66" i="12"/>
  <c r="F66" i="12"/>
  <c r="AR66" i="12"/>
  <c r="AS66" i="12"/>
  <c r="AS65" i="12"/>
  <c r="AQ64" i="12"/>
  <c r="F64" i="12"/>
  <c r="AR64" i="12"/>
  <c r="AS64" i="12"/>
  <c r="AS63" i="12"/>
  <c r="AQ62" i="12"/>
  <c r="F62" i="12"/>
  <c r="AR62" i="12"/>
  <c r="AS62" i="12"/>
  <c r="AS61" i="12"/>
  <c r="AQ60" i="12"/>
  <c r="F60" i="12"/>
  <c r="AR60" i="12"/>
  <c r="AS60" i="12"/>
  <c r="AQ57" i="12"/>
  <c r="F57" i="12"/>
  <c r="AR57" i="12"/>
  <c r="AS57" i="12"/>
  <c r="AS56" i="12"/>
  <c r="AQ55" i="12"/>
  <c r="F55" i="12"/>
  <c r="AR55" i="12"/>
  <c r="AS55" i="12"/>
  <c r="AS54" i="12"/>
  <c r="AQ51" i="12"/>
  <c r="F51" i="12"/>
  <c r="AR51" i="12"/>
  <c r="AS51" i="12"/>
  <c r="AQ46" i="12"/>
  <c r="F46" i="12"/>
  <c r="AR46" i="12"/>
  <c r="AS46" i="12"/>
  <c r="AS45" i="12"/>
  <c r="AS44" i="12"/>
  <c r="AQ43" i="12"/>
  <c r="F43" i="12"/>
  <c r="AR43" i="12"/>
  <c r="AS43" i="12"/>
  <c r="AS42" i="12"/>
  <c r="AS41" i="12"/>
  <c r="AQ40" i="12"/>
  <c r="F40" i="12"/>
  <c r="AR40" i="12"/>
  <c r="AS40" i="12"/>
  <c r="AQ39" i="12"/>
  <c r="F39" i="12"/>
  <c r="AR39" i="12"/>
  <c r="AS39" i="12"/>
  <c r="AQ38" i="12"/>
  <c r="F38" i="12"/>
  <c r="AR38" i="12"/>
  <c r="AS38" i="12"/>
  <c r="AS37" i="12"/>
  <c r="AS36" i="12"/>
  <c r="AS35" i="12"/>
  <c r="AT83" i="12"/>
  <c r="AT81" i="12"/>
  <c r="AT78" i="12"/>
  <c r="AT75" i="12"/>
  <c r="AT73" i="12"/>
  <c r="AT71" i="12"/>
  <c r="AT70" i="12"/>
  <c r="AT68" i="12"/>
  <c r="AT65" i="12"/>
  <c r="AT63" i="12"/>
  <c r="AT61" i="12"/>
  <c r="AT56" i="12"/>
  <c r="AT54" i="12"/>
  <c r="AT45" i="12"/>
  <c r="AT44" i="12"/>
  <c r="AT42" i="12"/>
  <c r="AT41" i="12"/>
  <c r="AT37" i="12"/>
  <c r="AT36" i="12"/>
  <c r="AT35" i="12"/>
  <c r="AU83" i="12"/>
  <c r="AU81" i="12"/>
  <c r="AU78" i="12"/>
  <c r="AU75" i="12"/>
  <c r="AU73" i="12"/>
  <c r="AU71" i="12"/>
  <c r="AU70" i="12"/>
  <c r="AU68" i="12"/>
  <c r="AU65" i="12"/>
  <c r="AU63" i="12"/>
  <c r="AU61" i="12"/>
  <c r="AU56" i="12"/>
  <c r="AU54" i="12"/>
  <c r="AU45" i="12"/>
  <c r="AU44" i="12"/>
  <c r="AU42" i="12"/>
  <c r="AU41" i="12"/>
  <c r="AU37" i="12"/>
  <c r="AU36" i="12"/>
  <c r="AU35" i="12"/>
  <c r="F35" i="12"/>
  <c r="F36" i="12"/>
  <c r="AT38" i="12"/>
  <c r="AU38" i="12"/>
  <c r="AT39" i="12"/>
  <c r="AU39" i="12"/>
  <c r="AT40" i="12"/>
  <c r="AU40" i="12"/>
  <c r="AT43" i="12"/>
  <c r="AU43" i="12"/>
  <c r="F44" i="12"/>
  <c r="AT46" i="12"/>
  <c r="AU46" i="12"/>
  <c r="F47" i="12"/>
  <c r="AQ47" i="12"/>
  <c r="AR47" i="12"/>
  <c r="AS47" i="12"/>
  <c r="AT47" i="12"/>
  <c r="AU47" i="12"/>
  <c r="F48" i="12"/>
  <c r="AQ48" i="12"/>
  <c r="AR48" i="12"/>
  <c r="AS48" i="12"/>
  <c r="AT48" i="12"/>
  <c r="AU48" i="12"/>
  <c r="F49" i="12"/>
  <c r="AQ49" i="12"/>
  <c r="AR49" i="12"/>
  <c r="AS49" i="12"/>
  <c r="AT49" i="12"/>
  <c r="AU49" i="12"/>
  <c r="F50" i="12"/>
  <c r="AQ50" i="12"/>
  <c r="AR50" i="12"/>
  <c r="AS50" i="12"/>
  <c r="AT50" i="12"/>
  <c r="AU50" i="12"/>
  <c r="AT51" i="12"/>
  <c r="AU51" i="12"/>
  <c r="F52" i="12"/>
  <c r="AQ52" i="12"/>
  <c r="AR52" i="12"/>
  <c r="AS52" i="12"/>
  <c r="AT52" i="12"/>
  <c r="AU52" i="12"/>
  <c r="F53" i="12"/>
  <c r="AQ53" i="12"/>
  <c r="AR53" i="12"/>
  <c r="AS53" i="12"/>
  <c r="AT53" i="12"/>
  <c r="AU53" i="12"/>
  <c r="AT55" i="12"/>
  <c r="AU55" i="12"/>
  <c r="AT57" i="12"/>
  <c r="AU57" i="12"/>
  <c r="F58" i="12"/>
  <c r="AQ58" i="12"/>
  <c r="AR58" i="12"/>
  <c r="AS58" i="12"/>
  <c r="AT58" i="12"/>
  <c r="AU58" i="12"/>
  <c r="F59" i="12"/>
  <c r="AQ59" i="12"/>
  <c r="AR59" i="12"/>
  <c r="AS59" i="12"/>
  <c r="AT59" i="12"/>
  <c r="AU59" i="12"/>
  <c r="AT60" i="12"/>
  <c r="AU60" i="12"/>
  <c r="AT62" i="12"/>
  <c r="AU62" i="12"/>
  <c r="AT64" i="12"/>
  <c r="AU64" i="12"/>
  <c r="AT66" i="12"/>
  <c r="AU66" i="12"/>
  <c r="AT67" i="12"/>
  <c r="AU67" i="12"/>
  <c r="AT69" i="12"/>
  <c r="AU69" i="12"/>
  <c r="F70" i="12"/>
  <c r="AT72" i="12"/>
  <c r="AU72" i="12"/>
  <c r="AT74" i="12"/>
  <c r="AU74" i="12"/>
  <c r="AT76" i="12"/>
  <c r="AU76" i="12"/>
  <c r="AT77" i="12"/>
  <c r="AU77" i="12"/>
  <c r="AT79" i="12"/>
  <c r="AU79" i="12"/>
  <c r="AT80" i="12"/>
  <c r="AU80" i="12"/>
  <c r="AT82" i="12"/>
  <c r="AU82" i="12"/>
  <c r="AT84" i="12"/>
  <c r="AU84" i="12"/>
  <c r="AQ300" i="12"/>
  <c r="AQ299" i="12"/>
  <c r="AQ298" i="12"/>
  <c r="AQ297" i="12"/>
  <c r="AQ296" i="12"/>
  <c r="AQ295" i="12"/>
  <c r="AQ294" i="12"/>
  <c r="AQ293" i="12"/>
  <c r="AQ292" i="12"/>
  <c r="AQ291" i="12"/>
  <c r="AQ290" i="12"/>
  <c r="AQ289" i="12"/>
  <c r="AQ288" i="12"/>
  <c r="AQ287" i="12"/>
  <c r="AQ286" i="12"/>
  <c r="AQ285" i="12"/>
  <c r="AQ284" i="12"/>
  <c r="AQ283" i="12"/>
  <c r="AQ282" i="12"/>
  <c r="AQ281" i="12"/>
  <c r="AQ280" i="12"/>
  <c r="AQ279" i="12"/>
  <c r="AQ278" i="12"/>
  <c r="AQ277" i="12"/>
  <c r="AQ276" i="12"/>
  <c r="AQ275" i="12"/>
  <c r="AQ274" i="12"/>
  <c r="AQ273" i="12"/>
  <c r="AQ272" i="12"/>
  <c r="AQ271" i="12"/>
  <c r="AQ270" i="12"/>
  <c r="AQ269" i="12"/>
  <c r="AQ268" i="12"/>
  <c r="AQ267" i="12"/>
  <c r="AQ266" i="12"/>
  <c r="AQ265" i="12"/>
  <c r="AQ264" i="12"/>
  <c r="AQ263" i="12"/>
  <c r="AQ262" i="12"/>
  <c r="AQ261" i="12"/>
  <c r="AQ260" i="12"/>
  <c r="AQ259" i="12"/>
  <c r="AQ258" i="12"/>
  <c r="AQ257" i="12"/>
  <c r="AQ256" i="12"/>
  <c r="AQ255" i="12"/>
  <c r="AQ254" i="12"/>
  <c r="AQ253" i="12"/>
  <c r="AQ252" i="12"/>
  <c r="AQ251" i="12"/>
  <c r="AQ250" i="12"/>
  <c r="AQ249" i="12"/>
  <c r="AQ248" i="12"/>
  <c r="AQ247" i="12"/>
  <c r="AQ246" i="12"/>
  <c r="AQ245" i="12"/>
  <c r="AQ244" i="12"/>
  <c r="AQ243" i="12"/>
  <c r="AQ242" i="12"/>
  <c r="AQ241" i="12"/>
  <c r="AQ240" i="12"/>
  <c r="AQ239" i="12"/>
  <c r="AQ238" i="12"/>
  <c r="AQ237" i="12"/>
  <c r="AQ236" i="12"/>
  <c r="AQ235" i="12"/>
  <c r="AQ234" i="12"/>
  <c r="AQ233" i="12"/>
  <c r="AQ232" i="12"/>
  <c r="AQ231" i="12"/>
  <c r="AQ230" i="12"/>
  <c r="AQ229" i="12"/>
  <c r="AQ228" i="12"/>
  <c r="AQ227" i="12"/>
  <c r="AQ226" i="12"/>
  <c r="AQ225" i="12"/>
  <c r="AQ224" i="12"/>
  <c r="AQ223" i="12"/>
  <c r="AQ222" i="12"/>
  <c r="AQ221" i="12"/>
  <c r="AQ220" i="12"/>
  <c r="AQ219" i="12"/>
  <c r="AQ218" i="12"/>
  <c r="AQ217" i="12"/>
  <c r="AQ216" i="12"/>
  <c r="AQ215" i="12"/>
  <c r="AQ214" i="12"/>
  <c r="AQ213" i="12"/>
  <c r="AQ212" i="12"/>
  <c r="AQ211" i="12"/>
  <c r="AQ210" i="12"/>
  <c r="AQ209" i="12"/>
  <c r="AQ208" i="12"/>
  <c r="AQ207" i="12"/>
  <c r="AQ206" i="12"/>
  <c r="AQ205" i="12"/>
  <c r="AQ204" i="12"/>
  <c r="AQ203" i="12"/>
  <c r="AQ202" i="12"/>
  <c r="AQ201" i="12"/>
  <c r="AQ200" i="12"/>
  <c r="AQ199" i="12"/>
  <c r="AQ198" i="12"/>
  <c r="AQ197" i="12"/>
  <c r="AQ196" i="12"/>
  <c r="AQ195" i="12"/>
  <c r="AQ194" i="12"/>
  <c r="AQ193" i="12"/>
  <c r="AQ192" i="12"/>
  <c r="AQ191" i="12"/>
  <c r="AQ190" i="12"/>
  <c r="AQ189" i="12"/>
  <c r="AQ188" i="12"/>
  <c r="AQ187" i="12"/>
  <c r="AQ186" i="12"/>
  <c r="AQ185" i="12"/>
  <c r="AQ184" i="12"/>
  <c r="AQ183" i="12"/>
  <c r="AQ182" i="12"/>
  <c r="AQ181" i="12"/>
  <c r="AQ180" i="12"/>
  <c r="AQ179" i="12"/>
  <c r="AQ178" i="12"/>
  <c r="AQ177" i="12"/>
  <c r="AQ176" i="12"/>
  <c r="AQ175" i="12"/>
  <c r="AQ174" i="12"/>
  <c r="AQ173" i="12"/>
  <c r="AQ172" i="12"/>
  <c r="AQ171" i="12"/>
  <c r="AQ170" i="12"/>
  <c r="AQ169" i="12"/>
  <c r="AQ168" i="12"/>
  <c r="AQ167" i="12"/>
  <c r="AQ166" i="12"/>
  <c r="AQ165" i="12"/>
  <c r="AQ164" i="12"/>
  <c r="AQ163" i="12"/>
  <c r="AQ162" i="12"/>
  <c r="AQ161" i="12"/>
  <c r="AQ160" i="12"/>
  <c r="AQ159" i="12"/>
  <c r="AQ158" i="12"/>
  <c r="AQ157" i="12"/>
  <c r="AQ156" i="12"/>
  <c r="AQ155" i="12"/>
  <c r="AQ154" i="12"/>
  <c r="AQ153" i="12"/>
  <c r="AQ152" i="12"/>
  <c r="AQ151" i="12"/>
  <c r="AQ150" i="12"/>
  <c r="AQ149" i="12"/>
  <c r="AQ148" i="12"/>
  <c r="AQ147" i="12"/>
  <c r="AQ146" i="12"/>
  <c r="AQ145" i="12"/>
  <c r="AQ144" i="12"/>
  <c r="AQ143" i="12"/>
  <c r="AQ142" i="12"/>
  <c r="AQ141" i="12"/>
  <c r="AQ140" i="12"/>
  <c r="AQ139" i="12"/>
  <c r="AQ138" i="12"/>
  <c r="AQ137" i="12"/>
  <c r="AQ136" i="12"/>
  <c r="AQ135" i="12"/>
  <c r="AQ134" i="12"/>
  <c r="AQ133" i="12"/>
  <c r="M132" i="12"/>
  <c r="N132" i="12"/>
  <c r="O132" i="12"/>
  <c r="P132" i="12"/>
  <c r="Q132" i="12"/>
  <c r="R132" i="12"/>
  <c r="S132" i="12"/>
  <c r="T132" i="12"/>
  <c r="U132" i="12"/>
  <c r="V132" i="12"/>
  <c r="AB132" i="12"/>
  <c r="AC132" i="12"/>
  <c r="AD132" i="12"/>
  <c r="AE132" i="12"/>
  <c r="AF132" i="12"/>
  <c r="AG132" i="12"/>
  <c r="AH132" i="12"/>
  <c r="AN132" i="12"/>
  <c r="AO132" i="12"/>
  <c r="AQ132" i="12"/>
  <c r="AQ131" i="12"/>
  <c r="AQ130" i="12"/>
  <c r="AQ129" i="12"/>
  <c r="AQ128" i="12"/>
  <c r="AQ127" i="12"/>
  <c r="AQ126" i="12"/>
  <c r="AQ125" i="12"/>
  <c r="AQ124" i="12"/>
  <c r="AQ123" i="12"/>
  <c r="AQ122" i="12"/>
  <c r="AQ121" i="12"/>
  <c r="AQ120" i="12"/>
  <c r="AQ119" i="12"/>
  <c r="AQ118" i="12"/>
  <c r="AQ117" i="12"/>
  <c r="AQ116" i="12"/>
  <c r="AQ115" i="12"/>
  <c r="AQ114" i="12"/>
  <c r="AQ113" i="12"/>
  <c r="AQ112" i="12"/>
  <c r="AQ111" i="12"/>
  <c r="AQ110" i="12"/>
  <c r="AQ109" i="12"/>
  <c r="AQ108" i="12"/>
  <c r="AQ107" i="12"/>
  <c r="AQ106" i="12"/>
  <c r="AQ105" i="12"/>
  <c r="AQ104" i="12"/>
  <c r="AQ103" i="12"/>
  <c r="AQ102" i="12"/>
  <c r="AQ101" i="12"/>
  <c r="AQ100" i="12"/>
  <c r="AQ99" i="12"/>
  <c r="AQ98" i="12"/>
  <c r="AQ97" i="12"/>
  <c r="AQ96" i="12"/>
  <c r="AQ95" i="12"/>
  <c r="AQ94" i="12"/>
  <c r="AQ93" i="12"/>
  <c r="AQ92" i="12"/>
  <c r="AQ91" i="12"/>
  <c r="AQ90" i="12"/>
  <c r="AQ89" i="12"/>
  <c r="AQ88" i="12"/>
  <c r="AQ87" i="12"/>
  <c r="AQ86" i="12"/>
  <c r="AQ85" i="12"/>
  <c r="F300" i="12"/>
  <c r="AR300" i="12"/>
  <c r="AR299" i="12"/>
  <c r="F298" i="12"/>
  <c r="AR298" i="12"/>
  <c r="F297" i="12"/>
  <c r="AR297" i="12"/>
  <c r="F296" i="12"/>
  <c r="AR296" i="12"/>
  <c r="F295" i="12"/>
  <c r="AR295" i="12"/>
  <c r="F294" i="12"/>
  <c r="AR294" i="12"/>
  <c r="F293" i="12"/>
  <c r="AR293" i="12"/>
  <c r="F292" i="12"/>
  <c r="AR292" i="12"/>
  <c r="AR291" i="12"/>
  <c r="F290" i="12"/>
  <c r="AR290" i="12"/>
  <c r="F289" i="12"/>
  <c r="AR289" i="12"/>
  <c r="AR288" i="12"/>
  <c r="F287" i="12"/>
  <c r="AR287" i="12"/>
  <c r="F286" i="12"/>
  <c r="AR286" i="12"/>
  <c r="AR285" i="12"/>
  <c r="F284" i="12"/>
  <c r="AR284" i="12"/>
  <c r="F283" i="12"/>
  <c r="AR283" i="12"/>
  <c r="F282" i="12"/>
  <c r="AR282" i="12"/>
  <c r="F281" i="12"/>
  <c r="AR281" i="12"/>
  <c r="F280" i="12"/>
  <c r="AR280" i="12"/>
  <c r="F279" i="12"/>
  <c r="AR279" i="12"/>
  <c r="F278" i="12"/>
  <c r="AR278" i="12"/>
  <c r="F277" i="12"/>
  <c r="AR277" i="12"/>
  <c r="F276" i="12"/>
  <c r="AR276" i="12"/>
  <c r="F275" i="12"/>
  <c r="AR275" i="12"/>
  <c r="F274" i="12"/>
  <c r="AR274" i="12"/>
  <c r="F273" i="12"/>
  <c r="AR273" i="12"/>
  <c r="F272" i="12"/>
  <c r="AR272" i="12"/>
  <c r="F271" i="12"/>
  <c r="AR271" i="12"/>
  <c r="F270" i="12"/>
  <c r="AR270" i="12"/>
  <c r="F269" i="12"/>
  <c r="AR269" i="12"/>
  <c r="F268" i="12"/>
  <c r="AR268" i="12"/>
  <c r="F267" i="12"/>
  <c r="AR267" i="12"/>
  <c r="F266" i="12"/>
  <c r="AR266" i="12"/>
  <c r="AR265" i="12"/>
  <c r="F264" i="12"/>
  <c r="AR264" i="12"/>
  <c r="F263" i="12"/>
  <c r="AR263" i="12"/>
  <c r="F262" i="12"/>
  <c r="AR262" i="12"/>
  <c r="F261" i="12"/>
  <c r="AR261" i="12"/>
  <c r="F260" i="12"/>
  <c r="AR260" i="12"/>
  <c r="F259" i="12"/>
  <c r="AR259" i="12"/>
  <c r="F258" i="12"/>
  <c r="AR258" i="12"/>
  <c r="F257" i="12"/>
  <c r="AR257" i="12"/>
  <c r="F256" i="12"/>
  <c r="AR256" i="12"/>
  <c r="F255" i="12"/>
  <c r="AR255" i="12"/>
  <c r="F254" i="12"/>
  <c r="AR254" i="12"/>
  <c r="F253" i="12"/>
  <c r="AR253" i="12"/>
  <c r="F252" i="12"/>
  <c r="AR252" i="12"/>
  <c r="F251" i="12"/>
  <c r="AR251" i="12"/>
  <c r="F250" i="12"/>
  <c r="AR250" i="12"/>
  <c r="F249" i="12"/>
  <c r="AR249" i="12"/>
  <c r="F248" i="12"/>
  <c r="AR248" i="12"/>
  <c r="F247" i="12"/>
  <c r="AR247" i="12"/>
  <c r="F246" i="12"/>
  <c r="AR246" i="12"/>
  <c r="F245" i="12"/>
  <c r="AR245" i="12"/>
  <c r="F244" i="12"/>
  <c r="AR244" i="12"/>
  <c r="F243" i="12"/>
  <c r="AR243" i="12"/>
  <c r="AR242" i="12"/>
  <c r="F241" i="12"/>
  <c r="AR241" i="12"/>
  <c r="F240" i="12"/>
  <c r="AR240" i="12"/>
  <c r="F239" i="12"/>
  <c r="AR239" i="12"/>
  <c r="F238" i="12"/>
  <c r="AR238" i="12"/>
  <c r="F237" i="12"/>
  <c r="AR237" i="12"/>
  <c r="F236" i="12"/>
  <c r="AR236" i="12"/>
  <c r="F235" i="12"/>
  <c r="AR235" i="12"/>
  <c r="F234" i="12"/>
  <c r="AR234" i="12"/>
  <c r="F233" i="12"/>
  <c r="AR233" i="12"/>
  <c r="F232" i="12"/>
  <c r="AR232" i="12"/>
  <c r="F231" i="12"/>
  <c r="AR231" i="12"/>
  <c r="F230" i="12"/>
  <c r="AR230" i="12"/>
  <c r="F229" i="12"/>
  <c r="AR229" i="12"/>
  <c r="F228" i="12"/>
  <c r="AR228" i="12"/>
  <c r="F227" i="12"/>
  <c r="AR227" i="12"/>
  <c r="F226" i="12"/>
  <c r="AR226" i="12"/>
  <c r="F225" i="12"/>
  <c r="AR225" i="12"/>
  <c r="F224" i="12"/>
  <c r="AR224" i="12"/>
  <c r="F223" i="12"/>
  <c r="AR223" i="12"/>
  <c r="F222" i="12"/>
  <c r="AR222" i="12"/>
  <c r="F221" i="12"/>
  <c r="AR221" i="12"/>
  <c r="F220" i="12"/>
  <c r="AR220" i="12"/>
  <c r="F219" i="12"/>
  <c r="AR219" i="12"/>
  <c r="F218" i="12"/>
  <c r="AR218" i="12"/>
  <c r="F217" i="12"/>
  <c r="AR217" i="12"/>
  <c r="F216" i="12"/>
  <c r="AR216" i="12"/>
  <c r="AR215" i="12"/>
  <c r="F214" i="12"/>
  <c r="AR214" i="12"/>
  <c r="F213" i="12"/>
  <c r="AR213" i="12"/>
  <c r="F212" i="12"/>
  <c r="AR212" i="12"/>
  <c r="F211" i="12"/>
  <c r="AR211" i="12"/>
  <c r="F210" i="12"/>
  <c r="AR210" i="12"/>
  <c r="F209" i="12"/>
  <c r="AR209" i="12"/>
  <c r="F208" i="12"/>
  <c r="AR208" i="12"/>
  <c r="F207" i="12"/>
  <c r="AR207" i="12"/>
  <c r="F206" i="12"/>
  <c r="AR206" i="12"/>
  <c r="AR205" i="12"/>
  <c r="F204" i="12"/>
  <c r="AR204" i="12"/>
  <c r="F203" i="12"/>
  <c r="AR203" i="12"/>
  <c r="F202" i="12"/>
  <c r="AR202" i="12"/>
  <c r="F201" i="12"/>
  <c r="AR201" i="12"/>
  <c r="F200" i="12"/>
  <c r="AR200" i="12"/>
  <c r="F199" i="12"/>
  <c r="AR199" i="12"/>
  <c r="F198" i="12"/>
  <c r="AR198" i="12"/>
  <c r="F197" i="12"/>
  <c r="AR197" i="12"/>
  <c r="F196" i="12"/>
  <c r="AR196" i="12"/>
  <c r="F195" i="12"/>
  <c r="AR195" i="12"/>
  <c r="F194" i="12"/>
  <c r="AR194" i="12"/>
  <c r="F193" i="12"/>
  <c r="AR193" i="12"/>
  <c r="F192" i="12"/>
  <c r="AR192" i="12"/>
  <c r="F191" i="12"/>
  <c r="AR191" i="12"/>
  <c r="F190" i="12"/>
  <c r="AR190" i="12"/>
  <c r="F189" i="12"/>
  <c r="AR189" i="12"/>
  <c r="F188" i="12"/>
  <c r="AR188" i="12"/>
  <c r="F187" i="12"/>
  <c r="AR187" i="12"/>
  <c r="F186" i="12"/>
  <c r="AR186" i="12"/>
  <c r="F185" i="12"/>
  <c r="AR185" i="12"/>
  <c r="F184" i="12"/>
  <c r="AR184" i="12"/>
  <c r="F183" i="12"/>
  <c r="AR183" i="12"/>
  <c r="F182" i="12"/>
  <c r="AR182" i="12"/>
  <c r="F181" i="12"/>
  <c r="AR181" i="12"/>
  <c r="F180" i="12"/>
  <c r="AR180" i="12"/>
  <c r="F179" i="12"/>
  <c r="AR179" i="12"/>
  <c r="F178" i="12"/>
  <c r="AR178" i="12"/>
  <c r="F177" i="12"/>
  <c r="AR177" i="12"/>
  <c r="F176" i="12"/>
  <c r="AR176" i="12"/>
  <c r="AR175" i="12"/>
  <c r="F174" i="12"/>
  <c r="AR174" i="12"/>
  <c r="F173" i="12"/>
  <c r="AR173" i="12"/>
  <c r="F172" i="12"/>
  <c r="AR172" i="12"/>
  <c r="F171" i="12"/>
  <c r="AR171" i="12"/>
  <c r="F170" i="12"/>
  <c r="AR170" i="12"/>
  <c r="F169" i="12"/>
  <c r="AR169" i="12"/>
  <c r="F168" i="12"/>
  <c r="AR168" i="12"/>
  <c r="F167" i="12"/>
  <c r="AR167" i="12"/>
  <c r="F166" i="12"/>
  <c r="AR166" i="12"/>
  <c r="F165" i="12"/>
  <c r="AR165" i="12"/>
  <c r="F164" i="12"/>
  <c r="AR164" i="12"/>
  <c r="F163" i="12"/>
  <c r="AR163" i="12"/>
  <c r="F162" i="12"/>
  <c r="AR162" i="12"/>
  <c r="F161" i="12"/>
  <c r="AR161" i="12"/>
  <c r="F160" i="12"/>
  <c r="AR160" i="12"/>
  <c r="F159" i="12"/>
  <c r="AR159" i="12"/>
  <c r="F158" i="12"/>
  <c r="AR158" i="12"/>
  <c r="F157" i="12"/>
  <c r="AR157" i="12"/>
  <c r="F156" i="12"/>
  <c r="AR156" i="12"/>
  <c r="F155" i="12"/>
  <c r="AR155" i="12"/>
  <c r="F154" i="12"/>
  <c r="AR154" i="12"/>
  <c r="F153" i="12"/>
  <c r="AR153" i="12"/>
  <c r="F152" i="12"/>
  <c r="AR152" i="12"/>
  <c r="F151" i="12"/>
  <c r="AR151" i="12"/>
  <c r="F150" i="12"/>
  <c r="AR150" i="12"/>
  <c r="F149" i="12"/>
  <c r="AR149" i="12"/>
  <c r="F148" i="12"/>
  <c r="AR148" i="12"/>
  <c r="F147" i="12"/>
  <c r="AR147" i="12"/>
  <c r="F146" i="12"/>
  <c r="AR146" i="12"/>
  <c r="F145" i="12"/>
  <c r="AR145" i="12"/>
  <c r="F144" i="12"/>
  <c r="AR144" i="12"/>
  <c r="F143" i="12"/>
  <c r="AR143" i="12"/>
  <c r="AR142" i="12"/>
  <c r="F141" i="12"/>
  <c r="AR141" i="12"/>
  <c r="F140" i="12"/>
  <c r="AR140" i="12"/>
  <c r="F139" i="12"/>
  <c r="AR139" i="12"/>
  <c r="F138" i="12"/>
  <c r="AR138" i="12"/>
  <c r="F137" i="12"/>
  <c r="AR137" i="12"/>
  <c r="F136" i="12"/>
  <c r="AR136" i="12"/>
  <c r="F135" i="12"/>
  <c r="AR135" i="12"/>
  <c r="F134" i="12"/>
  <c r="AR134" i="12"/>
  <c r="F133" i="12"/>
  <c r="AR133" i="12"/>
  <c r="F132" i="12"/>
  <c r="AR132" i="12"/>
  <c r="F131" i="12"/>
  <c r="AR131" i="12"/>
  <c r="F130" i="12"/>
  <c r="AR130" i="12"/>
  <c r="F129" i="12"/>
  <c r="AR129" i="12"/>
  <c r="F128" i="12"/>
  <c r="AR128" i="12"/>
  <c r="F127" i="12"/>
  <c r="AR127" i="12"/>
  <c r="F126" i="12"/>
  <c r="AR126" i="12"/>
  <c r="F125" i="12"/>
  <c r="AR125" i="12"/>
  <c r="F124" i="12"/>
  <c r="AR124" i="12"/>
  <c r="F123" i="12"/>
  <c r="AR123" i="12"/>
  <c r="F122" i="12"/>
  <c r="AR122" i="12"/>
  <c r="F121" i="12"/>
  <c r="AR121" i="12"/>
  <c r="F120" i="12"/>
  <c r="AR120" i="12"/>
  <c r="F119" i="12"/>
  <c r="AR119" i="12"/>
  <c r="F118" i="12"/>
  <c r="AR118" i="12"/>
  <c r="F117" i="12"/>
  <c r="AR117" i="12"/>
  <c r="F116" i="12"/>
  <c r="AR116" i="12"/>
  <c r="F115" i="12"/>
  <c r="AR115" i="12"/>
  <c r="F114" i="12"/>
  <c r="AR114" i="12"/>
  <c r="F113" i="12"/>
  <c r="AR113" i="12"/>
  <c r="F112" i="12"/>
  <c r="AR112" i="12"/>
  <c r="F111" i="12"/>
  <c r="AR111" i="12"/>
  <c r="F110" i="12"/>
  <c r="AR110" i="12"/>
  <c r="F109" i="12"/>
  <c r="AR109" i="12"/>
  <c r="F108" i="12"/>
  <c r="AR108" i="12"/>
  <c r="F107" i="12"/>
  <c r="AR107" i="12"/>
  <c r="F106" i="12"/>
  <c r="AR106" i="12"/>
  <c r="F105" i="12"/>
  <c r="AR105" i="12"/>
  <c r="F104" i="12"/>
  <c r="AR104" i="12"/>
  <c r="F103" i="12"/>
  <c r="AR103" i="12"/>
  <c r="F102" i="12"/>
  <c r="AR102" i="12"/>
  <c r="F101" i="12"/>
  <c r="AR101" i="12"/>
  <c r="F100" i="12"/>
  <c r="AR100" i="12"/>
  <c r="F99" i="12"/>
  <c r="AR99" i="12"/>
  <c r="F98" i="12"/>
  <c r="AR98" i="12"/>
  <c r="F97" i="12"/>
  <c r="AR97" i="12"/>
  <c r="F96" i="12"/>
  <c r="AR96" i="12"/>
  <c r="F95" i="12"/>
  <c r="AR95" i="12"/>
  <c r="F94" i="12"/>
  <c r="AR94" i="12"/>
  <c r="F93" i="12"/>
  <c r="AR93" i="12"/>
  <c r="F92" i="12"/>
  <c r="AR92" i="12"/>
  <c r="F91" i="12"/>
  <c r="AR91" i="12"/>
  <c r="F90" i="12"/>
  <c r="AR90" i="12"/>
  <c r="AR89" i="12"/>
  <c r="F88" i="12"/>
  <c r="AR88" i="12"/>
  <c r="F87" i="12"/>
  <c r="AR87" i="12"/>
  <c r="AR86" i="12"/>
  <c r="AR85" i="12"/>
  <c r="AS300" i="12"/>
  <c r="AS299" i="12"/>
  <c r="AS298" i="12"/>
  <c r="AS297" i="12"/>
  <c r="AS296" i="12"/>
  <c r="AS295" i="12"/>
  <c r="AS294" i="12"/>
  <c r="AS293" i="12"/>
  <c r="AS292" i="12"/>
  <c r="AS291" i="12"/>
  <c r="AS290" i="12"/>
  <c r="AS289" i="12"/>
  <c r="AS288" i="12"/>
  <c r="AS287" i="12"/>
  <c r="AS286" i="12"/>
  <c r="AS285" i="12"/>
  <c r="AS284" i="12"/>
  <c r="AS283" i="12"/>
  <c r="AS282" i="12"/>
  <c r="AS281" i="12"/>
  <c r="AS280" i="12"/>
  <c r="AS279" i="12"/>
  <c r="AS278" i="12"/>
  <c r="AS277" i="12"/>
  <c r="AS276" i="12"/>
  <c r="AS275" i="12"/>
  <c r="AS274" i="12"/>
  <c r="AS273" i="12"/>
  <c r="AS272" i="12"/>
  <c r="AS271" i="12"/>
  <c r="AS270" i="12"/>
  <c r="AS269" i="12"/>
  <c r="AS268" i="12"/>
  <c r="AS267" i="12"/>
  <c r="AS266" i="12"/>
  <c r="AS265" i="12"/>
  <c r="AS264" i="12"/>
  <c r="AS263" i="12"/>
  <c r="AS262" i="12"/>
  <c r="AS261" i="12"/>
  <c r="AS260" i="12"/>
  <c r="AS259" i="12"/>
  <c r="AS258" i="12"/>
  <c r="AS257" i="12"/>
  <c r="AS256" i="12"/>
  <c r="AS255" i="12"/>
  <c r="AS254" i="12"/>
  <c r="AS253" i="12"/>
  <c r="AS252" i="12"/>
  <c r="AS251" i="12"/>
  <c r="AS250" i="12"/>
  <c r="AS249" i="12"/>
  <c r="AS248" i="12"/>
  <c r="AS247" i="12"/>
  <c r="AS246" i="12"/>
  <c r="AS245" i="12"/>
  <c r="AS244" i="12"/>
  <c r="AS243" i="12"/>
  <c r="AS242" i="12"/>
  <c r="AS241" i="12"/>
  <c r="AS240" i="12"/>
  <c r="AS239" i="12"/>
  <c r="AS238" i="12"/>
  <c r="AS237" i="12"/>
  <c r="AS236" i="12"/>
  <c r="AS235" i="12"/>
  <c r="AS234" i="12"/>
  <c r="AS233" i="12"/>
  <c r="AS232" i="12"/>
  <c r="AS231" i="12"/>
  <c r="AS230" i="12"/>
  <c r="AS229" i="12"/>
  <c r="AS228" i="12"/>
  <c r="AS227" i="12"/>
  <c r="AS226" i="12"/>
  <c r="AS225" i="12"/>
  <c r="AS224" i="12"/>
  <c r="AS223" i="12"/>
  <c r="AS222" i="12"/>
  <c r="AS221" i="12"/>
  <c r="AS220" i="12"/>
  <c r="AS219" i="12"/>
  <c r="AS218" i="12"/>
  <c r="AS217" i="12"/>
  <c r="AS216" i="12"/>
  <c r="AS215" i="12"/>
  <c r="AS214" i="12"/>
  <c r="AS213" i="12"/>
  <c r="AS212" i="12"/>
  <c r="AS211" i="12"/>
  <c r="AS210" i="12"/>
  <c r="AS209" i="12"/>
  <c r="AS208" i="12"/>
  <c r="AS207" i="12"/>
  <c r="AS206" i="12"/>
  <c r="AS205" i="12"/>
  <c r="AS204" i="12"/>
  <c r="AS203" i="12"/>
  <c r="AS202" i="12"/>
  <c r="AS201" i="12"/>
  <c r="AS200" i="12"/>
  <c r="AS199" i="12"/>
  <c r="AS198" i="12"/>
  <c r="AS197" i="12"/>
  <c r="AS196" i="12"/>
  <c r="AS195" i="12"/>
  <c r="AS194" i="12"/>
  <c r="AS193" i="12"/>
  <c r="AS192" i="12"/>
  <c r="AS191" i="12"/>
  <c r="AS190" i="12"/>
  <c r="AS189" i="12"/>
  <c r="AS188" i="12"/>
  <c r="AS187" i="12"/>
  <c r="AS186" i="12"/>
  <c r="AS185" i="12"/>
  <c r="AS184" i="12"/>
  <c r="AS183" i="12"/>
  <c r="AS182" i="12"/>
  <c r="AS181" i="12"/>
  <c r="AS180" i="12"/>
  <c r="AS179" i="12"/>
  <c r="AS178" i="12"/>
  <c r="AS177" i="12"/>
  <c r="AS176" i="12"/>
  <c r="AS175" i="12"/>
  <c r="AS174" i="12"/>
  <c r="AS173" i="12"/>
  <c r="AS172" i="12"/>
  <c r="AS171" i="12"/>
  <c r="AS170" i="12"/>
  <c r="AS169" i="12"/>
  <c r="AS168" i="12"/>
  <c r="AS167" i="12"/>
  <c r="AS166" i="12"/>
  <c r="AS165" i="12"/>
  <c r="AS164" i="12"/>
  <c r="AS163" i="12"/>
  <c r="AS162" i="12"/>
  <c r="AS161" i="12"/>
  <c r="AS160" i="12"/>
  <c r="AS159" i="12"/>
  <c r="AS158" i="12"/>
  <c r="AS157" i="12"/>
  <c r="AS156" i="12"/>
  <c r="AS155" i="12"/>
  <c r="AS154" i="12"/>
  <c r="AS153" i="12"/>
  <c r="AS152" i="12"/>
  <c r="AS151" i="12"/>
  <c r="AS150" i="12"/>
  <c r="AS149" i="12"/>
  <c r="AS148" i="12"/>
  <c r="AS147" i="12"/>
  <c r="AS146" i="12"/>
  <c r="AS145" i="12"/>
  <c r="AS144" i="12"/>
  <c r="AS143" i="12"/>
  <c r="AS142" i="12"/>
  <c r="AS141" i="12"/>
  <c r="AS140" i="12"/>
  <c r="AS139" i="12"/>
  <c r="AS138" i="12"/>
  <c r="AS137" i="12"/>
  <c r="AS136" i="12"/>
  <c r="AS135" i="12"/>
  <c r="AS134" i="12"/>
  <c r="AS133" i="12"/>
  <c r="AS132" i="12"/>
  <c r="AS131" i="12"/>
  <c r="AS130" i="12"/>
  <c r="AS129" i="12"/>
  <c r="AS128" i="12"/>
  <c r="AS127" i="12"/>
  <c r="AS126" i="12"/>
  <c r="AS125" i="12"/>
  <c r="AS124" i="12"/>
  <c r="AS123" i="12"/>
  <c r="AS122" i="12"/>
  <c r="AS121" i="12"/>
  <c r="AS120" i="12"/>
  <c r="AS119" i="12"/>
  <c r="AS118" i="12"/>
  <c r="AS117" i="12"/>
  <c r="AS116" i="12"/>
  <c r="AS115" i="12"/>
  <c r="AS114" i="12"/>
  <c r="AS113" i="12"/>
  <c r="AS112" i="12"/>
  <c r="AS111" i="12"/>
  <c r="AS110" i="12"/>
  <c r="AS109" i="12"/>
  <c r="AS108" i="12"/>
  <c r="AS107" i="12"/>
  <c r="AS106" i="12"/>
  <c r="AS105" i="12"/>
  <c r="AS104" i="12"/>
  <c r="AS103" i="12"/>
  <c r="AS102" i="12"/>
  <c r="AS101" i="12"/>
  <c r="AS100" i="12"/>
  <c r="AS99" i="12"/>
  <c r="AS98" i="12"/>
  <c r="AS97" i="12"/>
  <c r="AS96" i="12"/>
  <c r="AS95" i="12"/>
  <c r="AS94" i="12"/>
  <c r="AS93" i="12"/>
  <c r="AS92" i="12"/>
  <c r="AS91" i="12"/>
  <c r="AS90" i="12"/>
  <c r="AS89" i="12"/>
  <c r="AS88" i="12"/>
  <c r="AS87" i="12"/>
  <c r="AS86" i="12"/>
  <c r="AS85" i="12"/>
  <c r="AT300" i="12"/>
  <c r="AT299" i="12"/>
  <c r="AT298" i="12"/>
  <c r="AT297" i="12"/>
  <c r="AT296" i="12"/>
  <c r="AT295" i="12"/>
  <c r="AT294" i="12"/>
  <c r="AT293" i="12"/>
  <c r="AT292" i="12"/>
  <c r="AT291" i="12"/>
  <c r="AT290" i="12"/>
  <c r="AT289" i="12"/>
  <c r="AT288" i="12"/>
  <c r="AT287" i="12"/>
  <c r="AT286" i="12"/>
  <c r="AT285" i="12"/>
  <c r="AT284" i="12"/>
  <c r="AT283" i="12"/>
  <c r="AT282" i="12"/>
  <c r="AT281" i="12"/>
  <c r="AT280" i="12"/>
  <c r="AT279" i="12"/>
  <c r="AT278" i="12"/>
  <c r="AT277" i="12"/>
  <c r="AT276" i="12"/>
  <c r="AT275" i="12"/>
  <c r="AT274" i="12"/>
  <c r="AT273" i="12"/>
  <c r="AT272" i="12"/>
  <c r="AT271" i="12"/>
  <c r="AT270" i="12"/>
  <c r="AT269" i="12"/>
  <c r="AT268" i="12"/>
  <c r="AT267" i="12"/>
  <c r="AT266" i="12"/>
  <c r="AT265" i="12"/>
  <c r="AT264" i="12"/>
  <c r="AT263" i="12"/>
  <c r="AT262" i="12"/>
  <c r="AT261" i="12"/>
  <c r="AT260" i="12"/>
  <c r="AT259" i="12"/>
  <c r="AT258" i="12"/>
  <c r="AT257" i="12"/>
  <c r="AT256" i="12"/>
  <c r="AT255" i="12"/>
  <c r="AT254" i="12"/>
  <c r="AT253" i="12"/>
  <c r="AT252" i="12"/>
  <c r="AT251" i="12"/>
  <c r="AT250" i="12"/>
  <c r="AT249" i="12"/>
  <c r="AT248" i="12"/>
  <c r="AT247" i="12"/>
  <c r="AT246" i="12"/>
  <c r="AT245" i="12"/>
  <c r="AT244" i="12"/>
  <c r="AT243" i="12"/>
  <c r="AT242" i="12"/>
  <c r="AT241" i="12"/>
  <c r="AT240" i="12"/>
  <c r="AT239" i="12"/>
  <c r="AT238" i="12"/>
  <c r="AT237" i="12"/>
  <c r="AT236" i="12"/>
  <c r="AT235" i="12"/>
  <c r="AT234" i="12"/>
  <c r="AT233" i="12"/>
  <c r="AT232" i="12"/>
  <c r="AT231" i="12"/>
  <c r="AT230" i="12"/>
  <c r="AT229" i="12"/>
  <c r="AT228" i="12"/>
  <c r="AT227" i="12"/>
  <c r="AT226" i="12"/>
  <c r="AT225" i="12"/>
  <c r="AT224" i="12"/>
  <c r="AT223" i="12"/>
  <c r="AT222" i="12"/>
  <c r="AT221" i="12"/>
  <c r="AT220" i="12"/>
  <c r="AT219" i="12"/>
  <c r="AT218" i="12"/>
  <c r="AT217" i="12"/>
  <c r="AT216" i="12"/>
  <c r="AT215" i="12"/>
  <c r="AT214" i="12"/>
  <c r="AT213" i="12"/>
  <c r="AT212" i="12"/>
  <c r="AT211" i="12"/>
  <c r="AT210" i="12"/>
  <c r="AT209" i="12"/>
  <c r="AT208" i="12"/>
  <c r="AT207" i="12"/>
  <c r="AT206" i="12"/>
  <c r="AT205" i="12"/>
  <c r="AT204" i="12"/>
  <c r="AT203" i="12"/>
  <c r="AT202" i="12"/>
  <c r="AT201" i="12"/>
  <c r="AT200" i="12"/>
  <c r="AT199" i="12"/>
  <c r="AT198" i="12"/>
  <c r="AT197" i="12"/>
  <c r="AT196" i="12"/>
  <c r="AT195" i="12"/>
  <c r="AT194" i="12"/>
  <c r="AT193" i="12"/>
  <c r="AT192" i="12"/>
  <c r="AT191" i="12"/>
  <c r="AT190" i="12"/>
  <c r="AT189" i="12"/>
  <c r="AT188" i="12"/>
  <c r="AT187" i="12"/>
  <c r="AT186" i="12"/>
  <c r="AT185" i="12"/>
  <c r="AT184" i="12"/>
  <c r="AT183" i="12"/>
  <c r="AT182" i="12"/>
  <c r="AT181" i="12"/>
  <c r="AT180" i="12"/>
  <c r="AT179" i="12"/>
  <c r="AT178" i="12"/>
  <c r="AT177" i="12"/>
  <c r="AT176" i="12"/>
  <c r="AT175" i="12"/>
  <c r="AT174" i="12"/>
  <c r="AT173" i="12"/>
  <c r="AT172" i="12"/>
  <c r="AT171" i="12"/>
  <c r="AT170" i="12"/>
  <c r="AT169" i="12"/>
  <c r="AT168" i="12"/>
  <c r="AT167" i="12"/>
  <c r="AT166" i="12"/>
  <c r="AT165" i="12"/>
  <c r="AT164" i="12"/>
  <c r="AT163" i="12"/>
  <c r="AT162" i="12"/>
  <c r="AT161" i="12"/>
  <c r="AT160" i="12"/>
  <c r="AT159" i="12"/>
  <c r="AT158" i="12"/>
  <c r="AT157" i="12"/>
  <c r="AT156" i="12"/>
  <c r="AT155" i="12"/>
  <c r="AT154" i="12"/>
  <c r="AT153" i="12"/>
  <c r="AT152" i="12"/>
  <c r="AT151" i="12"/>
  <c r="AT150" i="12"/>
  <c r="AT149" i="12"/>
  <c r="AT148" i="12"/>
  <c r="AT147" i="12"/>
  <c r="AT146" i="12"/>
  <c r="AT145" i="12"/>
  <c r="AT144" i="12"/>
  <c r="AT143" i="12"/>
  <c r="AT142" i="12"/>
  <c r="AT141" i="12"/>
  <c r="AT140" i="12"/>
  <c r="AT139" i="12"/>
  <c r="AT138" i="12"/>
  <c r="AT137" i="12"/>
  <c r="AT136" i="12"/>
  <c r="AT135" i="12"/>
  <c r="AT134" i="12"/>
  <c r="AT133" i="12"/>
  <c r="AT132" i="12"/>
  <c r="AT131" i="12"/>
  <c r="AT130" i="12"/>
  <c r="AT129" i="12"/>
  <c r="AT128" i="12"/>
  <c r="AT127" i="12"/>
  <c r="AT126" i="12"/>
  <c r="AT125" i="12"/>
  <c r="AT124" i="12"/>
  <c r="AT123" i="12"/>
  <c r="AT122" i="12"/>
  <c r="AT121" i="12"/>
  <c r="AT120" i="12"/>
  <c r="AT119" i="12"/>
  <c r="AT118" i="12"/>
  <c r="AT117" i="12"/>
  <c r="AT116" i="12"/>
  <c r="AT115" i="12"/>
  <c r="AT114" i="12"/>
  <c r="AT113" i="12"/>
  <c r="AT112" i="12"/>
  <c r="AT111" i="12"/>
  <c r="AT110" i="12"/>
  <c r="AT109" i="12"/>
  <c r="AT108" i="12"/>
  <c r="AT107" i="12"/>
  <c r="AT106" i="12"/>
  <c r="AT105" i="12"/>
  <c r="AT104" i="12"/>
  <c r="AT103" i="12"/>
  <c r="AT102" i="12"/>
  <c r="AT101" i="12"/>
  <c r="AT100" i="12"/>
  <c r="AT99" i="12"/>
  <c r="AT98" i="12"/>
  <c r="AT97" i="12"/>
  <c r="AT96" i="12"/>
  <c r="AT95" i="12"/>
  <c r="AT94" i="12"/>
  <c r="AT93" i="12"/>
  <c r="AT92" i="12"/>
  <c r="AT91" i="12"/>
  <c r="AT90" i="12"/>
  <c r="AT89" i="12"/>
  <c r="AT88" i="12"/>
  <c r="AT87" i="12"/>
  <c r="AT86" i="12"/>
  <c r="AT85" i="12"/>
  <c r="AU300" i="12"/>
  <c r="AU299" i="12"/>
  <c r="AU298" i="12"/>
  <c r="AU297" i="12"/>
  <c r="AU296" i="12"/>
  <c r="AU295" i="12"/>
  <c r="AU294" i="12"/>
  <c r="AU293" i="12"/>
  <c r="AU292" i="12"/>
  <c r="AU291" i="12"/>
  <c r="AU290" i="12"/>
  <c r="AU289" i="12"/>
  <c r="AU288" i="12"/>
  <c r="AU287" i="12"/>
  <c r="AU286" i="12"/>
  <c r="AU285" i="12"/>
  <c r="AU284" i="12"/>
  <c r="AU283" i="12"/>
  <c r="AU282" i="12"/>
  <c r="AU281" i="12"/>
  <c r="AU280" i="12"/>
  <c r="AU279" i="12"/>
  <c r="AU278" i="12"/>
  <c r="AU277" i="12"/>
  <c r="AU276" i="12"/>
  <c r="AU275" i="12"/>
  <c r="AU274" i="12"/>
  <c r="AU273" i="12"/>
  <c r="AU272" i="12"/>
  <c r="AU271" i="12"/>
  <c r="AU270" i="12"/>
  <c r="AU269" i="12"/>
  <c r="AU268" i="12"/>
  <c r="AU267" i="12"/>
  <c r="AU266" i="12"/>
  <c r="AU265" i="12"/>
  <c r="AU264" i="12"/>
  <c r="AU263" i="12"/>
  <c r="AU262" i="12"/>
  <c r="AU261" i="12"/>
  <c r="AU260" i="12"/>
  <c r="AU259" i="12"/>
  <c r="AU258" i="12"/>
  <c r="AU257" i="12"/>
  <c r="AU256" i="12"/>
  <c r="AU255" i="12"/>
  <c r="AU254" i="12"/>
  <c r="AU253" i="12"/>
  <c r="AU252" i="12"/>
  <c r="AU251" i="12"/>
  <c r="AU250" i="12"/>
  <c r="AU249" i="12"/>
  <c r="AU248" i="12"/>
  <c r="AU247" i="12"/>
  <c r="AU246" i="12"/>
  <c r="AU245" i="12"/>
  <c r="AU244" i="12"/>
  <c r="AU243" i="12"/>
  <c r="AU242" i="12"/>
  <c r="AU241" i="12"/>
  <c r="AU240" i="12"/>
  <c r="AU239" i="12"/>
  <c r="AU238" i="12"/>
  <c r="AU237" i="12"/>
  <c r="AU236" i="12"/>
  <c r="AU235" i="12"/>
  <c r="AU234" i="12"/>
  <c r="AU233" i="12"/>
  <c r="AU232" i="12"/>
  <c r="AU231" i="12"/>
  <c r="AU230" i="12"/>
  <c r="AU229" i="12"/>
  <c r="AU228" i="12"/>
  <c r="AU227" i="12"/>
  <c r="AU226" i="12"/>
  <c r="AU225" i="12"/>
  <c r="AU224" i="12"/>
  <c r="AU223" i="12"/>
  <c r="AU222" i="12"/>
  <c r="AU221" i="12"/>
  <c r="AU220" i="12"/>
  <c r="AU219" i="12"/>
  <c r="AU218" i="12"/>
  <c r="AU217" i="12"/>
  <c r="AU216" i="12"/>
  <c r="AU215" i="12"/>
  <c r="AU214" i="12"/>
  <c r="AU213" i="12"/>
  <c r="AU212" i="12"/>
  <c r="AU211" i="12"/>
  <c r="AU210" i="12"/>
  <c r="AU209" i="12"/>
  <c r="AU208" i="12"/>
  <c r="AU207" i="12"/>
  <c r="AU206" i="12"/>
  <c r="AU205" i="12"/>
  <c r="AU204" i="12"/>
  <c r="AU203" i="12"/>
  <c r="AU202" i="12"/>
  <c r="AU201" i="12"/>
  <c r="AU200" i="12"/>
  <c r="AU199" i="12"/>
  <c r="AU198" i="12"/>
  <c r="AU197" i="12"/>
  <c r="AU196" i="12"/>
  <c r="AU195" i="12"/>
  <c r="AU194" i="12"/>
  <c r="AU193" i="12"/>
  <c r="AU192" i="12"/>
  <c r="AU191" i="12"/>
  <c r="AU190" i="12"/>
  <c r="AU189" i="12"/>
  <c r="AU188" i="12"/>
  <c r="AU187" i="12"/>
  <c r="AU186" i="12"/>
  <c r="AU185" i="12"/>
  <c r="AU184" i="12"/>
  <c r="AU183" i="12"/>
  <c r="AU182" i="12"/>
  <c r="AU181" i="12"/>
  <c r="AU180" i="12"/>
  <c r="AU179" i="12"/>
  <c r="AU178" i="12"/>
  <c r="AU177" i="12"/>
  <c r="AU176" i="12"/>
  <c r="AU175" i="12"/>
  <c r="AU174" i="12"/>
  <c r="AU173" i="12"/>
  <c r="AU172" i="12"/>
  <c r="AU171" i="12"/>
  <c r="AU170" i="12"/>
  <c r="AU169" i="12"/>
  <c r="AU168" i="12"/>
  <c r="AU167" i="12"/>
  <c r="AU166" i="12"/>
  <c r="AU165" i="12"/>
  <c r="AU164" i="12"/>
  <c r="AU163" i="12"/>
  <c r="AU162" i="12"/>
  <c r="AU161" i="12"/>
  <c r="AU160" i="12"/>
  <c r="AU159" i="12"/>
  <c r="AU158" i="12"/>
  <c r="AU157" i="12"/>
  <c r="AU156" i="12"/>
  <c r="AU155" i="12"/>
  <c r="AU154" i="12"/>
  <c r="AU153" i="12"/>
  <c r="AU152" i="12"/>
  <c r="AU151" i="12"/>
  <c r="AU150" i="12"/>
  <c r="AU149" i="12"/>
  <c r="AU148" i="12"/>
  <c r="AU147" i="12"/>
  <c r="AU146" i="12"/>
  <c r="AU145" i="12"/>
  <c r="AU144" i="12"/>
  <c r="AU143" i="12"/>
  <c r="AU142" i="12"/>
  <c r="AU141" i="12"/>
  <c r="AU140" i="12"/>
  <c r="AU139" i="12"/>
  <c r="AU138" i="12"/>
  <c r="AU137" i="12"/>
  <c r="AU136" i="12"/>
  <c r="AU135" i="12"/>
  <c r="AU134" i="12"/>
  <c r="AU133" i="12"/>
  <c r="AU132" i="12"/>
  <c r="AU131" i="12"/>
  <c r="AU130" i="12"/>
  <c r="AU129" i="12"/>
  <c r="AU128" i="12"/>
  <c r="AU127" i="12"/>
  <c r="AU126" i="12"/>
  <c r="AU125" i="12"/>
  <c r="AU124" i="12"/>
  <c r="AU123" i="12"/>
  <c r="AU122" i="12"/>
  <c r="AU121" i="12"/>
  <c r="AU120" i="12"/>
  <c r="AU119" i="12"/>
  <c r="AU118" i="12"/>
  <c r="AU117" i="12"/>
  <c r="AU116" i="12"/>
  <c r="AU115" i="12"/>
  <c r="AU114" i="12"/>
  <c r="AU113" i="12"/>
  <c r="AU112" i="12"/>
  <c r="AU111" i="12"/>
  <c r="AU110" i="12"/>
  <c r="AU109" i="12"/>
  <c r="AU108" i="12"/>
  <c r="AU107" i="12"/>
  <c r="AU106" i="12"/>
  <c r="AU105" i="12"/>
  <c r="AU104" i="12"/>
  <c r="AU103" i="12"/>
  <c r="AU102" i="12"/>
  <c r="AU101" i="12"/>
  <c r="AU100" i="12"/>
  <c r="AU99" i="12"/>
  <c r="AU98" i="12"/>
  <c r="AU97" i="12"/>
  <c r="AU96" i="12"/>
  <c r="AU95" i="12"/>
  <c r="AU94" i="12"/>
  <c r="AU93" i="12"/>
  <c r="AU92" i="12"/>
  <c r="AU91" i="12"/>
  <c r="AU90" i="12"/>
  <c r="AU89" i="12"/>
  <c r="AU88" i="12"/>
  <c r="AU87" i="12"/>
  <c r="AU86" i="12"/>
  <c r="AU85" i="12"/>
  <c r="F85" i="12"/>
  <c r="F86" i="12"/>
  <c r="F89" i="12"/>
  <c r="F142" i="12"/>
  <c r="F175" i="12"/>
  <c r="F205" i="12"/>
  <c r="F215" i="12"/>
  <c r="F242" i="12"/>
  <c r="F265" i="12"/>
  <c r="F285" i="12"/>
  <c r="F288" i="12"/>
  <c r="F291" i="12"/>
  <c r="F299" i="12"/>
  <c r="H122" i="78"/>
  <c r="K122" i="78"/>
  <c r="J122" i="78"/>
  <c r="O122" i="78"/>
  <c r="R122" i="78"/>
  <c r="P122" i="78"/>
  <c r="L122" i="78"/>
  <c r="M122" i="78"/>
  <c r="H121" i="78"/>
  <c r="K121" i="78"/>
  <c r="J121" i="78"/>
  <c r="O121" i="78"/>
  <c r="R121" i="78"/>
  <c r="P121" i="78"/>
  <c r="L121" i="78"/>
  <c r="M121" i="78"/>
  <c r="H120" i="78"/>
  <c r="K120" i="78"/>
  <c r="J120" i="78"/>
  <c r="O120" i="78"/>
  <c r="R120" i="78"/>
  <c r="P120" i="78"/>
  <c r="L120" i="78"/>
  <c r="M120" i="78"/>
  <c r="W119" i="78"/>
  <c r="V119" i="78"/>
  <c r="T119" i="78"/>
  <c r="R119" i="78"/>
  <c r="Q119" i="78"/>
  <c r="O119" i="78"/>
  <c r="H119" i="78"/>
  <c r="P119" i="78"/>
  <c r="M119" i="78"/>
  <c r="L119" i="78"/>
  <c r="J119" i="78"/>
  <c r="K119" i="78"/>
  <c r="G119" i="78"/>
  <c r="F119" i="78"/>
  <c r="E119" i="78"/>
  <c r="H112" i="78"/>
  <c r="L112" i="78"/>
  <c r="V112" i="78"/>
  <c r="W112" i="78"/>
  <c r="K112" i="78"/>
  <c r="J112" i="78"/>
  <c r="O112" i="78"/>
  <c r="R112" i="78"/>
  <c r="P112" i="78"/>
  <c r="M112" i="78"/>
  <c r="H111" i="78"/>
  <c r="L111" i="78"/>
  <c r="V111" i="78"/>
  <c r="W111" i="78"/>
  <c r="K111" i="78"/>
  <c r="J111" i="78"/>
  <c r="O111" i="78"/>
  <c r="R111" i="78"/>
  <c r="P111" i="78"/>
  <c r="M111" i="78"/>
  <c r="H110" i="78"/>
  <c r="L110" i="78"/>
  <c r="V110" i="78"/>
  <c r="W110" i="78"/>
  <c r="K110" i="78"/>
  <c r="J110" i="78"/>
  <c r="O110" i="78"/>
  <c r="R110" i="78"/>
  <c r="P110" i="78"/>
  <c r="M110" i="78"/>
  <c r="W109" i="78"/>
  <c r="V109" i="78"/>
  <c r="T109" i="78"/>
  <c r="R109" i="78"/>
  <c r="Q109" i="78"/>
  <c r="O109" i="78"/>
  <c r="H109" i="78"/>
  <c r="P109" i="78"/>
  <c r="M109" i="78"/>
  <c r="L109" i="78"/>
  <c r="J109" i="78"/>
  <c r="K109" i="78"/>
  <c r="G109" i="78"/>
  <c r="F109" i="78"/>
  <c r="E109" i="78"/>
  <c r="H108" i="78"/>
  <c r="L108" i="78"/>
  <c r="V108" i="78"/>
  <c r="W108" i="78"/>
  <c r="K108" i="78"/>
  <c r="J108" i="78"/>
  <c r="O108" i="78"/>
  <c r="R108" i="78"/>
  <c r="P108" i="78"/>
  <c r="M108" i="78"/>
  <c r="H107" i="78"/>
  <c r="L107" i="78"/>
  <c r="V107" i="78"/>
  <c r="W107" i="78"/>
  <c r="K107" i="78"/>
  <c r="J107" i="78"/>
  <c r="O107" i="78"/>
  <c r="R107" i="78"/>
  <c r="P107" i="78"/>
  <c r="M107" i="78"/>
  <c r="H106" i="78"/>
  <c r="L106" i="78"/>
  <c r="V106" i="78"/>
  <c r="W106" i="78"/>
  <c r="K106" i="78"/>
  <c r="J106" i="78"/>
  <c r="O106" i="78"/>
  <c r="R106" i="78"/>
  <c r="P106" i="78"/>
  <c r="M106" i="78"/>
  <c r="H105" i="78"/>
  <c r="L105" i="78"/>
  <c r="V105" i="78"/>
  <c r="W105" i="78"/>
  <c r="K105" i="78"/>
  <c r="J105" i="78"/>
  <c r="O105" i="78"/>
  <c r="R105" i="78"/>
  <c r="P105" i="78"/>
  <c r="M105" i="78"/>
  <c r="H104" i="78"/>
  <c r="L104" i="78"/>
  <c r="V104" i="78"/>
  <c r="W104" i="78"/>
  <c r="K104" i="78"/>
  <c r="J104" i="78"/>
  <c r="O104" i="78"/>
  <c r="R104" i="78"/>
  <c r="P104" i="78"/>
  <c r="M104" i="78"/>
  <c r="H103" i="78"/>
  <c r="L103" i="78"/>
  <c r="V103" i="78"/>
  <c r="W103" i="78"/>
  <c r="K103" i="78"/>
  <c r="J103" i="78"/>
  <c r="O103" i="78"/>
  <c r="R103" i="78"/>
  <c r="P103" i="78"/>
  <c r="M103" i="78"/>
  <c r="H102" i="78"/>
  <c r="L102" i="78"/>
  <c r="V102" i="78"/>
  <c r="W102" i="78"/>
  <c r="K102" i="78"/>
  <c r="J102" i="78"/>
  <c r="O102" i="78"/>
  <c r="R102" i="78"/>
  <c r="P102" i="78"/>
  <c r="M102" i="78"/>
  <c r="H101" i="78"/>
  <c r="L101" i="78"/>
  <c r="V101" i="78"/>
  <c r="W101" i="78"/>
  <c r="K101" i="78"/>
  <c r="J101" i="78"/>
  <c r="O101" i="78"/>
  <c r="R101" i="78"/>
  <c r="P101" i="78"/>
  <c r="M101" i="78"/>
  <c r="H100" i="78"/>
  <c r="L100" i="78"/>
  <c r="V100" i="78"/>
  <c r="W100" i="78"/>
  <c r="K100" i="78"/>
  <c r="J100" i="78"/>
  <c r="O100" i="78"/>
  <c r="R100" i="78"/>
  <c r="P100" i="78"/>
  <c r="M100" i="78"/>
  <c r="H99" i="78"/>
  <c r="L99" i="78"/>
  <c r="V99" i="78"/>
  <c r="W99" i="78"/>
  <c r="K99" i="78"/>
  <c r="J99" i="78"/>
  <c r="O99" i="78"/>
  <c r="R99" i="78"/>
  <c r="P99" i="78"/>
  <c r="M99" i="78"/>
  <c r="H98" i="78"/>
  <c r="L98" i="78"/>
  <c r="V98" i="78"/>
  <c r="W98" i="78"/>
  <c r="K98" i="78"/>
  <c r="J98" i="78"/>
  <c r="O98" i="78"/>
  <c r="R98" i="78"/>
  <c r="P98" i="78"/>
  <c r="M98" i="78"/>
  <c r="H97" i="78"/>
  <c r="L97" i="78"/>
  <c r="V97" i="78"/>
  <c r="W97" i="78"/>
  <c r="K97" i="78"/>
  <c r="J97" i="78"/>
  <c r="O97" i="78"/>
  <c r="R97" i="78"/>
  <c r="P97" i="78"/>
  <c r="M97" i="78"/>
  <c r="H96" i="78"/>
  <c r="L96" i="78"/>
  <c r="V96" i="78"/>
  <c r="W96" i="78"/>
  <c r="K96" i="78"/>
  <c r="J96" i="78"/>
  <c r="O96" i="78"/>
  <c r="R96" i="78"/>
  <c r="P96" i="78"/>
  <c r="M96" i="78"/>
  <c r="H95" i="78"/>
  <c r="L95" i="78"/>
  <c r="V95" i="78"/>
  <c r="W95" i="78"/>
  <c r="K95" i="78"/>
  <c r="J95" i="78"/>
  <c r="O95" i="78"/>
  <c r="R95" i="78"/>
  <c r="P95" i="78"/>
  <c r="M95" i="78"/>
  <c r="H94" i="78"/>
  <c r="L94" i="78"/>
  <c r="V94" i="78"/>
  <c r="W94" i="78"/>
  <c r="K94" i="78"/>
  <c r="J94" i="78"/>
  <c r="O94" i="78"/>
  <c r="R94" i="78"/>
  <c r="P94" i="78"/>
  <c r="M94" i="78"/>
  <c r="W93" i="78"/>
  <c r="V93" i="78"/>
  <c r="T93" i="78"/>
  <c r="R93" i="78"/>
  <c r="Q93" i="78"/>
  <c r="O93" i="78"/>
  <c r="H93" i="78"/>
  <c r="P93" i="78"/>
  <c r="M93" i="78"/>
  <c r="L93" i="78"/>
  <c r="J93" i="78"/>
  <c r="K93" i="78"/>
  <c r="G93" i="78"/>
  <c r="F93" i="78"/>
  <c r="E93" i="78"/>
  <c r="H92" i="78"/>
  <c r="L92" i="78"/>
  <c r="V92" i="78"/>
  <c r="W92" i="78"/>
  <c r="K92" i="78"/>
  <c r="J92" i="78"/>
  <c r="O92" i="78"/>
  <c r="R92" i="78"/>
  <c r="P92" i="78"/>
  <c r="M92" i="78"/>
  <c r="H91" i="78"/>
  <c r="L91" i="78"/>
  <c r="V91" i="78"/>
  <c r="W91" i="78"/>
  <c r="K91" i="78"/>
  <c r="J91" i="78"/>
  <c r="O91" i="78"/>
  <c r="R91" i="78"/>
  <c r="P91" i="78"/>
  <c r="M91" i="78"/>
  <c r="W90" i="78"/>
  <c r="V90" i="78"/>
  <c r="T90" i="78"/>
  <c r="R90" i="78"/>
  <c r="Q90" i="78"/>
  <c r="O90" i="78"/>
  <c r="H90" i="78"/>
  <c r="P90" i="78"/>
  <c r="M90" i="78"/>
  <c r="L90" i="78"/>
  <c r="J90" i="78"/>
  <c r="K90" i="78"/>
  <c r="G90" i="78"/>
  <c r="F90" i="78"/>
  <c r="E90" i="78"/>
  <c r="H89" i="78"/>
  <c r="L89" i="78"/>
  <c r="V89" i="78"/>
  <c r="W89" i="78"/>
  <c r="K89" i="78"/>
  <c r="J89" i="78"/>
  <c r="O89" i="78"/>
  <c r="R89" i="78"/>
  <c r="P89" i="78"/>
  <c r="M89" i="78"/>
  <c r="H88" i="78"/>
  <c r="L88" i="78"/>
  <c r="V88" i="78"/>
  <c r="W88" i="78"/>
  <c r="K88" i="78"/>
  <c r="J88" i="78"/>
  <c r="O88" i="78"/>
  <c r="R88" i="78"/>
  <c r="P88" i="78"/>
  <c r="M88" i="78"/>
  <c r="W87" i="78"/>
  <c r="V87" i="78"/>
  <c r="T87" i="78"/>
  <c r="R87" i="78"/>
  <c r="Q87" i="78"/>
  <c r="O87" i="78"/>
  <c r="H87" i="78"/>
  <c r="P87" i="78"/>
  <c r="M87" i="78"/>
  <c r="L87" i="78"/>
  <c r="J87" i="78"/>
  <c r="K87" i="78"/>
  <c r="G87" i="78"/>
  <c r="F87" i="78"/>
  <c r="E87" i="78"/>
  <c r="H86" i="78"/>
  <c r="L86" i="78"/>
  <c r="V86" i="78"/>
  <c r="W86" i="78"/>
  <c r="K86" i="78"/>
  <c r="J86" i="78"/>
  <c r="O86" i="78"/>
  <c r="R86" i="78"/>
  <c r="P86" i="78"/>
  <c r="M86" i="78"/>
  <c r="H85" i="78"/>
  <c r="L85" i="78"/>
  <c r="V85" i="78"/>
  <c r="W85" i="78"/>
  <c r="K85" i="78"/>
  <c r="J85" i="78"/>
  <c r="O85" i="78"/>
  <c r="R85" i="78"/>
  <c r="P85" i="78"/>
  <c r="M85" i="78"/>
  <c r="H84" i="78"/>
  <c r="L84" i="78"/>
  <c r="V84" i="78"/>
  <c r="W84" i="78"/>
  <c r="K84" i="78"/>
  <c r="J84" i="78"/>
  <c r="O84" i="78"/>
  <c r="R84" i="78"/>
  <c r="P84" i="78"/>
  <c r="M84" i="78"/>
  <c r="H83" i="78"/>
  <c r="L83" i="78"/>
  <c r="V83" i="78"/>
  <c r="W83" i="78"/>
  <c r="K83" i="78"/>
  <c r="J83" i="78"/>
  <c r="O83" i="78"/>
  <c r="R83" i="78"/>
  <c r="P83" i="78"/>
  <c r="M83" i="78"/>
  <c r="H82" i="78"/>
  <c r="L82" i="78"/>
  <c r="V82" i="78"/>
  <c r="W82" i="78"/>
  <c r="K82" i="78"/>
  <c r="J82" i="78"/>
  <c r="O82" i="78"/>
  <c r="R82" i="78"/>
  <c r="P82" i="78"/>
  <c r="M82" i="78"/>
  <c r="H81" i="78"/>
  <c r="L81" i="78"/>
  <c r="V81" i="78"/>
  <c r="W81" i="78"/>
  <c r="K81" i="78"/>
  <c r="J81" i="78"/>
  <c r="O81" i="78"/>
  <c r="R81" i="78"/>
  <c r="P81" i="78"/>
  <c r="M81" i="78"/>
  <c r="H80" i="78"/>
  <c r="L80" i="78"/>
  <c r="V80" i="78"/>
  <c r="W80" i="78"/>
  <c r="K80" i="78"/>
  <c r="J80" i="78"/>
  <c r="O80" i="78"/>
  <c r="R80" i="78"/>
  <c r="P80" i="78"/>
  <c r="M80" i="78"/>
  <c r="W79" i="78"/>
  <c r="V79" i="78"/>
  <c r="T79" i="78"/>
  <c r="R79" i="78"/>
  <c r="Q79" i="78"/>
  <c r="O79" i="78"/>
  <c r="H79" i="78"/>
  <c r="P79" i="78"/>
  <c r="M79" i="78"/>
  <c r="L79" i="78"/>
  <c r="J79" i="78"/>
  <c r="K79" i="78"/>
  <c r="G79" i="78"/>
  <c r="F79" i="78"/>
  <c r="E79" i="78"/>
  <c r="H78" i="78"/>
  <c r="L78" i="78"/>
  <c r="V78" i="78"/>
  <c r="W78" i="78"/>
  <c r="K78" i="78"/>
  <c r="J78" i="78"/>
  <c r="O78" i="78"/>
  <c r="R78" i="78"/>
  <c r="P78" i="78"/>
  <c r="M78" i="78"/>
  <c r="H77" i="78"/>
  <c r="L77" i="78"/>
  <c r="V77" i="78"/>
  <c r="W77" i="78"/>
  <c r="K77" i="78"/>
  <c r="J77" i="78"/>
  <c r="O77" i="78"/>
  <c r="R77" i="78"/>
  <c r="P77" i="78"/>
  <c r="M77" i="78"/>
  <c r="H76" i="78"/>
  <c r="L76" i="78"/>
  <c r="V76" i="78"/>
  <c r="W76" i="78"/>
  <c r="K76" i="78"/>
  <c r="J76" i="78"/>
  <c r="O76" i="78"/>
  <c r="R76" i="78"/>
  <c r="P76" i="78"/>
  <c r="M76" i="78"/>
  <c r="H75" i="78"/>
  <c r="L75" i="78"/>
  <c r="V75" i="78"/>
  <c r="W75" i="78"/>
  <c r="K75" i="78"/>
  <c r="J75" i="78"/>
  <c r="O75" i="78"/>
  <c r="R75" i="78"/>
  <c r="P75" i="78"/>
  <c r="M75" i="78"/>
  <c r="H74" i="78"/>
  <c r="L74" i="78"/>
  <c r="V74" i="78"/>
  <c r="W74" i="78"/>
  <c r="K74" i="78"/>
  <c r="J74" i="78"/>
  <c r="O74" i="78"/>
  <c r="R74" i="78"/>
  <c r="P74" i="78"/>
  <c r="M74" i="78"/>
  <c r="H73" i="78"/>
  <c r="L73" i="78"/>
  <c r="V73" i="78"/>
  <c r="W73" i="78"/>
  <c r="K73" i="78"/>
  <c r="J73" i="78"/>
  <c r="O73" i="78"/>
  <c r="R73" i="78"/>
  <c r="P73" i="78"/>
  <c r="M73" i="78"/>
  <c r="H72" i="78"/>
  <c r="L72" i="78"/>
  <c r="V72" i="78"/>
  <c r="W72" i="78"/>
  <c r="K72" i="78"/>
  <c r="J72" i="78"/>
  <c r="O72" i="78"/>
  <c r="R72" i="78"/>
  <c r="P72" i="78"/>
  <c r="M72" i="78"/>
  <c r="H71" i="78"/>
  <c r="L71" i="78"/>
  <c r="V71" i="78"/>
  <c r="W71" i="78"/>
  <c r="K71" i="78"/>
  <c r="J71" i="78"/>
  <c r="O71" i="78"/>
  <c r="R71" i="78"/>
  <c r="P71" i="78"/>
  <c r="M71" i="78"/>
  <c r="H70" i="78"/>
  <c r="L70" i="78"/>
  <c r="V70" i="78"/>
  <c r="W70" i="78"/>
  <c r="K70" i="78"/>
  <c r="J70" i="78"/>
  <c r="O70" i="78"/>
  <c r="R70" i="78"/>
  <c r="P70" i="78"/>
  <c r="M70" i="78"/>
  <c r="H69" i="78"/>
  <c r="L69" i="78"/>
  <c r="V69" i="78"/>
  <c r="W69" i="78"/>
  <c r="K69" i="78"/>
  <c r="J69" i="78"/>
  <c r="O69" i="78"/>
  <c r="R69" i="78"/>
  <c r="P69" i="78"/>
  <c r="M69" i="78"/>
  <c r="W68" i="78"/>
  <c r="V68" i="78"/>
  <c r="T68" i="78"/>
  <c r="R68" i="78"/>
  <c r="Q68" i="78"/>
  <c r="O68" i="78"/>
  <c r="H68" i="78"/>
  <c r="P68" i="78"/>
  <c r="M68" i="78"/>
  <c r="L68" i="78"/>
  <c r="J68" i="78"/>
  <c r="K68" i="78"/>
  <c r="G68" i="78"/>
  <c r="F68" i="78"/>
  <c r="E68" i="78"/>
  <c r="W67" i="78"/>
  <c r="V67" i="78"/>
  <c r="T67" i="78"/>
  <c r="R67" i="78"/>
  <c r="Q67" i="78"/>
  <c r="O67" i="78"/>
  <c r="H67" i="78"/>
  <c r="P67" i="78"/>
  <c r="M67" i="78"/>
  <c r="L67" i="78"/>
  <c r="J67" i="78"/>
  <c r="K67" i="78"/>
  <c r="G67" i="78"/>
  <c r="F67" i="78"/>
  <c r="E67" i="78"/>
  <c r="H60" i="78"/>
  <c r="L60" i="78"/>
  <c r="V60" i="78"/>
  <c r="W60" i="78"/>
  <c r="K60" i="78"/>
  <c r="J60" i="78"/>
  <c r="O60" i="78"/>
  <c r="R60" i="78"/>
  <c r="P60" i="78"/>
  <c r="M60" i="78"/>
  <c r="H59" i="78"/>
  <c r="L59" i="78"/>
  <c r="V59" i="78"/>
  <c r="W59" i="78"/>
  <c r="K59" i="78"/>
  <c r="J59" i="78"/>
  <c r="O59" i="78"/>
  <c r="R59" i="78"/>
  <c r="P59" i="78"/>
  <c r="M59" i="78"/>
  <c r="H58" i="78"/>
  <c r="L58" i="78"/>
  <c r="V58" i="78"/>
  <c r="W58" i="78"/>
  <c r="K58" i="78"/>
  <c r="J58" i="78"/>
  <c r="O58" i="78"/>
  <c r="R58" i="78"/>
  <c r="P58" i="78"/>
  <c r="M58" i="78"/>
  <c r="W57" i="78"/>
  <c r="V57" i="78"/>
  <c r="T57" i="78"/>
  <c r="R57" i="78"/>
  <c r="Q57" i="78"/>
  <c r="O57" i="78"/>
  <c r="H57" i="78"/>
  <c r="P57" i="78"/>
  <c r="M57" i="78"/>
  <c r="L57" i="78"/>
  <c r="J57" i="78"/>
  <c r="K57" i="78"/>
  <c r="G57" i="78"/>
  <c r="F57" i="78"/>
  <c r="E57" i="78"/>
  <c r="H56" i="78"/>
  <c r="L56" i="78"/>
  <c r="V56" i="78"/>
  <c r="W56" i="78"/>
  <c r="K56" i="78"/>
  <c r="J56" i="78"/>
  <c r="O56" i="78"/>
  <c r="R56" i="78"/>
  <c r="P56" i="78"/>
  <c r="M56" i="78"/>
  <c r="H55" i="78"/>
  <c r="L55" i="78"/>
  <c r="V55" i="78"/>
  <c r="W55" i="78"/>
  <c r="K55" i="78"/>
  <c r="J55" i="78"/>
  <c r="O55" i="78"/>
  <c r="R55" i="78"/>
  <c r="P55" i="78"/>
  <c r="M55" i="78"/>
  <c r="H54" i="78"/>
  <c r="L54" i="78"/>
  <c r="V54" i="78"/>
  <c r="W54" i="78"/>
  <c r="K54" i="78"/>
  <c r="J54" i="78"/>
  <c r="O54" i="78"/>
  <c r="R54" i="78"/>
  <c r="P54" i="78"/>
  <c r="M54" i="78"/>
  <c r="H53" i="78"/>
  <c r="L53" i="78"/>
  <c r="V53" i="78"/>
  <c r="W53" i="78"/>
  <c r="K53" i="78"/>
  <c r="J53" i="78"/>
  <c r="O53" i="78"/>
  <c r="R53" i="78"/>
  <c r="P53" i="78"/>
  <c r="M53" i="78"/>
  <c r="H52" i="78"/>
  <c r="L52" i="78"/>
  <c r="V52" i="78"/>
  <c r="W52" i="78"/>
  <c r="K52" i="78"/>
  <c r="J52" i="78"/>
  <c r="O52" i="78"/>
  <c r="R52" i="78"/>
  <c r="P52" i="78"/>
  <c r="M52" i="78"/>
  <c r="H51" i="78"/>
  <c r="L51" i="78"/>
  <c r="V51" i="78"/>
  <c r="W51" i="78"/>
  <c r="K51" i="78"/>
  <c r="J51" i="78"/>
  <c r="O51" i="78"/>
  <c r="R51" i="78"/>
  <c r="P51" i="78"/>
  <c r="M51" i="78"/>
  <c r="H50" i="78"/>
  <c r="L50" i="78"/>
  <c r="V50" i="78"/>
  <c r="W50" i="78"/>
  <c r="K50" i="78"/>
  <c r="J50" i="78"/>
  <c r="O50" i="78"/>
  <c r="R50" i="78"/>
  <c r="P50" i="78"/>
  <c r="M50" i="78"/>
  <c r="H49" i="78"/>
  <c r="L49" i="78"/>
  <c r="V49" i="78"/>
  <c r="W49" i="78"/>
  <c r="K49" i="78"/>
  <c r="J49" i="78"/>
  <c r="O49" i="78"/>
  <c r="R49" i="78"/>
  <c r="P49" i="78"/>
  <c r="M49" i="78"/>
  <c r="H48" i="78"/>
  <c r="L48" i="78"/>
  <c r="V48" i="78"/>
  <c r="W48" i="78"/>
  <c r="K48" i="78"/>
  <c r="J48" i="78"/>
  <c r="O48" i="78"/>
  <c r="R48" i="78"/>
  <c r="P48" i="78"/>
  <c r="M48" i="78"/>
  <c r="H47" i="78"/>
  <c r="L47" i="78"/>
  <c r="V47" i="78"/>
  <c r="W47" i="78"/>
  <c r="K47" i="78"/>
  <c r="J47" i="78"/>
  <c r="O47" i="78"/>
  <c r="R47" i="78"/>
  <c r="P47" i="78"/>
  <c r="M47" i="78"/>
  <c r="H46" i="78"/>
  <c r="L46" i="78"/>
  <c r="V46" i="78"/>
  <c r="W46" i="78"/>
  <c r="K46" i="78"/>
  <c r="J46" i="78"/>
  <c r="O46" i="78"/>
  <c r="R46" i="78"/>
  <c r="P46" i="78"/>
  <c r="M46" i="78"/>
  <c r="H45" i="78"/>
  <c r="L45" i="78"/>
  <c r="V45" i="78"/>
  <c r="W45" i="78"/>
  <c r="K45" i="78"/>
  <c r="J45" i="78"/>
  <c r="O45" i="78"/>
  <c r="R45" i="78"/>
  <c r="P45" i="78"/>
  <c r="M45" i="78"/>
  <c r="H44" i="78"/>
  <c r="L44" i="78"/>
  <c r="V44" i="78"/>
  <c r="W44" i="78"/>
  <c r="K44" i="78"/>
  <c r="J44" i="78"/>
  <c r="O44" i="78"/>
  <c r="R44" i="78"/>
  <c r="P44" i="78"/>
  <c r="M44" i="78"/>
  <c r="H43" i="78"/>
  <c r="L43" i="78"/>
  <c r="V43" i="78"/>
  <c r="W43" i="78"/>
  <c r="K43" i="78"/>
  <c r="J43" i="78"/>
  <c r="O43" i="78"/>
  <c r="R43" i="78"/>
  <c r="P43" i="78"/>
  <c r="M43" i="78"/>
  <c r="H42" i="78"/>
  <c r="L42" i="78"/>
  <c r="V42" i="78"/>
  <c r="W42" i="78"/>
  <c r="K42" i="78"/>
  <c r="J42" i="78"/>
  <c r="O42" i="78"/>
  <c r="R42" i="78"/>
  <c r="P42" i="78"/>
  <c r="M42" i="78"/>
  <c r="W41" i="78"/>
  <c r="V41" i="78"/>
  <c r="T41" i="78"/>
  <c r="R41" i="78"/>
  <c r="Q41" i="78"/>
  <c r="O41" i="78"/>
  <c r="H41" i="78"/>
  <c r="P41" i="78"/>
  <c r="M41" i="78"/>
  <c r="L41" i="78"/>
  <c r="J41" i="78"/>
  <c r="K41" i="78"/>
  <c r="G41" i="78"/>
  <c r="F41" i="78"/>
  <c r="E41" i="78"/>
  <c r="H40" i="78"/>
  <c r="L40" i="78"/>
  <c r="V40" i="78"/>
  <c r="W40" i="78"/>
  <c r="K40" i="78"/>
  <c r="J40" i="78"/>
  <c r="O40" i="78"/>
  <c r="R40" i="78"/>
  <c r="P40" i="78"/>
  <c r="M40" i="78"/>
  <c r="H39" i="78"/>
  <c r="L39" i="78"/>
  <c r="V39" i="78"/>
  <c r="W39" i="78"/>
  <c r="K39" i="78"/>
  <c r="J39" i="78"/>
  <c r="O39" i="78"/>
  <c r="R39" i="78"/>
  <c r="P39" i="78"/>
  <c r="M39" i="78"/>
  <c r="W38" i="78"/>
  <c r="V38" i="78"/>
  <c r="T38" i="78"/>
  <c r="R38" i="78"/>
  <c r="Q38" i="78"/>
  <c r="O38" i="78"/>
  <c r="H38" i="78"/>
  <c r="P38" i="78"/>
  <c r="M38" i="78"/>
  <c r="L38" i="78"/>
  <c r="J38" i="78"/>
  <c r="K38" i="78"/>
  <c r="G38" i="78"/>
  <c r="F38" i="78"/>
  <c r="E38" i="78"/>
  <c r="H37" i="78"/>
  <c r="L37" i="78"/>
  <c r="V37" i="78"/>
  <c r="W37" i="78"/>
  <c r="K37" i="78"/>
  <c r="J37" i="78"/>
  <c r="O37" i="78"/>
  <c r="R37" i="78"/>
  <c r="P37" i="78"/>
  <c r="M37" i="78"/>
  <c r="H36" i="78"/>
  <c r="L36" i="78"/>
  <c r="V36" i="78"/>
  <c r="W36" i="78"/>
  <c r="K36" i="78"/>
  <c r="J36" i="78"/>
  <c r="O36" i="78"/>
  <c r="R36" i="78"/>
  <c r="P36" i="78"/>
  <c r="M36" i="78"/>
  <c r="W35" i="78"/>
  <c r="V35" i="78"/>
  <c r="T35" i="78"/>
  <c r="R35" i="78"/>
  <c r="Q35" i="78"/>
  <c r="O35" i="78"/>
  <c r="H35" i="78"/>
  <c r="P35" i="78"/>
  <c r="M35" i="78"/>
  <c r="L35" i="78"/>
  <c r="J35" i="78"/>
  <c r="K35" i="78"/>
  <c r="G35" i="78"/>
  <c r="F35" i="78"/>
  <c r="E35" i="78"/>
  <c r="H34" i="78"/>
  <c r="L34" i="78"/>
  <c r="V34" i="78"/>
  <c r="W34" i="78"/>
  <c r="K34" i="78"/>
  <c r="J34" i="78"/>
  <c r="O34" i="78"/>
  <c r="R34" i="78"/>
  <c r="P34" i="78"/>
  <c r="M34" i="78"/>
  <c r="H33" i="78"/>
  <c r="L33" i="78"/>
  <c r="V33" i="78"/>
  <c r="W33" i="78"/>
  <c r="K33" i="78"/>
  <c r="J33" i="78"/>
  <c r="O33" i="78"/>
  <c r="R33" i="78"/>
  <c r="P33" i="78"/>
  <c r="M33" i="78"/>
  <c r="H32" i="78"/>
  <c r="L32" i="78"/>
  <c r="V32" i="78"/>
  <c r="W32" i="78"/>
  <c r="K32" i="78"/>
  <c r="J32" i="78"/>
  <c r="O32" i="78"/>
  <c r="R32" i="78"/>
  <c r="P32" i="78"/>
  <c r="M32" i="78"/>
  <c r="H31" i="78"/>
  <c r="L31" i="78"/>
  <c r="V31" i="78"/>
  <c r="W31" i="78"/>
  <c r="K31" i="78"/>
  <c r="J31" i="78"/>
  <c r="O31" i="78"/>
  <c r="R31" i="78"/>
  <c r="P31" i="78"/>
  <c r="M31" i="78"/>
  <c r="H30" i="78"/>
  <c r="L30" i="78"/>
  <c r="V30" i="78"/>
  <c r="W30" i="78"/>
  <c r="K30" i="78"/>
  <c r="J30" i="78"/>
  <c r="O30" i="78"/>
  <c r="R30" i="78"/>
  <c r="P30" i="78"/>
  <c r="M30" i="78"/>
  <c r="H29" i="78"/>
  <c r="L29" i="78"/>
  <c r="V29" i="78"/>
  <c r="W29" i="78"/>
  <c r="K29" i="78"/>
  <c r="J29" i="78"/>
  <c r="O29" i="78"/>
  <c r="R29" i="78"/>
  <c r="P29" i="78"/>
  <c r="M29" i="78"/>
  <c r="H28" i="78"/>
  <c r="L28" i="78"/>
  <c r="V28" i="78"/>
  <c r="W28" i="78"/>
  <c r="K28" i="78"/>
  <c r="J28" i="78"/>
  <c r="O28" i="78"/>
  <c r="R28" i="78"/>
  <c r="P28" i="78"/>
  <c r="M28" i="78"/>
  <c r="H27" i="78"/>
  <c r="L27" i="78"/>
  <c r="V27" i="78"/>
  <c r="W27" i="78"/>
  <c r="K27" i="78"/>
  <c r="J27" i="78"/>
  <c r="O27" i="78"/>
  <c r="R27" i="78"/>
  <c r="P27" i="78"/>
  <c r="M27" i="78"/>
  <c r="H26" i="78"/>
  <c r="L26" i="78"/>
  <c r="V26" i="78"/>
  <c r="W26" i="78"/>
  <c r="K26" i="78"/>
  <c r="J26" i="78"/>
  <c r="O26" i="78"/>
  <c r="R26" i="78"/>
  <c r="P26" i="78"/>
  <c r="M26" i="78"/>
  <c r="H25" i="78"/>
  <c r="L25" i="78"/>
  <c r="V25" i="78"/>
  <c r="W25" i="78"/>
  <c r="K25" i="78"/>
  <c r="J25" i="78"/>
  <c r="O25" i="78"/>
  <c r="R25" i="78"/>
  <c r="P25" i="78"/>
  <c r="M25" i="78"/>
  <c r="W24" i="78"/>
  <c r="V24" i="78"/>
  <c r="T24" i="78"/>
  <c r="R24" i="78"/>
  <c r="Q24" i="78"/>
  <c r="O24" i="78"/>
  <c r="H24" i="78"/>
  <c r="P24" i="78"/>
  <c r="M24" i="78"/>
  <c r="L24" i="78"/>
  <c r="J24" i="78"/>
  <c r="K24" i="78"/>
  <c r="G24" i="78"/>
  <c r="F24" i="78"/>
  <c r="E24" i="78"/>
  <c r="H23" i="78"/>
  <c r="L23" i="78"/>
  <c r="V23" i="78"/>
  <c r="W23" i="78"/>
  <c r="K23" i="78"/>
  <c r="J23" i="78"/>
  <c r="O23" i="78"/>
  <c r="R23" i="78"/>
  <c r="P23" i="78"/>
  <c r="M23" i="78"/>
  <c r="H22" i="78"/>
  <c r="L22" i="78"/>
  <c r="V22" i="78"/>
  <c r="W22" i="78"/>
  <c r="K22" i="78"/>
  <c r="J22" i="78"/>
  <c r="O22" i="78"/>
  <c r="R22" i="78"/>
  <c r="P22" i="78"/>
  <c r="M22" i="78"/>
  <c r="H21" i="78"/>
  <c r="L21" i="78"/>
  <c r="V21" i="78"/>
  <c r="W21" i="78"/>
  <c r="K21" i="78"/>
  <c r="J21" i="78"/>
  <c r="O21" i="78"/>
  <c r="R21" i="78"/>
  <c r="P21" i="78"/>
  <c r="M21" i="78"/>
  <c r="H20" i="78"/>
  <c r="L20" i="78"/>
  <c r="V20" i="78"/>
  <c r="W20" i="78"/>
  <c r="K20" i="78"/>
  <c r="J20" i="78"/>
  <c r="O20" i="78"/>
  <c r="R20" i="78"/>
  <c r="P20" i="78"/>
  <c r="M20" i="78"/>
  <c r="H19" i="78"/>
  <c r="L19" i="78"/>
  <c r="V19" i="78"/>
  <c r="W19" i="78"/>
  <c r="K19" i="78"/>
  <c r="J19" i="78"/>
  <c r="O19" i="78"/>
  <c r="R19" i="78"/>
  <c r="P19" i="78"/>
  <c r="M19" i="78"/>
  <c r="H18" i="78"/>
  <c r="L18" i="78"/>
  <c r="V18" i="78"/>
  <c r="W18" i="78"/>
  <c r="K18" i="78"/>
  <c r="J18" i="78"/>
  <c r="O18" i="78"/>
  <c r="R18" i="78"/>
  <c r="P18" i="78"/>
  <c r="M18" i="78"/>
  <c r="H17" i="78"/>
  <c r="L17" i="78"/>
  <c r="V17" i="78"/>
  <c r="W17" i="78"/>
  <c r="K17" i="78"/>
  <c r="J17" i="78"/>
  <c r="O17" i="78"/>
  <c r="R17" i="78"/>
  <c r="P17" i="78"/>
  <c r="M17" i="78"/>
  <c r="H16" i="78"/>
  <c r="L16" i="78"/>
  <c r="V16" i="78"/>
  <c r="W16" i="78"/>
  <c r="K16" i="78"/>
  <c r="J16" i="78"/>
  <c r="O16" i="78"/>
  <c r="R16" i="78"/>
  <c r="P16" i="78"/>
  <c r="M16" i="78"/>
  <c r="H15" i="78"/>
  <c r="L15" i="78"/>
  <c r="V15" i="78"/>
  <c r="W15" i="78"/>
  <c r="K15" i="78"/>
  <c r="J15" i="78"/>
  <c r="O15" i="78"/>
  <c r="R15" i="78"/>
  <c r="P15" i="78"/>
  <c r="M15" i="78"/>
  <c r="H14" i="78"/>
  <c r="L14" i="78"/>
  <c r="V14" i="78"/>
  <c r="W14" i="78"/>
  <c r="K14" i="78"/>
  <c r="J14" i="78"/>
  <c r="O14" i="78"/>
  <c r="R14" i="78"/>
  <c r="P14" i="78"/>
  <c r="M14" i="78"/>
  <c r="H13" i="78"/>
  <c r="L13" i="78"/>
  <c r="V13" i="78"/>
  <c r="W13" i="78"/>
  <c r="K13" i="78"/>
  <c r="J13" i="78"/>
  <c r="O13" i="78"/>
  <c r="R13" i="78"/>
  <c r="P13" i="78"/>
  <c r="M13" i="78"/>
  <c r="W12" i="78"/>
  <c r="V12" i="78"/>
  <c r="T12" i="78"/>
  <c r="R12" i="78"/>
  <c r="Q12" i="78"/>
  <c r="O12" i="78"/>
  <c r="H12" i="78"/>
  <c r="P12" i="78"/>
  <c r="M12" i="78"/>
  <c r="L12" i="78"/>
  <c r="J12" i="78"/>
  <c r="K12" i="78"/>
  <c r="G12" i="78"/>
  <c r="F12" i="78"/>
  <c r="E12" i="78"/>
  <c r="W11" i="78"/>
  <c r="V11" i="78"/>
  <c r="T11" i="78"/>
  <c r="R11" i="78"/>
  <c r="Q11" i="78"/>
  <c r="O11" i="78"/>
  <c r="H11" i="78"/>
  <c r="P11" i="78"/>
  <c r="M11" i="78"/>
  <c r="L11" i="78"/>
  <c r="J11" i="78"/>
  <c r="K11" i="78"/>
  <c r="G11" i="78"/>
  <c r="F11" i="78"/>
  <c r="E11" i="78"/>
  <c r="H6" i="78"/>
  <c r="L6" i="78"/>
  <c r="T5" i="78"/>
  <c r="T6" i="78"/>
  <c r="V6" i="78"/>
  <c r="W6" i="78"/>
  <c r="O5" i="78"/>
  <c r="O6" i="78"/>
  <c r="R6" i="78"/>
  <c r="J5" i="78"/>
  <c r="J6" i="78"/>
  <c r="M6" i="78"/>
  <c r="G6" i="78"/>
  <c r="F6" i="78"/>
  <c r="E6" i="78"/>
  <c r="V5" i="78"/>
  <c r="W5" i="78"/>
  <c r="Q5" i="78"/>
  <c r="R5" i="78"/>
  <c r="L5" i="78"/>
  <c r="M5" i="78"/>
  <c r="H123" i="77"/>
  <c r="J123" i="77"/>
  <c r="O123" i="77"/>
  <c r="R123" i="77"/>
  <c r="P123" i="77"/>
  <c r="L123" i="77"/>
  <c r="M123" i="77"/>
  <c r="H122" i="77"/>
  <c r="J122" i="77"/>
  <c r="O122" i="77"/>
  <c r="R122" i="77"/>
  <c r="P122" i="77"/>
  <c r="L122" i="77"/>
  <c r="M122" i="77"/>
  <c r="H121" i="77"/>
  <c r="J121" i="77"/>
  <c r="O121" i="77"/>
  <c r="R121" i="77"/>
  <c r="P121" i="77"/>
  <c r="L121" i="77"/>
  <c r="M121" i="77"/>
  <c r="H120" i="77"/>
  <c r="J120" i="77"/>
  <c r="O120" i="77"/>
  <c r="R120" i="77"/>
  <c r="P120" i="77"/>
  <c r="L120" i="77"/>
  <c r="M120" i="77"/>
  <c r="W119" i="77"/>
  <c r="V119" i="77"/>
  <c r="T119" i="77"/>
  <c r="R119" i="77"/>
  <c r="Q119" i="77"/>
  <c r="O119" i="77"/>
  <c r="H119" i="77"/>
  <c r="P119" i="77"/>
  <c r="M119" i="77"/>
  <c r="L119" i="77"/>
  <c r="J119" i="77"/>
  <c r="K119" i="77"/>
  <c r="G119" i="77"/>
  <c r="F119" i="77"/>
  <c r="E119" i="77"/>
  <c r="H112" i="77"/>
  <c r="L112" i="77"/>
  <c r="V112" i="77"/>
  <c r="W112" i="77"/>
  <c r="J112" i="77"/>
  <c r="O112" i="77"/>
  <c r="R112" i="77"/>
  <c r="P112" i="77"/>
  <c r="M112" i="77"/>
  <c r="H111" i="77"/>
  <c r="L111" i="77"/>
  <c r="V111" i="77"/>
  <c r="W111" i="77"/>
  <c r="J111" i="77"/>
  <c r="O111" i="77"/>
  <c r="R111" i="77"/>
  <c r="P111" i="77"/>
  <c r="M111" i="77"/>
  <c r="H110" i="77"/>
  <c r="L110" i="77"/>
  <c r="V110" i="77"/>
  <c r="W110" i="77"/>
  <c r="J110" i="77"/>
  <c r="O110" i="77"/>
  <c r="R110" i="77"/>
  <c r="P110" i="77"/>
  <c r="M110" i="77"/>
  <c r="W109" i="77"/>
  <c r="V109" i="77"/>
  <c r="T109" i="77"/>
  <c r="R109" i="77"/>
  <c r="Q109" i="77"/>
  <c r="O109" i="77"/>
  <c r="H109" i="77"/>
  <c r="P109" i="77"/>
  <c r="M109" i="77"/>
  <c r="L109" i="77"/>
  <c r="J109" i="77"/>
  <c r="K109" i="77"/>
  <c r="G109" i="77"/>
  <c r="F109" i="77"/>
  <c r="E109" i="77"/>
  <c r="H108" i="77"/>
  <c r="L108" i="77"/>
  <c r="V108" i="77"/>
  <c r="W108" i="77"/>
  <c r="J108" i="77"/>
  <c r="O108" i="77"/>
  <c r="R108" i="77"/>
  <c r="P108" i="77"/>
  <c r="M108" i="77"/>
  <c r="H107" i="77"/>
  <c r="L107" i="77"/>
  <c r="V107" i="77"/>
  <c r="W107" i="77"/>
  <c r="J107" i="77"/>
  <c r="O107" i="77"/>
  <c r="R107" i="77"/>
  <c r="P107" i="77"/>
  <c r="M107" i="77"/>
  <c r="H106" i="77"/>
  <c r="L106" i="77"/>
  <c r="V106" i="77"/>
  <c r="W106" i="77"/>
  <c r="J106" i="77"/>
  <c r="O106" i="77"/>
  <c r="R106" i="77"/>
  <c r="P106" i="77"/>
  <c r="M106" i="77"/>
  <c r="H105" i="77"/>
  <c r="L105" i="77"/>
  <c r="V105" i="77"/>
  <c r="W105" i="77"/>
  <c r="J105" i="77"/>
  <c r="O105" i="77"/>
  <c r="R105" i="77"/>
  <c r="P105" i="77"/>
  <c r="M105" i="77"/>
  <c r="H104" i="77"/>
  <c r="L104" i="77"/>
  <c r="V104" i="77"/>
  <c r="W104" i="77"/>
  <c r="J104" i="77"/>
  <c r="O104" i="77"/>
  <c r="R104" i="77"/>
  <c r="P104" i="77"/>
  <c r="M104" i="77"/>
  <c r="H103" i="77"/>
  <c r="L103" i="77"/>
  <c r="V103" i="77"/>
  <c r="W103" i="77"/>
  <c r="J103" i="77"/>
  <c r="O103" i="77"/>
  <c r="R103" i="77"/>
  <c r="P103" i="77"/>
  <c r="M103" i="77"/>
  <c r="H102" i="77"/>
  <c r="L102" i="77"/>
  <c r="V102" i="77"/>
  <c r="W102" i="77"/>
  <c r="J102" i="77"/>
  <c r="O102" i="77"/>
  <c r="R102" i="77"/>
  <c r="P102" i="77"/>
  <c r="M102" i="77"/>
  <c r="H101" i="77"/>
  <c r="L101" i="77"/>
  <c r="V101" i="77"/>
  <c r="W101" i="77"/>
  <c r="J101" i="77"/>
  <c r="O101" i="77"/>
  <c r="R101" i="77"/>
  <c r="P101" i="77"/>
  <c r="M101" i="77"/>
  <c r="H100" i="77"/>
  <c r="L100" i="77"/>
  <c r="V100" i="77"/>
  <c r="W100" i="77"/>
  <c r="J100" i="77"/>
  <c r="O100" i="77"/>
  <c r="R100" i="77"/>
  <c r="P100" i="77"/>
  <c r="M100" i="77"/>
  <c r="H99" i="77"/>
  <c r="L99" i="77"/>
  <c r="V99" i="77"/>
  <c r="W99" i="77"/>
  <c r="J99" i="77"/>
  <c r="O99" i="77"/>
  <c r="R99" i="77"/>
  <c r="P99" i="77"/>
  <c r="M99" i="77"/>
  <c r="H98" i="77"/>
  <c r="L98" i="77"/>
  <c r="V98" i="77"/>
  <c r="W98" i="77"/>
  <c r="J98" i="77"/>
  <c r="O98" i="77"/>
  <c r="R98" i="77"/>
  <c r="P98" i="77"/>
  <c r="M98" i="77"/>
  <c r="H97" i="77"/>
  <c r="L97" i="77"/>
  <c r="V97" i="77"/>
  <c r="W97" i="77"/>
  <c r="J97" i="77"/>
  <c r="O97" i="77"/>
  <c r="R97" i="77"/>
  <c r="P97" i="77"/>
  <c r="M97" i="77"/>
  <c r="H96" i="77"/>
  <c r="L96" i="77"/>
  <c r="V96" i="77"/>
  <c r="W96" i="77"/>
  <c r="J96" i="77"/>
  <c r="O96" i="77"/>
  <c r="R96" i="77"/>
  <c r="P96" i="77"/>
  <c r="M96" i="77"/>
  <c r="H95" i="77"/>
  <c r="L95" i="77"/>
  <c r="V95" i="77"/>
  <c r="W95" i="77"/>
  <c r="J95" i="77"/>
  <c r="O95" i="77"/>
  <c r="R95" i="77"/>
  <c r="P95" i="77"/>
  <c r="M95" i="77"/>
  <c r="H94" i="77"/>
  <c r="L94" i="77"/>
  <c r="V94" i="77"/>
  <c r="W94" i="77"/>
  <c r="J94" i="77"/>
  <c r="O94" i="77"/>
  <c r="R94" i="77"/>
  <c r="P94" i="77"/>
  <c r="M94" i="77"/>
  <c r="W93" i="77"/>
  <c r="V93" i="77"/>
  <c r="T93" i="77"/>
  <c r="R93" i="77"/>
  <c r="Q93" i="77"/>
  <c r="O93" i="77"/>
  <c r="H93" i="77"/>
  <c r="P93" i="77"/>
  <c r="M93" i="77"/>
  <c r="L93" i="77"/>
  <c r="J93" i="77"/>
  <c r="K93" i="77"/>
  <c r="G93" i="77"/>
  <c r="F93" i="77"/>
  <c r="E93" i="77"/>
  <c r="H92" i="77"/>
  <c r="L92" i="77"/>
  <c r="V92" i="77"/>
  <c r="W92" i="77"/>
  <c r="J92" i="77"/>
  <c r="O92" i="77"/>
  <c r="R92" i="77"/>
  <c r="P92" i="77"/>
  <c r="M92" i="77"/>
  <c r="H91" i="77"/>
  <c r="L91" i="77"/>
  <c r="V91" i="77"/>
  <c r="W91" i="77"/>
  <c r="J91" i="77"/>
  <c r="O91" i="77"/>
  <c r="R91" i="77"/>
  <c r="P91" i="77"/>
  <c r="M91" i="77"/>
  <c r="W90" i="77"/>
  <c r="V90" i="77"/>
  <c r="T90" i="77"/>
  <c r="R90" i="77"/>
  <c r="Q90" i="77"/>
  <c r="O90" i="77"/>
  <c r="H90" i="77"/>
  <c r="P90" i="77"/>
  <c r="M90" i="77"/>
  <c r="L90" i="77"/>
  <c r="J90" i="77"/>
  <c r="K90" i="77"/>
  <c r="G90" i="77"/>
  <c r="F90" i="77"/>
  <c r="E90" i="77"/>
  <c r="H89" i="77"/>
  <c r="L89" i="77"/>
  <c r="V89" i="77"/>
  <c r="W89" i="77"/>
  <c r="J89" i="77"/>
  <c r="O89" i="77"/>
  <c r="R89" i="77"/>
  <c r="P89" i="77"/>
  <c r="M89" i="77"/>
  <c r="H88" i="77"/>
  <c r="L88" i="77"/>
  <c r="V88" i="77"/>
  <c r="W88" i="77"/>
  <c r="J88" i="77"/>
  <c r="O88" i="77"/>
  <c r="R88" i="77"/>
  <c r="P88" i="77"/>
  <c r="M88" i="77"/>
  <c r="W87" i="77"/>
  <c r="V87" i="77"/>
  <c r="T87" i="77"/>
  <c r="R87" i="77"/>
  <c r="Q87" i="77"/>
  <c r="O87" i="77"/>
  <c r="H87" i="77"/>
  <c r="P87" i="77"/>
  <c r="M87" i="77"/>
  <c r="L87" i="77"/>
  <c r="J87" i="77"/>
  <c r="K87" i="77"/>
  <c r="G87" i="77"/>
  <c r="F87" i="77"/>
  <c r="E87" i="77"/>
  <c r="H86" i="77"/>
  <c r="L86" i="77"/>
  <c r="V86" i="77"/>
  <c r="W86" i="77"/>
  <c r="J86" i="77"/>
  <c r="O86" i="77"/>
  <c r="R86" i="77"/>
  <c r="P86" i="77"/>
  <c r="M86" i="77"/>
  <c r="H85" i="77"/>
  <c r="L85" i="77"/>
  <c r="V85" i="77"/>
  <c r="W85" i="77"/>
  <c r="J85" i="77"/>
  <c r="O85" i="77"/>
  <c r="R85" i="77"/>
  <c r="P85" i="77"/>
  <c r="M85" i="77"/>
  <c r="H84" i="77"/>
  <c r="L84" i="77"/>
  <c r="V84" i="77"/>
  <c r="W84" i="77"/>
  <c r="J84" i="77"/>
  <c r="O84" i="77"/>
  <c r="R84" i="77"/>
  <c r="P84" i="77"/>
  <c r="M84" i="77"/>
  <c r="H83" i="77"/>
  <c r="L83" i="77"/>
  <c r="V83" i="77"/>
  <c r="W83" i="77"/>
  <c r="J83" i="77"/>
  <c r="O83" i="77"/>
  <c r="R83" i="77"/>
  <c r="P83" i="77"/>
  <c r="M83" i="77"/>
  <c r="H82" i="77"/>
  <c r="L82" i="77"/>
  <c r="V82" i="77"/>
  <c r="W82" i="77"/>
  <c r="J82" i="77"/>
  <c r="O82" i="77"/>
  <c r="R82" i="77"/>
  <c r="P82" i="77"/>
  <c r="M82" i="77"/>
  <c r="H81" i="77"/>
  <c r="L81" i="77"/>
  <c r="V81" i="77"/>
  <c r="W81" i="77"/>
  <c r="J81" i="77"/>
  <c r="O81" i="77"/>
  <c r="R81" i="77"/>
  <c r="P81" i="77"/>
  <c r="M81" i="77"/>
  <c r="H80" i="77"/>
  <c r="L80" i="77"/>
  <c r="V80" i="77"/>
  <c r="W80" i="77"/>
  <c r="J80" i="77"/>
  <c r="O80" i="77"/>
  <c r="R80" i="77"/>
  <c r="P80" i="77"/>
  <c r="M80" i="77"/>
  <c r="W79" i="77"/>
  <c r="V79" i="77"/>
  <c r="T79" i="77"/>
  <c r="R79" i="77"/>
  <c r="Q79" i="77"/>
  <c r="O79" i="77"/>
  <c r="H79" i="77"/>
  <c r="P79" i="77"/>
  <c r="M79" i="77"/>
  <c r="L79" i="77"/>
  <c r="J79" i="77"/>
  <c r="K79" i="77"/>
  <c r="G79" i="77"/>
  <c r="F79" i="77"/>
  <c r="E79" i="77"/>
  <c r="H78" i="77"/>
  <c r="L78" i="77"/>
  <c r="V78" i="77"/>
  <c r="W78" i="77"/>
  <c r="J78" i="77"/>
  <c r="O78" i="77"/>
  <c r="R78" i="77"/>
  <c r="P78" i="77"/>
  <c r="M78" i="77"/>
  <c r="H77" i="77"/>
  <c r="L77" i="77"/>
  <c r="V77" i="77"/>
  <c r="W77" i="77"/>
  <c r="J77" i="77"/>
  <c r="O77" i="77"/>
  <c r="R77" i="77"/>
  <c r="P77" i="77"/>
  <c r="M77" i="77"/>
  <c r="H76" i="77"/>
  <c r="L76" i="77"/>
  <c r="V76" i="77"/>
  <c r="W76" i="77"/>
  <c r="J76" i="77"/>
  <c r="O76" i="77"/>
  <c r="R76" i="77"/>
  <c r="P76" i="77"/>
  <c r="M76" i="77"/>
  <c r="H75" i="77"/>
  <c r="L75" i="77"/>
  <c r="V75" i="77"/>
  <c r="W75" i="77"/>
  <c r="J75" i="77"/>
  <c r="O75" i="77"/>
  <c r="R75" i="77"/>
  <c r="P75" i="77"/>
  <c r="M75" i="77"/>
  <c r="H74" i="77"/>
  <c r="L74" i="77"/>
  <c r="V74" i="77"/>
  <c r="W74" i="77"/>
  <c r="J74" i="77"/>
  <c r="O74" i="77"/>
  <c r="R74" i="77"/>
  <c r="P74" i="77"/>
  <c r="M74" i="77"/>
  <c r="H73" i="77"/>
  <c r="L73" i="77"/>
  <c r="V73" i="77"/>
  <c r="W73" i="77"/>
  <c r="J73" i="77"/>
  <c r="O73" i="77"/>
  <c r="R73" i="77"/>
  <c r="P73" i="77"/>
  <c r="M73" i="77"/>
  <c r="H72" i="77"/>
  <c r="L72" i="77"/>
  <c r="V72" i="77"/>
  <c r="W72" i="77"/>
  <c r="J72" i="77"/>
  <c r="O72" i="77"/>
  <c r="R72" i="77"/>
  <c r="P72" i="77"/>
  <c r="M72" i="77"/>
  <c r="H71" i="77"/>
  <c r="L71" i="77"/>
  <c r="V71" i="77"/>
  <c r="W71" i="77"/>
  <c r="J71" i="77"/>
  <c r="O71" i="77"/>
  <c r="R71" i="77"/>
  <c r="P71" i="77"/>
  <c r="M71" i="77"/>
  <c r="H70" i="77"/>
  <c r="L70" i="77"/>
  <c r="V70" i="77"/>
  <c r="W70" i="77"/>
  <c r="J70" i="77"/>
  <c r="O70" i="77"/>
  <c r="R70" i="77"/>
  <c r="P70" i="77"/>
  <c r="M70" i="77"/>
  <c r="H69" i="77"/>
  <c r="L69" i="77"/>
  <c r="V69" i="77"/>
  <c r="W69" i="77"/>
  <c r="J69" i="77"/>
  <c r="O69" i="77"/>
  <c r="R69" i="77"/>
  <c r="P69" i="77"/>
  <c r="M69" i="77"/>
  <c r="W68" i="77"/>
  <c r="V68" i="77"/>
  <c r="T68" i="77"/>
  <c r="R68" i="77"/>
  <c r="Q68" i="77"/>
  <c r="O68" i="77"/>
  <c r="H68" i="77"/>
  <c r="P68" i="77"/>
  <c r="M68" i="77"/>
  <c r="L68" i="77"/>
  <c r="J68" i="77"/>
  <c r="K68" i="77"/>
  <c r="G68" i="77"/>
  <c r="F68" i="77"/>
  <c r="E68" i="77"/>
  <c r="W67" i="77"/>
  <c r="V67" i="77"/>
  <c r="T67" i="77"/>
  <c r="R67" i="77"/>
  <c r="Q67" i="77"/>
  <c r="O67" i="77"/>
  <c r="H67" i="77"/>
  <c r="P67" i="77"/>
  <c r="M67" i="77"/>
  <c r="L67" i="77"/>
  <c r="J67" i="77"/>
  <c r="K67" i="77"/>
  <c r="G67" i="77"/>
  <c r="F67" i="77"/>
  <c r="E67" i="77"/>
  <c r="H60" i="77"/>
  <c r="L60" i="77"/>
  <c r="V60" i="77"/>
  <c r="W60" i="77"/>
  <c r="J60" i="77"/>
  <c r="O60" i="77"/>
  <c r="R60" i="77"/>
  <c r="P60" i="77"/>
  <c r="M60" i="77"/>
  <c r="H59" i="77"/>
  <c r="L59" i="77"/>
  <c r="V59" i="77"/>
  <c r="W59" i="77"/>
  <c r="J59" i="77"/>
  <c r="O59" i="77"/>
  <c r="R59" i="77"/>
  <c r="P59" i="77"/>
  <c r="M59" i="77"/>
  <c r="H58" i="77"/>
  <c r="L58" i="77"/>
  <c r="V58" i="77"/>
  <c r="W58" i="77"/>
  <c r="J58" i="77"/>
  <c r="O58" i="77"/>
  <c r="R58" i="77"/>
  <c r="P58" i="77"/>
  <c r="M58" i="77"/>
  <c r="W57" i="77"/>
  <c r="V57" i="77"/>
  <c r="T57" i="77"/>
  <c r="R57" i="77"/>
  <c r="Q57" i="77"/>
  <c r="O57" i="77"/>
  <c r="H57" i="77"/>
  <c r="P57" i="77"/>
  <c r="M57" i="77"/>
  <c r="L57" i="77"/>
  <c r="J57" i="77"/>
  <c r="K57" i="77"/>
  <c r="G57" i="77"/>
  <c r="F57" i="77"/>
  <c r="E57" i="77"/>
  <c r="H56" i="77"/>
  <c r="L56" i="77"/>
  <c r="V56" i="77"/>
  <c r="W56" i="77"/>
  <c r="J56" i="77"/>
  <c r="O56" i="77"/>
  <c r="R56" i="77"/>
  <c r="P56" i="77"/>
  <c r="M56" i="77"/>
  <c r="H55" i="77"/>
  <c r="L55" i="77"/>
  <c r="V55" i="77"/>
  <c r="W55" i="77"/>
  <c r="J55" i="77"/>
  <c r="O55" i="77"/>
  <c r="R55" i="77"/>
  <c r="P55" i="77"/>
  <c r="M55" i="77"/>
  <c r="H54" i="77"/>
  <c r="L54" i="77"/>
  <c r="V54" i="77"/>
  <c r="W54" i="77"/>
  <c r="J54" i="77"/>
  <c r="O54" i="77"/>
  <c r="R54" i="77"/>
  <c r="P54" i="77"/>
  <c r="M54" i="77"/>
  <c r="H53" i="77"/>
  <c r="L53" i="77"/>
  <c r="V53" i="77"/>
  <c r="W53" i="77"/>
  <c r="J53" i="77"/>
  <c r="O53" i="77"/>
  <c r="R53" i="77"/>
  <c r="P53" i="77"/>
  <c r="M53" i="77"/>
  <c r="H52" i="77"/>
  <c r="L52" i="77"/>
  <c r="V52" i="77"/>
  <c r="W52" i="77"/>
  <c r="J52" i="77"/>
  <c r="O52" i="77"/>
  <c r="R52" i="77"/>
  <c r="P52" i="77"/>
  <c r="M52" i="77"/>
  <c r="H51" i="77"/>
  <c r="L51" i="77"/>
  <c r="V51" i="77"/>
  <c r="W51" i="77"/>
  <c r="J51" i="77"/>
  <c r="O51" i="77"/>
  <c r="R51" i="77"/>
  <c r="P51" i="77"/>
  <c r="M51" i="77"/>
  <c r="H50" i="77"/>
  <c r="L50" i="77"/>
  <c r="V50" i="77"/>
  <c r="W50" i="77"/>
  <c r="J50" i="77"/>
  <c r="O50" i="77"/>
  <c r="R50" i="77"/>
  <c r="P50" i="77"/>
  <c r="M50" i="77"/>
  <c r="H49" i="77"/>
  <c r="L49" i="77"/>
  <c r="V49" i="77"/>
  <c r="W49" i="77"/>
  <c r="J49" i="77"/>
  <c r="O49" i="77"/>
  <c r="R49" i="77"/>
  <c r="P49" i="77"/>
  <c r="M49" i="77"/>
  <c r="H48" i="77"/>
  <c r="L48" i="77"/>
  <c r="V48" i="77"/>
  <c r="W48" i="77"/>
  <c r="J48" i="77"/>
  <c r="O48" i="77"/>
  <c r="R48" i="77"/>
  <c r="P48" i="77"/>
  <c r="M48" i="77"/>
  <c r="H47" i="77"/>
  <c r="L47" i="77"/>
  <c r="V47" i="77"/>
  <c r="W47" i="77"/>
  <c r="J47" i="77"/>
  <c r="O47" i="77"/>
  <c r="R47" i="77"/>
  <c r="P47" i="77"/>
  <c r="M47" i="77"/>
  <c r="H46" i="77"/>
  <c r="L46" i="77"/>
  <c r="V46" i="77"/>
  <c r="W46" i="77"/>
  <c r="J46" i="77"/>
  <c r="O46" i="77"/>
  <c r="R46" i="77"/>
  <c r="P46" i="77"/>
  <c r="M46" i="77"/>
  <c r="H45" i="77"/>
  <c r="L45" i="77"/>
  <c r="V45" i="77"/>
  <c r="W45" i="77"/>
  <c r="J45" i="77"/>
  <c r="O45" i="77"/>
  <c r="R45" i="77"/>
  <c r="P45" i="77"/>
  <c r="M45" i="77"/>
  <c r="H44" i="77"/>
  <c r="L44" i="77"/>
  <c r="V44" i="77"/>
  <c r="W44" i="77"/>
  <c r="J44" i="77"/>
  <c r="O44" i="77"/>
  <c r="R44" i="77"/>
  <c r="P44" i="77"/>
  <c r="M44" i="77"/>
  <c r="H43" i="77"/>
  <c r="L43" i="77"/>
  <c r="V43" i="77"/>
  <c r="W43" i="77"/>
  <c r="J43" i="77"/>
  <c r="O43" i="77"/>
  <c r="R43" i="77"/>
  <c r="P43" i="77"/>
  <c r="M43" i="77"/>
  <c r="H42" i="77"/>
  <c r="L42" i="77"/>
  <c r="V42" i="77"/>
  <c r="W42" i="77"/>
  <c r="J42" i="77"/>
  <c r="O42" i="77"/>
  <c r="R42" i="77"/>
  <c r="P42" i="77"/>
  <c r="M42" i="77"/>
  <c r="W41" i="77"/>
  <c r="V41" i="77"/>
  <c r="T41" i="77"/>
  <c r="R41" i="77"/>
  <c r="Q41" i="77"/>
  <c r="O41" i="77"/>
  <c r="H41" i="77"/>
  <c r="P41" i="77"/>
  <c r="M41" i="77"/>
  <c r="L41" i="77"/>
  <c r="J41" i="77"/>
  <c r="K41" i="77"/>
  <c r="G41" i="77"/>
  <c r="F41" i="77"/>
  <c r="E41" i="77"/>
  <c r="H40" i="77"/>
  <c r="L40" i="77"/>
  <c r="V40" i="77"/>
  <c r="W40" i="77"/>
  <c r="J40" i="77"/>
  <c r="O40" i="77"/>
  <c r="R40" i="77"/>
  <c r="P40" i="77"/>
  <c r="M40" i="77"/>
  <c r="H39" i="77"/>
  <c r="L39" i="77"/>
  <c r="V39" i="77"/>
  <c r="W39" i="77"/>
  <c r="J39" i="77"/>
  <c r="O39" i="77"/>
  <c r="R39" i="77"/>
  <c r="P39" i="77"/>
  <c r="M39" i="77"/>
  <c r="W38" i="77"/>
  <c r="V38" i="77"/>
  <c r="T38" i="77"/>
  <c r="R38" i="77"/>
  <c r="Q38" i="77"/>
  <c r="O38" i="77"/>
  <c r="H38" i="77"/>
  <c r="P38" i="77"/>
  <c r="M38" i="77"/>
  <c r="L38" i="77"/>
  <c r="J38" i="77"/>
  <c r="K38" i="77"/>
  <c r="G38" i="77"/>
  <c r="F38" i="77"/>
  <c r="E38" i="77"/>
  <c r="H37" i="77"/>
  <c r="L37" i="77"/>
  <c r="V37" i="77"/>
  <c r="W37" i="77"/>
  <c r="J37" i="77"/>
  <c r="O37" i="77"/>
  <c r="R37" i="77"/>
  <c r="P37" i="77"/>
  <c r="M37" i="77"/>
  <c r="H36" i="77"/>
  <c r="L36" i="77"/>
  <c r="V36" i="77"/>
  <c r="W36" i="77"/>
  <c r="J36" i="77"/>
  <c r="O36" i="77"/>
  <c r="R36" i="77"/>
  <c r="P36" i="77"/>
  <c r="M36" i="77"/>
  <c r="W35" i="77"/>
  <c r="V35" i="77"/>
  <c r="T35" i="77"/>
  <c r="R35" i="77"/>
  <c r="Q35" i="77"/>
  <c r="O35" i="77"/>
  <c r="H35" i="77"/>
  <c r="P35" i="77"/>
  <c r="M35" i="77"/>
  <c r="L35" i="77"/>
  <c r="J35" i="77"/>
  <c r="K35" i="77"/>
  <c r="G35" i="77"/>
  <c r="F35" i="77"/>
  <c r="E35" i="77"/>
  <c r="H34" i="77"/>
  <c r="L34" i="77"/>
  <c r="V34" i="77"/>
  <c r="W34" i="77"/>
  <c r="J34" i="77"/>
  <c r="O34" i="77"/>
  <c r="R34" i="77"/>
  <c r="P34" i="77"/>
  <c r="M34" i="77"/>
  <c r="H33" i="77"/>
  <c r="L33" i="77"/>
  <c r="V33" i="77"/>
  <c r="W33" i="77"/>
  <c r="J33" i="77"/>
  <c r="O33" i="77"/>
  <c r="R33" i="77"/>
  <c r="P33" i="77"/>
  <c r="M33" i="77"/>
  <c r="H32" i="77"/>
  <c r="L32" i="77"/>
  <c r="V32" i="77"/>
  <c r="W32" i="77"/>
  <c r="J32" i="77"/>
  <c r="O32" i="77"/>
  <c r="R32" i="77"/>
  <c r="P32" i="77"/>
  <c r="M32" i="77"/>
  <c r="H31" i="77"/>
  <c r="L31" i="77"/>
  <c r="V31" i="77"/>
  <c r="W31" i="77"/>
  <c r="J31" i="77"/>
  <c r="O31" i="77"/>
  <c r="R31" i="77"/>
  <c r="P31" i="77"/>
  <c r="M31" i="77"/>
  <c r="H30" i="77"/>
  <c r="L30" i="77"/>
  <c r="V30" i="77"/>
  <c r="W30" i="77"/>
  <c r="J30" i="77"/>
  <c r="O30" i="77"/>
  <c r="R30" i="77"/>
  <c r="P30" i="77"/>
  <c r="M30" i="77"/>
  <c r="H29" i="77"/>
  <c r="L29" i="77"/>
  <c r="V29" i="77"/>
  <c r="W29" i="77"/>
  <c r="J29" i="77"/>
  <c r="O29" i="77"/>
  <c r="R29" i="77"/>
  <c r="P29" i="77"/>
  <c r="M29" i="77"/>
  <c r="H28" i="77"/>
  <c r="L28" i="77"/>
  <c r="V28" i="77"/>
  <c r="W28" i="77"/>
  <c r="J28" i="77"/>
  <c r="O28" i="77"/>
  <c r="R28" i="77"/>
  <c r="P28" i="77"/>
  <c r="M28" i="77"/>
  <c r="H27" i="77"/>
  <c r="L27" i="77"/>
  <c r="V27" i="77"/>
  <c r="W27" i="77"/>
  <c r="J27" i="77"/>
  <c r="O27" i="77"/>
  <c r="R27" i="77"/>
  <c r="P27" i="77"/>
  <c r="M27" i="77"/>
  <c r="H26" i="77"/>
  <c r="L26" i="77"/>
  <c r="V26" i="77"/>
  <c r="W26" i="77"/>
  <c r="J26" i="77"/>
  <c r="O26" i="77"/>
  <c r="R26" i="77"/>
  <c r="P26" i="77"/>
  <c r="M26" i="77"/>
  <c r="H25" i="77"/>
  <c r="L25" i="77"/>
  <c r="V25" i="77"/>
  <c r="W25" i="77"/>
  <c r="J25" i="77"/>
  <c r="O25" i="77"/>
  <c r="R25" i="77"/>
  <c r="P25" i="77"/>
  <c r="M25" i="77"/>
  <c r="W24" i="77"/>
  <c r="V24" i="77"/>
  <c r="T24" i="77"/>
  <c r="R24" i="77"/>
  <c r="Q24" i="77"/>
  <c r="O24" i="77"/>
  <c r="H24" i="77"/>
  <c r="P24" i="77"/>
  <c r="M24" i="77"/>
  <c r="L24" i="77"/>
  <c r="J24" i="77"/>
  <c r="K24" i="77"/>
  <c r="G24" i="77"/>
  <c r="F24" i="77"/>
  <c r="E24" i="77"/>
  <c r="H23" i="77"/>
  <c r="L23" i="77"/>
  <c r="V23" i="77"/>
  <c r="W23" i="77"/>
  <c r="J23" i="77"/>
  <c r="O23" i="77"/>
  <c r="R23" i="77"/>
  <c r="P23" i="77"/>
  <c r="M23" i="77"/>
  <c r="H22" i="77"/>
  <c r="L22" i="77"/>
  <c r="V22" i="77"/>
  <c r="W22" i="77"/>
  <c r="J22" i="77"/>
  <c r="O22" i="77"/>
  <c r="R22" i="77"/>
  <c r="P22" i="77"/>
  <c r="M22" i="77"/>
  <c r="H21" i="77"/>
  <c r="L21" i="77"/>
  <c r="V21" i="77"/>
  <c r="W21" i="77"/>
  <c r="J21" i="77"/>
  <c r="O21" i="77"/>
  <c r="R21" i="77"/>
  <c r="P21" i="77"/>
  <c r="M21" i="77"/>
  <c r="H20" i="77"/>
  <c r="L20" i="77"/>
  <c r="V20" i="77"/>
  <c r="W20" i="77"/>
  <c r="J20" i="77"/>
  <c r="O20" i="77"/>
  <c r="R20" i="77"/>
  <c r="P20" i="77"/>
  <c r="M20" i="77"/>
  <c r="H19" i="77"/>
  <c r="L19" i="77"/>
  <c r="V19" i="77"/>
  <c r="W19" i="77"/>
  <c r="J19" i="77"/>
  <c r="O19" i="77"/>
  <c r="R19" i="77"/>
  <c r="P19" i="77"/>
  <c r="M19" i="77"/>
  <c r="H18" i="77"/>
  <c r="L18" i="77"/>
  <c r="V18" i="77"/>
  <c r="W18" i="77"/>
  <c r="J18" i="77"/>
  <c r="O18" i="77"/>
  <c r="R18" i="77"/>
  <c r="P18" i="77"/>
  <c r="M18" i="77"/>
  <c r="H17" i="77"/>
  <c r="L17" i="77"/>
  <c r="V17" i="77"/>
  <c r="W17" i="77"/>
  <c r="J17" i="77"/>
  <c r="O17" i="77"/>
  <c r="R17" i="77"/>
  <c r="P17" i="77"/>
  <c r="M17" i="77"/>
  <c r="H16" i="77"/>
  <c r="L16" i="77"/>
  <c r="V16" i="77"/>
  <c r="W16" i="77"/>
  <c r="J16" i="77"/>
  <c r="O16" i="77"/>
  <c r="R16" i="77"/>
  <c r="P16" i="77"/>
  <c r="M16" i="77"/>
  <c r="H15" i="77"/>
  <c r="L15" i="77"/>
  <c r="V15" i="77"/>
  <c r="W15" i="77"/>
  <c r="J15" i="77"/>
  <c r="O15" i="77"/>
  <c r="R15" i="77"/>
  <c r="P15" i="77"/>
  <c r="M15" i="77"/>
  <c r="H14" i="77"/>
  <c r="L14" i="77"/>
  <c r="V14" i="77"/>
  <c r="W14" i="77"/>
  <c r="J14" i="77"/>
  <c r="O14" i="77"/>
  <c r="R14" i="77"/>
  <c r="P14" i="77"/>
  <c r="M14" i="77"/>
  <c r="H13" i="77"/>
  <c r="L13" i="77"/>
  <c r="V13" i="77"/>
  <c r="W13" i="77"/>
  <c r="J13" i="77"/>
  <c r="O13" i="77"/>
  <c r="R13" i="77"/>
  <c r="P13" i="77"/>
  <c r="M13" i="77"/>
  <c r="W12" i="77"/>
  <c r="V12" i="77"/>
  <c r="T12" i="77"/>
  <c r="R12" i="77"/>
  <c r="Q12" i="77"/>
  <c r="O12" i="77"/>
  <c r="H12" i="77"/>
  <c r="P12" i="77"/>
  <c r="M12" i="77"/>
  <c r="L12" i="77"/>
  <c r="J12" i="77"/>
  <c r="K12" i="77"/>
  <c r="G12" i="77"/>
  <c r="F12" i="77"/>
  <c r="E12" i="77"/>
  <c r="W11" i="77"/>
  <c r="V11" i="77"/>
  <c r="T11" i="77"/>
  <c r="R11" i="77"/>
  <c r="Q11" i="77"/>
  <c r="O11" i="77"/>
  <c r="H11" i="77"/>
  <c r="P11" i="77"/>
  <c r="M11" i="77"/>
  <c r="L11" i="77"/>
  <c r="J11" i="77"/>
  <c r="K11" i="77"/>
  <c r="G11" i="77"/>
  <c r="F11" i="77"/>
  <c r="E11" i="77"/>
  <c r="H6" i="77"/>
  <c r="L6" i="77"/>
  <c r="T5" i="77"/>
  <c r="T6" i="77"/>
  <c r="V6" i="77"/>
  <c r="W6" i="77"/>
  <c r="O5" i="77"/>
  <c r="O6" i="77"/>
  <c r="R6" i="77"/>
  <c r="J5" i="77"/>
  <c r="J6" i="77"/>
  <c r="M6" i="77"/>
  <c r="G6" i="77"/>
  <c r="F6" i="77"/>
  <c r="E6" i="77"/>
  <c r="V5" i="77"/>
  <c r="W5" i="77"/>
  <c r="Q5" i="77"/>
  <c r="R5" i="77"/>
  <c r="L5" i="77"/>
  <c r="M5" i="77"/>
  <c r="H154" i="76"/>
  <c r="J154" i="76"/>
  <c r="O154" i="76"/>
  <c r="R154" i="76"/>
  <c r="P154" i="76"/>
  <c r="L154" i="76"/>
  <c r="M154" i="76"/>
  <c r="H153" i="76"/>
  <c r="J153" i="76"/>
  <c r="O153" i="76"/>
  <c r="R153" i="76"/>
  <c r="P153" i="76"/>
  <c r="L153" i="76"/>
  <c r="M153" i="76"/>
  <c r="H152" i="76"/>
  <c r="J152" i="76"/>
  <c r="O152" i="76"/>
  <c r="R152" i="76"/>
  <c r="P152" i="76"/>
  <c r="L152" i="76"/>
  <c r="M152" i="76"/>
  <c r="H151" i="76"/>
  <c r="J151" i="76"/>
  <c r="O151" i="76"/>
  <c r="R151" i="76"/>
  <c r="P151" i="76"/>
  <c r="L151" i="76"/>
  <c r="M151" i="76"/>
  <c r="H150" i="76"/>
  <c r="J150" i="76"/>
  <c r="O150" i="76"/>
  <c r="R150" i="76"/>
  <c r="P150" i="76"/>
  <c r="L150" i="76"/>
  <c r="M150" i="76"/>
  <c r="H149" i="76"/>
  <c r="J149" i="76"/>
  <c r="O149" i="76"/>
  <c r="R149" i="76"/>
  <c r="P149" i="76"/>
  <c r="L149" i="76"/>
  <c r="M149" i="76"/>
  <c r="H148" i="76"/>
  <c r="J148" i="76"/>
  <c r="O148" i="76"/>
  <c r="R148" i="76"/>
  <c r="P148" i="76"/>
  <c r="L148" i="76"/>
  <c r="M148" i="76"/>
  <c r="H147" i="76"/>
  <c r="J147" i="76"/>
  <c r="O147" i="76"/>
  <c r="R147" i="76"/>
  <c r="P147" i="76"/>
  <c r="L147" i="76"/>
  <c r="M147" i="76"/>
  <c r="H146" i="76"/>
  <c r="J146" i="76"/>
  <c r="O146" i="76"/>
  <c r="R146" i="76"/>
  <c r="P146" i="76"/>
  <c r="L146" i="76"/>
  <c r="M146" i="76"/>
  <c r="H145" i="76"/>
  <c r="J145" i="76"/>
  <c r="O145" i="76"/>
  <c r="R145" i="76"/>
  <c r="P145" i="76"/>
  <c r="L145" i="76"/>
  <c r="M145" i="76"/>
  <c r="H144" i="76"/>
  <c r="J144" i="76"/>
  <c r="O144" i="76"/>
  <c r="R144" i="76"/>
  <c r="P144" i="76"/>
  <c r="L144" i="76"/>
  <c r="M144" i="76"/>
  <c r="H143" i="76"/>
  <c r="J143" i="76"/>
  <c r="O143" i="76"/>
  <c r="R143" i="76"/>
  <c r="P143" i="76"/>
  <c r="L143" i="76"/>
  <c r="M143" i="76"/>
  <c r="H142" i="76"/>
  <c r="J142" i="76"/>
  <c r="O142" i="76"/>
  <c r="R142" i="76"/>
  <c r="P142" i="76"/>
  <c r="L142" i="76"/>
  <c r="M142" i="76"/>
  <c r="H141" i="76"/>
  <c r="J141" i="76"/>
  <c r="O141" i="76"/>
  <c r="R141" i="76"/>
  <c r="P141" i="76"/>
  <c r="L141" i="76"/>
  <c r="M141" i="76"/>
  <c r="H140" i="76"/>
  <c r="J140" i="76"/>
  <c r="O140" i="76"/>
  <c r="R140" i="76"/>
  <c r="P140" i="76"/>
  <c r="L140" i="76"/>
  <c r="M140" i="76"/>
  <c r="H139" i="76"/>
  <c r="J139" i="76"/>
  <c r="O139" i="76"/>
  <c r="R139" i="76"/>
  <c r="P139" i="76"/>
  <c r="L139" i="76"/>
  <c r="M139" i="76"/>
  <c r="H138" i="76"/>
  <c r="J138" i="76"/>
  <c r="O138" i="76"/>
  <c r="R138" i="76"/>
  <c r="P138" i="76"/>
  <c r="L138" i="76"/>
  <c r="M138" i="76"/>
  <c r="H137" i="76"/>
  <c r="J137" i="76"/>
  <c r="O137" i="76"/>
  <c r="R137" i="76"/>
  <c r="P137" i="76"/>
  <c r="L137" i="76"/>
  <c r="M137" i="76"/>
  <c r="H136" i="76"/>
  <c r="J136" i="76"/>
  <c r="O136" i="76"/>
  <c r="R136" i="76"/>
  <c r="P136" i="76"/>
  <c r="L136" i="76"/>
  <c r="M136" i="76"/>
  <c r="H135" i="76"/>
  <c r="J135" i="76"/>
  <c r="O135" i="76"/>
  <c r="R135" i="76"/>
  <c r="P135" i="76"/>
  <c r="L135" i="76"/>
  <c r="M135" i="76"/>
  <c r="H134" i="76"/>
  <c r="J134" i="76"/>
  <c r="O134" i="76"/>
  <c r="R134" i="76"/>
  <c r="P134" i="76"/>
  <c r="L134" i="76"/>
  <c r="M134" i="76"/>
  <c r="H133" i="76"/>
  <c r="J133" i="76"/>
  <c r="O133" i="76"/>
  <c r="R133" i="76"/>
  <c r="P133" i="76"/>
  <c r="L133" i="76"/>
  <c r="M133" i="76"/>
  <c r="H132" i="76"/>
  <c r="J132" i="76"/>
  <c r="O132" i="76"/>
  <c r="R132" i="76"/>
  <c r="P132" i="76"/>
  <c r="L132" i="76"/>
  <c r="M132" i="76"/>
  <c r="H131" i="76"/>
  <c r="J131" i="76"/>
  <c r="O131" i="76"/>
  <c r="R131" i="76"/>
  <c r="P131" i="76"/>
  <c r="L131" i="76"/>
  <c r="M131" i="76"/>
  <c r="H130" i="76"/>
  <c r="J130" i="76"/>
  <c r="O130" i="76"/>
  <c r="R130" i="76"/>
  <c r="P130" i="76"/>
  <c r="L130" i="76"/>
  <c r="M130" i="76"/>
  <c r="H129" i="76"/>
  <c r="J129" i="76"/>
  <c r="O129" i="76"/>
  <c r="R129" i="76"/>
  <c r="P129" i="76"/>
  <c r="L129" i="76"/>
  <c r="M129" i="76"/>
  <c r="H128" i="76"/>
  <c r="J128" i="76"/>
  <c r="O128" i="76"/>
  <c r="R128" i="76"/>
  <c r="P128" i="76"/>
  <c r="L128" i="76"/>
  <c r="M128" i="76"/>
  <c r="H127" i="76"/>
  <c r="J127" i="76"/>
  <c r="O127" i="76"/>
  <c r="R127" i="76"/>
  <c r="P127" i="76"/>
  <c r="L127" i="76"/>
  <c r="M127" i="76"/>
  <c r="H126" i="76"/>
  <c r="J126" i="76"/>
  <c r="O126" i="76"/>
  <c r="R126" i="76"/>
  <c r="P126" i="76"/>
  <c r="L126" i="76"/>
  <c r="M126" i="76"/>
  <c r="H125" i="76"/>
  <c r="J125" i="76"/>
  <c r="O125" i="76"/>
  <c r="R125" i="76"/>
  <c r="P125" i="76"/>
  <c r="L125" i="76"/>
  <c r="M125" i="76"/>
  <c r="H124" i="76"/>
  <c r="J124" i="76"/>
  <c r="O124" i="76"/>
  <c r="R124" i="76"/>
  <c r="P124" i="76"/>
  <c r="L124" i="76"/>
  <c r="M124" i="76"/>
  <c r="H123" i="76"/>
  <c r="J123" i="76"/>
  <c r="O123" i="76"/>
  <c r="R123" i="76"/>
  <c r="P123" i="76"/>
  <c r="L123" i="76"/>
  <c r="M123" i="76"/>
  <c r="H122" i="76"/>
  <c r="J122" i="76"/>
  <c r="O122" i="76"/>
  <c r="R122" i="76"/>
  <c r="P122" i="76"/>
  <c r="L122" i="76"/>
  <c r="M122" i="76"/>
  <c r="H121" i="76"/>
  <c r="J121" i="76"/>
  <c r="O121" i="76"/>
  <c r="R121" i="76"/>
  <c r="P121" i="76"/>
  <c r="L121" i="76"/>
  <c r="M121" i="76"/>
  <c r="H120" i="76"/>
  <c r="J120" i="76"/>
  <c r="O120" i="76"/>
  <c r="R120" i="76"/>
  <c r="P120" i="76"/>
  <c r="L120" i="76"/>
  <c r="M120" i="76"/>
  <c r="W119" i="76"/>
  <c r="V119" i="76"/>
  <c r="T119" i="76"/>
  <c r="R119" i="76"/>
  <c r="Q119" i="76"/>
  <c r="O119" i="76"/>
  <c r="H119" i="76"/>
  <c r="P119" i="76"/>
  <c r="M119" i="76"/>
  <c r="L119" i="76"/>
  <c r="J119" i="76"/>
  <c r="K119" i="76"/>
  <c r="G119" i="76"/>
  <c r="F119" i="76"/>
  <c r="E119" i="76"/>
  <c r="H112" i="76"/>
  <c r="L112" i="76"/>
  <c r="V112" i="76"/>
  <c r="W112" i="76"/>
  <c r="K112" i="76"/>
  <c r="J112" i="76"/>
  <c r="O112" i="76"/>
  <c r="R112" i="76"/>
  <c r="P112" i="76"/>
  <c r="M112" i="76"/>
  <c r="H111" i="76"/>
  <c r="L111" i="76"/>
  <c r="V111" i="76"/>
  <c r="W111" i="76"/>
  <c r="K111" i="76"/>
  <c r="J111" i="76"/>
  <c r="O111" i="76"/>
  <c r="R111" i="76"/>
  <c r="P111" i="76"/>
  <c r="M111" i="76"/>
  <c r="H110" i="76"/>
  <c r="L110" i="76"/>
  <c r="V110" i="76"/>
  <c r="W110" i="76"/>
  <c r="K110" i="76"/>
  <c r="J110" i="76"/>
  <c r="O110" i="76"/>
  <c r="R110" i="76"/>
  <c r="P110" i="76"/>
  <c r="M110" i="76"/>
  <c r="W109" i="76"/>
  <c r="V109" i="76"/>
  <c r="T109" i="76"/>
  <c r="R109" i="76"/>
  <c r="Q109" i="76"/>
  <c r="O109" i="76"/>
  <c r="H109" i="76"/>
  <c r="P109" i="76"/>
  <c r="M109" i="76"/>
  <c r="L109" i="76"/>
  <c r="J109" i="76"/>
  <c r="K109" i="76"/>
  <c r="G109" i="76"/>
  <c r="F109" i="76"/>
  <c r="E109" i="76"/>
  <c r="H108" i="76"/>
  <c r="L108" i="76"/>
  <c r="V108" i="76"/>
  <c r="W108" i="76"/>
  <c r="K108" i="76"/>
  <c r="J108" i="76"/>
  <c r="O108" i="76"/>
  <c r="R108" i="76"/>
  <c r="P108" i="76"/>
  <c r="M108" i="76"/>
  <c r="H107" i="76"/>
  <c r="L107" i="76"/>
  <c r="V107" i="76"/>
  <c r="W107" i="76"/>
  <c r="K107" i="76"/>
  <c r="J107" i="76"/>
  <c r="O107" i="76"/>
  <c r="R107" i="76"/>
  <c r="P107" i="76"/>
  <c r="M107" i="76"/>
  <c r="H106" i="76"/>
  <c r="L106" i="76"/>
  <c r="V106" i="76"/>
  <c r="W106" i="76"/>
  <c r="K106" i="76"/>
  <c r="J106" i="76"/>
  <c r="O106" i="76"/>
  <c r="R106" i="76"/>
  <c r="P106" i="76"/>
  <c r="M106" i="76"/>
  <c r="H105" i="76"/>
  <c r="L105" i="76"/>
  <c r="V105" i="76"/>
  <c r="W105" i="76"/>
  <c r="K105" i="76"/>
  <c r="J105" i="76"/>
  <c r="O105" i="76"/>
  <c r="R105" i="76"/>
  <c r="P105" i="76"/>
  <c r="M105" i="76"/>
  <c r="H104" i="76"/>
  <c r="L104" i="76"/>
  <c r="V104" i="76"/>
  <c r="W104" i="76"/>
  <c r="K104" i="76"/>
  <c r="J104" i="76"/>
  <c r="O104" i="76"/>
  <c r="R104" i="76"/>
  <c r="P104" i="76"/>
  <c r="M104" i="76"/>
  <c r="H103" i="76"/>
  <c r="L103" i="76"/>
  <c r="V103" i="76"/>
  <c r="W103" i="76"/>
  <c r="K103" i="76"/>
  <c r="J103" i="76"/>
  <c r="O103" i="76"/>
  <c r="R103" i="76"/>
  <c r="P103" i="76"/>
  <c r="M103" i="76"/>
  <c r="H102" i="76"/>
  <c r="L102" i="76"/>
  <c r="V102" i="76"/>
  <c r="W102" i="76"/>
  <c r="K102" i="76"/>
  <c r="J102" i="76"/>
  <c r="O102" i="76"/>
  <c r="R102" i="76"/>
  <c r="P102" i="76"/>
  <c r="M102" i="76"/>
  <c r="H101" i="76"/>
  <c r="L101" i="76"/>
  <c r="V101" i="76"/>
  <c r="W101" i="76"/>
  <c r="K101" i="76"/>
  <c r="J101" i="76"/>
  <c r="O101" i="76"/>
  <c r="R101" i="76"/>
  <c r="P101" i="76"/>
  <c r="M101" i="76"/>
  <c r="H100" i="76"/>
  <c r="L100" i="76"/>
  <c r="V100" i="76"/>
  <c r="W100" i="76"/>
  <c r="K100" i="76"/>
  <c r="J100" i="76"/>
  <c r="O100" i="76"/>
  <c r="R100" i="76"/>
  <c r="P100" i="76"/>
  <c r="M100" i="76"/>
  <c r="H99" i="76"/>
  <c r="L99" i="76"/>
  <c r="V99" i="76"/>
  <c r="W99" i="76"/>
  <c r="K99" i="76"/>
  <c r="J99" i="76"/>
  <c r="O99" i="76"/>
  <c r="R99" i="76"/>
  <c r="P99" i="76"/>
  <c r="M99" i="76"/>
  <c r="H98" i="76"/>
  <c r="L98" i="76"/>
  <c r="V98" i="76"/>
  <c r="W98" i="76"/>
  <c r="K98" i="76"/>
  <c r="J98" i="76"/>
  <c r="O98" i="76"/>
  <c r="R98" i="76"/>
  <c r="P98" i="76"/>
  <c r="M98" i="76"/>
  <c r="H97" i="76"/>
  <c r="L97" i="76"/>
  <c r="V97" i="76"/>
  <c r="W97" i="76"/>
  <c r="K97" i="76"/>
  <c r="J97" i="76"/>
  <c r="O97" i="76"/>
  <c r="R97" i="76"/>
  <c r="P97" i="76"/>
  <c r="M97" i="76"/>
  <c r="H96" i="76"/>
  <c r="L96" i="76"/>
  <c r="V96" i="76"/>
  <c r="W96" i="76"/>
  <c r="K96" i="76"/>
  <c r="J96" i="76"/>
  <c r="O96" i="76"/>
  <c r="R96" i="76"/>
  <c r="P96" i="76"/>
  <c r="M96" i="76"/>
  <c r="H95" i="76"/>
  <c r="L95" i="76"/>
  <c r="V95" i="76"/>
  <c r="W95" i="76"/>
  <c r="K95" i="76"/>
  <c r="J95" i="76"/>
  <c r="O95" i="76"/>
  <c r="R95" i="76"/>
  <c r="P95" i="76"/>
  <c r="M95" i="76"/>
  <c r="H94" i="76"/>
  <c r="L94" i="76"/>
  <c r="V94" i="76"/>
  <c r="W94" i="76"/>
  <c r="K94" i="76"/>
  <c r="J94" i="76"/>
  <c r="O94" i="76"/>
  <c r="R94" i="76"/>
  <c r="P94" i="76"/>
  <c r="M94" i="76"/>
  <c r="W93" i="76"/>
  <c r="V93" i="76"/>
  <c r="T93" i="76"/>
  <c r="R93" i="76"/>
  <c r="Q93" i="76"/>
  <c r="O93" i="76"/>
  <c r="H93" i="76"/>
  <c r="P93" i="76"/>
  <c r="M93" i="76"/>
  <c r="L93" i="76"/>
  <c r="J93" i="76"/>
  <c r="K93" i="76"/>
  <c r="G93" i="76"/>
  <c r="F93" i="76"/>
  <c r="E93" i="76"/>
  <c r="H92" i="76"/>
  <c r="L92" i="76"/>
  <c r="V92" i="76"/>
  <c r="W92" i="76"/>
  <c r="K92" i="76"/>
  <c r="J92" i="76"/>
  <c r="O92" i="76"/>
  <c r="R92" i="76"/>
  <c r="P92" i="76"/>
  <c r="M92" i="76"/>
  <c r="H91" i="76"/>
  <c r="L91" i="76"/>
  <c r="V91" i="76"/>
  <c r="W91" i="76"/>
  <c r="K91" i="76"/>
  <c r="J91" i="76"/>
  <c r="O91" i="76"/>
  <c r="R91" i="76"/>
  <c r="P91" i="76"/>
  <c r="M91" i="76"/>
  <c r="W90" i="76"/>
  <c r="V90" i="76"/>
  <c r="T90" i="76"/>
  <c r="R90" i="76"/>
  <c r="Q90" i="76"/>
  <c r="O90" i="76"/>
  <c r="H90" i="76"/>
  <c r="P90" i="76"/>
  <c r="M90" i="76"/>
  <c r="L90" i="76"/>
  <c r="J90" i="76"/>
  <c r="K90" i="76"/>
  <c r="G90" i="76"/>
  <c r="F90" i="76"/>
  <c r="E90" i="76"/>
  <c r="H89" i="76"/>
  <c r="L89" i="76"/>
  <c r="V89" i="76"/>
  <c r="W89" i="76"/>
  <c r="K89" i="76"/>
  <c r="J89" i="76"/>
  <c r="O89" i="76"/>
  <c r="R89" i="76"/>
  <c r="P89" i="76"/>
  <c r="M89" i="76"/>
  <c r="H88" i="76"/>
  <c r="L88" i="76"/>
  <c r="V88" i="76"/>
  <c r="W88" i="76"/>
  <c r="K88" i="76"/>
  <c r="J88" i="76"/>
  <c r="O88" i="76"/>
  <c r="R88" i="76"/>
  <c r="P88" i="76"/>
  <c r="M88" i="76"/>
  <c r="W87" i="76"/>
  <c r="V87" i="76"/>
  <c r="T87" i="76"/>
  <c r="R87" i="76"/>
  <c r="Q87" i="76"/>
  <c r="O87" i="76"/>
  <c r="H87" i="76"/>
  <c r="P87" i="76"/>
  <c r="M87" i="76"/>
  <c r="L87" i="76"/>
  <c r="J87" i="76"/>
  <c r="K87" i="76"/>
  <c r="G87" i="76"/>
  <c r="F87" i="76"/>
  <c r="E87" i="76"/>
  <c r="H86" i="76"/>
  <c r="L86" i="76"/>
  <c r="V86" i="76"/>
  <c r="W86" i="76"/>
  <c r="K86" i="76"/>
  <c r="J86" i="76"/>
  <c r="O86" i="76"/>
  <c r="R86" i="76"/>
  <c r="P86" i="76"/>
  <c r="M86" i="76"/>
  <c r="H85" i="76"/>
  <c r="L85" i="76"/>
  <c r="V85" i="76"/>
  <c r="W85" i="76"/>
  <c r="K85" i="76"/>
  <c r="J85" i="76"/>
  <c r="O85" i="76"/>
  <c r="R85" i="76"/>
  <c r="P85" i="76"/>
  <c r="M85" i="76"/>
  <c r="H84" i="76"/>
  <c r="L84" i="76"/>
  <c r="V84" i="76"/>
  <c r="W84" i="76"/>
  <c r="K84" i="76"/>
  <c r="J84" i="76"/>
  <c r="O84" i="76"/>
  <c r="R84" i="76"/>
  <c r="P84" i="76"/>
  <c r="M84" i="76"/>
  <c r="H83" i="76"/>
  <c r="L83" i="76"/>
  <c r="V83" i="76"/>
  <c r="W83" i="76"/>
  <c r="K83" i="76"/>
  <c r="J83" i="76"/>
  <c r="O83" i="76"/>
  <c r="R83" i="76"/>
  <c r="P83" i="76"/>
  <c r="M83" i="76"/>
  <c r="H82" i="76"/>
  <c r="L82" i="76"/>
  <c r="V82" i="76"/>
  <c r="W82" i="76"/>
  <c r="K82" i="76"/>
  <c r="J82" i="76"/>
  <c r="O82" i="76"/>
  <c r="R82" i="76"/>
  <c r="P82" i="76"/>
  <c r="M82" i="76"/>
  <c r="H81" i="76"/>
  <c r="L81" i="76"/>
  <c r="V81" i="76"/>
  <c r="W81" i="76"/>
  <c r="K81" i="76"/>
  <c r="J81" i="76"/>
  <c r="O81" i="76"/>
  <c r="R81" i="76"/>
  <c r="P81" i="76"/>
  <c r="M81" i="76"/>
  <c r="H80" i="76"/>
  <c r="L80" i="76"/>
  <c r="V80" i="76"/>
  <c r="W80" i="76"/>
  <c r="K80" i="76"/>
  <c r="J80" i="76"/>
  <c r="O80" i="76"/>
  <c r="R80" i="76"/>
  <c r="P80" i="76"/>
  <c r="M80" i="76"/>
  <c r="W79" i="76"/>
  <c r="V79" i="76"/>
  <c r="T79" i="76"/>
  <c r="R79" i="76"/>
  <c r="Q79" i="76"/>
  <c r="O79" i="76"/>
  <c r="H79" i="76"/>
  <c r="P79" i="76"/>
  <c r="M79" i="76"/>
  <c r="L79" i="76"/>
  <c r="J79" i="76"/>
  <c r="K79" i="76"/>
  <c r="G79" i="76"/>
  <c r="F79" i="76"/>
  <c r="E79" i="76"/>
  <c r="H78" i="76"/>
  <c r="L78" i="76"/>
  <c r="V78" i="76"/>
  <c r="W78" i="76"/>
  <c r="K78" i="76"/>
  <c r="J78" i="76"/>
  <c r="O78" i="76"/>
  <c r="R78" i="76"/>
  <c r="P78" i="76"/>
  <c r="M78" i="76"/>
  <c r="H77" i="76"/>
  <c r="L77" i="76"/>
  <c r="V77" i="76"/>
  <c r="W77" i="76"/>
  <c r="K77" i="76"/>
  <c r="J77" i="76"/>
  <c r="O77" i="76"/>
  <c r="R77" i="76"/>
  <c r="P77" i="76"/>
  <c r="M77" i="76"/>
  <c r="H76" i="76"/>
  <c r="L76" i="76"/>
  <c r="V76" i="76"/>
  <c r="W76" i="76"/>
  <c r="K76" i="76"/>
  <c r="J76" i="76"/>
  <c r="O76" i="76"/>
  <c r="R76" i="76"/>
  <c r="P76" i="76"/>
  <c r="M76" i="76"/>
  <c r="H75" i="76"/>
  <c r="L75" i="76"/>
  <c r="V75" i="76"/>
  <c r="W75" i="76"/>
  <c r="K75" i="76"/>
  <c r="J75" i="76"/>
  <c r="O75" i="76"/>
  <c r="R75" i="76"/>
  <c r="P75" i="76"/>
  <c r="M75" i="76"/>
  <c r="H74" i="76"/>
  <c r="L74" i="76"/>
  <c r="V74" i="76"/>
  <c r="W74" i="76"/>
  <c r="K74" i="76"/>
  <c r="J74" i="76"/>
  <c r="O74" i="76"/>
  <c r="R74" i="76"/>
  <c r="P74" i="76"/>
  <c r="M74" i="76"/>
  <c r="H73" i="76"/>
  <c r="L73" i="76"/>
  <c r="V73" i="76"/>
  <c r="W73" i="76"/>
  <c r="K73" i="76"/>
  <c r="J73" i="76"/>
  <c r="O73" i="76"/>
  <c r="R73" i="76"/>
  <c r="P73" i="76"/>
  <c r="M73" i="76"/>
  <c r="H72" i="76"/>
  <c r="L72" i="76"/>
  <c r="V72" i="76"/>
  <c r="W72" i="76"/>
  <c r="K72" i="76"/>
  <c r="J72" i="76"/>
  <c r="O72" i="76"/>
  <c r="R72" i="76"/>
  <c r="P72" i="76"/>
  <c r="M72" i="76"/>
  <c r="H71" i="76"/>
  <c r="L71" i="76"/>
  <c r="V71" i="76"/>
  <c r="W71" i="76"/>
  <c r="K71" i="76"/>
  <c r="J71" i="76"/>
  <c r="O71" i="76"/>
  <c r="R71" i="76"/>
  <c r="P71" i="76"/>
  <c r="M71" i="76"/>
  <c r="H70" i="76"/>
  <c r="L70" i="76"/>
  <c r="V70" i="76"/>
  <c r="W70" i="76"/>
  <c r="K70" i="76"/>
  <c r="J70" i="76"/>
  <c r="O70" i="76"/>
  <c r="R70" i="76"/>
  <c r="P70" i="76"/>
  <c r="M70" i="76"/>
  <c r="H69" i="76"/>
  <c r="L69" i="76"/>
  <c r="V69" i="76"/>
  <c r="W69" i="76"/>
  <c r="K69" i="76"/>
  <c r="J69" i="76"/>
  <c r="O69" i="76"/>
  <c r="R69" i="76"/>
  <c r="P69" i="76"/>
  <c r="M69" i="76"/>
  <c r="W68" i="76"/>
  <c r="V68" i="76"/>
  <c r="T68" i="76"/>
  <c r="R68" i="76"/>
  <c r="Q68" i="76"/>
  <c r="O68" i="76"/>
  <c r="H68" i="76"/>
  <c r="P68" i="76"/>
  <c r="M68" i="76"/>
  <c r="L68" i="76"/>
  <c r="J68" i="76"/>
  <c r="K68" i="76"/>
  <c r="G68" i="76"/>
  <c r="F68" i="76"/>
  <c r="E68" i="76"/>
  <c r="W67" i="76"/>
  <c r="V67" i="76"/>
  <c r="T67" i="76"/>
  <c r="R67" i="76"/>
  <c r="Q67" i="76"/>
  <c r="O67" i="76"/>
  <c r="H67" i="76"/>
  <c r="P67" i="76"/>
  <c r="M67" i="76"/>
  <c r="L67" i="76"/>
  <c r="J67" i="76"/>
  <c r="K67" i="76"/>
  <c r="G67" i="76"/>
  <c r="F67" i="76"/>
  <c r="E67" i="76"/>
  <c r="H60" i="76"/>
  <c r="L60" i="76"/>
  <c r="V60" i="76"/>
  <c r="W60" i="76"/>
  <c r="K60" i="76"/>
  <c r="J60" i="76"/>
  <c r="O60" i="76"/>
  <c r="R60" i="76"/>
  <c r="P60" i="76"/>
  <c r="M60" i="76"/>
  <c r="H59" i="76"/>
  <c r="L59" i="76"/>
  <c r="V59" i="76"/>
  <c r="W59" i="76"/>
  <c r="K59" i="76"/>
  <c r="J59" i="76"/>
  <c r="O59" i="76"/>
  <c r="R59" i="76"/>
  <c r="P59" i="76"/>
  <c r="M59" i="76"/>
  <c r="H58" i="76"/>
  <c r="L58" i="76"/>
  <c r="V58" i="76"/>
  <c r="W58" i="76"/>
  <c r="K58" i="76"/>
  <c r="J58" i="76"/>
  <c r="O58" i="76"/>
  <c r="R58" i="76"/>
  <c r="P58" i="76"/>
  <c r="M58" i="76"/>
  <c r="W57" i="76"/>
  <c r="V57" i="76"/>
  <c r="T57" i="76"/>
  <c r="R57" i="76"/>
  <c r="Q57" i="76"/>
  <c r="O57" i="76"/>
  <c r="H57" i="76"/>
  <c r="P57" i="76"/>
  <c r="M57" i="76"/>
  <c r="L57" i="76"/>
  <c r="J57" i="76"/>
  <c r="K57" i="76"/>
  <c r="G57" i="76"/>
  <c r="F57" i="76"/>
  <c r="E57" i="76"/>
  <c r="H56" i="76"/>
  <c r="L56" i="76"/>
  <c r="V56" i="76"/>
  <c r="W56" i="76"/>
  <c r="K56" i="76"/>
  <c r="J56" i="76"/>
  <c r="O56" i="76"/>
  <c r="R56" i="76"/>
  <c r="P56" i="76"/>
  <c r="M56" i="76"/>
  <c r="H55" i="76"/>
  <c r="L55" i="76"/>
  <c r="V55" i="76"/>
  <c r="W55" i="76"/>
  <c r="K55" i="76"/>
  <c r="J55" i="76"/>
  <c r="O55" i="76"/>
  <c r="R55" i="76"/>
  <c r="P55" i="76"/>
  <c r="M55" i="76"/>
  <c r="H54" i="76"/>
  <c r="L54" i="76"/>
  <c r="V54" i="76"/>
  <c r="W54" i="76"/>
  <c r="K54" i="76"/>
  <c r="J54" i="76"/>
  <c r="O54" i="76"/>
  <c r="R54" i="76"/>
  <c r="P54" i="76"/>
  <c r="M54" i="76"/>
  <c r="H53" i="76"/>
  <c r="L53" i="76"/>
  <c r="V53" i="76"/>
  <c r="W53" i="76"/>
  <c r="K53" i="76"/>
  <c r="J53" i="76"/>
  <c r="O53" i="76"/>
  <c r="R53" i="76"/>
  <c r="P53" i="76"/>
  <c r="M53" i="76"/>
  <c r="H52" i="76"/>
  <c r="L52" i="76"/>
  <c r="V52" i="76"/>
  <c r="W52" i="76"/>
  <c r="K52" i="76"/>
  <c r="J52" i="76"/>
  <c r="O52" i="76"/>
  <c r="R52" i="76"/>
  <c r="P52" i="76"/>
  <c r="M52" i="76"/>
  <c r="H51" i="76"/>
  <c r="L51" i="76"/>
  <c r="V51" i="76"/>
  <c r="W51" i="76"/>
  <c r="K51" i="76"/>
  <c r="J51" i="76"/>
  <c r="O51" i="76"/>
  <c r="R51" i="76"/>
  <c r="P51" i="76"/>
  <c r="M51" i="76"/>
  <c r="H50" i="76"/>
  <c r="L50" i="76"/>
  <c r="V50" i="76"/>
  <c r="W50" i="76"/>
  <c r="K50" i="76"/>
  <c r="J50" i="76"/>
  <c r="O50" i="76"/>
  <c r="R50" i="76"/>
  <c r="P50" i="76"/>
  <c r="M50" i="76"/>
  <c r="H49" i="76"/>
  <c r="L49" i="76"/>
  <c r="V49" i="76"/>
  <c r="W49" i="76"/>
  <c r="K49" i="76"/>
  <c r="J49" i="76"/>
  <c r="O49" i="76"/>
  <c r="R49" i="76"/>
  <c r="P49" i="76"/>
  <c r="M49" i="76"/>
  <c r="H48" i="76"/>
  <c r="L48" i="76"/>
  <c r="V48" i="76"/>
  <c r="W48" i="76"/>
  <c r="K48" i="76"/>
  <c r="J48" i="76"/>
  <c r="O48" i="76"/>
  <c r="R48" i="76"/>
  <c r="P48" i="76"/>
  <c r="M48" i="76"/>
  <c r="H47" i="76"/>
  <c r="L47" i="76"/>
  <c r="V47" i="76"/>
  <c r="W47" i="76"/>
  <c r="K47" i="76"/>
  <c r="J47" i="76"/>
  <c r="O47" i="76"/>
  <c r="R47" i="76"/>
  <c r="P47" i="76"/>
  <c r="M47" i="76"/>
  <c r="H46" i="76"/>
  <c r="L46" i="76"/>
  <c r="V46" i="76"/>
  <c r="W46" i="76"/>
  <c r="K46" i="76"/>
  <c r="J46" i="76"/>
  <c r="O46" i="76"/>
  <c r="R46" i="76"/>
  <c r="P46" i="76"/>
  <c r="M46" i="76"/>
  <c r="H45" i="76"/>
  <c r="L45" i="76"/>
  <c r="V45" i="76"/>
  <c r="W45" i="76"/>
  <c r="K45" i="76"/>
  <c r="J45" i="76"/>
  <c r="O45" i="76"/>
  <c r="R45" i="76"/>
  <c r="P45" i="76"/>
  <c r="M45" i="76"/>
  <c r="H44" i="76"/>
  <c r="L44" i="76"/>
  <c r="V44" i="76"/>
  <c r="W44" i="76"/>
  <c r="K44" i="76"/>
  <c r="J44" i="76"/>
  <c r="O44" i="76"/>
  <c r="R44" i="76"/>
  <c r="P44" i="76"/>
  <c r="M44" i="76"/>
  <c r="H43" i="76"/>
  <c r="L43" i="76"/>
  <c r="V43" i="76"/>
  <c r="W43" i="76"/>
  <c r="K43" i="76"/>
  <c r="J43" i="76"/>
  <c r="O43" i="76"/>
  <c r="R43" i="76"/>
  <c r="P43" i="76"/>
  <c r="M43" i="76"/>
  <c r="H42" i="76"/>
  <c r="L42" i="76"/>
  <c r="V42" i="76"/>
  <c r="W42" i="76"/>
  <c r="K42" i="76"/>
  <c r="J42" i="76"/>
  <c r="O42" i="76"/>
  <c r="R42" i="76"/>
  <c r="P42" i="76"/>
  <c r="M42" i="76"/>
  <c r="W41" i="76"/>
  <c r="V41" i="76"/>
  <c r="T41" i="76"/>
  <c r="R41" i="76"/>
  <c r="Q41" i="76"/>
  <c r="O41" i="76"/>
  <c r="H41" i="76"/>
  <c r="P41" i="76"/>
  <c r="M41" i="76"/>
  <c r="L41" i="76"/>
  <c r="J41" i="76"/>
  <c r="K41" i="76"/>
  <c r="G41" i="76"/>
  <c r="F41" i="76"/>
  <c r="E41" i="76"/>
  <c r="H40" i="76"/>
  <c r="L40" i="76"/>
  <c r="V40" i="76"/>
  <c r="W40" i="76"/>
  <c r="K40" i="76"/>
  <c r="J40" i="76"/>
  <c r="O40" i="76"/>
  <c r="R40" i="76"/>
  <c r="P40" i="76"/>
  <c r="M40" i="76"/>
  <c r="H39" i="76"/>
  <c r="L39" i="76"/>
  <c r="V39" i="76"/>
  <c r="W39" i="76"/>
  <c r="K39" i="76"/>
  <c r="J39" i="76"/>
  <c r="O39" i="76"/>
  <c r="R39" i="76"/>
  <c r="P39" i="76"/>
  <c r="M39" i="76"/>
  <c r="W38" i="76"/>
  <c r="V38" i="76"/>
  <c r="T38" i="76"/>
  <c r="R38" i="76"/>
  <c r="Q38" i="76"/>
  <c r="O38" i="76"/>
  <c r="H38" i="76"/>
  <c r="P38" i="76"/>
  <c r="M38" i="76"/>
  <c r="L38" i="76"/>
  <c r="J38" i="76"/>
  <c r="K38" i="76"/>
  <c r="G38" i="76"/>
  <c r="F38" i="76"/>
  <c r="E38" i="76"/>
  <c r="H37" i="76"/>
  <c r="L37" i="76"/>
  <c r="V37" i="76"/>
  <c r="W37" i="76"/>
  <c r="K37" i="76"/>
  <c r="J37" i="76"/>
  <c r="O37" i="76"/>
  <c r="R37" i="76"/>
  <c r="P37" i="76"/>
  <c r="M37" i="76"/>
  <c r="H36" i="76"/>
  <c r="L36" i="76"/>
  <c r="V36" i="76"/>
  <c r="W36" i="76"/>
  <c r="K36" i="76"/>
  <c r="J36" i="76"/>
  <c r="O36" i="76"/>
  <c r="R36" i="76"/>
  <c r="P36" i="76"/>
  <c r="M36" i="76"/>
  <c r="W35" i="76"/>
  <c r="V35" i="76"/>
  <c r="T35" i="76"/>
  <c r="R35" i="76"/>
  <c r="Q35" i="76"/>
  <c r="O35" i="76"/>
  <c r="H35" i="76"/>
  <c r="P35" i="76"/>
  <c r="M35" i="76"/>
  <c r="L35" i="76"/>
  <c r="J35" i="76"/>
  <c r="K35" i="76"/>
  <c r="G35" i="76"/>
  <c r="F35" i="76"/>
  <c r="E35" i="76"/>
  <c r="H34" i="76"/>
  <c r="L34" i="76"/>
  <c r="V34" i="76"/>
  <c r="W34" i="76"/>
  <c r="K34" i="76"/>
  <c r="J34" i="76"/>
  <c r="O34" i="76"/>
  <c r="R34" i="76"/>
  <c r="P34" i="76"/>
  <c r="M34" i="76"/>
  <c r="H33" i="76"/>
  <c r="L33" i="76"/>
  <c r="V33" i="76"/>
  <c r="W33" i="76"/>
  <c r="K33" i="76"/>
  <c r="J33" i="76"/>
  <c r="O33" i="76"/>
  <c r="R33" i="76"/>
  <c r="P33" i="76"/>
  <c r="M33" i="76"/>
  <c r="H32" i="76"/>
  <c r="L32" i="76"/>
  <c r="V32" i="76"/>
  <c r="W32" i="76"/>
  <c r="K32" i="76"/>
  <c r="J32" i="76"/>
  <c r="O32" i="76"/>
  <c r="R32" i="76"/>
  <c r="P32" i="76"/>
  <c r="M32" i="76"/>
  <c r="H31" i="76"/>
  <c r="L31" i="76"/>
  <c r="V31" i="76"/>
  <c r="W31" i="76"/>
  <c r="K31" i="76"/>
  <c r="J31" i="76"/>
  <c r="O31" i="76"/>
  <c r="R31" i="76"/>
  <c r="P31" i="76"/>
  <c r="M31" i="76"/>
  <c r="H30" i="76"/>
  <c r="L30" i="76"/>
  <c r="V30" i="76"/>
  <c r="W30" i="76"/>
  <c r="K30" i="76"/>
  <c r="J30" i="76"/>
  <c r="O30" i="76"/>
  <c r="R30" i="76"/>
  <c r="P30" i="76"/>
  <c r="M30" i="76"/>
  <c r="H29" i="76"/>
  <c r="L29" i="76"/>
  <c r="V29" i="76"/>
  <c r="W29" i="76"/>
  <c r="K29" i="76"/>
  <c r="J29" i="76"/>
  <c r="O29" i="76"/>
  <c r="R29" i="76"/>
  <c r="P29" i="76"/>
  <c r="M29" i="76"/>
  <c r="H28" i="76"/>
  <c r="L28" i="76"/>
  <c r="V28" i="76"/>
  <c r="W28" i="76"/>
  <c r="K28" i="76"/>
  <c r="J28" i="76"/>
  <c r="O28" i="76"/>
  <c r="R28" i="76"/>
  <c r="P28" i="76"/>
  <c r="M28" i="76"/>
  <c r="H27" i="76"/>
  <c r="L27" i="76"/>
  <c r="V27" i="76"/>
  <c r="W27" i="76"/>
  <c r="K27" i="76"/>
  <c r="J27" i="76"/>
  <c r="O27" i="76"/>
  <c r="R27" i="76"/>
  <c r="P27" i="76"/>
  <c r="M27" i="76"/>
  <c r="H26" i="76"/>
  <c r="L26" i="76"/>
  <c r="V26" i="76"/>
  <c r="W26" i="76"/>
  <c r="K26" i="76"/>
  <c r="J26" i="76"/>
  <c r="O26" i="76"/>
  <c r="R26" i="76"/>
  <c r="P26" i="76"/>
  <c r="M26" i="76"/>
  <c r="H25" i="76"/>
  <c r="L25" i="76"/>
  <c r="V25" i="76"/>
  <c r="W25" i="76"/>
  <c r="K25" i="76"/>
  <c r="J25" i="76"/>
  <c r="O25" i="76"/>
  <c r="R25" i="76"/>
  <c r="P25" i="76"/>
  <c r="M25" i="76"/>
  <c r="W24" i="76"/>
  <c r="V24" i="76"/>
  <c r="T24" i="76"/>
  <c r="R24" i="76"/>
  <c r="Q24" i="76"/>
  <c r="O24" i="76"/>
  <c r="H24" i="76"/>
  <c r="P24" i="76"/>
  <c r="M24" i="76"/>
  <c r="L24" i="76"/>
  <c r="J24" i="76"/>
  <c r="K24" i="76"/>
  <c r="G24" i="76"/>
  <c r="F24" i="76"/>
  <c r="E24" i="76"/>
  <c r="H23" i="76"/>
  <c r="L23" i="76"/>
  <c r="V23" i="76"/>
  <c r="W23" i="76"/>
  <c r="K23" i="76"/>
  <c r="J23" i="76"/>
  <c r="O23" i="76"/>
  <c r="R23" i="76"/>
  <c r="P23" i="76"/>
  <c r="M23" i="76"/>
  <c r="H22" i="76"/>
  <c r="L22" i="76"/>
  <c r="V22" i="76"/>
  <c r="W22" i="76"/>
  <c r="K22" i="76"/>
  <c r="J22" i="76"/>
  <c r="O22" i="76"/>
  <c r="R22" i="76"/>
  <c r="P22" i="76"/>
  <c r="M22" i="76"/>
  <c r="H21" i="76"/>
  <c r="L21" i="76"/>
  <c r="V21" i="76"/>
  <c r="W21" i="76"/>
  <c r="K21" i="76"/>
  <c r="J21" i="76"/>
  <c r="O21" i="76"/>
  <c r="R21" i="76"/>
  <c r="P21" i="76"/>
  <c r="M21" i="76"/>
  <c r="H20" i="76"/>
  <c r="L20" i="76"/>
  <c r="V20" i="76"/>
  <c r="W20" i="76"/>
  <c r="K20" i="76"/>
  <c r="J20" i="76"/>
  <c r="O20" i="76"/>
  <c r="R20" i="76"/>
  <c r="P20" i="76"/>
  <c r="M20" i="76"/>
  <c r="H19" i="76"/>
  <c r="L19" i="76"/>
  <c r="V19" i="76"/>
  <c r="W19" i="76"/>
  <c r="K19" i="76"/>
  <c r="J19" i="76"/>
  <c r="O19" i="76"/>
  <c r="R19" i="76"/>
  <c r="P19" i="76"/>
  <c r="M19" i="76"/>
  <c r="H18" i="76"/>
  <c r="L18" i="76"/>
  <c r="V18" i="76"/>
  <c r="W18" i="76"/>
  <c r="K18" i="76"/>
  <c r="J18" i="76"/>
  <c r="O18" i="76"/>
  <c r="R18" i="76"/>
  <c r="P18" i="76"/>
  <c r="M18" i="76"/>
  <c r="H17" i="76"/>
  <c r="L17" i="76"/>
  <c r="V17" i="76"/>
  <c r="W17" i="76"/>
  <c r="K17" i="76"/>
  <c r="J17" i="76"/>
  <c r="O17" i="76"/>
  <c r="R17" i="76"/>
  <c r="P17" i="76"/>
  <c r="M17" i="76"/>
  <c r="H16" i="76"/>
  <c r="L16" i="76"/>
  <c r="V16" i="76"/>
  <c r="W16" i="76"/>
  <c r="K16" i="76"/>
  <c r="J16" i="76"/>
  <c r="O16" i="76"/>
  <c r="R16" i="76"/>
  <c r="P16" i="76"/>
  <c r="M16" i="76"/>
  <c r="H15" i="76"/>
  <c r="L15" i="76"/>
  <c r="V15" i="76"/>
  <c r="W15" i="76"/>
  <c r="K15" i="76"/>
  <c r="J15" i="76"/>
  <c r="O15" i="76"/>
  <c r="R15" i="76"/>
  <c r="P15" i="76"/>
  <c r="M15" i="76"/>
  <c r="H14" i="76"/>
  <c r="L14" i="76"/>
  <c r="V14" i="76"/>
  <c r="W14" i="76"/>
  <c r="K14" i="76"/>
  <c r="J14" i="76"/>
  <c r="O14" i="76"/>
  <c r="R14" i="76"/>
  <c r="P14" i="76"/>
  <c r="M14" i="76"/>
  <c r="H13" i="76"/>
  <c r="L13" i="76"/>
  <c r="V13" i="76"/>
  <c r="W13" i="76"/>
  <c r="K13" i="76"/>
  <c r="J13" i="76"/>
  <c r="O13" i="76"/>
  <c r="R13" i="76"/>
  <c r="P13" i="76"/>
  <c r="M13" i="76"/>
  <c r="W12" i="76"/>
  <c r="V12" i="76"/>
  <c r="T12" i="76"/>
  <c r="R12" i="76"/>
  <c r="Q12" i="76"/>
  <c r="O12" i="76"/>
  <c r="H12" i="76"/>
  <c r="P12" i="76"/>
  <c r="M12" i="76"/>
  <c r="L12" i="76"/>
  <c r="J12" i="76"/>
  <c r="K12" i="76"/>
  <c r="G12" i="76"/>
  <c r="F12" i="76"/>
  <c r="E12" i="76"/>
  <c r="W11" i="76"/>
  <c r="V11" i="76"/>
  <c r="T11" i="76"/>
  <c r="R11" i="76"/>
  <c r="Q11" i="76"/>
  <c r="O11" i="76"/>
  <c r="H11" i="76"/>
  <c r="P11" i="76"/>
  <c r="M11" i="76"/>
  <c r="L11" i="76"/>
  <c r="J11" i="76"/>
  <c r="K11" i="76"/>
  <c r="G11" i="76"/>
  <c r="F11" i="76"/>
  <c r="E11" i="76"/>
  <c r="H6" i="76"/>
  <c r="L6" i="76"/>
  <c r="T5" i="76"/>
  <c r="T6" i="76"/>
  <c r="V6" i="76"/>
  <c r="W6" i="76"/>
  <c r="O5" i="76"/>
  <c r="O6" i="76"/>
  <c r="R6" i="76"/>
  <c r="J5" i="76"/>
  <c r="J6" i="76"/>
  <c r="M6" i="76"/>
  <c r="G6" i="76"/>
  <c r="F6" i="76"/>
  <c r="E6" i="76"/>
  <c r="V5" i="76"/>
  <c r="W5" i="76"/>
  <c r="Q5" i="76"/>
  <c r="R5" i="76"/>
  <c r="L5" i="76"/>
  <c r="M5" i="76"/>
  <c r="J25" i="15"/>
  <c r="K28" i="15"/>
  <c r="K23" i="15"/>
  <c r="K24" i="15"/>
  <c r="K25" i="15"/>
  <c r="H28" i="15"/>
  <c r="P37" i="3"/>
  <c r="P36" i="3"/>
  <c r="P35" i="3"/>
  <c r="P34" i="3"/>
  <c r="P33" i="3"/>
  <c r="P32" i="3"/>
  <c r="P31" i="3"/>
  <c r="P30" i="3"/>
  <c r="P29" i="3"/>
  <c r="C50" i="14"/>
  <c r="K18" i="3"/>
  <c r="P18" i="3"/>
  <c r="D18" i="7"/>
  <c r="U10" i="14"/>
  <c r="U11" i="14"/>
  <c r="U12" i="14"/>
  <c r="U13" i="14"/>
  <c r="U14" i="14"/>
  <c r="U34" i="14"/>
  <c r="U48" i="14"/>
  <c r="F26" i="3"/>
  <c r="F23" i="1"/>
  <c r="H19" i="2"/>
  <c r="J19" i="2"/>
  <c r="J52" i="2"/>
  <c r="M31" i="1"/>
  <c r="N31" i="1"/>
  <c r="N29" i="4"/>
  <c r="N30" i="4"/>
  <c r="F20" i="3"/>
  <c r="F44" i="3"/>
  <c r="H15" i="4"/>
  <c r="K29" i="4"/>
  <c r="K30" i="4"/>
  <c r="H29" i="4"/>
  <c r="H30" i="4"/>
  <c r="P40" i="3"/>
  <c r="Q40" i="3"/>
  <c r="P39" i="3"/>
  <c r="Q39" i="3"/>
  <c r="K47" i="3"/>
  <c r="C4" i="3"/>
  <c r="C6" i="3"/>
  <c r="B47" i="7"/>
  <c r="B46" i="7"/>
  <c r="L17" i="5"/>
  <c r="L47" i="5"/>
  <c r="M17" i="5"/>
  <c r="M47" i="5"/>
  <c r="N47" i="5"/>
  <c r="O47" i="5"/>
  <c r="H17" i="5"/>
  <c r="H27" i="5"/>
  <c r="H29" i="5"/>
  <c r="H24" i="5"/>
  <c r="H47" i="5"/>
  <c r="I17" i="5"/>
  <c r="I29" i="5"/>
  <c r="I24" i="5"/>
  <c r="I47" i="5"/>
  <c r="J17" i="5"/>
  <c r="J47" i="5"/>
  <c r="K17" i="5"/>
  <c r="K47" i="5"/>
  <c r="G17" i="5"/>
  <c r="G29" i="5"/>
  <c r="G24" i="5"/>
  <c r="G47" i="5"/>
  <c r="M32" i="1"/>
  <c r="N32" i="1"/>
  <c r="M30" i="1"/>
  <c r="N30" i="1"/>
  <c r="H26" i="3"/>
  <c r="I26" i="3"/>
  <c r="J26" i="3"/>
  <c r="K26" i="3"/>
  <c r="H23" i="1"/>
  <c r="M26" i="3"/>
  <c r="J23" i="1"/>
  <c r="M23" i="1"/>
  <c r="N23" i="1"/>
  <c r="H20" i="3"/>
  <c r="H44" i="3"/>
  <c r="H49" i="3"/>
  <c r="I20" i="3"/>
  <c r="J20" i="3"/>
  <c r="B7" i="14"/>
  <c r="B7" i="13"/>
  <c r="B8" i="8"/>
  <c r="B6" i="13"/>
  <c r="M7" i="7"/>
  <c r="M6" i="7"/>
  <c r="M5" i="7"/>
  <c r="M4" i="7"/>
  <c r="M3" i="7"/>
  <c r="M2" i="7"/>
  <c r="O7" i="5"/>
  <c r="O6" i="5"/>
  <c r="O5" i="5"/>
  <c r="O4" i="5"/>
  <c r="O3" i="5"/>
  <c r="O2" i="5"/>
  <c r="R7" i="4"/>
  <c r="R6" i="4"/>
  <c r="R5" i="4"/>
  <c r="R4" i="4"/>
  <c r="R3" i="4"/>
  <c r="R2" i="4"/>
  <c r="Q7" i="3"/>
  <c r="Q6" i="3"/>
  <c r="Q5" i="3"/>
  <c r="Q4" i="3"/>
  <c r="Q3" i="3"/>
  <c r="K5" i="2"/>
  <c r="Q2" i="3"/>
  <c r="L7" i="2"/>
  <c r="L6" i="2"/>
  <c r="L4" i="2"/>
  <c r="L3" i="2"/>
  <c r="L2" i="2"/>
  <c r="B6" i="16"/>
  <c r="B6" i="15"/>
  <c r="U5" i="14"/>
  <c r="G5" i="13"/>
  <c r="N6" i="8"/>
  <c r="C7" i="7"/>
  <c r="C6" i="5"/>
  <c r="D6" i="4"/>
  <c r="C7" i="2"/>
  <c r="E7" i="24"/>
  <c r="E6" i="24"/>
  <c r="E7" i="16"/>
  <c r="E6" i="16"/>
  <c r="E7" i="15"/>
  <c r="E6" i="15"/>
  <c r="B6" i="14"/>
  <c r="A3" i="12"/>
  <c r="A2" i="12"/>
  <c r="B7" i="8"/>
  <c r="D7" i="7"/>
  <c r="D6" i="7"/>
  <c r="D7" i="5"/>
  <c r="D6" i="5"/>
  <c r="F7" i="4"/>
  <c r="F6" i="4"/>
  <c r="E7" i="3"/>
  <c r="E6" i="3"/>
  <c r="D7" i="2"/>
  <c r="D6" i="2"/>
  <c r="H15" i="16"/>
  <c r="H15" i="15"/>
  <c r="D56" i="15"/>
  <c r="D40" i="15"/>
  <c r="D24" i="15"/>
  <c r="B10" i="5"/>
  <c r="C15" i="5"/>
  <c r="C4" i="2"/>
  <c r="B3" i="24"/>
  <c r="B3" i="16"/>
  <c r="B3" i="15"/>
  <c r="F3" i="13"/>
  <c r="L3" i="8"/>
  <c r="C4" i="7"/>
  <c r="C4" i="5"/>
  <c r="D4" i="4"/>
  <c r="N17" i="4"/>
  <c r="M13" i="3"/>
  <c r="J35" i="2"/>
  <c r="J14" i="2"/>
  <c r="J12" i="1"/>
  <c r="N46" i="1"/>
  <c r="M46" i="1"/>
  <c r="J38" i="24"/>
  <c r="I38" i="24"/>
  <c r="H38" i="24"/>
  <c r="H57" i="15"/>
  <c r="H61" i="15"/>
  <c r="J57" i="15"/>
  <c r="K60" i="15"/>
  <c r="K55" i="15"/>
  <c r="K56" i="15"/>
  <c r="K57" i="15"/>
  <c r="K61" i="15"/>
  <c r="H41" i="15"/>
  <c r="H45" i="15"/>
  <c r="J41" i="15"/>
  <c r="K44" i="15"/>
  <c r="K39" i="15"/>
  <c r="K40" i="15"/>
  <c r="K41" i="15"/>
  <c r="H44" i="15"/>
  <c r="H25" i="15"/>
  <c r="H29" i="15"/>
  <c r="Q30" i="4"/>
  <c r="R30" i="4"/>
  <c r="Q29" i="4"/>
  <c r="R29" i="4"/>
  <c r="M39" i="1"/>
  <c r="J25" i="1"/>
  <c r="F26" i="1"/>
  <c r="F25" i="1"/>
  <c r="J33" i="1"/>
  <c r="H33" i="1"/>
  <c r="K14" i="23"/>
  <c r="K13" i="23"/>
  <c r="K12" i="23"/>
  <c r="K11" i="23"/>
  <c r="L6" i="22"/>
  <c r="L5" i="22"/>
  <c r="M8" i="14"/>
  <c r="N8" i="14"/>
  <c r="O8" i="14"/>
  <c r="H50" i="14"/>
  <c r="P50" i="14"/>
  <c r="K50" i="14"/>
  <c r="D50" i="14"/>
  <c r="I50" i="14"/>
  <c r="Q50" i="14"/>
  <c r="O50" i="14"/>
  <c r="J50" i="14"/>
  <c r="S50" i="14"/>
  <c r="E50" i="14"/>
  <c r="M50" i="14"/>
  <c r="G50" i="14"/>
  <c r="F50" i="14"/>
  <c r="N50" i="14"/>
  <c r="T50" i="14"/>
  <c r="R50" i="14"/>
  <c r="L50" i="14"/>
  <c r="K24" i="3"/>
  <c r="K25" i="3"/>
  <c r="Q33" i="3"/>
  <c r="Q32" i="3"/>
  <c r="K23" i="3"/>
  <c r="Q34" i="3"/>
  <c r="Q31" i="3"/>
  <c r="Q30" i="3"/>
  <c r="E51" i="5"/>
  <c r="O50" i="5"/>
  <c r="N50" i="5"/>
  <c r="E17" i="5"/>
  <c r="K19" i="3"/>
  <c r="K46" i="3"/>
  <c r="P46" i="3"/>
  <c r="Q46" i="3"/>
  <c r="P38" i="3"/>
  <c r="Q38" i="3"/>
  <c r="F22" i="1"/>
  <c r="K17" i="3"/>
  <c r="K16" i="3"/>
  <c r="P16" i="3"/>
  <c r="J26" i="1"/>
  <c r="H26" i="1"/>
  <c r="M26" i="1"/>
  <c r="N26" i="1"/>
  <c r="H25" i="1"/>
  <c r="M25" i="1"/>
  <c r="N25" i="1"/>
  <c r="Q37" i="3"/>
  <c r="J44" i="3"/>
  <c r="J49" i="3"/>
  <c r="P24" i="3"/>
  <c r="I44" i="3"/>
  <c r="I49" i="3"/>
  <c r="P25" i="3"/>
  <c r="D25" i="7"/>
  <c r="P47" i="3"/>
  <c r="Q29" i="3"/>
  <c r="Q36" i="3"/>
  <c r="F24" i="1"/>
  <c r="F28" i="1"/>
  <c r="Q35" i="3"/>
  <c r="Q25" i="3"/>
  <c r="Q24" i="3"/>
  <c r="D24" i="7"/>
  <c r="Q47" i="3"/>
  <c r="P26" i="3"/>
  <c r="J24" i="1"/>
  <c r="H16" i="16"/>
  <c r="F49" i="3"/>
  <c r="P17" i="3"/>
  <c r="P19" i="3"/>
  <c r="Q19" i="3"/>
  <c r="D19" i="7"/>
  <c r="Q18" i="3"/>
  <c r="M20" i="3"/>
  <c r="M44" i="3"/>
  <c r="Q17" i="3"/>
  <c r="D17" i="7"/>
  <c r="H16" i="15"/>
  <c r="F33" i="1"/>
  <c r="U50" i="14"/>
  <c r="K54" i="14"/>
  <c r="G14" i="8"/>
  <c r="J44" i="2"/>
  <c r="H20" i="8"/>
  <c r="H16" i="8"/>
  <c r="M54" i="14"/>
  <c r="G18" i="8"/>
  <c r="I43" i="5"/>
  <c r="O43" i="5"/>
  <c r="G16" i="8"/>
  <c r="H54" i="14"/>
  <c r="J54" i="2"/>
  <c r="N54" i="14"/>
  <c r="L54" i="14"/>
  <c r="F54" i="2"/>
  <c r="J54" i="14"/>
  <c r="O54" i="14"/>
  <c r="F54" i="14"/>
  <c r="F20" i="8"/>
  <c r="D18" i="8"/>
  <c r="F14" i="8"/>
  <c r="E14" i="8"/>
  <c r="U51" i="14"/>
  <c r="H44" i="2"/>
  <c r="J43" i="5"/>
  <c r="E18" i="8"/>
  <c r="S54" i="14"/>
  <c r="G54" i="14"/>
  <c r="C14" i="8"/>
  <c r="D54" i="14"/>
  <c r="G43" i="5"/>
  <c r="I54" i="14"/>
  <c r="E54" i="14"/>
  <c r="L43" i="5"/>
  <c r="F18" i="8"/>
  <c r="H30" i="2"/>
  <c r="J20" i="8"/>
  <c r="P54" i="14"/>
  <c r="F44" i="2"/>
  <c r="N43" i="5"/>
  <c r="C54" i="14"/>
  <c r="K43" i="5"/>
  <c r="T54" i="14"/>
  <c r="U54" i="14"/>
  <c r="C16" i="8"/>
  <c r="R54" i="14"/>
  <c r="L16" i="8"/>
  <c r="F30" i="2"/>
  <c r="M43" i="5"/>
  <c r="H18" i="8"/>
  <c r="H43" i="5"/>
  <c r="C18" i="8"/>
  <c r="Q54" i="14"/>
  <c r="H14" i="8"/>
  <c r="H38" i="8"/>
  <c r="H54" i="2"/>
  <c r="Q55" i="14"/>
  <c r="H45" i="5"/>
  <c r="H49" i="5"/>
  <c r="H50" i="5"/>
  <c r="M45" i="5"/>
  <c r="M49" i="5"/>
  <c r="M50" i="5"/>
  <c r="F38" i="2"/>
  <c r="F48" i="2"/>
  <c r="F56" i="2"/>
  <c r="R55" i="14"/>
  <c r="U55" i="14"/>
  <c r="T55" i="14"/>
  <c r="K45" i="5"/>
  <c r="K49" i="5"/>
  <c r="K50" i="5"/>
  <c r="C55" i="14"/>
  <c r="N45" i="5"/>
  <c r="N49" i="5"/>
  <c r="P55" i="14"/>
  <c r="D20" i="8"/>
  <c r="H38" i="2"/>
  <c r="H48" i="2"/>
  <c r="H56" i="2"/>
  <c r="L45" i="5"/>
  <c r="L49" i="5"/>
  <c r="L50" i="5"/>
  <c r="E55" i="14"/>
  <c r="I55" i="14"/>
  <c r="G45" i="5"/>
  <c r="G49" i="5"/>
  <c r="D55" i="14"/>
  <c r="G55" i="14"/>
  <c r="S55" i="14"/>
  <c r="J45" i="5"/>
  <c r="J49" i="5"/>
  <c r="J50" i="5"/>
  <c r="F55" i="14"/>
  <c r="O55" i="14"/>
  <c r="J55" i="14"/>
  <c r="L55" i="14"/>
  <c r="N55" i="14"/>
  <c r="H55" i="14"/>
  <c r="O45" i="5"/>
  <c r="O49" i="5"/>
  <c r="I45" i="5"/>
  <c r="I49" i="5"/>
  <c r="I50" i="5"/>
  <c r="M55" i="14"/>
  <c r="J20" i="2"/>
  <c r="K55" i="14"/>
  <c r="K49" i="3"/>
  <c r="N15" i="4"/>
  <c r="M49" i="3"/>
  <c r="Q16" i="3"/>
  <c r="D16" i="7"/>
  <c r="D20" i="7"/>
  <c r="P23" i="3"/>
  <c r="D23" i="7"/>
  <c r="D26" i="7"/>
  <c r="D44" i="7"/>
  <c r="D49" i="7"/>
  <c r="H60" i="15"/>
  <c r="J22" i="1"/>
  <c r="J28" i="1"/>
  <c r="Q26" i="3"/>
  <c r="K29" i="15"/>
  <c r="K45" i="15"/>
  <c r="K20" i="3"/>
  <c r="D16" i="8"/>
  <c r="L18" i="8"/>
  <c r="I14" i="8"/>
  <c r="D14" i="8"/>
  <c r="D38" i="8"/>
  <c r="J30" i="2"/>
  <c r="E16" i="8"/>
  <c r="I16" i="8"/>
  <c r="L14" i="8"/>
  <c r="I18" i="8"/>
  <c r="J38" i="2"/>
  <c r="J48" i="2"/>
  <c r="J56" i="2"/>
  <c r="H24" i="1"/>
  <c r="M24" i="1"/>
  <c r="N24" i="1"/>
  <c r="D16" i="16"/>
  <c r="L16" i="16"/>
  <c r="M16" i="16"/>
  <c r="K44" i="3"/>
  <c r="P41" i="3"/>
  <c r="Q41" i="3"/>
  <c r="H13" i="4"/>
  <c r="F17" i="1"/>
  <c r="Q23" i="3"/>
  <c r="P49" i="3"/>
  <c r="Q49" i="3"/>
  <c r="G50" i="5"/>
  <c r="E49" i="5"/>
  <c r="E50" i="5"/>
  <c r="K13" i="4"/>
  <c r="H17" i="1"/>
  <c r="H22" i="1"/>
  <c r="P20" i="3"/>
  <c r="Q20" i="3"/>
  <c r="D16" i="15"/>
  <c r="L16" i="15"/>
  <c r="M16" i="15"/>
  <c r="J14" i="8"/>
  <c r="F16" i="8"/>
  <c r="F38" i="8"/>
  <c r="J16" i="8"/>
  <c r="L20" i="8"/>
  <c r="J18" i="8"/>
  <c r="K18" i="8"/>
  <c r="K14" i="8"/>
  <c r="J38" i="8"/>
  <c r="L38" i="8"/>
  <c r="N38" i="8"/>
  <c r="O38" i="8"/>
  <c r="M14" i="8"/>
  <c r="M18" i="8"/>
  <c r="N18" i="8"/>
  <c r="O18" i="8"/>
  <c r="N20" i="8"/>
  <c r="O20" i="8"/>
  <c r="N16" i="8"/>
  <c r="O16" i="8"/>
  <c r="N14" i="8"/>
  <c r="O14" i="8"/>
  <c r="K22" i="4"/>
  <c r="K25" i="4"/>
  <c r="K27" i="4"/>
  <c r="K26" i="4"/>
  <c r="K28" i="4"/>
  <c r="K24" i="4"/>
  <c r="K23" i="4"/>
  <c r="H28" i="1"/>
  <c r="M22" i="1"/>
  <c r="N22" i="1"/>
  <c r="G33" i="1"/>
  <c r="F36" i="1"/>
  <c r="I33" i="1"/>
  <c r="H36" i="1"/>
  <c r="H27" i="4"/>
  <c r="H28" i="4"/>
  <c r="H25" i="4"/>
  <c r="H26" i="4"/>
  <c r="P44" i="3"/>
  <c r="K15" i="4"/>
  <c r="Q44" i="3"/>
  <c r="N13" i="4"/>
  <c r="J17" i="1"/>
  <c r="K16" i="8"/>
  <c r="K32" i="4"/>
  <c r="H32" i="4"/>
  <c r="K34" i="4"/>
  <c r="H34" i="4"/>
  <c r="I34" i="4"/>
  <c r="L34" i="4"/>
  <c r="I32" i="4"/>
  <c r="L32" i="4"/>
  <c r="M16" i="8"/>
  <c r="F43" i="1"/>
  <c r="G36" i="1"/>
  <c r="J36" i="1"/>
  <c r="M17" i="1"/>
  <c r="N17" i="1"/>
  <c r="K33" i="1"/>
  <c r="Q15" i="4"/>
  <c r="R15" i="4"/>
  <c r="M28" i="1"/>
  <c r="N28" i="1"/>
  <c r="N22" i="4"/>
  <c r="Q22" i="4"/>
  <c r="R22" i="4"/>
  <c r="N28" i="4"/>
  <c r="Q28" i="4"/>
  <c r="R28" i="4"/>
  <c r="N24" i="4"/>
  <c r="Q24" i="4"/>
  <c r="R24" i="4"/>
  <c r="N23" i="4"/>
  <c r="N25" i="4"/>
  <c r="Q25" i="4"/>
  <c r="R25" i="4"/>
  <c r="N27" i="4"/>
  <c r="Q27" i="4"/>
  <c r="R27" i="4"/>
  <c r="Q13" i="4"/>
  <c r="R13" i="4"/>
  <c r="N26" i="4"/>
  <c r="Q26" i="4"/>
  <c r="R26" i="4"/>
  <c r="Q23" i="4"/>
  <c r="R23" i="4"/>
  <c r="I36" i="1"/>
  <c r="H43" i="1"/>
  <c r="N32" i="4"/>
  <c r="N34" i="4"/>
  <c r="Q34" i="4"/>
  <c r="R34" i="4"/>
  <c r="O34" i="4"/>
  <c r="O32" i="4"/>
  <c r="Q32" i="4"/>
  <c r="R32" i="4"/>
  <c r="I43" i="1"/>
  <c r="H48" i="1"/>
  <c r="I48" i="1"/>
  <c r="F48" i="1"/>
  <c r="G48" i="1"/>
  <c r="G43" i="1"/>
  <c r="M36" i="1"/>
  <c r="N36" i="1"/>
  <c r="J43" i="1"/>
  <c r="K36" i="1"/>
  <c r="M43" i="1"/>
  <c r="N43" i="1"/>
  <c r="K43" i="1"/>
  <c r="J48" i="1"/>
  <c r="K48" i="1"/>
  <c r="M48" i="1"/>
  <c r="N48" i="1"/>
</calcChain>
</file>

<file path=xl/sharedStrings.xml><?xml version="1.0" encoding="utf-8"?>
<sst xmlns="http://schemas.openxmlformats.org/spreadsheetml/2006/main" count="2181" uniqueCount="1024">
  <si>
    <t>SYNTHESE BUDGETS &amp; MARGE</t>
  </si>
  <si>
    <t>en dh</t>
  </si>
  <si>
    <t>DIRECT DE PART PROPRE</t>
  </si>
  <si>
    <t>SOUS TRAITANT</t>
  </si>
  <si>
    <t>INDIRECT</t>
  </si>
  <si>
    <t>ALEAS - RISQUES IDENTIFIES</t>
  </si>
  <si>
    <t>REVISION - ESCALATION</t>
  </si>
  <si>
    <t>DEPENSES CHANTIER  (révisé)</t>
  </si>
  <si>
    <t>Transfert</t>
  </si>
  <si>
    <t>Objectif</t>
  </si>
  <si>
    <t>Point 20%</t>
  </si>
  <si>
    <t>Point 50%</t>
  </si>
  <si>
    <t>C.A</t>
  </si>
  <si>
    <t>Résultat courant</t>
  </si>
  <si>
    <t>Résultat courant (%)</t>
  </si>
  <si>
    <t>BYMARO</t>
  </si>
  <si>
    <t>CASABLANCA</t>
  </si>
  <si>
    <t xml:space="preserve">LES FAUBOURGS D'ANFA </t>
  </si>
  <si>
    <t>POINT 50%</t>
  </si>
  <si>
    <t>Mois de référence</t>
  </si>
  <si>
    <t>Monnaie locale</t>
  </si>
  <si>
    <t>Dirhams</t>
  </si>
  <si>
    <t>Taux de conversion</t>
  </si>
  <si>
    <t>Date de l'OS</t>
  </si>
  <si>
    <t>Délai TCE</t>
  </si>
  <si>
    <t>26 mois</t>
  </si>
  <si>
    <t>Surface de référence</t>
  </si>
  <si>
    <t>4783m² SHO</t>
  </si>
  <si>
    <t>Douanes</t>
  </si>
  <si>
    <t>DESCRIPTION</t>
  </si>
  <si>
    <t>RECETTE / ACTIVITE FDC</t>
  </si>
  <si>
    <t>Frais généraux</t>
  </si>
  <si>
    <t>Autres frais proportionnels</t>
  </si>
  <si>
    <t>CHAPEAU</t>
  </si>
  <si>
    <t>RESULTAT D'EXPLOITATION</t>
  </si>
  <si>
    <t>RESULTAT FINANCIER</t>
  </si>
  <si>
    <t>PRODUITS OU CHARGES EXCEP.</t>
  </si>
  <si>
    <t>AUTRES PRODUITS D'EXPLOITATION</t>
  </si>
  <si>
    <t>RESULTAT COURANT</t>
  </si>
  <si>
    <t>IMPOT</t>
  </si>
  <si>
    <t>RESULTAT NET</t>
  </si>
  <si>
    <t>ECART</t>
  </si>
  <si>
    <t>Valeur</t>
  </si>
  <si>
    <t>%</t>
  </si>
  <si>
    <t>1 € = 10,85dh</t>
  </si>
  <si>
    <t>RECETTES</t>
  </si>
  <si>
    <t>DECOMPOSITION DES RECETTES POSSIBLES</t>
  </si>
  <si>
    <t>inscrites au CONTRAT</t>
  </si>
  <si>
    <t>TRAVAUX SUP. REGULARISE</t>
  </si>
  <si>
    <t>TOTAL</t>
  </si>
  <si>
    <t>MARCHE DE BASE TRANCHE 1 &amp; 2</t>
  </si>
  <si>
    <t>DECOMPOSITION DE L'ACTIVITE</t>
  </si>
  <si>
    <t>CONTRAT</t>
  </si>
  <si>
    <t>TRANSFERT</t>
  </si>
  <si>
    <t>OBJECTIF</t>
  </si>
  <si>
    <t>MARCHE DE BASE</t>
  </si>
  <si>
    <t>TS 1 : Parking et VRD</t>
  </si>
  <si>
    <t>TS 2</t>
  </si>
  <si>
    <t>TS 3</t>
  </si>
  <si>
    <t>TS 4</t>
  </si>
  <si>
    <t>TRAVAUX SUPPLEMENTAIRES ACQUIS</t>
  </si>
  <si>
    <t>PRIX DE VENTE</t>
  </si>
  <si>
    <t>RECETTES DIVERSES HORS MARCHE</t>
  </si>
  <si>
    <t>TOTAL ACTIVITE CHANTIER</t>
  </si>
  <si>
    <t>REVALORISATION</t>
  </si>
  <si>
    <t>Recettes Diverses 2</t>
  </si>
  <si>
    <t>Recettes Diverses 1</t>
  </si>
  <si>
    <t/>
  </si>
  <si>
    <t>DEPENSES CHANTIER</t>
  </si>
  <si>
    <t>Transfert Initial</t>
  </si>
  <si>
    <t>Transferts de budget</t>
  </si>
  <si>
    <t>TS</t>
  </si>
  <si>
    <t>RD</t>
  </si>
  <si>
    <t xml:space="preserve">Objectif </t>
  </si>
  <si>
    <t>MAIN D'ŒUVRE DIRECTE</t>
  </si>
  <si>
    <t>DIRECT DE PART PROPRE (DPP)</t>
  </si>
  <si>
    <t>GROS ŒUVRE</t>
  </si>
  <si>
    <t>CORPS D'ETAT ARCHITECTURAUX</t>
  </si>
  <si>
    <t>CORPS D'ETAT TECHNIQUES</t>
  </si>
  <si>
    <t>SOUS TRAITANTS (ST)</t>
  </si>
  <si>
    <t>MAIN D'OEUVRE INDIRECTE</t>
  </si>
  <si>
    <t>INDIRECT DE PART PROPRE</t>
  </si>
  <si>
    <t>DEPENSES CHANTIER - non révisé</t>
  </si>
  <si>
    <t>DEPENSES CHANTIER (DCH) - révisé</t>
  </si>
  <si>
    <t>en dhs</t>
  </si>
  <si>
    <t>BETON</t>
  </si>
  <si>
    <t>ACIER</t>
  </si>
  <si>
    <t>AUTRES MATERIAUX</t>
  </si>
  <si>
    <t>COFFRAGE</t>
  </si>
  <si>
    <t>INSTALLATION CHANTIER</t>
  </si>
  <si>
    <t>LOCATION MATERIEL</t>
  </si>
  <si>
    <t>FRAIS DE FONCTIONNEMENT</t>
  </si>
  <si>
    <t>ETUDES</t>
  </si>
  <si>
    <t>DEPENSES ANNEXES</t>
  </si>
  <si>
    <t>RISQUES TECHNIQUES IDENTIFIES</t>
  </si>
  <si>
    <t>REVISION</t>
  </si>
  <si>
    <t>FRAIS CHAPEAU</t>
  </si>
  <si>
    <t>DEPENSES CHANTIER - révisé</t>
  </si>
  <si>
    <t>DETAIL CHAPEAU</t>
  </si>
  <si>
    <t>TAUX</t>
  </si>
  <si>
    <t>ASSIETTE</t>
  </si>
  <si>
    <t>Frais généraux BOUYGUES</t>
  </si>
  <si>
    <t>Total Activité</t>
  </si>
  <si>
    <t>Frais généraux BYMARO</t>
  </si>
  <si>
    <t>Assurance RC PRO</t>
  </si>
  <si>
    <t>Assurance RC Bymaro</t>
  </si>
  <si>
    <t>BYMARO TOPO + CFI</t>
  </si>
  <si>
    <t>Portail Achat</t>
  </si>
  <si>
    <t>CONDITIONS FINANCIERES</t>
  </si>
  <si>
    <t xml:space="preserve">Acompte </t>
  </si>
  <si>
    <t>Montant HT :</t>
  </si>
  <si>
    <t>soit</t>
  </si>
  <si>
    <t>10% du marché</t>
  </si>
  <si>
    <t>Remboursement  dans :</t>
  </si>
  <si>
    <t xml:space="preserve">soit </t>
  </si>
  <si>
    <t>Caution:</t>
  </si>
  <si>
    <t>Cautionnable</t>
  </si>
  <si>
    <t>Libérable:</t>
  </si>
  <si>
    <t>à réception</t>
  </si>
  <si>
    <t>à 1 an</t>
  </si>
  <si>
    <t>Conditions de paiement:</t>
  </si>
  <si>
    <t>jours</t>
  </si>
  <si>
    <t>Mode de paiement :</t>
  </si>
  <si>
    <t xml:space="preserve">  Virement</t>
  </si>
  <si>
    <t>Echéancier :</t>
  </si>
  <si>
    <t>Non</t>
  </si>
  <si>
    <t>Garantie de paiement :</t>
  </si>
  <si>
    <t xml:space="preserve">  non</t>
  </si>
  <si>
    <t>Pénalités:</t>
  </si>
  <si>
    <t>Non réspect du délai global L1 60000/jour  L2 85000/Jour</t>
  </si>
  <si>
    <t>Non réspect du délai Partiel  L1 33 000/jour    L2 33000/Jour</t>
  </si>
  <si>
    <t>BUDGETS CONFORME</t>
  </si>
  <si>
    <t>NOM</t>
  </si>
  <si>
    <t>DATE DE PRISE EN COMPTE</t>
  </si>
  <si>
    <t>CORPS D'ETAT ARCHI.</t>
  </si>
  <si>
    <t>Marge TS</t>
  </si>
  <si>
    <t>Marge en % sur TS</t>
  </si>
  <si>
    <t>Ecart sur Obj</t>
  </si>
  <si>
    <t>Avenant N°1</t>
  </si>
  <si>
    <t>TS2</t>
  </si>
  <si>
    <t>TS3</t>
  </si>
  <si>
    <t>TS4</t>
  </si>
  <si>
    <t>TS5</t>
  </si>
  <si>
    <t>TS6</t>
  </si>
  <si>
    <t>TS7</t>
  </si>
  <si>
    <t>TS8</t>
  </si>
  <si>
    <t>TS9</t>
  </si>
  <si>
    <t>SYNTHESE DES ECARTS</t>
  </si>
  <si>
    <t>BUDGET CONCERNE</t>
  </si>
  <si>
    <t>COMMENTAIRES GENERAUX (voir chap. 9 pour détails)</t>
  </si>
  <si>
    <t>Gain sur prix unitaire des pieux</t>
  </si>
  <si>
    <t>Perte sur façades en quantité (claim déposée) et en prix unitaire</t>
  </si>
  <si>
    <t>Rabais commercial important du sous-traitant</t>
  </si>
  <si>
    <t>DEPENSES TCE non révisé</t>
  </si>
  <si>
    <t>DEPENSES CHANTIER (DCH) révisé</t>
  </si>
  <si>
    <t>RECAP. DEBOURSES SECS</t>
  </si>
  <si>
    <t xml:space="preserve">Affaire N° </t>
  </si>
  <si>
    <t>Date :</t>
  </si>
  <si>
    <t>Chantier</t>
  </si>
  <si>
    <t>Rédacteur :</t>
  </si>
  <si>
    <t>LBA/KHA</t>
  </si>
  <si>
    <t>Tx change obj.</t>
  </si>
  <si>
    <t>ECARTS</t>
  </si>
  <si>
    <t>Obj.CONFORME</t>
  </si>
  <si>
    <t>+/-</t>
  </si>
  <si>
    <t>DESIGNATIONS</t>
  </si>
  <si>
    <t>U</t>
  </si>
  <si>
    <t>Qté</t>
  </si>
  <si>
    <t>Montant</t>
  </si>
  <si>
    <t>QTE</t>
  </si>
  <si>
    <t>MONTANT</t>
  </si>
  <si>
    <t>DH</t>
  </si>
  <si>
    <t>MOD</t>
  </si>
  <si>
    <t>Hr</t>
  </si>
  <si>
    <t>M3</t>
  </si>
  <si>
    <t>Kg</t>
  </si>
  <si>
    <t>Ens</t>
  </si>
  <si>
    <t>TOTAL DS</t>
  </si>
  <si>
    <t>BILAN MAIN D'ŒUVRE</t>
  </si>
  <si>
    <t>P.U.</t>
  </si>
  <si>
    <t>xxxxxxx</t>
  </si>
  <si>
    <t>BUDG. Réf.</t>
  </si>
  <si>
    <t>Trsf. +/-</t>
  </si>
  <si>
    <t>CUMUL A FIN  MARS-2017</t>
  </si>
  <si>
    <t>MOIS DE  MARS-2017</t>
  </si>
  <si>
    <t>RAD</t>
  </si>
  <si>
    <t>CUMUL FDC</t>
  </si>
  <si>
    <t>CUMUL A FIN  FÉVRIER-2017</t>
  </si>
  <si>
    <t>Code OTP</t>
  </si>
  <si>
    <t>Description OTP</t>
  </si>
  <si>
    <t>.</t>
  </si>
  <si>
    <t>Unité</t>
  </si>
  <si>
    <t>Budget Avancé</t>
  </si>
  <si>
    <t>Dépenses</t>
  </si>
  <si>
    <t>Ecart</t>
  </si>
  <si>
    <t>Qtés</t>
  </si>
  <si>
    <t>Ecarts</t>
  </si>
  <si>
    <t>Res.</t>
  </si>
  <si>
    <t>PART PROPRE</t>
  </si>
  <si>
    <t>H</t>
  </si>
  <si>
    <t>MATX.400220.PP.DS.1.1</t>
  </si>
  <si>
    <t>FONDATION - GH4</t>
  </si>
  <si>
    <t>BETON DE PROPRETE</t>
  </si>
  <si>
    <t xml:space="preserve">GROS BETON </t>
  </si>
  <si>
    <t>BETON CYCLOPEEN POUR MARMITES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</si>
  <si>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</si>
  <si>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</si>
  <si>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</si>
  <si>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</si>
  <si>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</si>
  <si>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</si>
  <si>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</si>
  <si>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</si>
  <si>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MATX.400220.PP.DS.1.2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</si>
  <si>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</si>
  <si>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</si>
  <si>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</si>
  <si>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</si>
  <si>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</si>
  <si>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</si>
  <si>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</si>
  <si>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</si>
  <si>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</si>
  <si>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</si>
  <si>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</si>
  <si>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MATX.400220.PP.DS.1.3</t>
  </si>
  <si>
    <t>MACONNERIE &amp; ENDUIT  INFRA + SUPER - GH4</t>
  </si>
  <si>
    <t>RAIDISSEURS VERTICAUX DANS MACONNERIE</t>
  </si>
  <si>
    <t>LINTEAUX BA &amp; PV CAISSON VR</t>
  </si>
  <si>
    <t>MATX.400220.PP.DS.1.4</t>
  </si>
  <si>
    <t>ESCALIERS - GH4</t>
  </si>
  <si>
    <t xml:space="preserve">ESCALIER 1/2 TOURNANT </t>
  </si>
  <si>
    <t>ESCALIER HELICOIDAL SECOURS</t>
  </si>
  <si>
    <t>MATX.400220.PP.DS.1.5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</si>
  <si>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</si>
  <si>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</si>
  <si>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</si>
  <si>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</si>
  <si>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</si>
  <si>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</si>
  <si>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</si>
  <si>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</si>
  <si>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</si>
  <si>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</si>
  <si>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</si>
  <si>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</si>
  <si>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</si>
  <si>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</si>
  <si>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</si>
  <si>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</si>
  <si>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MATX.400220.PP.DS.1.6</t>
  </si>
  <si>
    <t>MACONNERIE &amp; ENDUIT  TERRASSE - GH4</t>
  </si>
  <si>
    <t>AJUSTEMENT MAIN D'ŒUVRE</t>
  </si>
  <si>
    <t>AJOUT ACIER CONSOLE</t>
  </si>
  <si>
    <t>MOI</t>
  </si>
  <si>
    <t>MATX.400220.IN.MI.01</t>
  </si>
  <si>
    <t>GRUTIER G12</t>
  </si>
  <si>
    <t>MATX.400220.IN.MI.02</t>
  </si>
  <si>
    <t>GRUTIER G13</t>
  </si>
  <si>
    <t>MATX.400220.IN.MI.03</t>
  </si>
  <si>
    <t>GRUTIER GTMR</t>
  </si>
  <si>
    <t>MATX.400220.IN.MI.04</t>
  </si>
  <si>
    <t>GRUTIER G14</t>
  </si>
  <si>
    <t>MATX.400220.IN.MI.05</t>
  </si>
  <si>
    <t>GRUTIER G15</t>
  </si>
  <si>
    <t>MATX.400220.IN.MI.06</t>
  </si>
  <si>
    <t>REMPLACANT GRUTIERS</t>
  </si>
  <si>
    <t>MATX.400220.IN.MI.07</t>
  </si>
  <si>
    <t>AIDE IMPLANTATION</t>
  </si>
  <si>
    <t>MATX.400220.IN.MI.08</t>
  </si>
  <si>
    <t>AIDE TRAÇAGE</t>
  </si>
  <si>
    <t>MATX.400220.IN.MI.09</t>
  </si>
  <si>
    <t>NETTOYAGE EN COURS DE CHANTIER</t>
  </si>
  <si>
    <t>MATX.400220.IN.MI.10</t>
  </si>
  <si>
    <t>NETTOYAGE DURANT CES</t>
  </si>
  <si>
    <t>MATX.400220.IN.MI.11</t>
  </si>
  <si>
    <t>NETTOYAGE FIN DE CHANTIER</t>
  </si>
  <si>
    <t>MATX.400220.IN.MI.12</t>
  </si>
  <si>
    <t>AIDE SECURITE</t>
  </si>
  <si>
    <t>MATX.400220.IN.MI.13</t>
  </si>
  <si>
    <t>MO DECHARGEMENT</t>
  </si>
  <si>
    <t>MATX.400220.IN.MI.14</t>
  </si>
  <si>
    <t>POINTEAU</t>
  </si>
  <si>
    <t>MATX.400220.IN.MI.15</t>
  </si>
  <si>
    <t>SOUDEUR</t>
  </si>
  <si>
    <t>MATX.400220.IN.MI.16</t>
  </si>
  <si>
    <t>CONDUCT CHARIOT ELEV.</t>
  </si>
  <si>
    <t>MATX.400220.IN.MI.17</t>
  </si>
  <si>
    <t>CHAUFFEUR CAMIONNETTE</t>
  </si>
  <si>
    <t>MATX.400220.IN.MI.18</t>
  </si>
  <si>
    <t>MAGASINIER</t>
  </si>
  <si>
    <t>MATX.400220.IN.MI.19</t>
  </si>
  <si>
    <t>AIDE MAGASINIER</t>
  </si>
  <si>
    <t>MATX.400220.IN.MI.20</t>
  </si>
  <si>
    <t>CONDUCTEUR DUMPER</t>
  </si>
  <si>
    <t>MATX.400220.IN.MI.21</t>
  </si>
  <si>
    <t>MENUISIER</t>
  </si>
  <si>
    <t>MATX.400220.IN.MI.22</t>
  </si>
  <si>
    <t>AIDE MENUISIER</t>
  </si>
  <si>
    <t>MATX.400220.IN.MI.23</t>
  </si>
  <si>
    <t>M.O ENTRETIEN BUREAU</t>
  </si>
  <si>
    <t>MATX.400220.IN.MI.24</t>
  </si>
  <si>
    <t>M.O ENTRETIEN VESTIAIRE - SANITAIRE</t>
  </si>
  <si>
    <t>MATX.400220.IN.MI.25</t>
  </si>
  <si>
    <t>INFIRMIER</t>
  </si>
  <si>
    <t>MATX.400220.IN.MI.26</t>
  </si>
  <si>
    <t>PLOMBIER</t>
  </si>
  <si>
    <t>MATX.400220.IN.MI.27</t>
  </si>
  <si>
    <t>ELECTRICIEN</t>
  </si>
  <si>
    <t>MATX.400220.IN.MI.28</t>
  </si>
  <si>
    <t xml:space="preserve">CHANTIER : Gardien Jour/Nuit </t>
  </si>
  <si>
    <t>MATX.400220.IN.MI.29</t>
  </si>
  <si>
    <t>GARDIEN IMMEUBLE ASOMOVIT</t>
  </si>
  <si>
    <t>MATX.400220.IN.IC.02</t>
  </si>
  <si>
    <t>MATX.400220.IN.IC.01</t>
  </si>
  <si>
    <t>MONTAGE DE GRUES</t>
  </si>
  <si>
    <t>POSE DES CHAISES</t>
  </si>
  <si>
    <t>MATX.400220.PP.AM.25</t>
  </si>
  <si>
    <t>RESEAUX SOUS DALLAGE</t>
  </si>
  <si>
    <t>MATX.400220.PP.AM.26</t>
  </si>
  <si>
    <t>TERRASSEMENT COMPLEMENTAIRE</t>
  </si>
  <si>
    <t>MATX.400220.IN.FF.11</t>
  </si>
  <si>
    <t>CALE A BETON</t>
  </si>
  <si>
    <t>BILAN BETON</t>
  </si>
  <si>
    <t>Total</t>
  </si>
  <si>
    <t>INDIRECTS</t>
  </si>
  <si>
    <t>BILAN ACIER</t>
  </si>
  <si>
    <t>T</t>
  </si>
  <si>
    <t xml:space="preserve">RESEAUX SOUS DALLAGE </t>
  </si>
  <si>
    <t>BUDGET Référence</t>
  </si>
  <si>
    <t>Trsf. Budget</t>
  </si>
  <si>
    <t>T.S.</t>
  </si>
  <si>
    <t>Budget Conforme</t>
  </si>
  <si>
    <t>X</t>
  </si>
  <si>
    <t>CUMUL A FIN DE MOIS</t>
  </si>
  <si>
    <t>CUMUL A FIN DE CHANTIER</t>
  </si>
  <si>
    <t>Avancement</t>
  </si>
  <si>
    <t>Budget</t>
  </si>
  <si>
    <t>09</t>
  </si>
  <si>
    <t>01</t>
  </si>
  <si>
    <t>02</t>
  </si>
  <si>
    <t>03</t>
  </si>
  <si>
    <t>04</t>
  </si>
  <si>
    <t>05</t>
  </si>
  <si>
    <t>06</t>
  </si>
  <si>
    <t>07</t>
  </si>
  <si>
    <t>08</t>
  </si>
  <si>
    <t>10</t>
  </si>
  <si>
    <t>11</t>
  </si>
  <si>
    <t>12</t>
  </si>
  <si>
    <t>Restant</t>
  </si>
  <si>
    <t>MORTIER A HOURDER</t>
  </si>
  <si>
    <t>GROS OEUVRES</t>
  </si>
  <si>
    <t>TERRASSEMENT</t>
  </si>
  <si>
    <t>DAKO CONSTRUCTION</t>
  </si>
  <si>
    <t>RAT</t>
  </si>
  <si>
    <t>CEA</t>
  </si>
  <si>
    <t>ETANCHEITE</t>
  </si>
  <si>
    <t>CHEMINEE</t>
  </si>
  <si>
    <t>CET</t>
  </si>
  <si>
    <t>ASCENSEURS</t>
  </si>
  <si>
    <t>MARCHE</t>
  </si>
  <si>
    <t>INSTALLATION DE CHANTIER</t>
  </si>
  <si>
    <t>CONTAINER MAGASIN</t>
  </si>
  <si>
    <t>CHARIOT ELEVATEUR</t>
  </si>
  <si>
    <t>PROJECTEUR 2000W</t>
  </si>
  <si>
    <t>ARMOIRE PIED DE GRUE</t>
  </si>
  <si>
    <t>CITERNE A GASOIL</t>
  </si>
  <si>
    <t>BENNE A BETON</t>
  </si>
  <si>
    <t>BENNE A GRAVOIS</t>
  </si>
  <si>
    <t>TRANSPORT MATERIEL</t>
  </si>
  <si>
    <t>COMPRESSEUR</t>
  </si>
  <si>
    <t>ACHATS</t>
  </si>
  <si>
    <t>NETTOYEUR VAPEUR</t>
  </si>
  <si>
    <t>PETIT OUTILLAGE</t>
  </si>
  <si>
    <t>TUYAU D'EAU PENAFLEX</t>
  </si>
  <si>
    <t>CABLE SECONDAIRE</t>
  </si>
  <si>
    <t>GOULOTTE POUR GRAVOIS</t>
  </si>
  <si>
    <t>GUIRLANDES ET RALLONGES</t>
  </si>
  <si>
    <t>GASOIL</t>
  </si>
  <si>
    <t>PHOTOS CHANTIER</t>
  </si>
  <si>
    <t>GSM</t>
  </si>
  <si>
    <t>CONSTAT D'HUISSIER</t>
  </si>
  <si>
    <t>PANNEAUX DE CHANTIER</t>
  </si>
  <si>
    <t>ESSAIS BETON</t>
  </si>
  <si>
    <t>CONSOMMABLES COFFRAGE</t>
  </si>
  <si>
    <t>TRANSPORT COFFRAGE</t>
  </si>
  <si>
    <t>CONTREPLAQUE</t>
  </si>
  <si>
    <t>RECAPITULATIF INDIRECTS</t>
  </si>
  <si>
    <t xml:space="preserve">Date: </t>
  </si>
  <si>
    <t>BUDGET  CONFORME</t>
  </si>
  <si>
    <t>POINT 50 %</t>
  </si>
  <si>
    <t>TOTAL INDIRECTS</t>
  </si>
  <si>
    <t>SYNTHESE  TRANSFERTS  DE  BUDGETS</t>
  </si>
  <si>
    <t>Affaire N°</t>
  </si>
  <si>
    <t>CIMENT/GRAVETTE</t>
  </si>
  <si>
    <t>PASSERELLE PRECONTRAINTE</t>
  </si>
  <si>
    <t>CCL</t>
  </si>
  <si>
    <t>PLATEAU AUTOCOINCANT</t>
  </si>
  <si>
    <t>INFORMATIQUE</t>
  </si>
  <si>
    <t>LOCAT PHOTOCOPIEUR</t>
  </si>
  <si>
    <t>COFFRAGES</t>
  </si>
  <si>
    <t xml:space="preserve">INSTALLATION ELECTRIQUE </t>
  </si>
  <si>
    <t>CTX  Plomberie</t>
  </si>
  <si>
    <t>REVETEMENT CEA</t>
  </si>
  <si>
    <t>ETANCHIETE</t>
  </si>
  <si>
    <t>POSTE MACONNERIE</t>
  </si>
  <si>
    <t>MENUISERIE EXTERIEURE RAT</t>
  </si>
  <si>
    <t>Autres Matériaux</t>
  </si>
  <si>
    <t>TOTAL PRODUCT° PROPRE</t>
  </si>
  <si>
    <t xml:space="preserve">TOTAL LES INDIRECTS </t>
  </si>
  <si>
    <t>TOTAL PRODUCTION PROPRE</t>
  </si>
  <si>
    <t>TOTAL DCH</t>
  </si>
  <si>
    <t>TOTAL Frais Annexes</t>
  </si>
  <si>
    <t>DEPENSES GLOBALES</t>
  </si>
  <si>
    <t>- ECART -</t>
  </si>
  <si>
    <t>EN KMAD</t>
  </si>
  <si>
    <t>Rappel des budgets</t>
  </si>
  <si>
    <t>Budget  Conforme</t>
  </si>
  <si>
    <t>Ecart de budgets</t>
  </si>
  <si>
    <t>Détails des écarts</t>
  </si>
  <si>
    <t>Quantité</t>
  </si>
  <si>
    <t>P.U</t>
  </si>
  <si>
    <t>DIRHAMS</t>
  </si>
  <si>
    <t xml:space="preserve">Budget Conforme </t>
  </si>
  <si>
    <t>+/-  sur P.U</t>
  </si>
  <si>
    <t>+/-  sur Qtés</t>
  </si>
  <si>
    <t>Perte de 5025 Hrs due au gros béton</t>
  </si>
  <si>
    <t>Perte de 1300 Hrs sur fondations (maconnerie + voltex)</t>
  </si>
  <si>
    <t>Objectif Conforme</t>
  </si>
  <si>
    <t>-Gain / Brique creuse</t>
  </si>
  <si>
    <t>- Perte  sur Mortier à hourder</t>
  </si>
  <si>
    <t>-PV HYDROFUGE</t>
  </si>
  <si>
    <t>PEINTURES</t>
  </si>
  <si>
    <t>CUISINE</t>
  </si>
  <si>
    <t>LES DEPENSES  INDIRECTS 
EN KMAD</t>
  </si>
  <si>
    <t>SOUS TRAITANT CET
EN KMAD</t>
  </si>
  <si>
    <t>TABLEAU DE GESTION DES RISQUES</t>
  </si>
  <si>
    <t>EN KDHS</t>
  </si>
  <si>
    <t>N°</t>
  </si>
  <si>
    <t>RISQUES POTENTIELS</t>
  </si>
  <si>
    <t>ORIGINE DU RISQUE</t>
  </si>
  <si>
    <t>EVALUATION DU RIQUE</t>
  </si>
  <si>
    <t>IMPACT COUT</t>
  </si>
  <si>
    <t>MAITRISE DU RISQUE (Trx)</t>
  </si>
  <si>
    <t>PROVISIONS</t>
  </si>
  <si>
    <t>COMMENTAIRES</t>
  </si>
  <si>
    <t>Client</t>
  </si>
  <si>
    <t>S/T ou Partenaires</t>
  </si>
  <si>
    <t>Force Majeure</t>
  </si>
  <si>
    <t>Raisons internes</t>
  </si>
  <si>
    <t>Autres</t>
  </si>
  <si>
    <t>Probabilité d'occurrence</t>
  </si>
  <si>
    <t>Gravité</t>
  </si>
  <si>
    <t xml:space="preserve">        Score  Niveau</t>
  </si>
  <si>
    <t>Montant retenu</t>
  </si>
  <si>
    <t>Taux</t>
  </si>
  <si>
    <t>Impact</t>
  </si>
  <si>
    <t xml:space="preserve">CET : Passage du monophasé en triphasé sur Bâtiments L1 &amp; L2 pour les </t>
  </si>
  <si>
    <t xml:space="preserve">Gros béton sous fondation SS2 coulé en pleine fouille </t>
  </si>
  <si>
    <t>Protection extérieure des portes cabine ascenseur</t>
  </si>
  <si>
    <t xml:space="preserve">Prolongation encadrement 1 mois de plus </t>
  </si>
  <si>
    <t xml:space="preserve">Substitution du lot peinture </t>
  </si>
  <si>
    <t>Offre Faramaoui retenue à l'objectif</t>
  </si>
  <si>
    <t>Prescriptions CCTP non chifrées</t>
  </si>
  <si>
    <t xml:space="preserve">Mise en œuvre béton sable lavé </t>
  </si>
  <si>
    <t>nc</t>
  </si>
  <si>
    <t>Formulation béton transmise à Socotec</t>
  </si>
  <si>
    <t>Rajout placards gaines palières</t>
  </si>
  <si>
    <t>BECS supplémentaires conforme aux prescriptions  BY immo et CCTP</t>
  </si>
  <si>
    <t>Reprise peintures après reception client</t>
  </si>
  <si>
    <t>NOTA :</t>
  </si>
  <si>
    <r>
      <t>Les colonnes "Maîtrise des risques (Trx</t>
    </r>
    <r>
      <rPr>
        <sz val="10"/>
        <rFont val="Arial"/>
        <family val="2"/>
      </rPr>
      <t>)" se rapportent à l'atténuation de l'impact du risque (par rapport à l'appréciation qui en a été faite) quand il existe ou qu'il a été possible de mettre en place, par les équipes travaux, d' un plan d'action pour en diminuer les effets.</t>
    </r>
  </si>
  <si>
    <t>TABLEAU DE GESTION DES OPPORTUNITES</t>
  </si>
  <si>
    <t>OPPORTUNITES POTENTIELLES</t>
  </si>
  <si>
    <t>ORIGINE DE L'OPPORTUNITE</t>
  </si>
  <si>
    <t>EVALUATION DE L'OPPORTUNITE</t>
  </si>
  <si>
    <t>PROFIT PREVISIONNEL</t>
  </si>
  <si>
    <t>Performance technique</t>
  </si>
  <si>
    <t>Profit</t>
  </si>
  <si>
    <t xml:space="preserve">     Score  Niveau</t>
  </si>
  <si>
    <t>Gain sur PU location diverses</t>
  </si>
  <si>
    <t>cis nouveaux PU location materiel</t>
  </si>
  <si>
    <t>Refacturation L3</t>
  </si>
  <si>
    <t>Cuisine : Gain sur marques électroménagers</t>
  </si>
  <si>
    <t>RAT  cuisine  700 Kdh libére</t>
  </si>
  <si>
    <t>Gain etude geotechniques</t>
  </si>
  <si>
    <t>Gain anticipé de 5% sur la fourniture Plomberie</t>
  </si>
  <si>
    <t xml:space="preserve">Gain / consultation CEA </t>
  </si>
  <si>
    <t xml:space="preserve">Lots ciblés : Menuiserie ext + Fermeture / Menuiserie Int / Revêtement sol / Etanchiété /Cuisine /faux plafond </t>
  </si>
  <si>
    <t xml:space="preserve">Non respect des hauteurs contractuelles de sous faux plafond dans les logements </t>
  </si>
  <si>
    <t>Non chiffré</t>
  </si>
  <si>
    <t xml:space="preserve">Gain sur VRD </t>
  </si>
  <si>
    <t>PLAN D'AMELIORATION DE LA MARGE</t>
  </si>
  <si>
    <t>Point 80%</t>
  </si>
  <si>
    <t>ETAT</t>
  </si>
  <si>
    <t>-</t>
  </si>
  <si>
    <t>Produit financier</t>
  </si>
  <si>
    <t>Objectif fait++</t>
  </si>
  <si>
    <t xml:space="preserve">Gain sur révision de Prix </t>
  </si>
  <si>
    <t>Gain sur Prorata Sous traitant</t>
  </si>
  <si>
    <t>Gain sur négociation Fourniture matériel Electrical</t>
  </si>
  <si>
    <t>Gain sur négociation matériel méchanical (BECS , VRV)</t>
  </si>
  <si>
    <t xml:space="preserve">Gain sur négociations ST VRD </t>
  </si>
  <si>
    <t>Gain sur le coffrage</t>
  </si>
  <si>
    <t>Gain sur Achat Matériels</t>
  </si>
  <si>
    <t>Négociation CEA</t>
  </si>
  <si>
    <t>Optimisation Frais chantier/Service avec mise en place du Lean management</t>
  </si>
  <si>
    <t>Soit un TOTAL :</t>
  </si>
  <si>
    <t>MAD</t>
  </si>
  <si>
    <t>OBJECTIF CONFORME</t>
  </si>
  <si>
    <t>T.S</t>
  </si>
  <si>
    <t>intégrées a l'Objectif</t>
  </si>
  <si>
    <t>OBJECTIF Conforme</t>
  </si>
  <si>
    <t xml:space="preserve">Chantier                                      </t>
  </si>
  <si>
    <t xml:space="preserve">Affaire N°                                    </t>
  </si>
  <si>
    <t>POINT A FIN  AVRIL 2017</t>
  </si>
  <si>
    <t>Fin Avr 17</t>
  </si>
  <si>
    <t>MATX.400220.PP.DS.2.1</t>
  </si>
  <si>
    <t>FONDATION  - GH5</t>
  </si>
  <si>
    <t>MATX.400220.PP.DS.2.2</t>
  </si>
  <si>
    <t>SUPERSTRUCTURE - GH5</t>
  </si>
  <si>
    <t xml:space="preserve">PLANCHERS POUTRELLES HOURDIS </t>
  </si>
  <si>
    <t>MATX.400220.PP.DS.2.3</t>
  </si>
  <si>
    <t>MACONNERIE &amp; ENDUIT  INFRA + SUPER - GH5</t>
  </si>
  <si>
    <t>MATX.400220.PP.DS.2.4</t>
  </si>
  <si>
    <t>ESCALIERS - GH5</t>
  </si>
  <si>
    <t>MATX.400220.PP.DS.2.5</t>
  </si>
  <si>
    <t>OUVRAGES DIVERS - GH5</t>
  </si>
  <si>
    <t>MATX.400220.PP.DS.2.6</t>
  </si>
  <si>
    <t>MACONNERIE &amp; ENDUIT  TERRASSE - GH5</t>
  </si>
  <si>
    <t>......MATX.400220.PP.AM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</si>
  <si>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</si>
  <si>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</si>
  <si>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</si>
  <si>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</si>
  <si>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</si>
  <si>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</si>
  <si>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</si>
  <si>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</si>
  <si>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</si>
  <si>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</si>
  <si>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</si>
  <si>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</si>
  <si>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</si>
  <si>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</si>
  <si>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</si>
  <si>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</si>
  <si>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</si>
  <si>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</si>
  <si>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</si>
  <si>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</si>
  <si>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</si>
  <si>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</si>
  <si>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</si>
  <si>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</si>
  <si>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</si>
  <si>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</si>
  <si>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</si>
  <si>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</si>
  <si>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</si>
  <si>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</si>
  <si>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</si>
  <si>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</si>
  <si>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</si>
  <si>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</si>
  <si>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</si>
  <si>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</si>
  <si>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</si>
  <si>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</si>
  <si>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</si>
  <si>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</si>
  <si>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</si>
  <si>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</si>
  <si>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</si>
  <si>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</si>
  <si>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</si>
  <si>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</si>
  <si>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</si>
  <si>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</si>
  <si>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.........MATX.400220.PP.AM.26</t>
  </si>
  <si>
    <t>...MATX.400220.ST</t>
  </si>
  <si>
    <t>SOUS TRAITANCE</t>
  </si>
  <si>
    <t>......MATX.400220.ST.GO</t>
  </si>
  <si>
    <t>.........MATX.400220.ST.GO.TR</t>
  </si>
  <si>
    <t>............MATX.400220.ST.GO.TR.1</t>
  </si>
  <si>
    <t>............MATX.400220.ST.GO.TR.2</t>
  </si>
  <si>
    <t>............MATX.400220.ST.GO.TR.3</t>
  </si>
  <si>
    <t>.........MATX.400220.ST.GO.CC</t>
  </si>
  <si>
    <t>......MATX.400220.ST.CA</t>
  </si>
  <si>
    <t>.........MATX.400220.ST.CA.ET</t>
  </si>
  <si>
    <t>............MATX.400220.ST.CA.ET.1</t>
  </si>
  <si>
    <t>.........MATX.400220.ST.CA.MA</t>
  </si>
  <si>
    <t>MENUISERIE ALUMINIUM</t>
  </si>
  <si>
    <t>............MATX.400220.ST.CA.MA.1</t>
  </si>
  <si>
    <t>.........MATX.400220.ST.CA.MB</t>
  </si>
  <si>
    <t>MENUISERIE BOIS</t>
  </si>
  <si>
    <t>............MATX.400220.ST.CA.MB.1</t>
  </si>
  <si>
    <t>.........MATX.400220.ST.CA.RV</t>
  </si>
  <si>
    <t>REVETEMENTS</t>
  </si>
  <si>
    <t>............MATX.400220.ST.CA.RV.1</t>
  </si>
  <si>
    <t>.........MATX.400220.ST.CA.FP</t>
  </si>
  <si>
    <t>FAUX-PLAFOND</t>
  </si>
  <si>
    <t>............MATX.400220.ST.CA.FP.1</t>
  </si>
  <si>
    <t>.........MATX.400220.ST.CA.PN</t>
  </si>
  <si>
    <t>............MATX.400220.ST.CA.PN.1</t>
  </si>
  <si>
    <t>.........MATX.400220.ST.CA.CS</t>
  </si>
  <si>
    <t>............MATX.400220.ST.CA.CS.1</t>
  </si>
  <si>
    <t>......MATX.400220.ST.CE</t>
  </si>
  <si>
    <t>.........MATX.400220.ST.CE.CH</t>
  </si>
  <si>
    <t>............MATX.400220.ST.CE.CH.1</t>
  </si>
  <si>
    <t>.........MATX.400220.ST.CE.DF</t>
  </si>
  <si>
    <t>CVC DESENFUMAGE</t>
  </si>
  <si>
    <t>............MATX.400220.ST.CE.DF.1</t>
  </si>
  <si>
    <t>EGE</t>
  </si>
  <si>
    <t>.........MATX.400220.ST.CE.PB</t>
  </si>
  <si>
    <t>PLOMBERIE &amp; PI</t>
  </si>
  <si>
    <t>............MATX.400220.ST.CE.PB.1</t>
  </si>
  <si>
    <t>............MATX.400220.ST.CE.PB.2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</si>
  <si>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</si>
  <si>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</si>
  <si>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</si>
  <si>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</si>
  <si>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</si>
  <si>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</si>
  <si>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............MATX.400220.ST.CE.AS.1</t>
  </si>
  <si>
    <t>...MATX.400220.IN</t>
  </si>
  <si>
    <t>......MATX.400220.IN.IC</t>
  </si>
  <si>
    <t>.........MATX.400220.IN.IC.01</t>
  </si>
  <si>
    <t>MONTAGE / DEMONTAGE GRUES</t>
  </si>
  <si>
    <t>.........MATX.400220.IN.IC.02</t>
  </si>
  <si>
    <t>......MATX.400220.IN.LM</t>
  </si>
  <si>
    <t>.........MATX.400220.IN.LM.01</t>
  </si>
  <si>
    <t>GRUE G12 TR4</t>
  </si>
  <si>
    <t>.........MATX.400220.IN.LM.02</t>
  </si>
  <si>
    <t>GRUE G13 TR4</t>
  </si>
  <si>
    <t>.........MATX.400220.IN.LM.03</t>
  </si>
  <si>
    <t>GTMR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</si>
  <si>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</si>
  <si>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</si>
  <si>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</si>
  <si>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</si>
  <si>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</si>
  <si>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</si>
  <si>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</si>
  <si>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</si>
  <si>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.........MATX.400220.IN.LM.08</t>
  </si>
  <si>
    <t>SCIE A SOL</t>
  </si>
  <si>
    <t>.........MATX.400220.IN.LM.09</t>
  </si>
  <si>
    <t>FOURCHE A PALETTES</t>
  </si>
  <si>
    <t>.........MATX.400220.IN.LM.10</t>
  </si>
  <si>
    <t>.........MATX.400220.IN.LM.11</t>
  </si>
  <si>
    <t>.........MATX.400220.IN.LM.12</t>
  </si>
  <si>
    <t>.........MATX.400220.IN.LM.13</t>
  </si>
  <si>
    <t>POMPE IMMERGE</t>
  </si>
  <si>
    <t>.........MATX.400220.IN.LM.14</t>
  </si>
  <si>
    <t>NIVEAU MESURE "THEODILITE"</t>
  </si>
  <si>
    <t>.........MATX.400220.IN.LM.15</t>
  </si>
  <si>
    <t>NIVEAU MESURE "NIVEAU LASER"</t>
  </si>
  <si>
    <t>.........MATX.400220.IN.LM.16</t>
  </si>
  <si>
    <t>.........MATX.400220.IN.LM.17</t>
  </si>
  <si>
    <t>CONVERTISSEUR</t>
  </si>
  <si>
    <t>.........MATX.400220.IN.LM.18</t>
  </si>
  <si>
    <t>ECHAFAUDAGE FACADE</t>
  </si>
  <si>
    <t>.........MATX.400220.IN.LM.19</t>
  </si>
  <si>
    <t>GARDE CORPS A PINCE</t>
  </si>
  <si>
    <t>.........MATX.400220.IN.LM.20</t>
  </si>
  <si>
    <t>.........MATX.400220.IN.LM.21</t>
  </si>
  <si>
    <t>.........MATX.400220.IN.LM.22</t>
  </si>
  <si>
    <t>FOURGON AC PTV</t>
  </si>
  <si>
    <t>.........MATX.400220.IN.LM.23</t>
  </si>
  <si>
    <t>.........MATX.400220.IN.LM.24</t>
  </si>
  <si>
    <t>ATELIER ELECTROMECANIQUE</t>
  </si>
  <si>
    <t>.........MATX.400220.IN.LM.26</t>
  </si>
  <si>
    <t>BARAQUE CC</t>
  </si>
  <si>
    <t>.........MATX.400220.IN.LM.27</t>
  </si>
  <si>
    <t>SANITAIRE CHANTIER</t>
  </si>
  <si>
    <t>.........MATX.400220.IN.LM.28</t>
  </si>
  <si>
    <t>BUREAU DE CHANTIER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</si>
  <si>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</si>
  <si>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</si>
  <si>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</si>
  <si>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</si>
  <si>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</si>
  <si>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</si>
  <si>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</si>
  <si>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.........MATX.400220.IN.LM.33</t>
  </si>
  <si>
    <t>SUPRESSEUR</t>
  </si>
  <si>
    <t>.........MATX.400220.IN.LM.34</t>
  </si>
  <si>
    <t>CITERNE A EAU</t>
  </si>
  <si>
    <t>.........MATX.400220.IN.LM.35</t>
  </si>
  <si>
    <t>TABLEAU GENERAL BASSE TENSION</t>
  </si>
  <si>
    <t>.........MATX.400220.IN.LM.36</t>
  </si>
  <si>
    <t>ARMOIRE AP160</t>
  </si>
  <si>
    <t>.........MATX.400220.IN.LM.37</t>
  </si>
  <si>
    <t>.........MATX.400220.IN.LM.38</t>
  </si>
  <si>
    <t>ARMOIRE I40</t>
  </si>
  <si>
    <t>.........MATX.400220.IN.LM.39</t>
  </si>
  <si>
    <t>ARMOIRE I40 BT</t>
  </si>
  <si>
    <t>.........MATX.400220.IN.LM.40</t>
  </si>
  <si>
    <t>PROJECTEUR 800W</t>
  </si>
  <si>
    <t>.........MATX.400220.IN.LM.41</t>
  </si>
  <si>
    <t>.........MATX.400220.IN.LM.42</t>
  </si>
  <si>
    <t>.........MATX.400220.IN.LM.43</t>
  </si>
  <si>
    <t>POSTE A SOUDER</t>
  </si>
  <si>
    <t>.........MATX.400220.IN.LM.44</t>
  </si>
  <si>
    <t>RECETTES TRANCHE 4</t>
  </si>
  <si>
    <t>.........MATX.400220.IN.LM.45</t>
  </si>
  <si>
    <t>VL - DIRECTEUR TRAVAUX</t>
  </si>
  <si>
    <t>.........MATX.400220.IN.LM.46</t>
  </si>
  <si>
    <t>VL - GESTIONNAIRE PRINCIPAL</t>
  </si>
  <si>
    <t>.........MATX.400220.IN.LM.47</t>
  </si>
  <si>
    <t>VL - AZIZ HOUANI</t>
  </si>
  <si>
    <t>.........MATX.400220.IN.LM.48</t>
  </si>
  <si>
    <t>VL - CHKAIMA</t>
  </si>
  <si>
    <t>.........MATX.400220.IN.LM.49</t>
  </si>
  <si>
    <t>VL - EZZAKRAOUI</t>
  </si>
  <si>
    <t>.........MATX.400220.IN.LM.50</t>
  </si>
  <si>
    <t>VL - METHODE A.FOUGHALI</t>
  </si>
  <si>
    <t>.........MATX.400220.IN.LM.51</t>
  </si>
  <si>
    <t>VL - CTX GO</t>
  </si>
  <si>
    <t>.........MATX.400220.IN.LM.52</t>
  </si>
  <si>
    <t>VL - CONDUCTEUR CET TR4</t>
  </si>
  <si>
    <t>.........MATX.400220.IN.LM.53</t>
  </si>
  <si>
    <t>VL - CONDUCTEUR CEA TR4</t>
  </si>
  <si>
    <t>......MATX.400220.IN.AC</t>
  </si>
  <si>
    <t>.........MATX.400220.IN.AC.01</t>
  </si>
  <si>
    <t>PIED DE SCELLEMENT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</si>
  <si>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</si>
  <si>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</si>
  <si>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</si>
  <si>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</si>
  <si>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</si>
  <si>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</si>
  <si>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</si>
  <si>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</si>
  <si>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.........MATX.400220.IN.AC.06</t>
  </si>
  <si>
    <t>ELINGUES 2 BRINS</t>
  </si>
  <si>
    <t>.........MATX.400220.IN.AC.07</t>
  </si>
  <si>
    <t>TRANSPALETTE</t>
  </si>
  <si>
    <t>.........MATX.400220.IN.AC.08</t>
  </si>
  <si>
    <t>TUYAU POUR BENNE  3ML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</si>
  <si>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</si>
  <si>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</si>
  <si>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</si>
  <si>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</si>
  <si>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</si>
  <si>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</si>
  <si>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</si>
  <si>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</si>
  <si>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</si>
  <si>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</si>
  <si>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</si>
  <si>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</si>
  <si>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</si>
  <si>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</si>
  <si>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</si>
  <si>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BOIS POUR FERMETURE TREMIES</t>
  </si>
  <si>
    <t>.........MATX.400220.IN.AC.17</t>
  </si>
  <si>
    <t>CONTREPLAQUE POUR FERMETURE TRE</t>
  </si>
  <si>
    <t>.........MATX.400220.IN.AC.18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</si>
  <si>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</si>
  <si>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</si>
  <si>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</si>
  <si>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</si>
  <si>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</si>
  <si>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</si>
  <si>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</si>
  <si>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</si>
  <si>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</si>
  <si>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</si>
  <si>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</si>
  <si>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</si>
  <si>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</si>
  <si>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</si>
  <si>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</si>
  <si>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</si>
  <si>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</si>
  <si>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.........MATX.400220.IN.AC.28</t>
  </si>
  <si>
    <t>CABLE PRIMAIRE ALU</t>
  </si>
  <si>
    <t>.........MATX.400220.IN.AC.29</t>
  </si>
  <si>
    <t>.........MATX.400220.IN.AC.30</t>
  </si>
  <si>
    <t>CABLE TERTAIRE</t>
  </si>
  <si>
    <t>.........MATX.400220.IN.AC.31</t>
  </si>
  <si>
    <t>.........MATX.400220.IN.AC.32</t>
  </si>
  <si>
    <t>......MATX.400220.IN.MI</t>
  </si>
  <si>
    <t>.........MATX.400220.IN.MI.01</t>
  </si>
  <si>
    <t>.........MATX.400220.IN.MI.02</t>
  </si>
  <si>
    <t>.........MATX.400220.IN.MI.03</t>
  </si>
  <si>
    <t>.........MATX.400220.IN.MI.04</t>
  </si>
  <si>
    <t>.........MATX.400220.IN.MI.05</t>
  </si>
  <si>
    <t>.........MATX.400220.IN.MI.06</t>
  </si>
  <si>
    <t>REMPLACANT GRUTIER</t>
  </si>
  <si>
    <t>.........MATX.400220.IN.MI.07</t>
  </si>
  <si>
    <t>.........MATX.400220.IN.MI.08</t>
  </si>
  <si>
    <t>.........MATX.400220.IN.MI.09</t>
  </si>
  <si>
    <t>.........MATX.400220.IN.MI.10</t>
  </si>
  <si>
    <t>.........MATX.400220.IN.MI.11</t>
  </si>
  <si>
    <t>.........MATX.400220.IN.MI.12</t>
  </si>
  <si>
    <t>.........MATX.400220.IN.MI.13</t>
  </si>
  <si>
    <t>.........MATX.400220.IN.MI.14</t>
  </si>
  <si>
    <t>.........MATX.400220.IN.MI.15</t>
  </si>
  <si>
    <t>.........MATX.400220.IN.MI.16</t>
  </si>
  <si>
    <t>.........MATX.400220.IN.MI.17</t>
  </si>
  <si>
    <t>.........MATX.400220.IN.MI.18</t>
  </si>
  <si>
    <t>.........MATX.400220.IN.MI.19</t>
  </si>
  <si>
    <t>.........MATX.400220.IN.MI.20</t>
  </si>
  <si>
    <t>.........MATX.400220.IN.MI.21</t>
  </si>
  <si>
    <t>.........MATX.400220.IN.MI.22</t>
  </si>
  <si>
    <t>.........MATX.400220.IN.MI.23</t>
  </si>
  <si>
    <t>.........MATX.400220.IN.MI.24</t>
  </si>
  <si>
    <t>.........MATX.400220.IN.MI.25</t>
  </si>
  <si>
    <t>.........MATX.400220.IN.MI.26</t>
  </si>
  <si>
    <t>.........MATX.400220.IN.MI.27</t>
  </si>
  <si>
    <t>.........MATX.400220.IN.MI.28</t>
  </si>
  <si>
    <t>CHANTIER: GARDIEN JOUR/NUIT</t>
  </si>
  <si>
    <t>.........MATX.400220.IN.MI.29</t>
  </si>
  <si>
    <t>......MATX.400220.IN.MT</t>
  </si>
  <si>
    <t>.........MATX.400220.IN.MT.01</t>
  </si>
  <si>
    <t>CDG MAITRISE (CHKAIMA)</t>
  </si>
  <si>
    <t>.........MATX.400220.IN.MT.02</t>
  </si>
  <si>
    <t>CC BELHAJ</t>
  </si>
  <si>
    <t>.........MATX.400220.IN.MT.03</t>
  </si>
  <si>
    <t>MAITRE BATISSEUR (A.EZZAKRAOUI)</t>
  </si>
  <si>
    <t>.........MATX.400220.IN.MT.04</t>
  </si>
  <si>
    <t>CHEF CHANTIER G12 (H.NADER)</t>
  </si>
  <si>
    <t>.........MATX.400220.IN.MT.05</t>
  </si>
  <si>
    <t>ASSIST. CHEF CHANTIER</t>
  </si>
  <si>
    <t>.........MATX.400220.IN.MT.06</t>
  </si>
  <si>
    <t>CHEF CHANTIER G13 (D.EDLIMI)</t>
  </si>
  <si>
    <t>.........MATX.400220.IN.MT.07</t>
  </si>
  <si>
    <t>.........MATX.400220.IN.MT.08</t>
  </si>
  <si>
    <t>CHEF CHANTIER G14 (M.ZAKARYA)</t>
  </si>
  <si>
    <t>.........MATX.400220.IN.MT.09</t>
  </si>
  <si>
    <t>......MATX.400220.IN.FF</t>
  </si>
  <si>
    <t>.........MATX.400220.IN.FF.01</t>
  </si>
  <si>
    <t>.........MATX.400220.IN.FF.02</t>
  </si>
  <si>
    <t>EAU CHANTIER</t>
  </si>
  <si>
    <t>.........MATX.400220.IN.FF.03</t>
  </si>
  <si>
    <t>ELECTRICITE CHANTIER</t>
  </si>
  <si>
    <t>.........MATX.400220.IN.FF.04</t>
  </si>
  <si>
    <t>TELEPHONE / INTERNET</t>
  </si>
  <si>
    <t>.........MATX.400220.IN.FF.05</t>
  </si>
  <si>
    <t>.........MATX.400220.IN.FF.06</t>
  </si>
  <si>
    <t>FOURNITURE DE BUREAU</t>
  </si>
  <si>
    <t>.........MATX.400220.IN.FF.07</t>
  </si>
  <si>
    <t>TIRAGE DE PLAN</t>
  </si>
  <si>
    <t>.........MATX.400220.IN.FF.08</t>
  </si>
  <si>
    <t>PHOTOCOPIES</t>
  </si>
  <si>
    <t>.........MATX.400220.IN.FF.09</t>
  </si>
  <si>
    <t>CONSOMMABLE INFORMATIQUE</t>
  </si>
  <si>
    <t>.........MATX.400220.IN.FF.10</t>
  </si>
  <si>
    <t>CONSOMMABLE AGENCE</t>
  </si>
  <si>
    <t>.........MATX.400220.IN.FF.11</t>
  </si>
  <si>
    <t>.........MATX.400220.IN.FF.12</t>
  </si>
  <si>
    <t>HUILE DE DECOFFRAGE</t>
  </si>
  <si>
    <t>.........MATX.400220.IN.FF.13</t>
  </si>
  <si>
    <t>BOIS POUR IMPLANTATION</t>
  </si>
  <si>
    <t>.........MATX.400220.IN.FF.14</t>
  </si>
  <si>
    <t>BENNES A GRAVATS</t>
  </si>
  <si>
    <t>.........MATX.400220.IN.FF.15</t>
  </si>
  <si>
    <t>BENNES A ORDURES</t>
  </si>
  <si>
    <t>.........MATX.400220.IN.FF.16</t>
  </si>
  <si>
    <t>.........MATX.400220.IN.FF.17</t>
  </si>
  <si>
    <t>.........MATX.400220.IN.FF.18</t>
  </si>
  <si>
    <t>.........MATX.400220.IN.FF.19</t>
  </si>
  <si>
    <t>FRAIS DE RECEPTION</t>
  </si>
  <si>
    <t>.........MATX.400220.IN.FF.20</t>
  </si>
  <si>
    <t>.........MATX.400220.IN.FF.21</t>
  </si>
  <si>
    <t>VETEMENTS OUVRIERS (EPI) / AGENCE</t>
  </si>
  <si>
    <t>.........MATX.400220.IN.FF.22</t>
  </si>
  <si>
    <t>MEDECIN TRAVAIL &amp; FRAIS MEDICAUX</t>
  </si>
  <si>
    <t>.........MATX.400220.IN.FF.23</t>
  </si>
  <si>
    <t>FORMATIONS</t>
  </si>
  <si>
    <t>.........MATX.400220.IN.FF.24</t>
  </si>
  <si>
    <t>SECURITE ET SIGNALISATION</t>
  </si>
  <si>
    <t>.........MATX.400220.IN.FF.25</t>
  </si>
  <si>
    <t>NETTOYAGE VOIE PUBLIQUE</t>
  </si>
  <si>
    <t>.........MATX.400220.IN.FF.26</t>
  </si>
  <si>
    <t>......MATX.400220.IN.CO</t>
  </si>
  <si>
    <t>.........MATX.400220.IN.CO.01</t>
  </si>
  <si>
    <t>MADRIERS</t>
  </si>
  <si>
    <t>.........MATX.400220.IN.CO.02</t>
  </si>
  <si>
    <t>.........MATX.400220.IN.CO.03</t>
  </si>
  <si>
    <t>TUBE GC</t>
  </si>
  <si>
    <t>.........MATX.400220.IN.CO.04</t>
  </si>
  <si>
    <t>TIGES ET PAPILLONS</t>
  </si>
  <si>
    <t>.........MATX.400220.IN.CO.05</t>
  </si>
  <si>
    <t>.........MATX.400220.IN.CO.06</t>
  </si>
  <si>
    <t>TABLES PREFAS</t>
  </si>
  <si>
    <t>.........MATX.400220.IN.CO.07</t>
  </si>
  <si>
    <t>MOULE BIPOUTRE</t>
  </si>
  <si>
    <t>.........MATX.400220.IN.CO.08</t>
  </si>
  <si>
    <t>.........MATX.400220.IN.CO.09</t>
  </si>
  <si>
    <t>ECHAFAUDAGE DE FACADE</t>
  </si>
  <si>
    <t>.........MATX.400220.IN.CO.10</t>
  </si>
  <si>
    <t>BANCHES</t>
  </si>
  <si>
    <t>.........MATX.400220.IN.CO.11</t>
  </si>
  <si>
    <t>COFFRAGE MANUPORTABLE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</si>
  <si>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</si>
  <si>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</si>
  <si>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</si>
  <si>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</si>
  <si>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</si>
  <si>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</si>
  <si>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</si>
  <si>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</si>
  <si>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</si>
  <si>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</si>
  <si>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</si>
  <si>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</si>
  <si>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</si>
  <si>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</si>
  <si>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</si>
  <si>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</si>
  <si>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</si>
  <si>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</si>
  <si>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</si>
  <si>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</si>
  <si>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EXPERTISE FIN DE CHANTIER</t>
  </si>
  <si>
    <t>......MATX.400220.IN.EN</t>
  </si>
  <si>
    <t>.........MATX.400220.IN.EN.01</t>
  </si>
  <si>
    <t>DIRECTEUR DE RAVAUX</t>
  </si>
  <si>
    <t>.........MATX.400220.IN.EN.02</t>
  </si>
  <si>
    <t>RESPONSABLE PROD.</t>
  </si>
  <si>
    <t>.........MATX.400220.IN.EN.03</t>
  </si>
  <si>
    <t>GESTIONNAIRE PRINCIPAL</t>
  </si>
  <si>
    <t>.........MATX.400220.IN.EN.04</t>
  </si>
  <si>
    <t>GESTIONNAIRE CONFIRME (M.SAHIR)</t>
  </si>
  <si>
    <t>.........MATX.400220.IN.EN.05</t>
  </si>
  <si>
    <t>RESP QSE A.HAOUANI</t>
  </si>
  <si>
    <t>.........MATX.400220.IN.EN.06</t>
  </si>
  <si>
    <t>PROJETEUR (H.JMILI)</t>
  </si>
  <si>
    <t>.........MATX.400220.IN.EN.07</t>
  </si>
  <si>
    <t>METREUR (A.KARFA BEKALI)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</si>
  <si>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</si>
  <si>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</si>
  <si>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</si>
  <si>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</si>
  <si>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</si>
  <si>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</si>
  <si>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.........MATX.400220.IN.EN.11</t>
  </si>
  <si>
    <t>ANIMATEUR QSE TR4</t>
  </si>
  <si>
    <t>.........MATX.400220.IN.EN.12</t>
  </si>
  <si>
    <t>CTX GO (M.LAZRAK)</t>
  </si>
  <si>
    <t>.........MATX.400220.IN.EN.13</t>
  </si>
  <si>
    <t>TECHNICIEN GO TR4</t>
  </si>
  <si>
    <t>.........MATX.400220.IN.EN.14</t>
  </si>
  <si>
    <t>RESP. TRANCHE 4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</si>
  <si>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</si>
  <si>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</si>
  <si>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</si>
  <si>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</si>
  <si>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</si>
  <si>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CTX CEA TR4</t>
  </si>
  <si>
    <t>.........MATX.400220.IN.EN.18</t>
  </si>
  <si>
    <t>TECHNICIEN SUIVI CEA TR4</t>
  </si>
  <si>
    <t>.........MATX.400220.IN.EN.19</t>
  </si>
  <si>
    <t>STAGIAIRES</t>
  </si>
  <si>
    <t>......MATX.400220.IN.ET</t>
  </si>
  <si>
    <t>.........MATX.400220.IN.ET.01</t>
  </si>
  <si>
    <t>STRUCTURE</t>
  </si>
  <si>
    <t>.........MATX.400220.IN.ET.02</t>
  </si>
  <si>
    <t>PLANNING</t>
  </si>
  <si>
    <t>......MATX.400220.IN.MH</t>
  </si>
  <si>
    <t>.........MATX.400220.IN.MH.01</t>
  </si>
  <si>
    <t>VOYAGE / MISSION</t>
  </si>
  <si>
    <t>.........MATX.400220.IN.MH.02</t>
  </si>
  <si>
    <t>LOGEMENT OUVRIERS</t>
  </si>
  <si>
    <t>......MATX.400220.IN.DA</t>
  </si>
  <si>
    <t>.........MATX.400220.IN.DA.01</t>
  </si>
  <si>
    <t>FRAIS CAUTIONS</t>
  </si>
  <si>
    <t>.........MATX.400220.IN.DA.02</t>
  </si>
  <si>
    <t>ASSURANCES TRC</t>
  </si>
  <si>
    <t>.........MATX.400220.IN.DA.03</t>
  </si>
  <si>
    <t>.........MATX.400220.IN.DA.04</t>
  </si>
  <si>
    <t>ALEAS</t>
  </si>
  <si>
    <t>...MATX.400220.RD</t>
  </si>
  <si>
    <t>RECETTES DIVERSES</t>
  </si>
  <si>
    <t>......MATX.400220.RD.01</t>
  </si>
  <si>
    <t>GROS ŒUVRES</t>
  </si>
  <si>
    <t>Aléas</t>
  </si>
  <si>
    <t>Aléas Chantier</t>
  </si>
  <si>
    <t>ST CEA</t>
  </si>
  <si>
    <t>ST CET</t>
  </si>
  <si>
    <t>TOTAL SOUS TRAITANCE</t>
  </si>
  <si>
    <t>ST GROS OEUVRES</t>
  </si>
  <si>
    <t>.........MATX.400220.ST.GO.MC</t>
  </si>
  <si>
    <t>MACONNERIE</t>
  </si>
  <si>
    <t>............MATX.400220.ST.GO.MC.1</t>
  </si>
  <si>
    <t>CAMARA</t>
  </si>
  <si>
    <t>...............MATX.400220.ST.CA.ET.1.1</t>
  </si>
  <si>
    <t>BELFAQIR H5</t>
  </si>
  <si>
    <t>...............MATX.400220.ST.CA.ET.1.2</t>
  </si>
  <si>
    <t>BELFAQIR H6</t>
  </si>
  <si>
    <t>...............MATX.400220.ST.CA.ET.1.3</t>
  </si>
  <si>
    <t>BELFAQIR DEF</t>
  </si>
  <si>
    <t>...............MATX.400220.ST.CA.ET.1.4</t>
  </si>
  <si>
    <t>BELFAQIR R8</t>
  </si>
  <si>
    <t>............MATX.400220.ST.CA.ET.2</t>
  </si>
  <si>
    <t>...............MATX.400220.ST.CA.ET.2.1</t>
  </si>
  <si>
    <t>LOCABATI D6</t>
  </si>
  <si>
    <t>...............MATX.400220.ST.CA.ET.2.2</t>
  </si>
  <si>
    <t>LOCABATI R2</t>
  </si>
  <si>
    <t>............MATX.400220.ST.CA.MB.1.1</t>
  </si>
  <si>
    <t>BATIGLOBE B3-B4</t>
  </si>
  <si>
    <t>............MATX.400220.ST.CA.MB.1.2</t>
  </si>
  <si>
    <t>BATIGLOBE B6</t>
  </si>
  <si>
    <t>............MATX.400220.ST.CA.MB.2</t>
  </si>
  <si>
    <t>............MATX.400220.ST.CA.PN.2</t>
  </si>
  <si>
    <t>BAHSSI</t>
  </si>
  <si>
    <t>.........MATX.400220.ST.CE.AZ</t>
  </si>
  <si>
    <t>AZT</t>
  </si>
  <si>
    <t>............MATX.400220.ST.CE.AZ.1</t>
  </si>
  <si>
    <t>MAITRISE LOCALE</t>
  </si>
  <si>
    <t>ENCADREMENT LOCAL</t>
  </si>
  <si>
    <t>VOYAGES / HEBERGEMENT</t>
  </si>
  <si>
    <t>PRORATA ST</t>
  </si>
  <si>
    <t>.........MATX.400220.IN.DA.05</t>
  </si>
  <si>
    <t>KAKOL</t>
  </si>
  <si>
    <t>.........MATX.400220.IN.DA.06</t>
  </si>
  <si>
    <t>IPGR</t>
  </si>
  <si>
    <t>SOUS TRAITANT CEA
EN KMAD</t>
  </si>
  <si>
    <t>SOUS TRAITANT GO
EN KMAD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</si>
</sst>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%"/>
    <numFmt numFmtId="165" formatCode="#,##0.0"/>
    <numFmt numFmtId="166" formatCode="#,##0\ _F"/>
    <numFmt numFmtId="167" formatCode="0.0000"/>
    <numFmt numFmtId="168" formatCode="#,##0__"/>
    <numFmt numFmtId="169" formatCode="0.00%__"/>
    <numFmt numFmtId="170" formatCode="#,##0_-"/>
    <numFmt numFmtId="171" formatCode="0.0"/>
    <numFmt numFmtId="172" formatCode="#,##0.00\ &quot;F&quot;;[Red]\-#,##0.00\ &quot;F&quot;"/>
    <numFmt numFmtId="173" formatCode="#,##0&quot;KDh&quot;"/>
    <numFmt numFmtId="174" formatCode="#,##0.00%"/>
  </numFmts>
  <fonts count="13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30"/>
      <name val="Arial"/>
      <family val="2"/>
    </font>
    <font>
      <i/>
      <sz val="18"/>
      <name val="Arial"/>
      <family val="2"/>
    </font>
    <font>
      <sz val="30"/>
      <name val="Arial"/>
      <family val="2"/>
    </font>
    <font>
      <sz val="26"/>
      <name val="Arial"/>
      <family val="2"/>
    </font>
    <font>
      <i/>
      <sz val="26"/>
      <name val="Arial"/>
      <family val="2"/>
    </font>
    <font>
      <sz val="12"/>
      <name val="Helv"/>
    </font>
    <font>
      <b/>
      <sz val="20"/>
      <name val="Arial"/>
      <family val="2"/>
    </font>
    <font>
      <b/>
      <i/>
      <sz val="20"/>
      <name val="Arial"/>
      <family val="2"/>
    </font>
    <font>
      <sz val="20"/>
      <name val="Arial"/>
      <family val="2"/>
    </font>
    <font>
      <i/>
      <sz val="20"/>
      <name val="Arial"/>
      <family val="2"/>
    </font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36"/>
      <name val="Arial"/>
      <family val="2"/>
    </font>
    <font>
      <sz val="22"/>
      <name val="Arial"/>
      <family val="2"/>
    </font>
    <font>
      <sz val="20"/>
      <color theme="1"/>
      <name val="Calibri"/>
      <family val="2"/>
      <scheme val="minor"/>
    </font>
    <font>
      <b/>
      <sz val="26"/>
      <name val="Arial"/>
      <family val="2"/>
    </font>
    <font>
      <sz val="18"/>
      <color theme="1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8"/>
      <color indexed="9"/>
      <name val="Arial"/>
      <family val="2"/>
    </font>
    <font>
      <sz val="36"/>
      <name val="Arial"/>
      <family val="2"/>
    </font>
    <font>
      <b/>
      <i/>
      <sz val="22"/>
      <name val="Arial"/>
      <family val="2"/>
    </font>
    <font>
      <b/>
      <i/>
      <sz val="16"/>
      <color indexed="10"/>
      <name val="Arial"/>
      <family val="2"/>
    </font>
    <font>
      <b/>
      <sz val="32"/>
      <name val="Arial"/>
      <family val="2"/>
    </font>
    <font>
      <i/>
      <sz val="22"/>
      <name val="Arial"/>
      <family val="2"/>
    </font>
    <font>
      <sz val="22"/>
      <color indexed="10"/>
      <name val="Arial"/>
      <family val="2"/>
    </font>
    <font>
      <sz val="28"/>
      <name val="Arial"/>
      <family val="2"/>
    </font>
    <font>
      <i/>
      <sz val="28"/>
      <name val="Arial"/>
      <family val="2"/>
    </font>
    <font>
      <sz val="20"/>
      <color indexed="9"/>
      <name val="Arial"/>
      <family val="2"/>
    </font>
    <font>
      <sz val="10"/>
      <name val="Arial"/>
      <family val="2"/>
    </font>
    <font>
      <b/>
      <sz val="20"/>
      <color indexed="9"/>
      <name val="Arial"/>
      <family val="2"/>
    </font>
    <font>
      <sz val="12"/>
      <name val="Arial"/>
      <family val="2"/>
    </font>
    <font>
      <b/>
      <i/>
      <sz val="18"/>
      <name val="Arial"/>
      <family val="2"/>
    </font>
    <font>
      <b/>
      <u/>
      <sz val="20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28"/>
      <color theme="1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6"/>
      <color theme="1"/>
      <name val="Arial"/>
      <family val="2"/>
    </font>
    <font>
      <sz val="22"/>
      <color theme="1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sz val="10"/>
      <name val="Book Antiqua"/>
      <family val="1"/>
    </font>
    <font>
      <i/>
      <sz val="10"/>
      <name val="Book Antiqua"/>
      <family val="1"/>
    </font>
    <font>
      <sz val="10"/>
      <name val="Book Antiqua"/>
      <family val="1"/>
    </font>
    <font>
      <i/>
      <sz val="16"/>
      <name val="Book Antiqua"/>
      <family val="1"/>
    </font>
    <font>
      <b/>
      <sz val="14"/>
      <name val="Book Antiqua"/>
      <family val="1"/>
    </font>
    <font>
      <b/>
      <sz val="10"/>
      <name val="Book Antiqua"/>
      <family val="1"/>
    </font>
    <font>
      <b/>
      <sz val="9"/>
      <name val="Book Antiqua"/>
      <family val="1"/>
    </font>
    <font>
      <b/>
      <sz val="9"/>
      <color indexed="12"/>
      <name val="Book Antiqua"/>
      <family val="1"/>
    </font>
    <font>
      <b/>
      <sz val="9"/>
      <color indexed="10"/>
      <name val="Book Antiqua"/>
      <family val="1"/>
    </font>
    <font>
      <b/>
      <sz val="11"/>
      <name val="Book Antiqua"/>
      <family val="1"/>
    </font>
    <font>
      <sz val="9"/>
      <name val="Book Antiqua"/>
      <family val="1"/>
    </font>
    <font>
      <sz val="8"/>
      <name val="Book Antiqua"/>
      <family val="1"/>
    </font>
    <font>
      <b/>
      <sz val="8"/>
      <color indexed="10"/>
      <name val="Book Antiqua"/>
      <family val="1"/>
    </font>
    <font>
      <b/>
      <sz val="8"/>
      <color indexed="12"/>
      <name val="Book Antiqua"/>
      <family val="1"/>
    </font>
    <font>
      <sz val="10"/>
      <name val="Univers"/>
      <family val="2"/>
    </font>
    <font>
      <sz val="9"/>
      <color rgb="FFFF0000"/>
      <name val="Book Antiqua"/>
      <family val="1"/>
    </font>
    <font>
      <b/>
      <sz val="10"/>
      <color indexed="10"/>
      <name val="Book Antiqua"/>
      <family val="1"/>
    </font>
    <font>
      <b/>
      <sz val="10"/>
      <color indexed="12"/>
      <name val="Book Antiqua"/>
      <family val="1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sz val="9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Book Antiqua"/>
      <family val="1"/>
    </font>
    <font>
      <sz val="12"/>
      <color rgb="FF000000"/>
      <name val="Book Antiqua"/>
      <family val="1"/>
    </font>
    <font>
      <b/>
      <sz val="10"/>
      <color rgb="FF000000"/>
      <name val="Book Antiqua"/>
      <family val="1"/>
    </font>
    <font>
      <sz val="10"/>
      <color rgb="FFFFFFFF"/>
      <name val="Book Antiqua"/>
      <family val="1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6"/>
      <name val="Book Antiqua"/>
      <family val="1"/>
    </font>
    <font>
      <sz val="10"/>
      <color indexed="61"/>
      <name val="Book Antiqua"/>
      <family val="1"/>
    </font>
    <font>
      <b/>
      <sz val="10"/>
      <color indexed="61"/>
      <name val="Book Antiqua"/>
      <family val="1"/>
    </font>
    <font>
      <b/>
      <sz val="8"/>
      <name val="Book Antiqua"/>
      <family val="1"/>
    </font>
    <font>
      <b/>
      <sz val="8"/>
      <color indexed="61"/>
      <name val="Book Antiqua"/>
      <family val="1"/>
    </font>
    <font>
      <sz val="8"/>
      <color indexed="61"/>
      <name val="Book Antiqua"/>
      <family val="1"/>
    </font>
    <font>
      <sz val="8"/>
      <color indexed="12"/>
      <name val="Book Antiqua"/>
      <family val="1"/>
    </font>
    <font>
      <sz val="13"/>
      <name val="Book Antiqua"/>
      <family val="1"/>
    </font>
    <font>
      <sz val="18"/>
      <color indexed="9"/>
      <name val="Book Antiqua"/>
      <family val="1"/>
    </font>
    <font>
      <sz val="18"/>
      <name val="Book Antiqua"/>
      <family val="1"/>
    </font>
    <font>
      <b/>
      <sz val="30"/>
      <name val="Book Antiqua"/>
      <family val="1"/>
    </font>
    <font>
      <sz val="16"/>
      <name val="Book Antiqua"/>
      <family val="1"/>
    </font>
    <font>
      <b/>
      <sz val="20"/>
      <name val="Book Antiqua"/>
      <family val="1"/>
    </font>
    <font>
      <b/>
      <sz val="22"/>
      <name val="Book Antiqua"/>
      <family val="1"/>
    </font>
    <font>
      <sz val="22"/>
      <name val="Book Antiqua"/>
      <family val="1"/>
    </font>
    <font>
      <sz val="28"/>
      <name val="Book Antiqua"/>
      <family val="1"/>
    </font>
    <font>
      <b/>
      <u/>
      <sz val="22"/>
      <name val="Book Antiqua"/>
      <family val="1"/>
    </font>
    <font>
      <b/>
      <u/>
      <sz val="24"/>
      <name val="Book Antiqua"/>
      <family val="1"/>
    </font>
    <font>
      <b/>
      <sz val="16"/>
      <name val="Book Antiqua"/>
      <family val="1"/>
    </font>
    <font>
      <b/>
      <sz val="18"/>
      <name val="Book Antiqua"/>
      <family val="1"/>
    </font>
    <font>
      <b/>
      <sz val="12"/>
      <name val="Book Antiqua"/>
      <family val="1"/>
    </font>
    <font>
      <b/>
      <sz val="18"/>
      <color indexed="10"/>
      <name val="Book Antiqua"/>
      <family val="1"/>
    </font>
    <font>
      <sz val="12"/>
      <name val="Book Antiqua"/>
      <family val="1"/>
    </font>
    <font>
      <b/>
      <sz val="18"/>
      <color rgb="FFFF0000"/>
      <name val="Book Antiqua"/>
      <family val="1"/>
    </font>
    <font>
      <sz val="21"/>
      <name val="Book Antiqua"/>
      <family val="1"/>
    </font>
    <font>
      <sz val="24"/>
      <name val="Book Antiqua"/>
      <family val="1"/>
    </font>
    <font>
      <b/>
      <sz val="13"/>
      <name val="Book Antiqua"/>
      <family val="1"/>
    </font>
    <font>
      <sz val="20"/>
      <name val="Book Antiqua"/>
      <family val="1"/>
    </font>
    <font>
      <b/>
      <sz val="14"/>
      <name val="Arial Black"/>
      <family val="2"/>
    </font>
    <font>
      <b/>
      <sz val="10"/>
      <color indexed="9"/>
      <name val="Arial"/>
      <family val="2"/>
    </font>
    <font>
      <b/>
      <sz val="12"/>
      <color indexed="12"/>
      <name val="Arial"/>
      <family val="2"/>
    </font>
    <font>
      <sz val="10"/>
      <color rgb="FFFF0000"/>
      <name val="Arial"/>
      <family val="2"/>
    </font>
    <font>
      <sz val="13"/>
      <color theme="1"/>
      <name val="Arial"/>
      <family val="2"/>
    </font>
    <font>
      <b/>
      <sz val="24"/>
      <name val="Arial"/>
      <family val="2"/>
    </font>
    <font>
      <b/>
      <u/>
      <sz val="1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3"/>
      <color rgb="FF000000"/>
      <name val="Calibri"/>
      <family val="2"/>
      <scheme val="minor"/>
    </font>
    <font>
      <sz val="12"/>
      <color rgb="FF4A4A4A"/>
      <name val="Arial"/>
      <family val="2"/>
    </font>
    <font>
      <sz val="8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20"/>
      <color theme="1"/>
      <name val="Book Antiqua"/>
      <family val="1"/>
    </font>
    <font>
      <b/>
      <sz val="20"/>
      <color theme="1"/>
      <name val="Book Antiqua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B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8E0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2B6B0"/>
        <bgColor indexed="64"/>
      </patternFill>
    </fill>
  </fills>
  <borders count="3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3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dotted">
        <color auto="1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23"/>
      </top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55"/>
      </top>
      <bottom style="thin">
        <color indexed="23"/>
      </bottom>
      <diagonal/>
    </border>
    <border>
      <left/>
      <right style="thin">
        <color indexed="23"/>
      </right>
      <top style="thin">
        <color indexed="55"/>
      </top>
      <bottom style="thin">
        <color indexed="23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indexed="8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auto="1"/>
      </bottom>
      <diagonal/>
    </border>
    <border>
      <left/>
      <right style="thin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double">
        <color indexed="8"/>
      </right>
      <top/>
      <bottom style="medium">
        <color auto="1"/>
      </bottom>
      <diagonal/>
    </border>
    <border>
      <left style="double">
        <color indexed="8"/>
      </left>
      <right style="double">
        <color indexed="8"/>
      </right>
      <top/>
      <bottom style="medium">
        <color auto="1"/>
      </bottom>
      <diagonal/>
    </border>
    <border>
      <left/>
      <right style="medium">
        <color indexed="8"/>
      </right>
      <top/>
      <bottom style="medium">
        <color auto="1"/>
      </bottom>
      <diagonal/>
    </border>
    <border>
      <left style="medium">
        <color indexed="8"/>
      </left>
      <right style="medium">
        <color indexed="8"/>
      </right>
      <top/>
      <bottom style="medium">
        <color auto="1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 style="double">
        <color indexed="8"/>
      </left>
      <right style="double">
        <color indexed="8"/>
      </right>
      <top style="thin">
        <color auto="1"/>
      </top>
      <bottom style="thin">
        <color auto="1"/>
      </bottom>
      <diagonal/>
    </border>
    <border>
      <left/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auto="1"/>
      </right>
      <top style="thin">
        <color auto="1"/>
      </top>
      <bottom/>
      <diagonal/>
    </border>
    <border>
      <left style="medium">
        <color indexed="8"/>
      </left>
      <right/>
      <top style="thin">
        <color auto="1"/>
      </top>
      <bottom/>
      <diagonal/>
    </border>
    <border>
      <left style="thin">
        <color indexed="8"/>
      </left>
      <right style="double">
        <color indexed="8"/>
      </right>
      <top style="thin">
        <color auto="1"/>
      </top>
      <bottom/>
      <diagonal/>
    </border>
    <border>
      <left style="double">
        <color indexed="8"/>
      </left>
      <right style="double">
        <color indexed="8"/>
      </right>
      <top style="thin">
        <color auto="1"/>
      </top>
      <bottom/>
      <diagonal/>
    </border>
    <border>
      <left/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auto="1"/>
      </bottom>
      <diagonal/>
    </border>
    <border>
      <left/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/>
      <top style="medium">
        <color indexed="8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auto="1"/>
      </top>
      <bottom style="medium">
        <color auto="1"/>
      </bottom>
      <diagonal/>
    </border>
    <border>
      <left/>
      <right style="thin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/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thin">
        <color auto="1"/>
      </top>
      <bottom style="medium">
        <color auto="1"/>
      </bottom>
      <diagonal/>
    </border>
    <border>
      <left style="double">
        <color indexed="8"/>
      </left>
      <right style="double">
        <color indexed="8"/>
      </right>
      <top style="thin">
        <color auto="1"/>
      </top>
      <bottom style="medium">
        <color auto="1"/>
      </bottom>
      <diagonal/>
    </border>
    <border>
      <left/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 style="thin">
        <color indexed="8"/>
      </left>
      <right style="double">
        <color indexed="8"/>
      </right>
      <top style="medium">
        <color auto="1"/>
      </top>
      <bottom style="medium">
        <color auto="1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indexed="8"/>
      </left>
      <right style="medium">
        <color indexed="8"/>
      </right>
      <top style="thin">
        <color auto="1"/>
      </top>
      <bottom/>
      <diagonal/>
    </border>
    <border>
      <left style="medium">
        <color indexed="8"/>
      </left>
      <right style="thin">
        <color auto="1"/>
      </right>
      <top style="thin">
        <color auto="1"/>
      </top>
      <bottom style="medium">
        <color indexed="8"/>
      </bottom>
      <diagonal/>
    </border>
    <border>
      <left/>
      <right style="thin">
        <color indexed="8"/>
      </right>
      <top style="thin">
        <color auto="1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8"/>
      </bottom>
      <diagonal/>
    </border>
    <border>
      <left/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indexed="8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 style="thin">
        <color rgb="FF000000"/>
      </right>
      <top style="double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double">
        <color auto="1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</borders>
  <cellStyleXfs count="713">
    <xf numFmtId="0" fontId="0" fillId="0" borderId="0"/>
    <xf numFmtId="0" fontId="7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7" fillId="7" borderId="59" applyNumberFormat="0" applyBorder="0" applyAlignment="0">
      <alignment horizontal="right"/>
      <protection locked="0"/>
    </xf>
    <xf numFmtId="0" fontId="38" fillId="2" borderId="60" applyNumberFormat="0" applyBorder="0" applyAlignment="0"/>
    <xf numFmtId="0" fontId="32" fillId="0" borderId="0"/>
    <xf numFmtId="0" fontId="32" fillId="0" borderId="0"/>
    <xf numFmtId="9" fontId="63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78" fillId="0" borderId="0"/>
    <xf numFmtId="9" fontId="78" fillId="0" borderId="0" applyFont="0" applyFill="0" applyBorder="0" applyAlignment="0" applyProtection="0"/>
    <xf numFmtId="0" fontId="7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</cellStyleXfs>
  <cellXfs count="2257">
    <xf numFmtId="0" fontId="0" fillId="0" borderId="0" xfId="0"/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8" fillId="2" borderId="0" xfId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vertical="center"/>
    </xf>
    <xf numFmtId="0" fontId="0" fillId="2" borderId="0" xfId="0" applyFill="1"/>
    <xf numFmtId="0" fontId="0" fillId="2" borderId="0" xfId="0" applyFill="1" applyAlignment="1">
      <alignment wrapText="1"/>
    </xf>
    <xf numFmtId="0" fontId="20" fillId="2" borderId="0" xfId="0" applyFont="1" applyFill="1"/>
    <xf numFmtId="0" fontId="1" fillId="2" borderId="0" xfId="0" applyFont="1" applyFill="1" applyAlignment="1" applyProtection="1">
      <alignment vertical="center"/>
      <protection locked="0"/>
    </xf>
    <xf numFmtId="0" fontId="22" fillId="2" borderId="0" xfId="1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vertical="center"/>
    </xf>
    <xf numFmtId="0" fontId="22" fillId="2" borderId="0" xfId="0" quotePrefix="1" applyFont="1" applyFill="1" applyBorder="1" applyAlignment="1" applyProtection="1">
      <alignment vertical="center"/>
    </xf>
    <xf numFmtId="0" fontId="31" fillId="2" borderId="0" xfId="0" applyFont="1" applyFill="1" applyAlignment="1" applyProtection="1">
      <alignment vertical="center"/>
    </xf>
    <xf numFmtId="0" fontId="31" fillId="2" borderId="0" xfId="0" applyFont="1" applyFill="1" applyBorder="1" applyAlignment="1" applyProtection="1">
      <alignment vertical="center"/>
    </xf>
    <xf numFmtId="0" fontId="33" fillId="2" borderId="0" xfId="0" applyFont="1" applyFill="1" applyBorder="1" applyAlignment="1" applyProtection="1">
      <alignment vertical="center"/>
    </xf>
    <xf numFmtId="3" fontId="33" fillId="2" borderId="0" xfId="1" applyNumberFormat="1" applyFont="1" applyFill="1" applyBorder="1" applyAlignment="1" applyProtection="1">
      <alignment vertical="center"/>
      <protection hidden="1"/>
    </xf>
    <xf numFmtId="3" fontId="33" fillId="2" borderId="0" xfId="1" applyNumberFormat="1" applyFont="1" applyFill="1" applyBorder="1" applyAlignment="1" applyProtection="1">
      <alignment vertical="center"/>
    </xf>
    <xf numFmtId="0" fontId="33" fillId="2" borderId="0" xfId="0" applyFont="1" applyFill="1" applyAlignment="1" applyProtection="1">
      <alignment vertical="center"/>
    </xf>
    <xf numFmtId="0" fontId="31" fillId="2" borderId="26" xfId="1" applyFont="1" applyFill="1" applyBorder="1" applyAlignment="1" applyProtection="1">
      <alignment vertical="center"/>
    </xf>
    <xf numFmtId="0" fontId="31" fillId="2" borderId="0" xfId="1" applyFont="1" applyFill="1" applyBorder="1" applyAlignment="1" applyProtection="1">
      <alignment vertical="center"/>
    </xf>
    <xf numFmtId="0" fontId="40" fillId="2" borderId="0" xfId="0" applyFont="1" applyFill="1"/>
    <xf numFmtId="0" fontId="40" fillId="2" borderId="0" xfId="0" applyFont="1" applyFill="1" applyBorder="1"/>
    <xf numFmtId="0" fontId="41" fillId="2" borderId="0" xfId="0" applyFont="1" applyFill="1"/>
    <xf numFmtId="0" fontId="45" fillId="2" borderId="29" xfId="0" applyFont="1" applyFill="1" applyBorder="1" applyAlignment="1" applyProtection="1">
      <alignment vertical="center"/>
      <protection locked="0"/>
    </xf>
    <xf numFmtId="4" fontId="51" fillId="0" borderId="0" xfId="6" applyNumberFormat="1" applyFont="1" applyAlignment="1">
      <alignment vertical="center"/>
    </xf>
    <xf numFmtId="0" fontId="51" fillId="0" borderId="0" xfId="6" applyFont="1" applyAlignment="1">
      <alignment vertical="center"/>
    </xf>
    <xf numFmtId="4" fontId="59" fillId="0" borderId="0" xfId="6" applyNumberFormat="1" applyFont="1" applyAlignment="1">
      <alignment vertical="center"/>
    </xf>
    <xf numFmtId="0" fontId="59" fillId="0" borderId="0" xfId="6" applyFont="1" applyAlignment="1">
      <alignment vertical="center"/>
    </xf>
    <xf numFmtId="4" fontId="59" fillId="0" borderId="0" xfId="6" applyNumberFormat="1" applyFont="1" applyFill="1" applyAlignment="1">
      <alignment vertical="center"/>
    </xf>
    <xf numFmtId="3" fontId="59" fillId="0" borderId="0" xfId="6" applyNumberFormat="1" applyFont="1" applyAlignment="1">
      <alignment vertical="center"/>
    </xf>
    <xf numFmtId="49" fontId="67" fillId="0" borderId="0" xfId="9" applyNumberFormat="1" applyFont="1" applyFill="1" applyBorder="1" applyAlignment="1" applyProtection="1">
      <alignment horizontal="center" vertical="center"/>
      <protection locked="0"/>
    </xf>
    <xf numFmtId="0" fontId="32" fillId="0" borderId="0" xfId="9" applyAlignment="1">
      <alignment vertical="center"/>
    </xf>
    <xf numFmtId="0" fontId="32" fillId="0" borderId="0" xfId="9" applyBorder="1" applyAlignment="1">
      <alignment vertical="center"/>
    </xf>
    <xf numFmtId="0" fontId="32" fillId="0" borderId="0" xfId="9" applyFill="1" applyBorder="1" applyAlignment="1">
      <alignment vertical="center"/>
    </xf>
    <xf numFmtId="0" fontId="32" fillId="9" borderId="0" xfId="9" applyFill="1" applyBorder="1" applyAlignment="1">
      <alignment vertical="center"/>
    </xf>
    <xf numFmtId="4" fontId="32" fillId="0" borderId="0" xfId="9" applyNumberFormat="1" applyAlignment="1">
      <alignment vertical="center"/>
    </xf>
    <xf numFmtId="3" fontId="32" fillId="0" borderId="0" xfId="9" applyNumberFormat="1" applyAlignment="1">
      <alignment vertical="center"/>
    </xf>
    <xf numFmtId="49" fontId="68" fillId="9" borderId="0" xfId="9" applyNumberFormat="1" applyFont="1" applyFill="1" applyBorder="1" applyAlignment="1" applyProtection="1">
      <alignment horizontal="center" vertical="center"/>
      <protection locked="0"/>
    </xf>
    <xf numFmtId="4" fontId="20" fillId="0" borderId="0" xfId="9" applyNumberFormat="1" applyFont="1" applyAlignment="1">
      <alignment horizontal="right" vertical="center"/>
    </xf>
    <xf numFmtId="4" fontId="32" fillId="0" borderId="0" xfId="9" applyNumberFormat="1" applyBorder="1" applyAlignment="1">
      <alignment vertical="center"/>
    </xf>
    <xf numFmtId="4" fontId="20" fillId="0" borderId="0" xfId="9" applyNumberFormat="1" applyFont="1" applyBorder="1" applyAlignment="1">
      <alignment vertical="center"/>
    </xf>
    <xf numFmtId="4" fontId="20" fillId="0" borderId="0" xfId="9" applyNumberFormat="1" applyFont="1" applyAlignment="1">
      <alignment vertical="center"/>
    </xf>
    <xf numFmtId="4" fontId="20" fillId="0" borderId="0" xfId="9" applyNumberFormat="1" applyFont="1" applyFill="1" applyBorder="1" applyAlignment="1">
      <alignment vertical="center"/>
    </xf>
    <xf numFmtId="4" fontId="32" fillId="9" borderId="0" xfId="9" applyNumberFormat="1" applyFill="1" applyBorder="1" applyAlignment="1">
      <alignment vertical="center"/>
    </xf>
    <xf numFmtId="3" fontId="20" fillId="0" borderId="0" xfId="9" applyNumberFormat="1" applyFont="1" applyAlignment="1">
      <alignment horizontal="right" vertical="center"/>
    </xf>
    <xf numFmtId="3" fontId="32" fillId="0" borderId="0" xfId="9" applyNumberFormat="1" applyBorder="1" applyAlignment="1">
      <alignment vertical="center"/>
    </xf>
    <xf numFmtId="3" fontId="32" fillId="0" borderId="0" xfId="9" applyNumberFormat="1" applyFill="1" applyBorder="1" applyAlignment="1">
      <alignment vertical="center"/>
    </xf>
    <xf numFmtId="3" fontId="32" fillId="9" borderId="0" xfId="9" applyNumberFormat="1" applyFill="1" applyBorder="1" applyAlignment="1">
      <alignment vertical="center"/>
    </xf>
    <xf numFmtId="0" fontId="69" fillId="0" borderId="0" xfId="9" applyFont="1" applyAlignment="1">
      <alignment vertical="center"/>
    </xf>
    <xf numFmtId="0" fontId="69" fillId="0" borderId="0" xfId="9" applyFont="1" applyBorder="1" applyAlignment="1">
      <alignment vertical="center"/>
    </xf>
    <xf numFmtId="4" fontId="38" fillId="0" borderId="0" xfId="9" applyNumberFormat="1" applyFont="1" applyAlignment="1">
      <alignment vertical="center"/>
    </xf>
    <xf numFmtId="4" fontId="70" fillId="0" borderId="0" xfId="9" applyNumberFormat="1" applyFont="1" applyAlignment="1">
      <alignment vertical="center"/>
    </xf>
    <xf numFmtId="0" fontId="71" fillId="0" borderId="0" xfId="9" applyFont="1" applyAlignment="1">
      <alignment vertical="center"/>
    </xf>
    <xf numFmtId="0" fontId="69" fillId="0" borderId="0" xfId="9" applyFont="1" applyFill="1" applyBorder="1" applyAlignment="1">
      <alignment vertical="center"/>
    </xf>
    <xf numFmtId="0" fontId="69" fillId="9" borderId="0" xfId="9" applyFont="1" applyFill="1" applyBorder="1" applyAlignment="1">
      <alignment vertical="center"/>
    </xf>
    <xf numFmtId="0" fontId="69" fillId="0" borderId="92" xfId="9" applyFont="1" applyBorder="1" applyAlignment="1">
      <alignment vertical="center"/>
    </xf>
    <xf numFmtId="49" fontId="72" fillId="2" borderId="0" xfId="9" applyNumberFormat="1" applyFont="1" applyFill="1" applyBorder="1" applyAlignment="1" applyProtection="1">
      <alignment horizontal="center" vertical="center"/>
      <protection locked="0"/>
    </xf>
    <xf numFmtId="49" fontId="72" fillId="2" borderId="93" xfId="9" applyNumberFormat="1" applyFont="1" applyFill="1" applyBorder="1" applyAlignment="1" applyProtection="1">
      <alignment horizontal="center" vertical="center"/>
      <protection locked="0"/>
    </xf>
    <xf numFmtId="49" fontId="72" fillId="0" borderId="0" xfId="9" applyNumberFormat="1" applyFont="1" applyFill="1" applyBorder="1" applyAlignment="1" applyProtection="1">
      <alignment horizontal="center" vertical="center"/>
      <protection locked="0"/>
    </xf>
    <xf numFmtId="49" fontId="73" fillId="9" borderId="0" xfId="9" applyNumberFormat="1" applyFont="1" applyFill="1" applyBorder="1" applyAlignment="1" applyProtection="1">
      <alignment horizontal="center" vertical="center"/>
      <protection locked="0"/>
    </xf>
    <xf numFmtId="49" fontId="73" fillId="2" borderId="94" xfId="9" applyNumberFormat="1" applyFont="1" applyFill="1" applyBorder="1" applyAlignment="1" applyProtection="1">
      <alignment horizontal="center" vertical="center"/>
      <protection locked="0"/>
    </xf>
    <xf numFmtId="49" fontId="73" fillId="2" borderId="95" xfId="9" applyNumberFormat="1" applyFont="1" applyFill="1" applyBorder="1" applyAlignment="1" applyProtection="1">
      <alignment horizontal="center" vertical="center"/>
      <protection locked="0"/>
    </xf>
    <xf numFmtId="49" fontId="73" fillId="2" borderId="96" xfId="9" applyNumberFormat="1" applyFont="1" applyFill="1" applyBorder="1" applyAlignment="1" applyProtection="1">
      <alignment horizontal="center" vertical="center"/>
      <protection locked="0"/>
    </xf>
    <xf numFmtId="49" fontId="73" fillId="2" borderId="97" xfId="9" applyNumberFormat="1" applyFont="1" applyFill="1" applyBorder="1" applyAlignment="1" applyProtection="1">
      <alignment horizontal="center" vertical="center"/>
      <protection locked="0"/>
    </xf>
    <xf numFmtId="49" fontId="73" fillId="2" borderId="98" xfId="9" applyNumberFormat="1" applyFont="1" applyFill="1" applyBorder="1" applyAlignment="1" applyProtection="1">
      <alignment horizontal="center" vertical="center"/>
      <protection locked="0"/>
    </xf>
    <xf numFmtId="49" fontId="73" fillId="2" borderId="99" xfId="9" applyNumberFormat="1" applyFont="1" applyFill="1" applyBorder="1" applyAlignment="1" applyProtection="1">
      <alignment horizontal="center" vertical="center"/>
      <protection locked="0"/>
    </xf>
    <xf numFmtId="49" fontId="73" fillId="2" borderId="101" xfId="9" applyNumberFormat="1" applyFont="1" applyFill="1" applyBorder="1" applyAlignment="1" applyProtection="1">
      <alignment horizontal="center" vertical="center"/>
      <protection locked="0"/>
    </xf>
    <xf numFmtId="49" fontId="73" fillId="2" borderId="102" xfId="9" applyNumberFormat="1" applyFont="1" applyFill="1" applyBorder="1" applyAlignment="1" applyProtection="1">
      <alignment horizontal="center" vertical="center"/>
      <protection locked="0"/>
    </xf>
    <xf numFmtId="0" fontId="74" fillId="0" borderId="0" xfId="9" applyFont="1" applyBorder="1" applyAlignment="1">
      <alignment vertical="center"/>
    </xf>
    <xf numFmtId="0" fontId="74" fillId="0" borderId="0" xfId="9" applyFont="1" applyBorder="1" applyAlignment="1" applyProtection="1">
      <alignment vertical="center"/>
    </xf>
    <xf numFmtId="0" fontId="74" fillId="0" borderId="0" xfId="9" applyFont="1" applyFill="1" applyBorder="1" applyAlignment="1" applyProtection="1">
      <alignment vertical="center"/>
    </xf>
    <xf numFmtId="4" fontId="73" fillId="9" borderId="0" xfId="9" applyNumberFormat="1" applyFont="1" applyFill="1" applyBorder="1" applyAlignment="1" applyProtection="1">
      <alignment horizontal="right" vertical="center"/>
      <protection locked="0"/>
    </xf>
    <xf numFmtId="0" fontId="20" fillId="0" borderId="0" xfId="9" applyFont="1" applyAlignment="1">
      <alignment vertical="center"/>
    </xf>
    <xf numFmtId="0" fontId="74" fillId="9" borderId="0" xfId="9" applyFont="1" applyFill="1" applyBorder="1" applyAlignment="1">
      <alignment vertical="center"/>
    </xf>
    <xf numFmtId="0" fontId="74" fillId="9" borderId="0" xfId="9" applyFont="1" applyFill="1" applyBorder="1" applyAlignment="1" applyProtection="1">
      <alignment vertical="center"/>
    </xf>
    <xf numFmtId="0" fontId="20" fillId="9" borderId="0" xfId="9" applyFont="1" applyFill="1" applyAlignment="1">
      <alignment vertical="center"/>
    </xf>
    <xf numFmtId="0" fontId="69" fillId="0" borderId="0" xfId="9" applyFont="1" applyBorder="1" applyAlignment="1" applyProtection="1">
      <alignment vertical="center"/>
    </xf>
    <xf numFmtId="0" fontId="69" fillId="0" borderId="0" xfId="9" applyFont="1" applyFill="1" applyBorder="1" applyAlignment="1" applyProtection="1">
      <alignment vertical="center"/>
    </xf>
    <xf numFmtId="4" fontId="75" fillId="9" borderId="0" xfId="9" applyNumberFormat="1" applyFont="1" applyFill="1" applyBorder="1" applyAlignment="1" applyProtection="1">
      <alignment horizontal="right" vertical="center"/>
      <protection locked="0"/>
    </xf>
    <xf numFmtId="0" fontId="32" fillId="0" borderId="0" xfId="9" applyFont="1" applyAlignment="1">
      <alignment vertical="center"/>
    </xf>
    <xf numFmtId="9" fontId="77" fillId="0" borderId="0" xfId="10" applyFont="1" applyBorder="1" applyAlignment="1" applyProtection="1">
      <alignment vertical="center"/>
    </xf>
    <xf numFmtId="0" fontId="32" fillId="0" borderId="0" xfId="9" applyAlignment="1" applyProtection="1">
      <alignment vertical="center"/>
    </xf>
    <xf numFmtId="0" fontId="32" fillId="0" borderId="0" xfId="9" applyBorder="1" applyAlignment="1" applyProtection="1">
      <alignment vertical="center"/>
    </xf>
    <xf numFmtId="0" fontId="32" fillId="0" borderId="0" xfId="9" applyFill="1" applyBorder="1" applyAlignment="1" applyProtection="1">
      <alignment vertical="center"/>
    </xf>
    <xf numFmtId="4" fontId="70" fillId="0" borderId="0" xfId="9" applyNumberFormat="1" applyFont="1" applyAlignment="1" applyProtection="1">
      <alignment vertical="center"/>
    </xf>
    <xf numFmtId="0" fontId="71" fillId="0" borderId="0" xfId="9" applyFont="1" applyAlignment="1" applyProtection="1">
      <alignment vertical="center"/>
    </xf>
    <xf numFmtId="0" fontId="69" fillId="0" borderId="0" xfId="9" applyFont="1" applyAlignment="1" applyProtection="1">
      <alignment vertical="center"/>
    </xf>
    <xf numFmtId="2" fontId="75" fillId="12" borderId="59" xfId="9" applyNumberFormat="1" applyFont="1" applyFill="1" applyBorder="1" applyAlignment="1" applyProtection="1">
      <alignment horizontal="right" vertical="center"/>
    </xf>
    <xf numFmtId="9" fontId="77" fillId="0" borderId="0" xfId="10" applyFont="1" applyBorder="1" applyAlignment="1">
      <alignment vertical="center"/>
    </xf>
    <xf numFmtId="0" fontId="74" fillId="9" borderId="103" xfId="9" applyFont="1" applyFill="1" applyBorder="1" applyAlignment="1" applyProtection="1">
      <alignment vertical="center"/>
    </xf>
    <xf numFmtId="0" fontId="32" fillId="9" borderId="0" xfId="9" applyFill="1" applyAlignment="1">
      <alignment vertical="center"/>
    </xf>
    <xf numFmtId="0" fontId="32" fillId="0" borderId="0" xfId="9" applyAlignment="1">
      <alignment horizontal="right" vertical="center"/>
    </xf>
    <xf numFmtId="0" fontId="74" fillId="0" borderId="0" xfId="9" applyFont="1" applyFill="1" applyBorder="1" applyAlignment="1">
      <alignment vertical="center"/>
    </xf>
    <xf numFmtId="0" fontId="32" fillId="0" borderId="0" xfId="9" applyAlignment="1">
      <alignment horizontal="left" vertical="center"/>
    </xf>
    <xf numFmtId="0" fontId="51" fillId="0" borderId="0" xfId="15" applyFont="1" applyAlignment="1">
      <alignment vertical="center"/>
    </xf>
    <xf numFmtId="0" fontId="54" fillId="0" borderId="0" xfId="15" applyFont="1" applyAlignment="1">
      <alignment horizontal="center" vertical="center"/>
    </xf>
    <xf numFmtId="3" fontId="51" fillId="0" borderId="0" xfId="15" applyNumberFormat="1" applyFont="1" applyAlignment="1">
      <alignment vertical="center"/>
    </xf>
    <xf numFmtId="3" fontId="65" fillId="0" borderId="0" xfId="15" applyNumberFormat="1" applyFont="1" applyAlignment="1">
      <alignment vertical="center"/>
    </xf>
    <xf numFmtId="3" fontId="51" fillId="0" borderId="0" xfId="15" applyNumberFormat="1" applyFont="1" applyAlignment="1">
      <alignment horizontal="center" vertical="center"/>
    </xf>
    <xf numFmtId="0" fontId="51" fillId="0" borderId="0" xfId="15" applyFont="1" applyAlignment="1">
      <alignment horizontal="center" vertical="center"/>
    </xf>
    <xf numFmtId="0" fontId="94" fillId="2" borderId="0" xfId="16" applyFont="1" applyFill="1" applyAlignment="1" applyProtection="1">
      <alignment vertical="center"/>
      <protection locked="0"/>
    </xf>
    <xf numFmtId="0" fontId="95" fillId="2" borderId="0" xfId="16" applyFont="1" applyFill="1" applyAlignment="1" applyProtection="1">
      <alignment vertical="center"/>
    </xf>
    <xf numFmtId="0" fontId="96" fillId="2" borderId="0" xfId="16" applyFont="1" applyFill="1" applyAlignment="1" applyProtection="1">
      <alignment vertical="center"/>
      <protection locked="0"/>
    </xf>
    <xf numFmtId="0" fontId="95" fillId="2" borderId="0" xfId="16" applyFont="1" applyFill="1" applyBorder="1" applyAlignment="1" applyProtection="1">
      <alignment vertical="center"/>
    </xf>
    <xf numFmtId="0" fontId="96" fillId="2" borderId="0" xfId="16" applyFont="1" applyFill="1" applyBorder="1" applyAlignment="1" applyProtection="1">
      <alignment vertical="center"/>
    </xf>
    <xf numFmtId="0" fontId="95" fillId="2" borderId="0" xfId="16" quotePrefix="1" applyFont="1" applyFill="1" applyBorder="1" applyAlignment="1" applyProtection="1">
      <alignment vertical="center"/>
    </xf>
    <xf numFmtId="0" fontId="98" fillId="2" borderId="0" xfId="16" applyFont="1" applyFill="1" applyAlignment="1" applyProtection="1">
      <alignment vertical="center"/>
      <protection locked="0"/>
    </xf>
    <xf numFmtId="0" fontId="98" fillId="2" borderId="0" xfId="16" applyFont="1" applyFill="1" applyBorder="1" applyAlignment="1" applyProtection="1">
      <alignment vertical="center"/>
      <protection locked="0"/>
    </xf>
    <xf numFmtId="0" fontId="105" fillId="2" borderId="0" xfId="16" applyFont="1" applyFill="1" applyAlignment="1" applyProtection="1">
      <alignment vertical="center"/>
      <protection locked="0"/>
    </xf>
    <xf numFmtId="0" fontId="32" fillId="0" borderId="0" xfId="16"/>
    <xf numFmtId="0" fontId="32" fillId="0" borderId="0" xfId="16" applyFill="1" applyBorder="1"/>
    <xf numFmtId="3" fontId="32" fillId="0" borderId="0" xfId="16" applyNumberFormat="1"/>
    <xf numFmtId="0" fontId="32" fillId="0" borderId="0" xfId="16" applyFill="1" applyBorder="1" applyAlignment="1">
      <alignment horizontal="center"/>
    </xf>
    <xf numFmtId="0" fontId="32" fillId="0" borderId="0" xfId="16" applyBorder="1"/>
    <xf numFmtId="0" fontId="32" fillId="0" borderId="0" xfId="16" applyFill="1" applyBorder="1" applyAlignment="1">
      <alignment horizontal="center" vertical="center" wrapText="1"/>
    </xf>
    <xf numFmtId="0" fontId="38" fillId="0" borderId="0" xfId="16" applyFont="1" applyFill="1" applyBorder="1" applyAlignment="1">
      <alignment horizontal="center" vertical="center" wrapText="1"/>
    </xf>
    <xf numFmtId="0" fontId="38" fillId="7" borderId="79" xfId="16" applyFont="1" applyFill="1" applyBorder="1" applyAlignment="1">
      <alignment horizontal="center" vertical="center" wrapText="1"/>
    </xf>
    <xf numFmtId="0" fontId="38" fillId="4" borderId="79" xfId="16" applyFont="1" applyFill="1" applyBorder="1" applyAlignment="1">
      <alignment horizontal="center" vertical="center" textRotation="90" wrapText="1"/>
    </xf>
    <xf numFmtId="0" fontId="38" fillId="0" borderId="0" xfId="16" applyFont="1" applyFill="1" applyBorder="1" applyAlignment="1">
      <alignment horizontal="center" vertical="center" textRotation="90" wrapText="1"/>
    </xf>
    <xf numFmtId="3" fontId="38" fillId="4" borderId="79" xfId="16" applyNumberFormat="1" applyFont="1" applyFill="1" applyBorder="1" applyAlignment="1">
      <alignment horizontal="center" vertical="center" textRotation="90" wrapText="1"/>
    </xf>
    <xf numFmtId="0" fontId="38" fillId="7" borderId="79" xfId="16" applyFont="1" applyFill="1" applyBorder="1" applyAlignment="1">
      <alignment horizontal="center" vertical="center" textRotation="90" wrapText="1"/>
    </xf>
    <xf numFmtId="0" fontId="32" fillId="0" borderId="79" xfId="16" applyBorder="1" applyAlignment="1">
      <alignment horizontal="center" vertical="center" wrapText="1"/>
    </xf>
    <xf numFmtId="0" fontId="32" fillId="0" borderId="79" xfId="16" applyFont="1" applyFill="1" applyBorder="1" applyAlignment="1">
      <alignment vertical="center" wrapText="1"/>
    </xf>
    <xf numFmtId="0" fontId="32" fillId="0" borderId="79" xfId="16" applyFont="1" applyFill="1" applyBorder="1" applyAlignment="1">
      <alignment horizontal="center" vertical="center" wrapText="1"/>
    </xf>
    <xf numFmtId="0" fontId="32" fillId="0" borderId="79" xfId="16" applyFill="1" applyBorder="1" applyAlignment="1">
      <alignment horizontal="center" vertical="center" wrapText="1"/>
    </xf>
    <xf numFmtId="0" fontId="32" fillId="0" borderId="79" xfId="16" quotePrefix="1" applyBorder="1" applyAlignment="1">
      <alignment horizontal="center" vertical="center" wrapText="1"/>
    </xf>
    <xf numFmtId="0" fontId="116" fillId="18" borderId="79" xfId="16" quotePrefix="1" applyFont="1" applyFill="1" applyBorder="1" applyAlignment="1">
      <alignment horizontal="center" vertical="center"/>
    </xf>
    <xf numFmtId="3" fontId="32" fillId="0" borderId="79" xfId="16" applyNumberFormat="1" applyFill="1" applyBorder="1" applyAlignment="1">
      <alignment horizontal="center" vertical="center" wrapText="1"/>
    </xf>
    <xf numFmtId="9" fontId="32" fillId="0" borderId="79" xfId="16" applyNumberFormat="1" applyFill="1" applyBorder="1" applyAlignment="1">
      <alignment horizontal="center" vertical="center" wrapText="1"/>
    </xf>
    <xf numFmtId="3" fontId="32" fillId="0" borderId="79" xfId="16" applyNumberFormat="1" applyBorder="1" applyAlignment="1">
      <alignment horizontal="center" vertical="center" wrapText="1"/>
    </xf>
    <xf numFmtId="9" fontId="32" fillId="0" borderId="0" xfId="16" applyNumberFormat="1" applyBorder="1" applyAlignment="1">
      <alignment horizontal="center" vertical="center" wrapText="1"/>
    </xf>
    <xf numFmtId="9" fontId="32" fillId="0" borderId="79" xfId="16" applyNumberFormat="1" applyBorder="1" applyAlignment="1">
      <alignment horizontal="center" vertical="center" wrapText="1"/>
    </xf>
    <xf numFmtId="0" fontId="32" fillId="0" borderId="79" xfId="16" quotePrefix="1" applyFont="1" applyBorder="1" applyAlignment="1">
      <alignment vertical="center" wrapText="1"/>
    </xf>
    <xf numFmtId="3" fontId="32" fillId="19" borderId="79" xfId="16" applyNumberFormat="1" applyFill="1" applyBorder="1" applyAlignment="1">
      <alignment horizontal="center" vertical="center" wrapText="1"/>
    </xf>
    <xf numFmtId="9" fontId="32" fillId="0" borderId="0" xfId="16" applyNumberFormat="1" applyFill="1" applyBorder="1" applyAlignment="1">
      <alignment horizontal="center" vertical="center" wrapText="1"/>
    </xf>
    <xf numFmtId="0" fontId="32" fillId="0" borderId="0" xfId="16" applyFill="1"/>
    <xf numFmtId="0" fontId="32" fillId="0" borderId="79" xfId="16" quotePrefix="1" applyFont="1" applyFill="1" applyBorder="1" applyAlignment="1">
      <alignment vertical="center" wrapText="1"/>
    </xf>
    <xf numFmtId="0" fontId="20" fillId="0" borderId="79" xfId="16" applyFont="1" applyBorder="1" applyAlignment="1">
      <alignment horizontal="right" vertical="center" wrapText="1"/>
    </xf>
    <xf numFmtId="0" fontId="32" fillId="0" borderId="79" xfId="16" quotePrefix="1" applyFont="1" applyFill="1" applyBorder="1" applyAlignment="1">
      <alignment horizontal="center" vertical="center" wrapText="1"/>
    </xf>
    <xf numFmtId="3" fontId="20" fillId="0" borderId="79" xfId="16" applyNumberFormat="1" applyFont="1" applyBorder="1" applyAlignment="1">
      <alignment horizontal="center" vertical="center" wrapText="1"/>
    </xf>
    <xf numFmtId="0" fontId="32" fillId="0" borderId="79" xfId="16" applyBorder="1" applyAlignment="1">
      <alignment vertical="center" wrapText="1"/>
    </xf>
    <xf numFmtId="0" fontId="20" fillId="0" borderId="119" xfId="16" applyFont="1" applyBorder="1"/>
    <xf numFmtId="0" fontId="32" fillId="0" borderId="120" xfId="16" applyBorder="1"/>
    <xf numFmtId="0" fontId="32" fillId="0" borderId="120" xfId="16" applyFill="1" applyBorder="1"/>
    <xf numFmtId="0" fontId="32" fillId="0" borderId="121" xfId="16" applyBorder="1"/>
    <xf numFmtId="0" fontId="32" fillId="0" borderId="0" xfId="16" applyAlignment="1">
      <alignment vertical="center" wrapText="1"/>
    </xf>
    <xf numFmtId="3" fontId="32" fillId="0" borderId="0" xfId="16" applyNumberFormat="1" applyAlignment="1">
      <alignment vertical="center" wrapText="1"/>
    </xf>
    <xf numFmtId="0" fontId="32" fillId="0" borderId="0" xfId="16" applyFont="1"/>
    <xf numFmtId="0" fontId="77" fillId="7" borderId="79" xfId="16" applyFont="1" applyFill="1" applyBorder="1" applyAlignment="1">
      <alignment horizontal="center" vertical="center" wrapText="1"/>
    </xf>
    <xf numFmtId="0" fontId="32" fillId="0" borderId="79" xfId="16" applyBorder="1" applyAlignment="1">
      <alignment horizontal="center" vertical="center"/>
    </xf>
    <xf numFmtId="0" fontId="32" fillId="0" borderId="79" xfId="16" applyFont="1" applyBorder="1" applyAlignment="1">
      <alignment vertical="center" wrapText="1"/>
    </xf>
    <xf numFmtId="0" fontId="32" fillId="0" borderId="0" xfId="16" applyFill="1" applyBorder="1" applyAlignment="1">
      <alignment vertical="center"/>
    </xf>
    <xf numFmtId="0" fontId="32" fillId="0" borderId="79" xfId="16" applyFont="1" applyBorder="1" applyAlignment="1">
      <alignment horizontal="center" vertical="center"/>
    </xf>
    <xf numFmtId="0" fontId="32" fillId="0" borderId="79" xfId="16" quotePrefix="1" applyBorder="1" applyAlignment="1">
      <alignment horizontal="center" vertical="center"/>
    </xf>
    <xf numFmtId="0" fontId="117" fillId="8" borderId="79" xfId="16" quotePrefix="1" applyFont="1" applyFill="1" applyBorder="1" applyAlignment="1">
      <alignment horizontal="center" vertical="center"/>
    </xf>
    <xf numFmtId="3" fontId="32" fillId="0" borderId="79" xfId="16" applyNumberFormat="1" applyBorder="1" applyAlignment="1">
      <alignment horizontal="center" vertical="center"/>
    </xf>
    <xf numFmtId="9" fontId="32" fillId="0" borderId="79" xfId="16" applyNumberFormat="1" applyBorder="1" applyAlignment="1">
      <alignment horizontal="center" vertical="center"/>
    </xf>
    <xf numFmtId="9" fontId="32" fillId="0" borderId="0" xfId="16" applyNumberFormat="1" applyFill="1" applyBorder="1" applyAlignment="1">
      <alignment vertical="center"/>
    </xf>
    <xf numFmtId="3" fontId="32" fillId="19" borderId="79" xfId="16" applyNumberFormat="1" applyFill="1" applyBorder="1" applyAlignment="1">
      <alignment horizontal="center" vertical="center"/>
    </xf>
    <xf numFmtId="0" fontId="32" fillId="0" borderId="0" xfId="16" applyFont="1" applyAlignment="1">
      <alignment vertical="center"/>
    </xf>
    <xf numFmtId="0" fontId="32" fillId="0" borderId="0" xfId="16" applyAlignment="1">
      <alignment vertical="center"/>
    </xf>
    <xf numFmtId="0" fontId="32" fillId="0" borderId="79" xfId="16" applyFill="1" applyBorder="1" applyAlignment="1">
      <alignment horizontal="center" vertical="center"/>
    </xf>
    <xf numFmtId="0" fontId="32" fillId="0" borderId="79" xfId="16" applyFont="1" applyFill="1" applyBorder="1" applyAlignment="1">
      <alignment vertical="center"/>
    </xf>
    <xf numFmtId="0" fontId="32" fillId="0" borderId="0" xfId="16" applyFill="1" applyBorder="1" applyAlignment="1">
      <alignment horizontal="center" vertical="center"/>
    </xf>
    <xf numFmtId="9" fontId="32" fillId="0" borderId="79" xfId="16" applyNumberFormat="1" applyFill="1" applyBorder="1" applyAlignment="1">
      <alignment horizontal="center" vertical="center"/>
    </xf>
    <xf numFmtId="0" fontId="32" fillId="0" borderId="0" xfId="16" applyFont="1" applyFill="1" applyAlignment="1">
      <alignment vertical="center"/>
    </xf>
    <xf numFmtId="0" fontId="32" fillId="0" borderId="0" xfId="16" applyFill="1" applyAlignment="1">
      <alignment vertical="center"/>
    </xf>
    <xf numFmtId="0" fontId="32" fillId="0" borderId="79" xfId="16" applyFont="1" applyFill="1" applyBorder="1" applyAlignment="1">
      <alignment horizontal="center" vertical="center"/>
    </xf>
    <xf numFmtId="0" fontId="32" fillId="0" borderId="79" xfId="16" applyFill="1" applyBorder="1" applyAlignment="1">
      <alignment vertical="center"/>
    </xf>
    <xf numFmtId="0" fontId="32" fillId="0" borderId="79" xfId="16" applyFill="1" applyBorder="1" applyAlignment="1">
      <alignment vertical="center" wrapText="1"/>
    </xf>
    <xf numFmtId="0" fontId="32" fillId="0" borderId="79" xfId="16" applyBorder="1" applyAlignment="1">
      <alignment vertical="center"/>
    </xf>
    <xf numFmtId="0" fontId="20" fillId="0" borderId="79" xfId="16" applyFont="1" applyBorder="1" applyAlignment="1">
      <alignment vertical="center"/>
    </xf>
    <xf numFmtId="3" fontId="20" fillId="0" borderId="79" xfId="16" applyNumberFormat="1" applyFont="1" applyBorder="1" applyAlignment="1">
      <alignment horizontal="center" vertical="center"/>
    </xf>
    <xf numFmtId="0" fontId="32" fillId="0" borderId="0" xfId="16" applyFont="1" applyFill="1" applyBorder="1"/>
    <xf numFmtId="3" fontId="118" fillId="0" borderId="0" xfId="16" applyNumberFormat="1" applyFont="1"/>
    <xf numFmtId="0" fontId="32" fillId="0" borderId="0" xfId="16" applyFont="1" applyBorder="1"/>
    <xf numFmtId="3" fontId="17" fillId="0" borderId="0" xfId="1" quotePrefix="1" applyNumberFormat="1" applyFont="1" applyFill="1" applyBorder="1" applyAlignment="1" applyProtection="1">
      <alignment horizontal="center" vertical="center"/>
    </xf>
    <xf numFmtId="0" fontId="0" fillId="0" borderId="0" xfId="0" applyFill="1"/>
    <xf numFmtId="3" fontId="32" fillId="0" borderId="0" xfId="9" applyNumberFormat="1" applyAlignment="1" applyProtection="1">
      <alignment vertical="center"/>
    </xf>
    <xf numFmtId="4" fontId="75" fillId="0" borderId="155" xfId="9" applyNumberFormat="1" applyFont="1" applyFill="1" applyBorder="1" applyAlignment="1" applyProtection="1">
      <alignment horizontal="right" vertical="center"/>
    </xf>
    <xf numFmtId="4" fontId="20" fillId="0" borderId="156" xfId="9" applyNumberFormat="1" applyFont="1" applyBorder="1" applyAlignment="1">
      <alignment horizontal="center" vertical="center"/>
    </xf>
    <xf numFmtId="3" fontId="32" fillId="0" borderId="156" xfId="9" applyNumberFormat="1" applyBorder="1" applyAlignment="1">
      <alignment horizontal="center" vertical="center"/>
    </xf>
    <xf numFmtId="3" fontId="20" fillId="0" borderId="156" xfId="9" applyNumberFormat="1" applyFont="1" applyBorder="1" applyAlignment="1">
      <alignment horizontal="center" vertical="center"/>
    </xf>
    <xf numFmtId="49" fontId="73" fillId="2" borderId="159" xfId="9" applyNumberFormat="1" applyFont="1" applyFill="1" applyBorder="1" applyAlignment="1" applyProtection="1">
      <alignment horizontal="center" vertical="center"/>
      <protection locked="0"/>
    </xf>
    <xf numFmtId="49" fontId="73" fillId="2" borderId="162" xfId="9" applyNumberFormat="1" applyFont="1" applyFill="1" applyBorder="1" applyAlignment="1" applyProtection="1">
      <alignment horizontal="center" vertical="center"/>
      <protection locked="0"/>
    </xf>
    <xf numFmtId="4" fontId="73" fillId="5" borderId="163" xfId="9" applyNumberFormat="1" applyFont="1" applyFill="1" applyBorder="1" applyAlignment="1" applyProtection="1">
      <alignment horizontal="right" vertical="center"/>
    </xf>
    <xf numFmtId="10" fontId="73" fillId="5" borderId="164" xfId="10" applyNumberFormat="1" applyFont="1" applyFill="1" applyBorder="1" applyAlignment="1" applyProtection="1">
      <alignment horizontal="right" vertical="center"/>
    </xf>
    <xf numFmtId="4" fontId="73" fillId="5" borderId="165" xfId="9" applyNumberFormat="1" applyFont="1" applyFill="1" applyBorder="1" applyAlignment="1" applyProtection="1">
      <alignment horizontal="right" vertical="center"/>
    </xf>
    <xf numFmtId="4" fontId="73" fillId="5" borderId="166" xfId="9" applyNumberFormat="1" applyFont="1" applyFill="1" applyBorder="1" applyAlignment="1" applyProtection="1">
      <alignment horizontal="right" vertical="center"/>
    </xf>
    <xf numFmtId="4" fontId="73" fillId="5" borderId="167" xfId="9" applyNumberFormat="1" applyFont="1" applyFill="1" applyBorder="1" applyAlignment="1" applyProtection="1">
      <alignment horizontal="right" vertical="center"/>
    </xf>
    <xf numFmtId="10" fontId="73" fillId="5" borderId="168" xfId="10" applyNumberFormat="1" applyFont="1" applyFill="1" applyBorder="1" applyAlignment="1" applyProtection="1">
      <alignment horizontal="right" vertical="center"/>
    </xf>
    <xf numFmtId="4" fontId="73" fillId="5" borderId="169" xfId="9" applyNumberFormat="1" applyFont="1" applyFill="1" applyBorder="1" applyAlignment="1" applyProtection="1">
      <alignment horizontal="right" vertical="center"/>
    </xf>
    <xf numFmtId="4" fontId="73" fillId="5" borderId="170" xfId="9" applyNumberFormat="1" applyFont="1" applyFill="1" applyBorder="1" applyAlignment="1" applyProtection="1">
      <alignment horizontal="right" vertical="center"/>
    </xf>
    <xf numFmtId="4" fontId="73" fillId="5" borderId="171" xfId="9" applyNumberFormat="1" applyFont="1" applyFill="1" applyBorder="1" applyAlignment="1" applyProtection="1">
      <alignment horizontal="right" vertical="center"/>
    </xf>
    <xf numFmtId="4" fontId="73" fillId="5" borderId="172" xfId="9" applyNumberFormat="1" applyFont="1" applyFill="1" applyBorder="1" applyAlignment="1" applyProtection="1">
      <alignment horizontal="right" vertical="center"/>
    </xf>
    <xf numFmtId="4" fontId="73" fillId="5" borderId="161" xfId="9" applyNumberFormat="1" applyFont="1" applyFill="1" applyBorder="1" applyAlignment="1" applyProtection="1">
      <alignment horizontal="right" vertical="center"/>
    </xf>
    <xf numFmtId="4" fontId="73" fillId="5" borderId="157" xfId="9" applyNumberFormat="1" applyFont="1" applyFill="1" applyBorder="1" applyAlignment="1" applyProtection="1">
      <alignment horizontal="right" vertical="center"/>
      <protection locked="0"/>
    </xf>
    <xf numFmtId="10" fontId="73" fillId="5" borderId="160" xfId="10" applyNumberFormat="1" applyFont="1" applyFill="1" applyBorder="1" applyAlignment="1" applyProtection="1">
      <alignment horizontal="right" vertical="center"/>
      <protection locked="0"/>
    </xf>
    <xf numFmtId="4" fontId="73" fillId="5" borderId="160" xfId="9" applyNumberFormat="1" applyFont="1" applyFill="1" applyBorder="1" applyAlignment="1" applyProtection="1">
      <alignment horizontal="right" vertical="center"/>
      <protection locked="0"/>
    </xf>
    <xf numFmtId="4" fontId="73" fillId="5" borderId="158" xfId="9" applyNumberFormat="1" applyFont="1" applyFill="1" applyBorder="1" applyAlignment="1" applyProtection="1">
      <alignment horizontal="right" vertical="center"/>
      <protection locked="0"/>
    </xf>
    <xf numFmtId="4" fontId="73" fillId="10" borderId="173" xfId="9" applyNumberFormat="1" applyFont="1" applyFill="1" applyBorder="1" applyAlignment="1" applyProtection="1">
      <alignment horizontal="right" vertical="center"/>
    </xf>
    <xf numFmtId="4" fontId="73" fillId="10" borderId="172" xfId="9" applyNumberFormat="1" applyFont="1" applyFill="1" applyBorder="1" applyAlignment="1" applyProtection="1">
      <alignment horizontal="right" vertical="center"/>
    </xf>
    <xf numFmtId="10" fontId="73" fillId="10" borderId="174" xfId="10" applyNumberFormat="1" applyFont="1" applyFill="1" applyBorder="1" applyAlignment="1" applyProtection="1">
      <alignment horizontal="right" vertical="center"/>
    </xf>
    <xf numFmtId="4" fontId="73" fillId="10" borderId="160" xfId="9" applyNumberFormat="1" applyFont="1" applyFill="1" applyBorder="1" applyAlignment="1" applyProtection="1">
      <alignment horizontal="right" vertical="center"/>
    </xf>
    <xf numFmtId="4" fontId="73" fillId="10" borderId="161" xfId="9" applyNumberFormat="1" applyFont="1" applyFill="1" applyBorder="1" applyAlignment="1" applyProtection="1">
      <alignment horizontal="right" vertical="center"/>
    </xf>
    <xf numFmtId="4" fontId="73" fillId="10" borderId="167" xfId="9" applyNumberFormat="1" applyFont="1" applyFill="1" applyBorder="1" applyAlignment="1" applyProtection="1">
      <alignment horizontal="right" vertical="center"/>
    </xf>
    <xf numFmtId="10" fontId="73" fillId="10" borderId="168" xfId="10" applyNumberFormat="1" applyFont="1" applyFill="1" applyBorder="1" applyAlignment="1" applyProtection="1">
      <alignment horizontal="right" vertical="center"/>
    </xf>
    <xf numFmtId="4" fontId="73" fillId="10" borderId="175" xfId="9" applyNumberFormat="1" applyFont="1" applyFill="1" applyBorder="1" applyAlignment="1" applyProtection="1">
      <alignment horizontal="right" vertical="center"/>
    </xf>
    <xf numFmtId="4" fontId="73" fillId="10" borderId="170" xfId="9" applyNumberFormat="1" applyFont="1" applyFill="1" applyBorder="1" applyAlignment="1" applyProtection="1">
      <alignment horizontal="right" vertical="center"/>
    </xf>
    <xf numFmtId="4" fontId="73" fillId="10" borderId="171" xfId="9" applyNumberFormat="1" applyFont="1" applyFill="1" applyBorder="1" applyAlignment="1" applyProtection="1">
      <alignment horizontal="right" vertical="center"/>
    </xf>
    <xf numFmtId="4" fontId="73" fillId="10" borderId="157" xfId="9" applyNumberFormat="1" applyFont="1" applyFill="1" applyBorder="1" applyAlignment="1" applyProtection="1">
      <alignment horizontal="right" vertical="center"/>
      <protection locked="0"/>
    </xf>
    <xf numFmtId="10" fontId="73" fillId="10" borderId="160" xfId="10" applyNumberFormat="1" applyFont="1" applyFill="1" applyBorder="1" applyAlignment="1" applyProtection="1">
      <alignment horizontal="right" vertical="center"/>
      <protection locked="0"/>
    </xf>
    <xf numFmtId="4" fontId="73" fillId="10" borderId="165" xfId="9" applyNumberFormat="1" applyFont="1" applyFill="1" applyBorder="1" applyAlignment="1" applyProtection="1">
      <alignment horizontal="right" vertical="center"/>
      <protection locked="0"/>
    </xf>
    <xf numFmtId="4" fontId="73" fillId="10" borderId="158" xfId="9" applyNumberFormat="1" applyFont="1" applyFill="1" applyBorder="1" applyAlignment="1" applyProtection="1">
      <alignment horizontal="right" vertical="center"/>
      <protection locked="0"/>
    </xf>
    <xf numFmtId="49" fontId="75" fillId="3" borderId="176" xfId="9" applyNumberFormat="1" applyFont="1" applyFill="1" applyBorder="1" applyAlignment="1" applyProtection="1">
      <alignment horizontal="left" vertical="center"/>
      <protection locked="0"/>
    </xf>
    <xf numFmtId="49" fontId="76" fillId="3" borderId="177" xfId="9" applyNumberFormat="1" applyFont="1" applyFill="1" applyBorder="1" applyAlignment="1" applyProtection="1">
      <alignment horizontal="left" vertical="center"/>
      <protection locked="0"/>
    </xf>
    <xf numFmtId="49" fontId="75" fillId="3" borderId="178" xfId="9" applyNumberFormat="1" applyFont="1" applyFill="1" applyBorder="1" applyAlignment="1" applyProtection="1">
      <alignment horizontal="center" vertical="center"/>
      <protection locked="0"/>
    </xf>
    <xf numFmtId="4" fontId="75" fillId="0" borderId="179" xfId="9" applyNumberFormat="1" applyFont="1" applyFill="1" applyBorder="1" applyAlignment="1" applyProtection="1">
      <alignment horizontal="right" vertical="center"/>
    </xf>
    <xf numFmtId="4" fontId="75" fillId="0" borderId="180" xfId="9" applyNumberFormat="1" applyFont="1" applyFill="1" applyBorder="1" applyAlignment="1" applyProtection="1">
      <alignment horizontal="right" vertical="center"/>
    </xf>
    <xf numFmtId="4" fontId="75" fillId="0" borderId="181" xfId="9" applyNumberFormat="1" applyFont="1" applyFill="1" applyBorder="1" applyAlignment="1" applyProtection="1">
      <alignment horizontal="right" vertical="center"/>
    </xf>
    <xf numFmtId="4" fontId="75" fillId="0" borderId="182" xfId="9" applyNumberFormat="1" applyFont="1" applyFill="1" applyBorder="1" applyAlignment="1" applyProtection="1">
      <alignment horizontal="right" vertical="center"/>
    </xf>
    <xf numFmtId="4" fontId="75" fillId="11" borderId="183" xfId="9" applyNumberFormat="1" applyFont="1" applyFill="1" applyBorder="1" applyAlignment="1" applyProtection="1">
      <alignment horizontal="right" vertical="center"/>
    </xf>
    <xf numFmtId="4" fontId="75" fillId="0" borderId="184" xfId="9" applyNumberFormat="1" applyFont="1" applyFill="1" applyBorder="1" applyAlignment="1" applyProtection="1">
      <alignment horizontal="right" vertical="center"/>
    </xf>
    <xf numFmtId="4" fontId="75" fillId="9" borderId="185" xfId="9" applyNumberFormat="1" applyFont="1" applyFill="1" applyBorder="1" applyAlignment="1" applyProtection="1">
      <alignment horizontal="right" vertical="center"/>
    </xf>
    <xf numFmtId="4" fontId="75" fillId="11" borderId="186" xfId="9" applyNumberFormat="1" applyFont="1" applyFill="1" applyBorder="1" applyAlignment="1" applyProtection="1">
      <alignment horizontal="right" vertical="center"/>
    </xf>
    <xf numFmtId="4" fontId="75" fillId="9" borderId="187" xfId="9" applyNumberFormat="1" applyFont="1" applyFill="1" applyBorder="1" applyAlignment="1" applyProtection="1">
      <alignment horizontal="right" vertical="center"/>
    </xf>
    <xf numFmtId="4" fontId="75" fillId="11" borderId="188" xfId="9" applyNumberFormat="1" applyFont="1" applyFill="1" applyBorder="1" applyAlignment="1" applyProtection="1">
      <alignment horizontal="right" vertical="center"/>
    </xf>
    <xf numFmtId="4" fontId="75" fillId="0" borderId="179" xfId="9" applyNumberFormat="1" applyFont="1" applyFill="1" applyBorder="1" applyAlignment="1" applyProtection="1">
      <alignment horizontal="right" vertical="center"/>
      <protection locked="0"/>
    </xf>
    <xf numFmtId="4" fontId="75" fillId="11" borderId="180" xfId="9" applyNumberFormat="1" applyFont="1" applyFill="1" applyBorder="1" applyAlignment="1" applyProtection="1">
      <alignment horizontal="right" vertical="center"/>
      <protection locked="0"/>
    </xf>
    <xf numFmtId="4" fontId="75" fillId="0" borderId="180" xfId="9" applyNumberFormat="1" applyFont="1" applyFill="1" applyBorder="1" applyAlignment="1" applyProtection="1">
      <alignment horizontal="right" vertical="center"/>
      <protection locked="0"/>
    </xf>
    <xf numFmtId="4" fontId="75" fillId="0" borderId="189" xfId="9" applyNumberFormat="1" applyFont="1" applyFill="1" applyBorder="1" applyAlignment="1" applyProtection="1">
      <alignment horizontal="right" vertical="center"/>
      <protection locked="0"/>
    </xf>
    <xf numFmtId="4" fontId="75" fillId="0" borderId="187" xfId="9" applyNumberFormat="1" applyFont="1" applyFill="1" applyBorder="1" applyAlignment="1" applyProtection="1">
      <alignment horizontal="right" vertical="center"/>
    </xf>
    <xf numFmtId="4" fontId="75" fillId="0" borderId="190" xfId="9" applyNumberFormat="1" applyFont="1" applyFill="1" applyBorder="1" applyAlignment="1" applyProtection="1">
      <alignment horizontal="right" vertical="center"/>
    </xf>
    <xf numFmtId="4" fontId="75" fillId="11" borderId="191" xfId="9" applyNumberFormat="1" applyFont="1" applyFill="1" applyBorder="1" applyAlignment="1" applyProtection="1">
      <alignment horizontal="right" vertical="center"/>
    </xf>
    <xf numFmtId="4" fontId="75" fillId="0" borderId="192" xfId="9" applyNumberFormat="1" applyFont="1" applyFill="1" applyBorder="1" applyAlignment="1" applyProtection="1">
      <alignment horizontal="right" vertical="center"/>
    </xf>
    <xf numFmtId="4" fontId="75" fillId="0" borderId="193" xfId="9" applyNumberFormat="1" applyFont="1" applyFill="1" applyBorder="1" applyAlignment="1" applyProtection="1">
      <alignment horizontal="right" vertical="center"/>
    </xf>
    <xf numFmtId="4" fontId="75" fillId="0" borderId="194" xfId="9" applyNumberFormat="1" applyFont="1" applyFill="1" applyBorder="1" applyAlignment="1" applyProtection="1">
      <alignment horizontal="right" vertical="center"/>
    </xf>
    <xf numFmtId="4" fontId="75" fillId="9" borderId="195" xfId="9" applyNumberFormat="1" applyFont="1" applyFill="1" applyBorder="1" applyAlignment="1" applyProtection="1">
      <alignment horizontal="right" vertical="center"/>
    </xf>
    <xf numFmtId="4" fontId="75" fillId="11" borderId="196" xfId="9" applyNumberFormat="1" applyFont="1" applyFill="1" applyBorder="1" applyAlignment="1" applyProtection="1">
      <alignment horizontal="right" vertical="center"/>
    </xf>
    <xf numFmtId="4" fontId="75" fillId="9" borderId="197" xfId="9" applyNumberFormat="1" applyFont="1" applyFill="1" applyBorder="1" applyAlignment="1" applyProtection="1">
      <alignment horizontal="right" vertical="center"/>
    </xf>
    <xf numFmtId="4" fontId="75" fillId="0" borderId="198" xfId="9" applyNumberFormat="1" applyFont="1" applyFill="1" applyBorder="1" applyAlignment="1" applyProtection="1">
      <alignment horizontal="right" vertical="center"/>
      <protection locked="0"/>
    </xf>
    <xf numFmtId="4" fontId="75" fillId="11" borderId="192" xfId="9" applyNumberFormat="1" applyFont="1" applyFill="1" applyBorder="1" applyAlignment="1" applyProtection="1">
      <alignment horizontal="right" vertical="center"/>
      <protection locked="0"/>
    </xf>
    <xf numFmtId="4" fontId="75" fillId="0" borderId="192" xfId="9" applyNumberFormat="1" applyFont="1" applyFill="1" applyBorder="1" applyAlignment="1" applyProtection="1">
      <alignment horizontal="right" vertical="center"/>
      <protection locked="0"/>
    </xf>
    <xf numFmtId="4" fontId="75" fillId="0" borderId="199" xfId="9" applyNumberFormat="1" applyFont="1" applyFill="1" applyBorder="1" applyAlignment="1" applyProtection="1">
      <alignment horizontal="right" vertical="center"/>
      <protection locked="0"/>
    </xf>
    <xf numFmtId="4" fontId="73" fillId="10" borderId="200" xfId="9" applyNumberFormat="1" applyFont="1" applyFill="1" applyBorder="1" applyAlignment="1" applyProtection="1">
      <alignment horizontal="right" vertical="center"/>
    </xf>
    <xf numFmtId="4" fontId="73" fillId="10" borderId="201" xfId="9" applyNumberFormat="1" applyFont="1" applyFill="1" applyBorder="1" applyAlignment="1" applyProtection="1">
      <alignment horizontal="right" vertical="center"/>
    </xf>
    <xf numFmtId="4" fontId="73" fillId="10" borderId="202" xfId="9" applyNumberFormat="1" applyFont="1" applyFill="1" applyBorder="1" applyAlignment="1" applyProtection="1">
      <alignment horizontal="right" vertical="center"/>
    </xf>
    <xf numFmtId="10" fontId="73" fillId="10" borderId="203" xfId="10" applyNumberFormat="1" applyFont="1" applyFill="1" applyBorder="1" applyAlignment="1" applyProtection="1">
      <alignment horizontal="right" vertical="center"/>
    </xf>
    <xf numFmtId="4" fontId="73" fillId="10" borderId="204" xfId="9" applyNumberFormat="1" applyFont="1" applyFill="1" applyBorder="1" applyAlignment="1" applyProtection="1">
      <alignment horizontal="right" vertical="center"/>
    </xf>
    <xf numFmtId="4" fontId="73" fillId="10" borderId="205" xfId="9" applyNumberFormat="1" applyFont="1" applyFill="1" applyBorder="1" applyAlignment="1" applyProtection="1">
      <alignment horizontal="right" vertical="center"/>
    </xf>
    <xf numFmtId="4" fontId="73" fillId="10" borderId="206" xfId="9" applyNumberFormat="1" applyFont="1" applyFill="1" applyBorder="1" applyAlignment="1" applyProtection="1">
      <alignment horizontal="right" vertical="center"/>
    </xf>
    <xf numFmtId="4" fontId="73" fillId="10" borderId="163" xfId="9" applyNumberFormat="1" applyFont="1" applyFill="1" applyBorder="1" applyAlignment="1" applyProtection="1">
      <alignment horizontal="right" vertical="center"/>
      <protection locked="0"/>
    </xf>
    <xf numFmtId="10" fontId="73" fillId="10" borderId="207" xfId="10" applyNumberFormat="1" applyFont="1" applyFill="1" applyBorder="1" applyAlignment="1" applyProtection="1">
      <alignment horizontal="right" vertical="center"/>
      <protection locked="0"/>
    </xf>
    <xf numFmtId="4" fontId="73" fillId="10" borderId="208" xfId="9" applyNumberFormat="1" applyFont="1" applyFill="1" applyBorder="1" applyAlignment="1" applyProtection="1">
      <alignment horizontal="right" vertical="center"/>
      <protection locked="0"/>
    </xf>
    <xf numFmtId="4" fontId="73" fillId="10" borderId="166" xfId="9" applyNumberFormat="1" applyFont="1" applyFill="1" applyBorder="1" applyAlignment="1" applyProtection="1">
      <alignment horizontal="right" vertical="center"/>
      <protection locked="0"/>
    </xf>
    <xf numFmtId="49" fontId="73" fillId="10" borderId="209" xfId="9" applyNumberFormat="1" applyFont="1" applyFill="1" applyBorder="1" applyAlignment="1" applyProtection="1">
      <alignment horizontal="left" vertical="center"/>
      <protection locked="0"/>
    </xf>
    <xf numFmtId="49" fontId="73" fillId="10" borderId="210" xfId="9" applyNumberFormat="1" applyFont="1" applyFill="1" applyBorder="1" applyAlignment="1" applyProtection="1">
      <alignment horizontal="left" vertical="center"/>
      <protection locked="0"/>
    </xf>
    <xf numFmtId="49" fontId="73" fillId="10" borderId="211" xfId="9" applyNumberFormat="1" applyFont="1" applyFill="1" applyBorder="1" applyAlignment="1" applyProtection="1">
      <alignment horizontal="center" vertical="center"/>
      <protection locked="0"/>
    </xf>
    <xf numFmtId="4" fontId="73" fillId="10" borderId="212" xfId="9" applyNumberFormat="1" applyFont="1" applyFill="1" applyBorder="1" applyAlignment="1" applyProtection="1">
      <alignment horizontal="right" vertical="center"/>
    </xf>
    <xf numFmtId="10" fontId="73" fillId="10" borderId="213" xfId="10" applyNumberFormat="1" applyFont="1" applyFill="1" applyBorder="1" applyAlignment="1" applyProtection="1">
      <alignment horizontal="right" vertical="center"/>
    </xf>
    <xf numFmtId="49" fontId="75" fillId="3" borderId="214" xfId="9" applyNumberFormat="1" applyFont="1" applyFill="1" applyBorder="1" applyAlignment="1" applyProtection="1">
      <alignment horizontal="left" vertical="center"/>
      <protection locked="0"/>
    </xf>
    <xf numFmtId="49" fontId="76" fillId="3" borderId="215" xfId="9" applyNumberFormat="1" applyFont="1" applyFill="1" applyBorder="1" applyAlignment="1" applyProtection="1">
      <alignment horizontal="left" vertical="center"/>
      <protection locked="0"/>
    </xf>
    <xf numFmtId="49" fontId="75" fillId="3" borderId="216" xfId="9" applyNumberFormat="1" applyFont="1" applyFill="1" applyBorder="1" applyAlignment="1" applyProtection="1">
      <alignment horizontal="center" vertical="center"/>
      <protection locked="0"/>
    </xf>
    <xf numFmtId="4" fontId="75" fillId="0" borderId="217" xfId="9" applyNumberFormat="1" applyFont="1" applyFill="1" applyBorder="1" applyAlignment="1" applyProtection="1">
      <alignment horizontal="right" vertical="center"/>
    </xf>
    <xf numFmtId="4" fontId="75" fillId="0" borderId="218" xfId="9" applyNumberFormat="1" applyFont="1" applyFill="1" applyBorder="1" applyAlignment="1" applyProtection="1">
      <alignment horizontal="right" vertical="center"/>
    </xf>
    <xf numFmtId="4" fontId="75" fillId="0" borderId="219" xfId="9" applyNumberFormat="1" applyFont="1" applyFill="1" applyBorder="1" applyAlignment="1" applyProtection="1">
      <alignment horizontal="right" vertical="center"/>
    </xf>
    <xf numFmtId="4" fontId="75" fillId="0" borderId="220" xfId="9" applyNumberFormat="1" applyFont="1" applyFill="1" applyBorder="1" applyAlignment="1" applyProtection="1">
      <alignment horizontal="right" vertical="center"/>
    </xf>
    <xf numFmtId="4" fontId="75" fillId="11" borderId="221" xfId="9" applyNumberFormat="1" applyFont="1" applyFill="1" applyBorder="1" applyAlignment="1" applyProtection="1">
      <alignment horizontal="right" vertical="center"/>
    </xf>
    <xf numFmtId="4" fontId="75" fillId="0" borderId="222" xfId="9" applyNumberFormat="1" applyFont="1" applyFill="1" applyBorder="1" applyAlignment="1" applyProtection="1">
      <alignment horizontal="right" vertical="center"/>
    </xf>
    <xf numFmtId="4" fontId="75" fillId="9" borderId="223" xfId="9" applyNumberFormat="1" applyFont="1" applyFill="1" applyBorder="1" applyAlignment="1" applyProtection="1">
      <alignment horizontal="right" vertical="center"/>
    </xf>
    <xf numFmtId="4" fontId="75" fillId="11" borderId="224" xfId="9" applyNumberFormat="1" applyFont="1" applyFill="1" applyBorder="1" applyAlignment="1" applyProtection="1">
      <alignment horizontal="right" vertical="center"/>
    </xf>
    <xf numFmtId="4" fontId="75" fillId="9" borderId="225" xfId="9" applyNumberFormat="1" applyFont="1" applyFill="1" applyBorder="1" applyAlignment="1" applyProtection="1">
      <alignment horizontal="right" vertical="center"/>
    </xf>
    <xf numFmtId="4" fontId="75" fillId="11" borderId="226" xfId="9" applyNumberFormat="1" applyFont="1" applyFill="1" applyBorder="1" applyAlignment="1" applyProtection="1">
      <alignment horizontal="right" vertical="center"/>
    </xf>
    <xf numFmtId="4" fontId="75" fillId="0" borderId="227" xfId="9" applyNumberFormat="1" applyFont="1" applyFill="1" applyBorder="1" applyAlignment="1" applyProtection="1">
      <alignment horizontal="right" vertical="center"/>
      <protection locked="0"/>
    </xf>
    <xf numFmtId="4" fontId="75" fillId="11" borderId="228" xfId="9" applyNumberFormat="1" applyFont="1" applyFill="1" applyBorder="1" applyAlignment="1" applyProtection="1">
      <alignment horizontal="right" vertical="center"/>
      <protection locked="0"/>
    </xf>
    <xf numFmtId="4" fontId="75" fillId="0" borderId="228" xfId="9" applyNumberFormat="1" applyFont="1" applyFill="1" applyBorder="1" applyAlignment="1" applyProtection="1">
      <alignment horizontal="right" vertical="center"/>
      <protection locked="0"/>
    </xf>
    <xf numFmtId="4" fontId="75" fillId="0" borderId="229" xfId="9" applyNumberFormat="1" applyFont="1" applyFill="1" applyBorder="1" applyAlignment="1" applyProtection="1">
      <alignment horizontal="right" vertical="center"/>
      <protection locked="0"/>
    </xf>
    <xf numFmtId="49" fontId="73" fillId="5" borderId="209" xfId="9" applyNumberFormat="1" applyFont="1" applyFill="1" applyBorder="1" applyAlignment="1" applyProtection="1">
      <alignment horizontal="left" vertical="center"/>
      <protection locked="0"/>
    </xf>
    <xf numFmtId="49" fontId="73" fillId="5" borderId="210" xfId="9" applyNumberFormat="1" applyFont="1" applyFill="1" applyBorder="1" applyAlignment="1" applyProtection="1">
      <alignment horizontal="center" vertical="center"/>
      <protection locked="0"/>
    </xf>
    <xf numFmtId="49" fontId="73" fillId="5" borderId="211" xfId="9" applyNumberFormat="1" applyFont="1" applyFill="1" applyBorder="1" applyAlignment="1" applyProtection="1">
      <alignment horizontal="center" vertical="center"/>
      <protection locked="0"/>
    </xf>
    <xf numFmtId="4" fontId="73" fillId="5" borderId="212" xfId="9" applyNumberFormat="1" applyFont="1" applyFill="1" applyBorder="1" applyAlignment="1" applyProtection="1">
      <alignment horizontal="right" vertical="center"/>
    </xf>
    <xf numFmtId="4" fontId="73" fillId="5" borderId="173" xfId="9" applyNumberFormat="1" applyFont="1" applyFill="1" applyBorder="1" applyAlignment="1" applyProtection="1">
      <alignment horizontal="right" vertical="center"/>
    </xf>
    <xf numFmtId="4" fontId="73" fillId="5" borderId="201" xfId="9" applyNumberFormat="1" applyFont="1" applyFill="1" applyBorder="1" applyAlignment="1" applyProtection="1">
      <alignment horizontal="right" vertical="center"/>
    </xf>
    <xf numFmtId="4" fontId="73" fillId="5" borderId="230" xfId="9" applyNumberFormat="1" applyFont="1" applyFill="1" applyBorder="1" applyAlignment="1" applyProtection="1">
      <alignment horizontal="right" vertical="center"/>
    </xf>
    <xf numFmtId="4" fontId="73" fillId="5" borderId="231" xfId="9" applyNumberFormat="1" applyFont="1" applyFill="1" applyBorder="1" applyAlignment="1" applyProtection="1">
      <alignment horizontal="right" vertical="center"/>
    </xf>
    <xf numFmtId="10" fontId="73" fillId="5" borderId="232" xfId="10" applyNumberFormat="1" applyFont="1" applyFill="1" applyBorder="1" applyAlignment="1" applyProtection="1">
      <alignment horizontal="right" vertical="center"/>
    </xf>
    <xf numFmtId="4" fontId="73" fillId="5" borderId="175" xfId="9" applyNumberFormat="1" applyFont="1" applyFill="1" applyBorder="1" applyAlignment="1" applyProtection="1">
      <alignment horizontal="right" vertical="center"/>
    </xf>
    <xf numFmtId="4" fontId="73" fillId="5" borderId="233" xfId="9" applyNumberFormat="1" applyFont="1" applyFill="1" applyBorder="1" applyAlignment="1" applyProtection="1">
      <alignment horizontal="right" vertical="center"/>
    </xf>
    <xf numFmtId="4" fontId="73" fillId="5" borderId="234" xfId="9" applyNumberFormat="1" applyFont="1" applyFill="1" applyBorder="1" applyAlignment="1" applyProtection="1">
      <alignment horizontal="right" vertical="center"/>
    </xf>
    <xf numFmtId="4" fontId="73" fillId="5" borderId="200" xfId="9" applyNumberFormat="1" applyFont="1" applyFill="1" applyBorder="1" applyAlignment="1" applyProtection="1">
      <alignment horizontal="right" vertical="center"/>
    </xf>
    <xf numFmtId="4" fontId="73" fillId="5" borderId="212" xfId="9" applyNumberFormat="1" applyFont="1" applyFill="1" applyBorder="1" applyAlignment="1" applyProtection="1">
      <alignment horizontal="right" vertical="center"/>
      <protection locked="0"/>
    </xf>
    <xf numFmtId="10" fontId="73" fillId="5" borderId="173" xfId="10" applyNumberFormat="1" applyFont="1" applyFill="1" applyBorder="1" applyAlignment="1" applyProtection="1">
      <alignment horizontal="right" vertical="center"/>
      <protection locked="0"/>
    </xf>
    <xf numFmtId="4" fontId="73" fillId="5" borderId="173" xfId="9" applyNumberFormat="1" applyFont="1" applyFill="1" applyBorder="1" applyAlignment="1" applyProtection="1">
      <alignment horizontal="right" vertical="center"/>
      <protection locked="0"/>
    </xf>
    <xf numFmtId="4" fontId="73" fillId="5" borderId="235" xfId="9" applyNumberFormat="1" applyFont="1" applyFill="1" applyBorder="1" applyAlignment="1" applyProtection="1">
      <alignment horizontal="right" vertical="center"/>
      <protection locked="0"/>
    </xf>
    <xf numFmtId="49" fontId="76" fillId="3" borderId="236" xfId="9" applyNumberFormat="1" applyFont="1" applyFill="1" applyBorder="1" applyAlignment="1" applyProtection="1">
      <alignment horizontal="left" vertical="center"/>
      <protection locked="0"/>
    </xf>
    <xf numFmtId="4" fontId="75" fillId="0" borderId="236" xfId="9" applyNumberFormat="1" applyFont="1" applyFill="1" applyBorder="1" applyAlignment="1" applyProtection="1">
      <alignment horizontal="right" vertical="center"/>
    </xf>
    <xf numFmtId="4" fontId="75" fillId="0" borderId="237" xfId="9" applyNumberFormat="1" applyFont="1" applyFill="1" applyBorder="1" applyAlignment="1" applyProtection="1">
      <alignment horizontal="right" vertical="center"/>
    </xf>
    <xf numFmtId="49" fontId="73" fillId="5" borderId="209" xfId="9" applyNumberFormat="1" applyFont="1" applyFill="1" applyBorder="1" applyAlignment="1" applyProtection="1">
      <alignment horizontal="center" vertical="center"/>
      <protection locked="0"/>
    </xf>
    <xf numFmtId="4" fontId="73" fillId="5" borderId="238" xfId="9" applyNumberFormat="1" applyFont="1" applyFill="1" applyBorder="1" applyAlignment="1" applyProtection="1">
      <alignment horizontal="right" vertical="center"/>
    </xf>
    <xf numFmtId="4" fontId="73" fillId="5" borderId="239" xfId="9" applyNumberFormat="1" applyFont="1" applyFill="1" applyBorder="1" applyAlignment="1" applyProtection="1">
      <alignment horizontal="right" vertical="center"/>
    </xf>
    <xf numFmtId="4" fontId="73" fillId="5" borderId="210" xfId="9" applyNumberFormat="1" applyFont="1" applyFill="1" applyBorder="1" applyAlignment="1" applyProtection="1">
      <alignment horizontal="right" vertical="center"/>
    </xf>
    <xf numFmtId="4" fontId="73" fillId="5" borderId="202" xfId="9" applyNumberFormat="1" applyFont="1" applyFill="1" applyBorder="1" applyAlignment="1" applyProtection="1">
      <alignment horizontal="right" vertical="center"/>
    </xf>
    <xf numFmtId="10" fontId="73" fillId="5" borderId="207" xfId="10" applyNumberFormat="1" applyFont="1" applyFill="1" applyBorder="1" applyAlignment="1" applyProtection="1">
      <alignment horizontal="right" vertical="center"/>
    </xf>
    <xf numFmtId="4" fontId="73" fillId="5" borderId="207" xfId="9" applyNumberFormat="1" applyFont="1" applyFill="1" applyBorder="1" applyAlignment="1" applyProtection="1">
      <alignment horizontal="right" vertical="center"/>
    </xf>
    <xf numFmtId="10" fontId="73" fillId="5" borderId="230" xfId="10" applyNumberFormat="1" applyFont="1" applyFill="1" applyBorder="1" applyAlignment="1" applyProtection="1">
      <alignment horizontal="right" vertical="center"/>
    </xf>
    <xf numFmtId="4" fontId="73" fillId="5" borderId="240" xfId="9" applyNumberFormat="1" applyFont="1" applyFill="1" applyBorder="1" applyAlignment="1" applyProtection="1">
      <alignment horizontal="right" vertical="center"/>
    </xf>
    <xf numFmtId="4" fontId="75" fillId="0" borderId="241" xfId="9" applyNumberFormat="1" applyFont="1" applyFill="1" applyBorder="1" applyAlignment="1" applyProtection="1">
      <alignment horizontal="right" vertical="center"/>
    </xf>
    <xf numFmtId="4" fontId="75" fillId="9" borderId="183" xfId="9" applyNumberFormat="1" applyFont="1" applyFill="1" applyBorder="1" applyAlignment="1" applyProtection="1">
      <alignment horizontal="right" vertical="center"/>
    </xf>
    <xf numFmtId="4" fontId="75" fillId="0" borderId="189" xfId="9" applyNumberFormat="1" applyFont="1" applyFill="1" applyBorder="1" applyAlignment="1" applyProtection="1">
      <alignment horizontal="right" vertical="center"/>
    </xf>
    <xf numFmtId="4" fontId="75" fillId="9" borderId="242" xfId="9" applyNumberFormat="1" applyFont="1" applyFill="1" applyBorder="1" applyAlignment="1" applyProtection="1">
      <alignment horizontal="right" vertical="center"/>
    </xf>
    <xf numFmtId="2" fontId="75" fillId="12" borderId="243" xfId="9" applyNumberFormat="1" applyFont="1" applyFill="1" applyBorder="1" applyAlignment="1" applyProtection="1">
      <alignment horizontal="right" vertical="center"/>
    </xf>
    <xf numFmtId="4" fontId="75" fillId="12" borderId="188" xfId="9" applyNumberFormat="1" applyFont="1" applyFill="1" applyBorder="1" applyAlignment="1" applyProtection="1">
      <alignment horizontal="right" vertical="center"/>
    </xf>
    <xf numFmtId="4" fontId="75" fillId="12" borderId="180" xfId="9" applyNumberFormat="1" applyFont="1" applyFill="1" applyBorder="1" applyAlignment="1" applyProtection="1">
      <alignment horizontal="right" vertical="center"/>
      <protection locked="0"/>
    </xf>
    <xf numFmtId="4" fontId="75" fillId="0" borderId="176" xfId="9" applyNumberFormat="1" applyFont="1" applyFill="1" applyBorder="1" applyAlignment="1" applyProtection="1">
      <alignment horizontal="right" vertical="center"/>
    </xf>
    <xf numFmtId="2" fontId="75" fillId="12" borderId="244" xfId="9" applyNumberFormat="1" applyFont="1" applyFill="1" applyBorder="1" applyAlignment="1" applyProtection="1">
      <alignment horizontal="right" vertical="center"/>
    </xf>
    <xf numFmtId="4" fontId="75" fillId="0" borderId="180" xfId="9" applyNumberFormat="1" applyFont="1" applyFill="1" applyBorder="1" applyAlignment="1" applyProtection="1">
      <alignment horizontal="left" vertical="center"/>
    </xf>
    <xf numFmtId="49" fontId="75" fillId="3" borderId="245" xfId="9" applyNumberFormat="1" applyFont="1" applyFill="1" applyBorder="1" applyAlignment="1" applyProtection="1">
      <alignment horizontal="left" vertical="center"/>
      <protection locked="0"/>
    </xf>
    <xf numFmtId="49" fontId="76" fillId="3" borderId="246" xfId="9" applyNumberFormat="1" applyFont="1" applyFill="1" applyBorder="1" applyAlignment="1" applyProtection="1">
      <alignment horizontal="left" vertical="center"/>
      <protection locked="0"/>
    </xf>
    <xf numFmtId="49" fontId="75" fillId="3" borderId="247" xfId="9" applyNumberFormat="1" applyFont="1" applyFill="1" applyBorder="1" applyAlignment="1" applyProtection="1">
      <alignment horizontal="center" vertical="center"/>
      <protection locked="0"/>
    </xf>
    <xf numFmtId="4" fontId="75" fillId="9" borderId="248" xfId="9" applyNumberFormat="1" applyFont="1" applyFill="1" applyBorder="1" applyAlignment="1" applyProtection="1">
      <alignment horizontal="right" vertical="center"/>
    </xf>
    <xf numFmtId="2" fontId="75" fillId="12" borderId="249" xfId="9" applyNumberFormat="1" applyFont="1" applyFill="1" applyBorder="1" applyAlignment="1" applyProtection="1">
      <alignment horizontal="right" vertical="center"/>
    </xf>
    <xf numFmtId="4" fontId="75" fillId="0" borderId="197" xfId="9" applyNumberFormat="1" applyFont="1" applyFill="1" applyBorder="1" applyAlignment="1" applyProtection="1">
      <alignment horizontal="right" vertical="center"/>
    </xf>
    <xf numFmtId="4" fontId="75" fillId="12" borderId="250" xfId="9" applyNumberFormat="1" applyFont="1" applyFill="1" applyBorder="1" applyAlignment="1" applyProtection="1">
      <alignment horizontal="right" vertical="center"/>
    </xf>
    <xf numFmtId="4" fontId="75" fillId="12" borderId="192" xfId="9" applyNumberFormat="1" applyFont="1" applyFill="1" applyBorder="1" applyAlignment="1" applyProtection="1">
      <alignment horizontal="right" vertical="center"/>
      <protection locked="0"/>
    </xf>
    <xf numFmtId="4" fontId="75" fillId="0" borderId="245" xfId="9" applyNumberFormat="1" applyFont="1" applyFill="1" applyBorder="1" applyAlignment="1" applyProtection="1">
      <alignment horizontal="right" vertical="center"/>
    </xf>
    <xf numFmtId="4" fontId="75" fillId="9" borderId="191" xfId="9" applyNumberFormat="1" applyFont="1" applyFill="1" applyBorder="1" applyAlignment="1" applyProtection="1">
      <alignment horizontal="right" vertical="center"/>
    </xf>
    <xf numFmtId="4" fontId="75" fillId="0" borderId="199" xfId="9" applyNumberFormat="1" applyFont="1" applyFill="1" applyBorder="1" applyAlignment="1" applyProtection="1">
      <alignment horizontal="right" vertical="center"/>
    </xf>
    <xf numFmtId="4" fontId="75" fillId="0" borderId="251" xfId="9" applyNumberFormat="1" applyFont="1" applyFill="1" applyBorder="1" applyAlignment="1" applyProtection="1">
      <alignment horizontal="right" vertical="center"/>
    </xf>
    <xf numFmtId="4" fontId="75" fillId="9" borderId="252" xfId="9" applyNumberFormat="1" applyFont="1" applyFill="1" applyBorder="1" applyAlignment="1" applyProtection="1">
      <alignment horizontal="right" vertical="center"/>
    </xf>
    <xf numFmtId="4" fontId="75" fillId="0" borderId="228" xfId="9" applyNumberFormat="1" applyFont="1" applyFill="1" applyBorder="1" applyAlignment="1" applyProtection="1">
      <alignment horizontal="right" vertical="center"/>
    </xf>
    <xf numFmtId="4" fontId="75" fillId="0" borderId="229" xfId="9" applyNumberFormat="1" applyFont="1" applyFill="1" applyBorder="1" applyAlignment="1" applyProtection="1">
      <alignment horizontal="right" vertical="center"/>
    </xf>
    <xf numFmtId="4" fontId="75" fillId="9" borderId="253" xfId="9" applyNumberFormat="1" applyFont="1" applyFill="1" applyBorder="1" applyAlignment="1" applyProtection="1">
      <alignment horizontal="right" vertical="center"/>
    </xf>
    <xf numFmtId="4" fontId="75" fillId="0" borderId="225" xfId="9" applyNumberFormat="1" applyFont="1" applyFill="1" applyBorder="1" applyAlignment="1" applyProtection="1">
      <alignment horizontal="right" vertical="center"/>
    </xf>
    <xf numFmtId="4" fontId="75" fillId="12" borderId="226" xfId="9" applyNumberFormat="1" applyFont="1" applyFill="1" applyBorder="1" applyAlignment="1" applyProtection="1">
      <alignment horizontal="right" vertical="center"/>
    </xf>
    <xf numFmtId="4" fontId="75" fillId="0" borderId="217" xfId="9" applyNumberFormat="1" applyFont="1" applyFill="1" applyBorder="1" applyAlignment="1" applyProtection="1">
      <alignment horizontal="right" vertical="center"/>
      <protection locked="0"/>
    </xf>
    <xf numFmtId="4" fontId="75" fillId="12" borderId="218" xfId="9" applyNumberFormat="1" applyFont="1" applyFill="1" applyBorder="1" applyAlignment="1" applyProtection="1">
      <alignment horizontal="right" vertical="center"/>
      <protection locked="0"/>
    </xf>
    <xf numFmtId="4" fontId="75" fillId="0" borderId="218" xfId="9" applyNumberFormat="1" applyFont="1" applyFill="1" applyBorder="1" applyAlignment="1" applyProtection="1">
      <alignment horizontal="right" vertical="center"/>
      <protection locked="0"/>
    </xf>
    <xf numFmtId="4" fontId="75" fillId="0" borderId="254" xfId="9" applyNumberFormat="1" applyFont="1" applyFill="1" applyBorder="1" applyAlignment="1" applyProtection="1">
      <alignment horizontal="right" vertical="center"/>
      <protection locked="0"/>
    </xf>
    <xf numFmtId="49" fontId="73" fillId="3" borderId="163" xfId="9" applyNumberFormat="1" applyFont="1" applyFill="1" applyBorder="1" applyAlignment="1" applyProtection="1">
      <alignment horizontal="center" vertical="center"/>
      <protection locked="0"/>
    </xf>
    <xf numFmtId="49" fontId="73" fillId="3" borderId="258" xfId="9" applyNumberFormat="1" applyFont="1" applyFill="1" applyBorder="1" applyAlignment="1" applyProtection="1">
      <alignment horizontal="center" vertical="center"/>
      <protection locked="0"/>
    </xf>
    <xf numFmtId="49" fontId="73" fillId="3" borderId="259" xfId="9" applyNumberFormat="1" applyFont="1" applyFill="1" applyBorder="1" applyAlignment="1" applyProtection="1">
      <alignment horizontal="center" vertical="center"/>
      <protection locked="0"/>
    </xf>
    <xf numFmtId="49" fontId="73" fillId="3" borderId="263" xfId="9" applyNumberFormat="1" applyFont="1" applyFill="1" applyBorder="1" applyAlignment="1" applyProtection="1">
      <alignment horizontal="center" vertical="center"/>
      <protection locked="0"/>
    </xf>
    <xf numFmtId="49" fontId="73" fillId="2" borderId="266" xfId="9" applyNumberFormat="1" applyFont="1" applyFill="1" applyBorder="1" applyAlignment="1" applyProtection="1">
      <alignment horizontal="center" vertical="center"/>
      <protection locked="0"/>
    </xf>
    <xf numFmtId="49" fontId="73" fillId="2" borderId="272" xfId="9" applyNumberFormat="1" applyFont="1" applyFill="1" applyBorder="1" applyAlignment="1" applyProtection="1">
      <alignment horizontal="center" vertical="center"/>
      <protection locked="0"/>
    </xf>
    <xf numFmtId="49" fontId="73" fillId="2" borderId="273" xfId="9" applyNumberFormat="1" applyFont="1" applyFill="1" applyBorder="1" applyAlignment="1" applyProtection="1">
      <alignment horizontal="center" vertical="center"/>
      <protection locked="0"/>
    </xf>
    <xf numFmtId="49" fontId="73" fillId="2" borderId="276" xfId="9" applyNumberFormat="1" applyFont="1" applyFill="1" applyBorder="1" applyAlignment="1" applyProtection="1">
      <alignment horizontal="center" vertical="center"/>
      <protection locked="0"/>
    </xf>
    <xf numFmtId="49" fontId="73" fillId="2" borderId="277" xfId="9" applyNumberFormat="1" applyFont="1" applyFill="1" applyBorder="1" applyAlignment="1" applyProtection="1">
      <alignment horizontal="center" vertical="center"/>
      <protection locked="0"/>
    </xf>
    <xf numFmtId="49" fontId="73" fillId="2" borderId="279" xfId="9" applyNumberFormat="1" applyFont="1" applyFill="1" applyBorder="1" applyAlignment="1" applyProtection="1">
      <alignment horizontal="center" vertical="center"/>
      <protection locked="0"/>
    </xf>
    <xf numFmtId="49" fontId="73" fillId="2" borderId="280" xfId="9" applyNumberFormat="1" applyFont="1" applyFill="1" applyBorder="1" applyAlignment="1" applyProtection="1">
      <alignment horizontal="center" vertical="center"/>
      <protection locked="0"/>
    </xf>
    <xf numFmtId="4" fontId="75" fillId="11" borderId="250" xfId="9" applyNumberFormat="1" applyFont="1" applyFill="1" applyBorder="1" applyAlignment="1" applyProtection="1">
      <alignment horizontal="right" vertical="center"/>
    </xf>
    <xf numFmtId="4" fontId="73" fillId="10" borderId="231" xfId="9" applyNumberFormat="1" applyFont="1" applyFill="1" applyBorder="1" applyAlignment="1" applyProtection="1">
      <alignment horizontal="right" vertical="center"/>
    </xf>
    <xf numFmtId="10" fontId="73" fillId="10" borderId="232" xfId="10" applyNumberFormat="1" applyFont="1" applyFill="1" applyBorder="1" applyAlignment="1" applyProtection="1">
      <alignment horizontal="right" vertical="center"/>
    </xf>
    <xf numFmtId="4" fontId="73" fillId="10" borderId="240" xfId="9" applyNumberFormat="1" applyFont="1" applyFill="1" applyBorder="1" applyAlignment="1" applyProtection="1">
      <alignment horizontal="right" vertical="center"/>
    </xf>
    <xf numFmtId="4" fontId="73" fillId="10" borderId="234" xfId="9" applyNumberFormat="1" applyFont="1" applyFill="1" applyBorder="1" applyAlignment="1" applyProtection="1">
      <alignment horizontal="right" vertical="center"/>
    </xf>
    <xf numFmtId="4" fontId="73" fillId="10" borderId="207" xfId="9" applyNumberFormat="1" applyFont="1" applyFill="1" applyBorder="1" applyAlignment="1" applyProtection="1">
      <alignment horizontal="right" vertical="center"/>
      <protection locked="0"/>
    </xf>
    <xf numFmtId="4" fontId="75" fillId="0" borderId="177" xfId="9" applyNumberFormat="1" applyFont="1" applyFill="1" applyBorder="1" applyAlignment="1" applyProtection="1">
      <alignment horizontal="right" vertical="center"/>
    </xf>
    <xf numFmtId="4" fontId="75" fillId="0" borderId="182" xfId="9" applyNumberFormat="1" applyFont="1" applyFill="1" applyBorder="1" applyAlignment="1" applyProtection="1">
      <alignment horizontal="right" vertical="center"/>
      <protection locked="0"/>
    </xf>
    <xf numFmtId="2" fontId="75" fillId="12" borderId="281" xfId="9" applyNumberFormat="1" applyFont="1" applyFill="1" applyBorder="1" applyAlignment="1" applyProtection="1">
      <alignment horizontal="right" vertical="center"/>
    </xf>
    <xf numFmtId="4" fontId="75" fillId="0" borderId="220" xfId="9" applyNumberFormat="1" applyFont="1" applyFill="1" applyBorder="1" applyAlignment="1" applyProtection="1">
      <alignment horizontal="right" vertical="center"/>
      <protection locked="0"/>
    </xf>
    <xf numFmtId="4" fontId="75" fillId="0" borderId="214" xfId="9" applyNumberFormat="1" applyFont="1" applyFill="1" applyBorder="1" applyAlignment="1" applyProtection="1">
      <alignment horizontal="right" vertical="center"/>
    </xf>
    <xf numFmtId="4" fontId="75" fillId="9" borderId="221" xfId="9" applyNumberFormat="1" applyFont="1" applyFill="1" applyBorder="1" applyAlignment="1" applyProtection="1">
      <alignment horizontal="right" vertical="center"/>
    </xf>
    <xf numFmtId="4" fontId="75" fillId="0" borderId="254" xfId="9" applyNumberFormat="1" applyFont="1" applyFill="1" applyBorder="1" applyAlignment="1" applyProtection="1">
      <alignment horizontal="right" vertical="center"/>
    </xf>
    <xf numFmtId="2" fontId="75" fillId="12" borderId="282" xfId="9" applyNumberFormat="1" applyFont="1" applyFill="1" applyBorder="1" applyAlignment="1" applyProtection="1">
      <alignment horizontal="right" vertical="center"/>
    </xf>
    <xf numFmtId="4" fontId="75" fillId="12" borderId="228" xfId="9" applyNumberFormat="1" applyFont="1" applyFill="1" applyBorder="1" applyAlignment="1" applyProtection="1">
      <alignment horizontal="right" vertical="center"/>
      <protection locked="0"/>
    </xf>
    <xf numFmtId="10" fontId="73" fillId="5" borderId="283" xfId="10" applyNumberFormat="1" applyFont="1" applyFill="1" applyBorder="1" applyAlignment="1" applyProtection="1">
      <alignment horizontal="right" vertical="center"/>
    </xf>
    <xf numFmtId="4" fontId="73" fillId="5" borderId="211" xfId="9" applyNumberFormat="1" applyFont="1" applyFill="1" applyBorder="1" applyAlignment="1" applyProtection="1">
      <alignment horizontal="right" vertical="center"/>
    </xf>
    <xf numFmtId="10" fontId="73" fillId="5" borderId="284" xfId="10" applyNumberFormat="1" applyFont="1" applyFill="1" applyBorder="1" applyAlignment="1" applyProtection="1">
      <alignment horizontal="right" vertical="center"/>
    </xf>
    <xf numFmtId="4" fontId="73" fillId="5" borderId="285" xfId="9" applyNumberFormat="1" applyFont="1" applyFill="1" applyBorder="1" applyAlignment="1" applyProtection="1">
      <alignment horizontal="right" vertical="center"/>
    </xf>
    <xf numFmtId="4" fontId="73" fillId="5" borderId="156" xfId="9" applyNumberFormat="1" applyFont="1" applyFill="1" applyBorder="1" applyAlignment="1" applyProtection="1">
      <alignment horizontal="right" vertical="center"/>
    </xf>
    <xf numFmtId="4" fontId="75" fillId="9" borderId="286" xfId="9" applyNumberFormat="1" applyFont="1" applyFill="1" applyBorder="1" applyAlignment="1" applyProtection="1">
      <alignment horizontal="right" vertical="center"/>
    </xf>
    <xf numFmtId="4" fontId="75" fillId="9" borderId="287" xfId="9" applyNumberFormat="1" applyFont="1" applyFill="1" applyBorder="1" applyAlignment="1" applyProtection="1">
      <alignment horizontal="right" vertical="center"/>
    </xf>
    <xf numFmtId="2" fontId="75" fillId="12" borderId="288" xfId="9" applyNumberFormat="1" applyFont="1" applyFill="1" applyBorder="1" applyAlignment="1" applyProtection="1">
      <alignment horizontal="right" vertical="center"/>
    </xf>
    <xf numFmtId="0" fontId="79" fillId="0" borderId="0" xfId="11" applyFont="1" applyAlignment="1" applyProtection="1">
      <alignment vertical="center"/>
      <protection locked="0" hidden="1"/>
    </xf>
    <xf numFmtId="170" fontId="79" fillId="0" borderId="0" xfId="11" applyNumberFormat="1" applyFont="1" applyAlignment="1" applyProtection="1">
      <alignment vertical="center"/>
      <protection locked="0" hidden="1"/>
    </xf>
    <xf numFmtId="3" fontId="79" fillId="0" borderId="0" xfId="11" applyNumberFormat="1" applyFont="1" applyAlignment="1" applyProtection="1">
      <alignment vertical="center"/>
      <protection locked="0" hidden="1"/>
    </xf>
    <xf numFmtId="0" fontId="126" fillId="0" borderId="0" xfId="0" applyFont="1" applyProtection="1">
      <protection locked="0" hidden="1"/>
    </xf>
    <xf numFmtId="0" fontId="82" fillId="14" borderId="0" xfId="11" applyFont="1" applyFill="1" applyBorder="1" applyAlignment="1" applyProtection="1">
      <alignment horizontal="center" vertical="center"/>
      <protection locked="0" hidden="1"/>
    </xf>
    <xf numFmtId="0" fontId="81" fillId="0" borderId="0" xfId="11" applyFont="1" applyBorder="1" applyAlignment="1" applyProtection="1">
      <alignment vertical="center"/>
      <protection locked="0" hidden="1"/>
    </xf>
    <xf numFmtId="0" fontId="81" fillId="0" borderId="0" xfId="11" applyFont="1" applyAlignment="1" applyProtection="1">
      <alignment vertical="center"/>
      <protection locked="0" hidden="1"/>
    </xf>
    <xf numFmtId="9" fontId="79" fillId="0" borderId="0" xfId="12" applyFont="1" applyAlignment="1" applyProtection="1">
      <alignment vertical="center"/>
      <protection locked="0" hidden="1"/>
    </xf>
    <xf numFmtId="0" fontId="79" fillId="9" borderId="0" xfId="11" applyFont="1" applyFill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vertical="center"/>
      <protection locked="0" hidden="1"/>
    </xf>
    <xf numFmtId="0" fontId="79" fillId="0" borderId="0" xfId="11" applyFont="1" applyBorder="1" applyAlignment="1" applyProtection="1">
      <alignment horizontal="center" vertical="center"/>
      <protection locked="0" hidden="1"/>
    </xf>
    <xf numFmtId="3" fontId="79" fillId="0" borderId="0" xfId="11" applyNumberFormat="1" applyFont="1" applyBorder="1" applyAlignment="1" applyProtection="1">
      <alignment vertical="center"/>
      <protection locked="0" hidden="1"/>
    </xf>
    <xf numFmtId="0" fontId="81" fillId="0" borderId="295" xfId="11" applyFont="1" applyBorder="1" applyAlignment="1" applyProtection="1">
      <alignment vertical="center"/>
      <protection locked="0" hidden="1"/>
    </xf>
    <xf numFmtId="0" fontId="79" fillId="0" borderId="295" xfId="11" applyFont="1" applyBorder="1" applyAlignment="1" applyProtection="1">
      <alignment vertical="center"/>
      <protection locked="0" hidden="1"/>
    </xf>
    <xf numFmtId="0" fontId="79" fillId="0" borderId="294" xfId="11" applyFont="1" applyBorder="1" applyAlignment="1" applyProtection="1">
      <alignment vertical="center"/>
      <protection locked="0" hidden="1"/>
    </xf>
    <xf numFmtId="0" fontId="79" fillId="0" borderId="307" xfId="11" applyFont="1" applyBorder="1" applyAlignment="1" applyProtection="1">
      <alignment vertical="center"/>
      <protection locked="0" hidden="1"/>
    </xf>
    <xf numFmtId="0" fontId="79" fillId="0" borderId="308" xfId="11" applyFont="1" applyBorder="1" applyAlignment="1" applyProtection="1">
      <alignment vertical="center"/>
      <protection locked="0" hidden="1"/>
    </xf>
    <xf numFmtId="0" fontId="81" fillId="0" borderId="309" xfId="11" applyFont="1" applyBorder="1" applyAlignment="1" applyProtection="1">
      <alignment vertical="center"/>
      <protection locked="0" hidden="1"/>
    </xf>
    <xf numFmtId="0" fontId="79" fillId="0" borderId="309" xfId="11" applyFont="1" applyBorder="1" applyAlignment="1" applyProtection="1">
      <alignment vertical="center"/>
      <protection locked="0" hidden="1"/>
    </xf>
    <xf numFmtId="0" fontId="79" fillId="0" borderId="310" xfId="11" applyFont="1" applyBorder="1" applyAlignment="1" applyProtection="1">
      <alignment vertical="center"/>
      <protection locked="0" hidden="1"/>
    </xf>
    <xf numFmtId="0" fontId="81" fillId="0" borderId="294" xfId="11" applyFont="1" applyBorder="1" applyAlignment="1" applyProtection="1">
      <alignment vertical="center"/>
      <protection locked="0" hidden="1"/>
    </xf>
    <xf numFmtId="0" fontId="79" fillId="0" borderId="298" xfId="11" quotePrefix="1" applyFont="1" applyBorder="1" applyAlignment="1" applyProtection="1">
      <alignment horizontal="center" vertical="center"/>
      <protection locked="0" hidden="1"/>
    </xf>
    <xf numFmtId="0" fontId="79" fillId="0" borderId="311" xfId="11" applyFont="1" applyBorder="1" applyAlignment="1" applyProtection="1">
      <alignment horizontal="center" vertical="center"/>
      <protection locked="0" hidden="1"/>
    </xf>
    <xf numFmtId="0" fontId="79" fillId="0" borderId="311" xfId="11" quotePrefix="1" applyFont="1" applyBorder="1" applyAlignment="1" applyProtection="1">
      <alignment horizontal="center" vertical="center"/>
      <protection locked="0" hidden="1"/>
    </xf>
    <xf numFmtId="0" fontId="79" fillId="0" borderId="299" xfId="11" quotePrefix="1" applyFont="1" applyBorder="1" applyAlignment="1" applyProtection="1">
      <alignment horizontal="center" vertical="center"/>
      <protection locked="0" hidden="1"/>
    </xf>
    <xf numFmtId="3" fontId="19" fillId="4" borderId="49" xfId="1" applyNumberFormat="1" applyFont="1" applyFill="1" applyBorder="1" applyAlignment="1" applyProtection="1">
      <alignment vertical="center"/>
      <protection hidden="1"/>
    </xf>
    <xf numFmtId="3" fontId="19" fillId="5" borderId="49" xfId="1" applyNumberFormat="1" applyFont="1" applyFill="1" applyBorder="1" applyAlignment="1" applyProtection="1">
      <alignment vertical="center"/>
      <protection hidden="1"/>
    </xf>
    <xf numFmtId="3" fontId="19" fillId="6" borderId="49" xfId="1" applyNumberFormat="1" applyFont="1" applyFill="1" applyBorder="1" applyAlignment="1" applyProtection="1">
      <alignment vertical="center"/>
      <protection hidden="1"/>
    </xf>
    <xf numFmtId="164" fontId="1" fillId="2" borderId="4" xfId="0" applyNumberFormat="1" applyFont="1" applyFill="1" applyBorder="1" applyAlignment="1" applyProtection="1">
      <alignment horizontal="left" vertical="center"/>
      <protection hidden="1"/>
    </xf>
    <xf numFmtId="164" fontId="1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9" xfId="0" applyFont="1" applyFill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1" fillId="2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3" fontId="19" fillId="4" borderId="49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3" fontId="19" fillId="5" borderId="49" xfId="1" applyNumberFormat="1" applyFont="1" applyFill="1" applyBorder="1" applyAlignment="1" applyProtection="1">
      <alignment horizontal="center" vertical="center" wrapText="1"/>
      <protection locked="0"/>
    </xf>
    <xf numFmtId="3" fontId="19" fillId="6" borderId="49" xfId="1" applyNumberFormat="1" applyFont="1" applyFill="1" applyBorder="1" applyAlignment="1" applyProtection="1">
      <alignment horizontal="center" vertical="center" wrapText="1"/>
      <protection locked="0"/>
    </xf>
    <xf numFmtId="3" fontId="19" fillId="0" borderId="0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Protection="1">
      <protection locked="0"/>
    </xf>
    <xf numFmtId="0" fontId="19" fillId="2" borderId="0" xfId="0" applyFont="1" applyFill="1" applyBorder="1" applyAlignment="1" applyProtection="1">
      <protection locked="0"/>
    </xf>
    <xf numFmtId="3" fontId="19" fillId="4" borderId="49" xfId="1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3" fontId="19" fillId="5" borderId="133" xfId="1" applyNumberFormat="1" applyFont="1" applyFill="1" applyBorder="1" applyAlignment="1" applyProtection="1">
      <alignment horizontal="center" vertical="center" wrapText="1"/>
      <protection locked="0"/>
    </xf>
    <xf numFmtId="3" fontId="19" fillId="6" borderId="49" xfId="1" applyNumberFormat="1" applyFont="1" applyFill="1" applyBorder="1" applyAlignment="1" applyProtection="1">
      <alignment horizontal="center" vertical="center"/>
      <protection locked="0"/>
    </xf>
    <xf numFmtId="3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Border="1" applyProtection="1">
      <protection locked="0"/>
    </xf>
    <xf numFmtId="0" fontId="19" fillId="2" borderId="0" xfId="0" applyFont="1" applyFill="1" applyBorder="1" applyAlignment="1" applyProtection="1">
      <alignment vertical="center"/>
      <protection locked="0"/>
    </xf>
    <xf numFmtId="3" fontId="19" fillId="0" borderId="0" xfId="1" applyNumberFormat="1" applyFont="1" applyFill="1" applyBorder="1" applyAlignment="1" applyProtection="1">
      <alignment vertical="center"/>
      <protection locked="0"/>
    </xf>
    <xf numFmtId="3" fontId="1" fillId="0" borderId="0" xfId="1" applyNumberFormat="1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171" fontId="87" fillId="8" borderId="0" xfId="14" applyNumberFormat="1" applyFont="1" applyFill="1" applyBorder="1" applyAlignment="1" applyProtection="1">
      <alignment vertical="center"/>
      <protection hidden="1"/>
    </xf>
    <xf numFmtId="171" fontId="87" fillId="8" borderId="66" xfId="14" applyNumberFormat="1" applyFont="1" applyFill="1" applyBorder="1" applyAlignment="1" applyProtection="1">
      <alignment vertical="center"/>
      <protection hidden="1"/>
    </xf>
    <xf numFmtId="0" fontId="51" fillId="8" borderId="71" xfId="14" applyFont="1" applyFill="1" applyBorder="1" applyAlignment="1" applyProtection="1">
      <alignment vertical="center"/>
      <protection hidden="1"/>
    </xf>
    <xf numFmtId="0" fontId="51" fillId="8" borderId="69" xfId="14" applyFont="1" applyFill="1" applyBorder="1" applyAlignment="1" applyProtection="1">
      <alignment vertical="center"/>
      <protection hidden="1"/>
    </xf>
    <xf numFmtId="14" fontId="55" fillId="8" borderId="120" xfId="14" applyNumberFormat="1" applyFont="1" applyFill="1" applyBorder="1" applyAlignment="1" applyProtection="1">
      <alignment horizontal="centerContinuous"/>
      <protection hidden="1"/>
    </xf>
    <xf numFmtId="0" fontId="51" fillId="8" borderId="121" xfId="14" applyFont="1" applyFill="1" applyBorder="1" applyAlignment="1" applyProtection="1">
      <alignment horizontal="centerContinuous"/>
      <protection hidden="1"/>
    </xf>
    <xf numFmtId="3" fontId="54" fillId="8" borderId="0" xfId="14" applyNumberFormat="1" applyFont="1" applyFill="1" applyBorder="1" applyAlignment="1" applyProtection="1">
      <alignment horizontal="centerContinuous"/>
      <protection hidden="1"/>
    </xf>
    <xf numFmtId="0" fontId="51" fillId="8" borderId="66" xfId="14" applyFont="1" applyFill="1" applyBorder="1" applyAlignment="1" applyProtection="1">
      <alignment horizontal="centerContinuous"/>
      <protection hidden="1"/>
    </xf>
    <xf numFmtId="0" fontId="62" fillId="3" borderId="0" xfId="14" quotePrefix="1" applyFont="1" applyFill="1" applyBorder="1" applyAlignment="1" applyProtection="1">
      <alignment vertical="center"/>
      <protection hidden="1"/>
    </xf>
    <xf numFmtId="0" fontId="62" fillId="3" borderId="66" xfId="14" quotePrefix="1" applyFont="1" applyFill="1" applyBorder="1" applyAlignment="1" applyProtection="1">
      <alignment horizontal="centerContinuous" vertical="center"/>
      <protection hidden="1"/>
    </xf>
    <xf numFmtId="0" fontId="66" fillId="3" borderId="43" xfId="14" applyFont="1" applyFill="1" applyBorder="1" applyAlignment="1" applyProtection="1">
      <alignment horizontal="centerContinuous" vertical="center"/>
      <protection hidden="1"/>
    </xf>
    <xf numFmtId="0" fontId="66" fillId="3" borderId="83" xfId="14" applyFont="1" applyFill="1" applyBorder="1" applyAlignment="1" applyProtection="1">
      <alignment horizontal="centerContinuous" vertical="center"/>
      <protection hidden="1"/>
    </xf>
    <xf numFmtId="0" fontId="66" fillId="3" borderId="0" xfId="14" applyFont="1" applyFill="1" applyBorder="1" applyAlignment="1" applyProtection="1">
      <alignment horizontal="centerContinuous" vertical="center"/>
      <protection hidden="1"/>
    </xf>
    <xf numFmtId="0" fontId="66" fillId="3" borderId="66" xfId="14" applyFont="1" applyFill="1" applyBorder="1" applyAlignment="1" applyProtection="1">
      <alignment horizontal="centerContinuous" vertical="center"/>
      <protection hidden="1"/>
    </xf>
    <xf numFmtId="0" fontId="66" fillId="3" borderId="120" xfId="14" applyFont="1" applyFill="1" applyBorder="1" applyAlignment="1" applyProtection="1">
      <alignment horizontal="center" vertical="center"/>
      <protection hidden="1"/>
    </xf>
    <xf numFmtId="0" fontId="66" fillId="3" borderId="122" xfId="14" applyFont="1" applyFill="1" applyBorder="1" applyAlignment="1" applyProtection="1">
      <alignment horizontal="center" vertical="center"/>
      <protection hidden="1"/>
    </xf>
    <xf numFmtId="3" fontId="93" fillId="0" borderId="299" xfId="14" applyNumberFormat="1" applyFont="1" applyFill="1" applyBorder="1" applyAlignment="1" applyProtection="1">
      <alignment vertical="center"/>
      <protection hidden="1"/>
    </xf>
    <xf numFmtId="174" fontId="93" fillId="0" borderId="300" xfId="8" applyNumberFormat="1" applyFont="1" applyFill="1" applyBorder="1" applyAlignment="1" applyProtection="1">
      <alignment vertical="center"/>
      <protection hidden="1"/>
    </xf>
    <xf numFmtId="3" fontId="93" fillId="0" borderId="295" xfId="14" applyNumberFormat="1" applyFont="1" applyFill="1" applyBorder="1" applyAlignment="1" applyProtection="1">
      <alignment vertical="center"/>
      <protection hidden="1"/>
    </xf>
    <xf numFmtId="174" fontId="93" fillId="0" borderId="296" xfId="8" applyNumberFormat="1" applyFont="1" applyFill="1" applyBorder="1" applyAlignment="1" applyProtection="1">
      <alignment vertical="center"/>
      <protection hidden="1"/>
    </xf>
    <xf numFmtId="3" fontId="93" fillId="0" borderId="305" xfId="14" applyNumberFormat="1" applyFont="1" applyFill="1" applyBorder="1" applyAlignment="1" applyProtection="1">
      <alignment vertical="center"/>
      <protection hidden="1"/>
    </xf>
    <xf numFmtId="9" fontId="93" fillId="0" borderId="306" xfId="8" applyNumberFormat="1" applyFont="1" applyFill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60" fillId="0" borderId="302" xfId="7" applyFont="1" applyFill="1" applyBorder="1" applyAlignment="1" applyProtection="1">
      <alignment vertical="center"/>
      <protection hidden="1"/>
    </xf>
    <xf numFmtId="3" fontId="60" fillId="0" borderId="303" xfId="14" applyNumberFormat="1" applyFont="1" applyFill="1" applyBorder="1" applyAlignment="1" applyProtection="1">
      <alignment vertical="center"/>
      <protection hidden="1"/>
    </xf>
    <xf numFmtId="3" fontId="92" fillId="0" borderId="303" xfId="14" applyNumberFormat="1" applyFont="1" applyFill="1" applyBorder="1" applyAlignment="1" applyProtection="1">
      <alignment vertical="center"/>
      <protection hidden="1"/>
    </xf>
    <xf numFmtId="3" fontId="60" fillId="0" borderId="304" xfId="14" applyNumberFormat="1" applyFont="1" applyFill="1" applyBorder="1" applyAlignment="1" applyProtection="1">
      <alignment vertical="center"/>
      <protection hidden="1"/>
    </xf>
    <xf numFmtId="3" fontId="90" fillId="0" borderId="263" xfId="14" applyNumberFormat="1" applyFont="1" applyFill="1" applyBorder="1" applyAlignment="1" applyProtection="1">
      <alignment vertical="center"/>
      <protection hidden="1"/>
    </xf>
    <xf numFmtId="0" fontId="51" fillId="0" borderId="0" xfId="14" applyFont="1" applyFill="1" applyBorder="1" applyAlignment="1" applyProtection="1">
      <alignment vertical="center"/>
      <protection hidden="1"/>
    </xf>
    <xf numFmtId="3" fontId="51" fillId="0" borderId="0" xfId="14" applyNumberFormat="1" applyFont="1" applyFill="1" applyBorder="1" applyAlignment="1" applyProtection="1">
      <alignment vertical="center"/>
      <protection hidden="1"/>
    </xf>
    <xf numFmtId="4" fontId="51" fillId="0" borderId="0" xfId="14" applyNumberFormat="1" applyFont="1" applyFill="1" applyBorder="1" applyAlignment="1" applyProtection="1">
      <alignment vertical="center"/>
      <protection hidden="1"/>
    </xf>
    <xf numFmtId="0" fontId="51" fillId="0" borderId="0" xfId="14" applyFont="1" applyFill="1" applyAlignment="1" applyProtection="1">
      <alignment vertical="center"/>
      <protection hidden="1"/>
    </xf>
    <xf numFmtId="0" fontId="55" fillId="8" borderId="0" xfId="6" quotePrefix="1" applyFont="1" applyFill="1" applyBorder="1" applyAlignment="1" applyProtection="1">
      <alignment horizontal="left" vertical="center"/>
      <protection hidden="1"/>
    </xf>
    <xf numFmtId="0" fontId="55" fillId="8" borderId="71" xfId="6" applyFont="1" applyFill="1" applyBorder="1" applyAlignment="1" applyProtection="1">
      <alignment vertical="center"/>
      <protection hidden="1"/>
    </xf>
    <xf numFmtId="0" fontId="51" fillId="0" borderId="0" xfId="14" applyFont="1" applyBorder="1" applyAlignment="1" applyProtection="1">
      <alignment vertical="center"/>
      <protection locked="0"/>
    </xf>
    <xf numFmtId="3" fontId="51" fillId="0" borderId="0" xfId="14" applyNumberFormat="1" applyFont="1" applyBorder="1" applyAlignment="1" applyProtection="1">
      <alignment vertical="center"/>
      <protection locked="0"/>
    </xf>
    <xf numFmtId="0" fontId="51" fillId="0" borderId="0" xfId="14" applyFont="1" applyAlignment="1" applyProtection="1">
      <alignment vertical="center"/>
      <protection locked="0"/>
    </xf>
    <xf numFmtId="0" fontId="51" fillId="0" borderId="0" xfId="14" applyFont="1" applyFill="1" applyBorder="1" applyAlignment="1" applyProtection="1">
      <alignment vertical="center"/>
      <protection locked="0"/>
    </xf>
    <xf numFmtId="3" fontId="51" fillId="0" borderId="0" xfId="14" applyNumberFormat="1" applyFont="1" applyFill="1" applyBorder="1" applyAlignment="1" applyProtection="1">
      <alignment vertical="center"/>
      <protection locked="0"/>
    </xf>
    <xf numFmtId="0" fontId="51" fillId="0" borderId="0" xfId="14" applyFont="1" applyFill="1" applyAlignment="1" applyProtection="1">
      <alignment vertical="center"/>
      <protection locked="0"/>
    </xf>
    <xf numFmtId="0" fontId="51" fillId="0" borderId="0" xfId="14" applyFont="1" applyFill="1" applyBorder="1" applyAlignment="1" applyProtection="1">
      <alignment horizontal="center" vertical="center"/>
      <protection locked="0"/>
    </xf>
    <xf numFmtId="4" fontId="51" fillId="0" borderId="0" xfId="14" applyNumberFormat="1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  <protection hidden="1"/>
    </xf>
    <xf numFmtId="0" fontId="1" fillId="2" borderId="1" xfId="0" applyFont="1" applyFill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alignment vertical="center"/>
      <protection hidden="1"/>
    </xf>
    <xf numFmtId="3" fontId="1" fillId="2" borderId="3" xfId="0" applyNumberFormat="1" applyFont="1" applyFill="1" applyBorder="1" applyAlignment="1" applyProtection="1">
      <alignment vertical="center"/>
      <protection hidden="1"/>
    </xf>
    <xf numFmtId="164" fontId="3" fillId="2" borderId="4" xfId="0" applyNumberFormat="1" applyFont="1" applyFill="1" applyBorder="1" applyAlignment="1" applyProtection="1">
      <alignment vertical="center"/>
      <protection hidden="1"/>
    </xf>
    <xf numFmtId="3" fontId="3" fillId="2" borderId="4" xfId="0" applyNumberFormat="1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vertical="center"/>
      <protection hidden="1"/>
    </xf>
    <xf numFmtId="17" fontId="1" fillId="2" borderId="4" xfId="0" applyNumberFormat="1" applyFont="1" applyFill="1" applyBorder="1" applyAlignment="1" applyProtection="1">
      <alignment horizontal="left" vertical="center"/>
      <protection hidden="1"/>
    </xf>
    <xf numFmtId="17" fontId="1" fillId="2" borderId="5" xfId="0" applyNumberFormat="1" applyFont="1" applyFill="1" applyBorder="1" applyAlignment="1" applyProtection="1">
      <alignment horizontal="right" vertical="center"/>
      <protection hidden="1"/>
    </xf>
    <xf numFmtId="0" fontId="1" fillId="2" borderId="6" xfId="0" applyFont="1" applyFill="1" applyBorder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14" fontId="4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Font="1" applyFill="1" applyBorder="1" applyAlignment="1" applyProtection="1">
      <alignment vertical="center"/>
      <protection hidden="1"/>
    </xf>
    <xf numFmtId="0" fontId="1" fillId="2" borderId="11" xfId="0" applyFont="1" applyFill="1" applyBorder="1" applyAlignment="1" applyProtection="1">
      <alignment vertical="center"/>
      <protection hidden="1"/>
    </xf>
    <xf numFmtId="3" fontId="1" fillId="2" borderId="14" xfId="0" applyNumberFormat="1" applyFont="1" applyFill="1" applyBorder="1" applyAlignment="1" applyProtection="1">
      <alignment horizontal="right" vertical="center"/>
      <protection hidden="1"/>
    </xf>
    <xf numFmtId="0" fontId="1" fillId="2" borderId="0" xfId="1" applyFont="1" applyFill="1" applyBorder="1" applyAlignment="1" applyProtection="1">
      <alignment vertical="center"/>
      <protection hidden="1"/>
    </xf>
    <xf numFmtId="164" fontId="3" fillId="2" borderId="0" xfId="1" applyNumberFormat="1" applyFont="1" applyFill="1" applyBorder="1" applyAlignment="1" applyProtection="1">
      <alignment horizontal="left" vertical="center"/>
      <protection hidden="1"/>
    </xf>
    <xf numFmtId="0" fontId="1" fillId="2" borderId="0" xfId="1" applyFont="1" applyFill="1" applyBorder="1" applyAlignment="1" applyProtection="1">
      <alignment horizontal="center" vertical="center"/>
      <protection hidden="1"/>
    </xf>
    <xf numFmtId="10" fontId="1" fillId="2" borderId="0" xfId="1" applyNumberFormat="1" applyFont="1" applyFill="1" applyBorder="1" applyAlignment="1" applyProtection="1">
      <alignment vertical="center"/>
      <protection hidden="1"/>
    </xf>
    <xf numFmtId="0" fontId="1" fillId="3" borderId="15" xfId="1" applyFont="1" applyFill="1" applyBorder="1" applyAlignment="1" applyProtection="1">
      <alignment vertical="center"/>
      <protection hidden="1"/>
    </xf>
    <xf numFmtId="0" fontId="1" fillId="3" borderId="136" xfId="1" applyFont="1" applyFill="1" applyBorder="1" applyAlignment="1" applyProtection="1">
      <alignment vertical="center"/>
      <protection hidden="1"/>
    </xf>
    <xf numFmtId="0" fontId="1" fillId="3" borderId="16" xfId="1" applyFont="1" applyFill="1" applyBorder="1" applyAlignment="1" applyProtection="1">
      <alignment horizontal="center" vertical="center"/>
      <protection hidden="1"/>
    </xf>
    <xf numFmtId="0" fontId="1" fillId="3" borderId="136" xfId="1" applyFont="1" applyFill="1" applyBorder="1" applyAlignment="1" applyProtection="1">
      <alignment horizontal="center" vertical="center"/>
      <protection hidden="1"/>
    </xf>
    <xf numFmtId="10" fontId="1" fillId="3" borderId="17" xfId="1" applyNumberFormat="1" applyFont="1" applyFill="1" applyBorder="1" applyAlignment="1" applyProtection="1">
      <alignment vertical="center"/>
      <protection hidden="1"/>
    </xf>
    <xf numFmtId="0" fontId="13" fillId="2" borderId="0" xfId="1" applyFont="1" applyFill="1" applyBorder="1" applyAlignment="1" applyProtection="1">
      <alignment vertical="center"/>
      <protection hidden="1"/>
    </xf>
    <xf numFmtId="0" fontId="13" fillId="2" borderId="0" xfId="1" applyFont="1" applyFill="1" applyBorder="1" applyAlignment="1" applyProtection="1">
      <alignment horizontal="center" vertical="center" wrapText="1"/>
      <protection hidden="1"/>
    </xf>
    <xf numFmtId="0" fontId="13" fillId="2" borderId="0" xfId="1" applyFont="1" applyFill="1" applyBorder="1" applyAlignment="1" applyProtection="1">
      <alignment vertical="center" wrapText="1"/>
      <protection hidden="1"/>
    </xf>
    <xf numFmtId="0" fontId="13" fillId="4" borderId="22" xfId="1" applyFont="1" applyFill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vertical="center" wrapText="1"/>
      <protection hidden="1"/>
    </xf>
    <xf numFmtId="14" fontId="13" fillId="6" borderId="22" xfId="1" applyNumberFormat="1" applyFont="1" applyFill="1" applyBorder="1" applyAlignment="1" applyProtection="1">
      <alignment horizontal="center" vertical="center" wrapText="1"/>
      <protection hidden="1"/>
    </xf>
    <xf numFmtId="167" fontId="13" fillId="2" borderId="0" xfId="1" applyNumberFormat="1" applyFont="1" applyFill="1" applyBorder="1" applyAlignment="1" applyProtection="1">
      <alignment horizontal="center" vertical="center" wrapText="1"/>
      <protection hidden="1"/>
    </xf>
    <xf numFmtId="4" fontId="13" fillId="2" borderId="22" xfId="1" applyNumberFormat="1" applyFont="1" applyFill="1" applyBorder="1" applyAlignment="1" applyProtection="1">
      <alignment horizontal="center" vertical="center" wrapText="1"/>
      <protection hidden="1"/>
    </xf>
    <xf numFmtId="4" fontId="13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3" fillId="2" borderId="22" xfId="1" applyNumberFormat="1" applyFont="1" applyFill="1" applyBorder="1" applyAlignment="1" applyProtection="1">
      <alignment horizontal="center" vertical="center" wrapText="1"/>
      <protection hidden="1"/>
    </xf>
    <xf numFmtId="10" fontId="24" fillId="2" borderId="22" xfId="1" applyNumberFormat="1" applyFont="1" applyFill="1" applyBorder="1" applyAlignment="1" applyProtection="1">
      <alignment horizontal="center" vertical="center" wrapText="1"/>
      <protection hidden="1"/>
    </xf>
    <xf numFmtId="0" fontId="15" fillId="2" borderId="0" xfId="0" applyFont="1" applyFill="1" applyBorder="1" applyAlignment="1" applyProtection="1">
      <alignment horizontal="left" vertical="center"/>
      <protection hidden="1"/>
    </xf>
    <xf numFmtId="3" fontId="13" fillId="4" borderId="22" xfId="1" applyNumberFormat="1" applyFont="1" applyFill="1" applyBorder="1" applyAlignment="1" applyProtection="1">
      <alignment vertical="center"/>
      <protection hidden="1"/>
    </xf>
    <xf numFmtId="0" fontId="13" fillId="2" borderId="0" xfId="0" applyFont="1" applyFill="1" applyBorder="1" applyAlignment="1" applyProtection="1">
      <alignment vertical="center"/>
      <protection hidden="1"/>
    </xf>
    <xf numFmtId="3" fontId="13" fillId="5" borderId="22" xfId="1" applyNumberFormat="1" applyFont="1" applyFill="1" applyBorder="1" applyAlignment="1" applyProtection="1">
      <alignment vertical="center"/>
      <protection hidden="1"/>
    </xf>
    <xf numFmtId="3" fontId="13" fillId="2" borderId="0" xfId="1" applyNumberFormat="1" applyFont="1" applyFill="1" applyBorder="1" applyAlignment="1" applyProtection="1">
      <alignment vertical="center"/>
      <protection hidden="1"/>
    </xf>
    <xf numFmtId="3" fontId="13" fillId="6" borderId="22" xfId="1" applyNumberFormat="1" applyFont="1" applyFill="1" applyBorder="1" applyAlignment="1" applyProtection="1">
      <alignment vertical="center"/>
      <protection hidden="1"/>
    </xf>
    <xf numFmtId="3" fontId="24" fillId="3" borderId="22" xfId="1" applyNumberFormat="1" applyFont="1" applyFill="1" applyBorder="1" applyAlignment="1" applyProtection="1">
      <alignment vertical="center"/>
      <protection hidden="1"/>
    </xf>
    <xf numFmtId="10" fontId="24" fillId="3" borderId="17" xfId="1" applyNumberFormat="1" applyFont="1" applyFill="1" applyBorder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horizontal="left" vertical="center" indent="1"/>
      <protection hidden="1"/>
    </xf>
    <xf numFmtId="3" fontId="24" fillId="3" borderId="15" xfId="1" applyNumberFormat="1" applyFont="1" applyFill="1" applyBorder="1" applyAlignment="1" applyProtection="1">
      <alignment vertical="center"/>
      <protection hidden="1"/>
    </xf>
    <xf numFmtId="3" fontId="52" fillId="8" borderId="0" xfId="14" applyNumberFormat="1" applyFont="1" applyFill="1" applyBorder="1" applyAlignment="1" applyProtection="1">
      <alignment horizontal="centerContinuous" vertical="center"/>
      <protection hidden="1"/>
    </xf>
    <xf numFmtId="3" fontId="51" fillId="8" borderId="71" xfId="14" applyNumberFormat="1" applyFont="1" applyFill="1" applyBorder="1" applyAlignment="1" applyProtection="1">
      <alignment vertical="center"/>
      <protection hidden="1"/>
    </xf>
    <xf numFmtId="3" fontId="51" fillId="8" borderId="120" xfId="14" applyNumberFormat="1" applyFont="1" applyFill="1" applyBorder="1" applyAlignment="1" applyProtection="1">
      <alignment vertical="center"/>
      <protection hidden="1"/>
    </xf>
    <xf numFmtId="3" fontId="51" fillId="8" borderId="0" xfId="14" applyNumberFormat="1" applyFont="1" applyFill="1" applyBorder="1" applyAlignment="1" applyProtection="1">
      <alignment vertical="center"/>
      <protection hidden="1"/>
    </xf>
    <xf numFmtId="3" fontId="51" fillId="3" borderId="123" xfId="14" applyNumberFormat="1" applyFont="1" applyFill="1" applyBorder="1" applyAlignment="1" applyProtection="1">
      <alignment vertical="center"/>
      <protection hidden="1"/>
    </xf>
    <xf numFmtId="3" fontId="90" fillId="3" borderId="246" xfId="14" quotePrefix="1" applyNumberFormat="1" applyFont="1" applyFill="1" applyBorder="1" applyAlignment="1" applyProtection="1">
      <alignment horizontal="center" vertical="center"/>
      <protection hidden="1"/>
    </xf>
    <xf numFmtId="3" fontId="60" fillId="0" borderId="298" xfId="14" applyNumberFormat="1" applyFont="1" applyFill="1" applyBorder="1" applyAlignment="1" applyProtection="1">
      <alignment vertical="center"/>
      <protection hidden="1"/>
    </xf>
    <xf numFmtId="3" fontId="60" fillId="0" borderId="294" xfId="14" applyNumberFormat="1" applyFont="1" applyFill="1" applyBorder="1" applyAlignment="1" applyProtection="1">
      <alignment vertical="center"/>
      <protection hidden="1"/>
    </xf>
    <xf numFmtId="0" fontId="49" fillId="8" borderId="119" xfId="14" applyFont="1" applyFill="1" applyBorder="1" applyAlignment="1" applyProtection="1">
      <alignment vertical="center"/>
      <protection hidden="1"/>
    </xf>
    <xf numFmtId="0" fontId="87" fillId="8" borderId="132" xfId="14" applyFont="1" applyFill="1" applyBorder="1" applyAlignment="1" applyProtection="1">
      <alignment horizontal="centerContinuous" vertical="center"/>
      <protection hidden="1"/>
    </xf>
    <xf numFmtId="3" fontId="52" fillId="8" borderId="0" xfId="14" applyNumberFormat="1" applyFont="1" applyFill="1" applyBorder="1" applyAlignment="1" applyProtection="1">
      <alignment horizontal="center" vertical="center"/>
      <protection hidden="1"/>
    </xf>
    <xf numFmtId="0" fontId="51" fillId="8" borderId="70" xfId="14" applyFont="1" applyFill="1" applyBorder="1" applyAlignment="1" applyProtection="1">
      <alignment vertical="center"/>
      <protection hidden="1"/>
    </xf>
    <xf numFmtId="0" fontId="54" fillId="8" borderId="119" xfId="14" applyFont="1" applyFill="1" applyBorder="1" applyAlignment="1" applyProtection="1">
      <alignment vertical="center"/>
      <protection hidden="1"/>
    </xf>
    <xf numFmtId="0" fontId="55" fillId="8" borderId="120" xfId="6" quotePrefix="1" applyFont="1" applyFill="1" applyBorder="1" applyAlignment="1" applyProtection="1">
      <alignment horizontal="left" vertical="center"/>
      <protection hidden="1"/>
    </xf>
    <xf numFmtId="3" fontId="54" fillId="8" borderId="120" xfId="14" applyNumberFormat="1" applyFont="1" applyFill="1" applyBorder="1" applyAlignment="1" applyProtection="1">
      <alignment horizontal="right" vertical="center"/>
      <protection hidden="1"/>
    </xf>
    <xf numFmtId="0" fontId="55" fillId="8" borderId="132" xfId="14" quotePrefix="1" applyFont="1" applyFill="1" applyBorder="1" applyAlignment="1" applyProtection="1">
      <alignment horizontal="left" vertical="center"/>
      <protection hidden="1"/>
    </xf>
    <xf numFmtId="3" fontId="54" fillId="8" borderId="0" xfId="14" quotePrefix="1" applyNumberFormat="1" applyFont="1" applyFill="1" applyBorder="1" applyAlignment="1" applyProtection="1">
      <alignment horizontal="right" vertical="center"/>
      <protection hidden="1"/>
    </xf>
    <xf numFmtId="0" fontId="54" fillId="8" borderId="70" xfId="14" quotePrefix="1" applyFont="1" applyFill="1" applyBorder="1" applyAlignment="1" applyProtection="1">
      <alignment horizontal="left" vertical="center"/>
      <protection hidden="1"/>
    </xf>
    <xf numFmtId="0" fontId="54" fillId="3" borderId="132" xfId="14" quotePrefix="1" applyFont="1" applyFill="1" applyBorder="1" applyAlignment="1" applyProtection="1">
      <alignment horizontal="left" vertical="center"/>
      <protection hidden="1"/>
    </xf>
    <xf numFmtId="3" fontId="51" fillId="3" borderId="82" xfId="14" applyNumberFormat="1" applyFont="1" applyFill="1" applyBorder="1" applyAlignment="1" applyProtection="1">
      <alignment vertical="center"/>
      <protection hidden="1"/>
    </xf>
    <xf numFmtId="3" fontId="88" fillId="13" borderId="82" xfId="14" applyNumberFormat="1" applyFont="1" applyFill="1" applyBorder="1" applyAlignment="1" applyProtection="1">
      <alignment vertical="center"/>
      <protection hidden="1"/>
    </xf>
    <xf numFmtId="4" fontId="54" fillId="3" borderId="124" xfId="14" applyNumberFormat="1" applyFont="1" applyFill="1" applyBorder="1" applyAlignment="1" applyProtection="1">
      <alignment vertical="center"/>
      <protection hidden="1"/>
    </xf>
    <xf numFmtId="0" fontId="58" fillId="3" borderId="132" xfId="14" applyFont="1" applyFill="1" applyBorder="1" applyAlignment="1" applyProtection="1">
      <alignment horizontal="center" vertical="center"/>
      <protection hidden="1"/>
    </xf>
    <xf numFmtId="171" fontId="54" fillId="3" borderId="82" xfId="14" applyNumberFormat="1" applyFont="1" applyFill="1" applyBorder="1" applyAlignment="1" applyProtection="1">
      <alignment horizontal="center" vertical="center"/>
      <protection hidden="1"/>
    </xf>
    <xf numFmtId="3" fontId="89" fillId="13" borderId="82" xfId="7" quotePrefix="1" applyNumberFormat="1" applyFont="1" applyFill="1" applyBorder="1" applyAlignment="1" applyProtection="1">
      <alignment horizontal="center" vertical="center"/>
      <protection hidden="1"/>
    </xf>
    <xf numFmtId="4" fontId="54" fillId="3" borderId="125" xfId="14" applyNumberFormat="1" applyFont="1" applyFill="1" applyBorder="1" applyAlignment="1" applyProtection="1">
      <alignment horizontal="centerContinuous" vertical="center"/>
      <protection hidden="1"/>
    </xf>
    <xf numFmtId="0" fontId="54" fillId="3" borderId="132" xfId="14" applyFont="1" applyFill="1" applyBorder="1" applyAlignment="1" applyProtection="1">
      <alignment vertical="center"/>
      <protection hidden="1"/>
    </xf>
    <xf numFmtId="2" fontId="54" fillId="3" borderId="118" xfId="14" applyNumberFormat="1" applyFont="1" applyFill="1" applyBorder="1" applyAlignment="1" applyProtection="1">
      <alignment vertical="center"/>
      <protection hidden="1"/>
    </xf>
    <xf numFmtId="3" fontId="89" fillId="13" borderId="82" xfId="14" applyNumberFormat="1" applyFont="1" applyFill="1" applyBorder="1" applyAlignment="1" applyProtection="1">
      <alignment horizontal="center" vertical="center"/>
      <protection hidden="1"/>
    </xf>
    <xf numFmtId="4" fontId="54" fillId="3" borderId="127" xfId="14" applyNumberFormat="1" applyFont="1" applyFill="1" applyBorder="1" applyAlignment="1" applyProtection="1">
      <alignment horizontal="center" vertical="center"/>
      <protection hidden="1"/>
    </xf>
    <xf numFmtId="0" fontId="55" fillId="3" borderId="119" xfId="14" quotePrefix="1" applyFont="1" applyFill="1" applyBorder="1" applyAlignment="1" applyProtection="1">
      <alignment horizontal="center" vertical="center"/>
      <protection hidden="1"/>
    </xf>
    <xf numFmtId="3" fontId="90" fillId="3" borderId="122" xfId="14" quotePrefix="1" applyNumberFormat="1" applyFont="1" applyFill="1" applyBorder="1" applyAlignment="1" applyProtection="1">
      <alignment horizontal="center" vertical="center"/>
      <protection hidden="1"/>
    </xf>
    <xf numFmtId="3" fontId="91" fillId="13" borderId="122" xfId="14" applyNumberFormat="1" applyFont="1" applyFill="1" applyBorder="1" applyAlignment="1" applyProtection="1">
      <alignment horizontal="center" vertical="center"/>
      <protection hidden="1"/>
    </xf>
    <xf numFmtId="4" fontId="90" fillId="3" borderId="124" xfId="14" quotePrefix="1" applyNumberFormat="1" applyFont="1" applyFill="1" applyBorder="1" applyAlignment="1" applyProtection="1">
      <alignment horizontal="center" vertical="center"/>
      <protection hidden="1"/>
    </xf>
    <xf numFmtId="0" fontId="51" fillId="0" borderId="300" xfId="7" applyFont="1" applyBorder="1" applyAlignment="1" applyProtection="1">
      <alignment vertical="center"/>
      <protection hidden="1"/>
    </xf>
    <xf numFmtId="3" fontId="60" fillId="0" borderId="300" xfId="14" applyNumberFormat="1" applyFont="1" applyFill="1" applyBorder="1" applyAlignment="1" applyProtection="1">
      <alignment vertical="center"/>
      <protection hidden="1"/>
    </xf>
    <xf numFmtId="3" fontId="92" fillId="0" borderId="300" xfId="14" applyNumberFormat="1" applyFont="1" applyFill="1" applyBorder="1" applyAlignment="1" applyProtection="1">
      <alignment vertical="center"/>
      <protection hidden="1"/>
    </xf>
    <xf numFmtId="3" fontId="90" fillId="0" borderId="301" xfId="14" applyNumberFormat="1" applyFont="1" applyFill="1" applyBorder="1" applyAlignment="1" applyProtection="1">
      <alignment vertical="center"/>
      <protection hidden="1"/>
    </xf>
    <xf numFmtId="0" fontId="60" fillId="0" borderId="296" xfId="7" applyFont="1" applyFill="1" applyBorder="1" applyAlignment="1" applyProtection="1">
      <alignment vertical="center"/>
      <protection hidden="1"/>
    </xf>
    <xf numFmtId="3" fontId="60" fillId="0" borderId="296" xfId="14" applyNumberFormat="1" applyFont="1" applyFill="1" applyBorder="1" applyAlignment="1" applyProtection="1">
      <alignment vertical="center"/>
      <protection hidden="1"/>
    </xf>
    <xf numFmtId="3" fontId="92" fillId="0" borderId="296" xfId="14" applyNumberFormat="1" applyFont="1" applyFill="1" applyBorder="1" applyAlignment="1" applyProtection="1">
      <alignment vertical="center"/>
      <protection hidden="1"/>
    </xf>
    <xf numFmtId="3" fontId="60" fillId="0" borderId="297" xfId="14" applyNumberFormat="1" applyFont="1" applyFill="1" applyBorder="1" applyAlignment="1" applyProtection="1">
      <alignment vertical="center"/>
      <protection hidden="1"/>
    </xf>
    <xf numFmtId="0" fontId="79" fillId="0" borderId="0" xfId="11" applyFont="1" applyBorder="1" applyAlignment="1" applyProtection="1">
      <alignment vertical="center"/>
      <protection hidden="1"/>
    </xf>
    <xf numFmtId="0" fontId="79" fillId="0" borderId="0" xfId="11" applyFont="1" applyAlignment="1" applyProtection="1">
      <alignment vertical="center"/>
      <protection hidden="1"/>
    </xf>
    <xf numFmtId="170" fontId="79" fillId="0" borderId="0" xfId="11" applyNumberFormat="1" applyFont="1" applyAlignment="1" applyProtection="1">
      <alignment vertical="center"/>
      <protection hidden="1"/>
    </xf>
    <xf numFmtId="3" fontId="79" fillId="0" borderId="0" xfId="11" applyNumberFormat="1" applyFont="1" applyAlignment="1" applyProtection="1">
      <alignment vertical="center"/>
      <protection hidden="1"/>
    </xf>
    <xf numFmtId="0" fontId="81" fillId="13" borderId="106" xfId="11" applyFont="1" applyFill="1" applyBorder="1" applyAlignment="1" applyProtection="1">
      <alignment horizontal="center" vertical="center" wrapText="1"/>
      <protection hidden="1"/>
    </xf>
    <xf numFmtId="0" fontId="81" fillId="13" borderId="109" xfId="11" applyFont="1" applyFill="1" applyBorder="1" applyAlignment="1" applyProtection="1">
      <alignment horizontal="center" vertical="center" wrapText="1"/>
      <protection hidden="1"/>
    </xf>
    <xf numFmtId="0" fontId="82" fillId="14" borderId="0" xfId="11" applyFont="1" applyFill="1" applyBorder="1" applyAlignment="1" applyProtection="1">
      <alignment horizontal="center" vertical="center"/>
      <protection hidden="1"/>
    </xf>
    <xf numFmtId="0" fontId="79" fillId="0" borderId="112" xfId="11" applyFont="1" applyBorder="1" applyAlignment="1" applyProtection="1">
      <alignment horizontal="center" vertical="center"/>
      <protection hidden="1"/>
    </xf>
    <xf numFmtId="0" fontId="81" fillId="0" borderId="107" xfId="11" applyFont="1" applyBorder="1" applyAlignment="1" applyProtection="1">
      <alignment horizontal="center" vertical="center"/>
      <protection hidden="1"/>
    </xf>
    <xf numFmtId="0" fontId="79" fillId="0" borderId="141" xfId="11" applyFont="1" applyBorder="1" applyAlignment="1" applyProtection="1">
      <alignment horizontal="center" vertical="center"/>
      <protection hidden="1"/>
    </xf>
    <xf numFmtId="0" fontId="81" fillId="0" borderId="142" xfId="11" applyFont="1" applyBorder="1" applyAlignment="1" applyProtection="1">
      <alignment horizontal="center" vertical="center"/>
      <protection hidden="1"/>
    </xf>
    <xf numFmtId="170" fontId="85" fillId="16" borderId="289" xfId="0" applyNumberFormat="1" applyFont="1" applyFill="1" applyBorder="1" applyAlignment="1" applyProtection="1">
      <alignment vertical="center"/>
      <protection hidden="1"/>
    </xf>
    <xf numFmtId="170" fontId="85" fillId="16" borderId="293" xfId="0" applyNumberFormat="1" applyFont="1" applyFill="1" applyBorder="1" applyAlignment="1" applyProtection="1">
      <alignment vertical="center"/>
      <protection hidden="1"/>
    </xf>
    <xf numFmtId="170" fontId="85" fillId="16" borderId="291" xfId="0" applyNumberFormat="1" applyFont="1" applyFill="1" applyBorder="1" applyAlignment="1" applyProtection="1">
      <alignment vertical="center"/>
      <protection hidden="1"/>
    </xf>
    <xf numFmtId="170" fontId="85" fillId="15" borderId="148" xfId="0" applyNumberFormat="1" applyFont="1" applyFill="1" applyBorder="1" applyAlignment="1" applyProtection="1">
      <alignment vertical="center"/>
      <protection hidden="1"/>
    </xf>
    <xf numFmtId="170" fontId="85" fillId="15" borderId="147" xfId="0" applyNumberFormat="1" applyFont="1" applyFill="1" applyBorder="1" applyAlignment="1" applyProtection="1">
      <alignment vertical="center"/>
      <protection hidden="1"/>
    </xf>
    <xf numFmtId="170" fontId="85" fillId="15" borderId="150" xfId="0" applyNumberFormat="1" applyFont="1" applyFill="1" applyBorder="1" applyAlignment="1" applyProtection="1">
      <alignment vertical="center"/>
      <protection hidden="1"/>
    </xf>
    <xf numFmtId="170" fontId="85" fillId="15" borderId="149" xfId="0" applyNumberFormat="1" applyFont="1" applyFill="1" applyBorder="1" applyAlignment="1" applyProtection="1">
      <alignment vertical="center"/>
      <protection hidden="1"/>
    </xf>
    <xf numFmtId="0" fontId="81" fillId="0" borderId="110" xfId="11" applyFont="1" applyBorder="1" applyAlignment="1" applyProtection="1">
      <alignment horizontal="center" vertical="center"/>
      <protection hidden="1"/>
    </xf>
    <xf numFmtId="0" fontId="81" fillId="0" borderId="111" xfId="11" applyFont="1" applyBorder="1" applyAlignment="1" applyProtection="1">
      <alignment horizontal="center" vertical="center"/>
      <protection hidden="1"/>
    </xf>
    <xf numFmtId="170" fontId="79" fillId="0" borderId="143" xfId="11" applyNumberFormat="1" applyFont="1" applyBorder="1" applyAlignment="1" applyProtection="1">
      <alignment horizontal="center" vertical="center"/>
      <protection hidden="1"/>
    </xf>
    <xf numFmtId="170" fontId="79" fillId="0" borderId="144" xfId="11" applyNumberFormat="1" applyFont="1" applyBorder="1" applyAlignment="1" applyProtection="1">
      <alignment horizontal="center" vertical="center"/>
      <protection hidden="1"/>
    </xf>
    <xf numFmtId="170" fontId="81" fillId="16" borderId="290" xfId="11" applyNumberFormat="1" applyFont="1" applyFill="1" applyBorder="1" applyAlignment="1" applyProtection="1">
      <alignment vertical="center"/>
      <protection hidden="1"/>
    </xf>
    <xf numFmtId="170" fontId="79" fillId="20" borderId="148" xfId="11" applyNumberFormat="1" applyFont="1" applyFill="1" applyBorder="1" applyAlignment="1" applyProtection="1">
      <alignment vertical="center"/>
      <protection hidden="1"/>
    </xf>
    <xf numFmtId="170" fontId="79" fillId="20" borderId="149" xfId="11" applyNumberFormat="1" applyFont="1" applyFill="1" applyBorder="1" applyAlignment="1" applyProtection="1">
      <alignment vertical="center"/>
      <protection hidden="1"/>
    </xf>
    <xf numFmtId="170" fontId="79" fillId="20" borderId="150" xfId="11" applyNumberFormat="1" applyFont="1" applyFill="1" applyBorder="1" applyAlignment="1" applyProtection="1">
      <alignment vertical="center"/>
      <protection hidden="1"/>
    </xf>
    <xf numFmtId="170" fontId="79" fillId="20" borderId="147" xfId="11" applyNumberFormat="1" applyFont="1" applyFill="1" applyBorder="1" applyAlignment="1" applyProtection="1">
      <alignment vertical="center"/>
      <protection hidden="1"/>
    </xf>
    <xf numFmtId="170" fontId="84" fillId="16" borderId="148" xfId="13" applyNumberFormat="1" applyFont="1" applyFill="1" applyBorder="1" applyAlignment="1" applyProtection="1">
      <alignment vertical="center"/>
      <protection hidden="1"/>
    </xf>
    <xf numFmtId="170" fontId="84" fillId="16" borderId="149" xfId="13" applyNumberFormat="1" applyFont="1" applyFill="1" applyBorder="1" applyAlignment="1" applyProtection="1">
      <alignment vertical="center"/>
      <protection hidden="1"/>
    </xf>
    <xf numFmtId="170" fontId="84" fillId="16" borderId="150" xfId="13" applyNumberFormat="1" applyFont="1" applyFill="1" applyBorder="1" applyAlignment="1" applyProtection="1">
      <alignment vertical="center"/>
      <protection hidden="1"/>
    </xf>
    <xf numFmtId="170" fontId="84" fillId="16" borderId="147" xfId="13" applyNumberFormat="1" applyFont="1" applyFill="1" applyBorder="1" applyAlignment="1" applyProtection="1">
      <alignment vertical="center"/>
      <protection hidden="1"/>
    </xf>
    <xf numFmtId="170" fontId="84" fillId="15" borderId="148" xfId="13" applyNumberFormat="1" applyFont="1" applyFill="1" applyBorder="1" applyAlignment="1" applyProtection="1">
      <alignment vertical="center"/>
      <protection hidden="1"/>
    </xf>
    <xf numFmtId="170" fontId="84" fillId="15" borderId="149" xfId="13" applyNumberFormat="1" applyFont="1" applyFill="1" applyBorder="1" applyAlignment="1" applyProtection="1">
      <alignment vertical="center"/>
      <protection hidden="1"/>
    </xf>
    <xf numFmtId="170" fontId="84" fillId="15" borderId="150" xfId="13" applyNumberFormat="1" applyFont="1" applyFill="1" applyBorder="1" applyAlignment="1" applyProtection="1">
      <alignment vertical="center"/>
      <protection hidden="1"/>
    </xf>
    <xf numFmtId="170" fontId="84" fillId="15" borderId="147" xfId="13" applyNumberFormat="1" applyFont="1" applyFill="1" applyBorder="1" applyAlignment="1" applyProtection="1">
      <alignment vertical="center"/>
      <protection hidden="1"/>
    </xf>
    <xf numFmtId="170" fontId="84" fillId="14" borderId="148" xfId="13" applyNumberFormat="1" applyFont="1" applyFill="1" applyBorder="1" applyAlignment="1" applyProtection="1">
      <alignment vertical="center"/>
      <protection hidden="1"/>
    </xf>
    <xf numFmtId="170" fontId="84" fillId="14" borderId="149" xfId="13" applyNumberFormat="1" applyFont="1" applyFill="1" applyBorder="1" applyAlignment="1" applyProtection="1">
      <alignment vertical="center"/>
      <protection hidden="1"/>
    </xf>
    <xf numFmtId="170" fontId="84" fillId="14" borderId="150" xfId="13" applyNumberFormat="1" applyFont="1" applyFill="1" applyBorder="1" applyAlignment="1" applyProtection="1">
      <alignment vertical="center"/>
      <protection hidden="1"/>
    </xf>
    <xf numFmtId="170" fontId="84" fillId="14" borderId="147" xfId="13" applyNumberFormat="1" applyFont="1" applyFill="1" applyBorder="1" applyAlignment="1" applyProtection="1">
      <alignment vertical="center"/>
      <protection hidden="1"/>
    </xf>
    <xf numFmtId="170" fontId="79" fillId="14" borderId="148" xfId="11" applyNumberFormat="1" applyFont="1" applyFill="1" applyBorder="1" applyAlignment="1" applyProtection="1">
      <alignment vertical="center"/>
      <protection hidden="1"/>
    </xf>
    <xf numFmtId="170" fontId="79" fillId="14" borderId="149" xfId="11" applyNumberFormat="1" applyFont="1" applyFill="1" applyBorder="1" applyAlignment="1" applyProtection="1">
      <alignment vertical="center"/>
      <protection hidden="1"/>
    </xf>
    <xf numFmtId="170" fontId="79" fillId="14" borderId="150" xfId="11" applyNumberFormat="1" applyFont="1" applyFill="1" applyBorder="1" applyAlignment="1" applyProtection="1">
      <alignment vertical="center"/>
      <protection hidden="1"/>
    </xf>
    <xf numFmtId="170" fontId="79" fillId="14" borderId="147" xfId="11" applyNumberFormat="1" applyFont="1" applyFill="1" applyBorder="1" applyAlignment="1" applyProtection="1">
      <alignment vertical="center"/>
      <protection hidden="1"/>
    </xf>
    <xf numFmtId="170" fontId="85" fillId="14" borderId="148" xfId="0" applyNumberFormat="1" applyFont="1" applyFill="1" applyBorder="1" applyAlignment="1" applyProtection="1">
      <alignment vertical="center"/>
      <protection hidden="1"/>
    </xf>
    <xf numFmtId="170" fontId="85" fillId="14" borderId="150" xfId="0" applyNumberFormat="1" applyFont="1" applyFill="1" applyBorder="1" applyAlignment="1" applyProtection="1">
      <alignment vertical="center"/>
      <protection hidden="1"/>
    </xf>
    <xf numFmtId="170" fontId="85" fillId="14" borderId="147" xfId="0" applyNumberFormat="1" applyFont="1" applyFill="1" applyBorder="1" applyAlignment="1" applyProtection="1">
      <alignment vertical="center"/>
      <protection hidden="1"/>
    </xf>
    <xf numFmtId="170" fontId="79" fillId="15" borderId="148" xfId="11" applyNumberFormat="1" applyFont="1" applyFill="1" applyBorder="1" applyAlignment="1" applyProtection="1">
      <alignment vertical="center"/>
      <protection hidden="1"/>
    </xf>
    <xf numFmtId="170" fontId="79" fillId="15" borderId="149" xfId="11" applyNumberFormat="1" applyFont="1" applyFill="1" applyBorder="1" applyAlignment="1" applyProtection="1">
      <alignment vertical="center"/>
      <protection hidden="1"/>
    </xf>
    <xf numFmtId="170" fontId="79" fillId="15" borderId="150" xfId="11" applyNumberFormat="1" applyFont="1" applyFill="1" applyBorder="1" applyAlignment="1" applyProtection="1">
      <alignment vertical="center"/>
      <protection hidden="1"/>
    </xf>
    <xf numFmtId="170" fontId="79" fillId="15" borderId="147" xfId="11" applyNumberFormat="1" applyFont="1" applyFill="1" applyBorder="1" applyAlignment="1" applyProtection="1">
      <alignment vertical="center"/>
      <protection hidden="1"/>
    </xf>
    <xf numFmtId="170" fontId="79" fillId="16" borderId="148" xfId="11" applyNumberFormat="1" applyFont="1" applyFill="1" applyBorder="1" applyAlignment="1" applyProtection="1">
      <alignment vertical="center"/>
      <protection hidden="1"/>
    </xf>
    <xf numFmtId="170" fontId="79" fillId="16" borderId="149" xfId="11" applyNumberFormat="1" applyFont="1" applyFill="1" applyBorder="1" applyAlignment="1" applyProtection="1">
      <alignment vertical="center"/>
      <protection hidden="1"/>
    </xf>
    <xf numFmtId="170" fontId="79" fillId="16" borderId="150" xfId="11" applyNumberFormat="1" applyFont="1" applyFill="1" applyBorder="1" applyAlignment="1" applyProtection="1">
      <alignment vertical="center"/>
      <protection hidden="1"/>
    </xf>
    <xf numFmtId="170" fontId="79" fillId="16" borderId="147" xfId="11" applyNumberFormat="1" applyFont="1" applyFill="1" applyBorder="1" applyAlignment="1" applyProtection="1">
      <alignment vertical="center"/>
      <protection hidden="1"/>
    </xf>
    <xf numFmtId="170" fontId="83" fillId="15" borderId="150" xfId="13" applyNumberFormat="1" applyFont="1" applyFill="1" applyBorder="1" applyAlignment="1" applyProtection="1">
      <alignment vertical="center"/>
      <protection hidden="1"/>
    </xf>
    <xf numFmtId="0" fontId="79" fillId="16" borderId="148" xfId="11" applyFont="1" applyFill="1" applyBorder="1" applyAlignment="1" applyProtection="1">
      <alignment vertical="center"/>
      <protection hidden="1"/>
    </xf>
    <xf numFmtId="0" fontId="79" fillId="16" borderId="149" xfId="11" applyFont="1" applyFill="1" applyBorder="1" applyAlignment="1" applyProtection="1">
      <alignment vertical="center"/>
      <protection hidden="1"/>
    </xf>
    <xf numFmtId="0" fontId="79" fillId="16" borderId="150" xfId="11" applyFont="1" applyFill="1" applyBorder="1" applyAlignment="1" applyProtection="1">
      <alignment vertical="center"/>
      <protection hidden="1"/>
    </xf>
    <xf numFmtId="0" fontId="79" fillId="15" borderId="148" xfId="11" applyFont="1" applyFill="1" applyBorder="1" applyAlignment="1" applyProtection="1">
      <alignment vertical="center"/>
      <protection hidden="1"/>
    </xf>
    <xf numFmtId="0" fontId="79" fillId="15" borderId="149" xfId="11" applyFont="1" applyFill="1" applyBorder="1" applyAlignment="1" applyProtection="1">
      <alignment vertical="center"/>
      <protection hidden="1"/>
    </xf>
    <xf numFmtId="0" fontId="79" fillId="15" borderId="150" xfId="11" applyFont="1" applyFill="1" applyBorder="1" applyAlignment="1" applyProtection="1">
      <alignment vertical="center"/>
      <protection hidden="1"/>
    </xf>
    <xf numFmtId="0" fontId="2" fillId="2" borderId="4" xfId="0" applyFont="1" applyFill="1" applyBorder="1" applyAlignment="1" applyProtection="1">
      <alignment vertical="center"/>
      <protection locked="0" hidden="1"/>
    </xf>
    <xf numFmtId="3" fontId="1" fillId="2" borderId="4" xfId="0" applyNumberFormat="1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vertical="center"/>
      <protection locked="0" hidden="1"/>
    </xf>
    <xf numFmtId="164" fontId="3" fillId="2" borderId="4" xfId="0" applyNumberFormat="1" applyFont="1" applyFill="1" applyBorder="1" applyAlignment="1" applyProtection="1">
      <alignment vertical="center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3" fontId="3" fillId="2" borderId="4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2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4" xfId="0" applyNumberFormat="1" applyFont="1" applyFill="1" applyBorder="1" applyAlignment="1" applyProtection="1">
      <alignment horizontal="left" vertical="center"/>
      <protection locked="0" hidden="1"/>
    </xf>
    <xf numFmtId="17" fontId="1" fillId="2" borderId="4" xfId="0" applyNumberFormat="1" applyFont="1" applyFill="1" applyBorder="1" applyAlignment="1" applyProtection="1">
      <alignment horizontal="left" vertical="center"/>
      <protection locked="0" hidden="1"/>
    </xf>
    <xf numFmtId="17" fontId="1" fillId="2" borderId="5" xfId="0" applyNumberFormat="1" applyFont="1" applyFill="1" applyBorder="1" applyAlignment="1" applyProtection="1">
      <alignment horizontal="right" vertical="center"/>
      <protection locked="0" hidden="1"/>
    </xf>
    <xf numFmtId="0" fontId="2" fillId="2" borderId="0" xfId="0" applyFont="1" applyFill="1" applyBorder="1" applyAlignment="1" applyProtection="1">
      <alignment vertical="center"/>
      <protection locked="0" hidden="1"/>
    </xf>
    <xf numFmtId="0" fontId="23" fillId="2" borderId="0" xfId="0" applyFont="1" applyFill="1" applyBorder="1" applyAlignment="1" applyProtection="1">
      <alignment vertical="center"/>
      <protection locked="0" hidden="1"/>
    </xf>
    <xf numFmtId="0" fontId="23" fillId="2" borderId="7" xfId="0" applyFont="1" applyFill="1" applyBorder="1" applyAlignment="1" applyProtection="1">
      <alignment vertical="center"/>
      <protection locked="0" hidden="1"/>
    </xf>
    <xf numFmtId="164" fontId="10" fillId="2" borderId="0" xfId="0" applyNumberFormat="1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1" fillId="2" borderId="9" xfId="0" applyFont="1" applyFill="1" applyBorder="1" applyAlignment="1" applyProtection="1">
      <alignment horizontal="right" vertical="center"/>
      <protection locked="0" hidden="1"/>
    </xf>
    <xf numFmtId="14" fontId="2" fillId="2" borderId="0" xfId="0" applyNumberFormat="1" applyFont="1" applyFill="1" applyBorder="1" applyAlignment="1" applyProtection="1">
      <alignment horizontal="right" vertical="center"/>
      <protection locked="0" hidden="1"/>
    </xf>
    <xf numFmtId="164" fontId="10" fillId="2" borderId="7" xfId="0" applyNumberFormat="1" applyFont="1" applyFill="1" applyBorder="1" applyAlignment="1" applyProtection="1">
      <alignment horizontal="left" vertical="center"/>
      <protection locked="0" hidden="1"/>
    </xf>
    <xf numFmtId="14" fontId="4" fillId="2" borderId="0" xfId="0" applyNumberFormat="1" applyFont="1" applyFill="1" applyBorder="1" applyAlignment="1" applyProtection="1">
      <alignment horizontal="left" vertical="center"/>
      <protection locked="0" hidden="1"/>
    </xf>
    <xf numFmtId="14" fontId="1" fillId="2" borderId="0" xfId="0" applyNumberFormat="1" applyFont="1" applyFill="1" applyBorder="1" applyAlignment="1" applyProtection="1">
      <alignment horizontal="left" vertical="center"/>
      <protection locked="0" hidden="1"/>
    </xf>
    <xf numFmtId="14" fontId="1" fillId="2" borderId="9" xfId="0" applyNumberFormat="1" applyFont="1" applyFill="1" applyBorder="1" applyAlignment="1" applyProtection="1">
      <alignment horizontal="right" vertical="center"/>
      <protection locked="0" hidden="1"/>
    </xf>
    <xf numFmtId="14" fontId="4" fillId="2" borderId="0" xfId="0" applyNumberFormat="1" applyFont="1" applyFill="1" applyBorder="1" applyAlignment="1" applyProtection="1">
      <alignment horizontal="right" vertical="center"/>
      <protection locked="0" hidden="1"/>
    </xf>
    <xf numFmtId="3" fontId="10" fillId="2" borderId="0" xfId="0" applyNumberFormat="1" applyFont="1" applyFill="1" applyBorder="1" applyAlignment="1" applyProtection="1">
      <alignment horizontal="left" vertical="center"/>
      <protection locked="0" hidden="1"/>
    </xf>
    <xf numFmtId="0" fontId="1" fillId="2" borderId="11" xfId="0" applyFont="1" applyFill="1" applyBorder="1" applyAlignment="1" applyProtection="1">
      <alignment horizontal="right" vertical="center"/>
      <protection locked="0" hidden="1"/>
    </xf>
    <xf numFmtId="0" fontId="4" fillId="2" borderId="11" xfId="0" applyFont="1" applyFill="1" applyBorder="1" applyAlignment="1" applyProtection="1">
      <alignment vertical="center"/>
      <protection locked="0" hidden="1"/>
    </xf>
    <xf numFmtId="0" fontId="4" fillId="2" borderId="13" xfId="0" applyFont="1" applyFill="1" applyBorder="1" applyAlignment="1" applyProtection="1">
      <alignment vertical="center"/>
      <protection locked="0" hidden="1"/>
    </xf>
    <xf numFmtId="164" fontId="10" fillId="2" borderId="13" xfId="0" applyNumberFormat="1" applyFont="1" applyFill="1" applyBorder="1" applyAlignment="1" applyProtection="1">
      <alignment horizontal="left" vertical="center"/>
      <protection locked="0" hidden="1"/>
    </xf>
    <xf numFmtId="164" fontId="10" fillId="2" borderId="11" xfId="0" applyNumberFormat="1" applyFont="1" applyFill="1" applyBorder="1" applyAlignment="1" applyProtection="1">
      <alignment horizontal="left" vertical="center"/>
      <protection locked="0" hidden="1"/>
    </xf>
    <xf numFmtId="3" fontId="10" fillId="2" borderId="11" xfId="0" applyNumberFormat="1" applyFont="1" applyFill="1" applyBorder="1" applyAlignment="1" applyProtection="1">
      <alignment horizontal="left" vertical="center"/>
      <protection locked="0" hidden="1"/>
    </xf>
    <xf numFmtId="3" fontId="1" fillId="2" borderId="14" xfId="0" applyNumberFormat="1" applyFont="1" applyFill="1" applyBorder="1" applyAlignment="1" applyProtection="1">
      <alignment horizontal="right" vertical="center"/>
      <protection locked="0" hidden="1"/>
    </xf>
    <xf numFmtId="3" fontId="29" fillId="2" borderId="0" xfId="1" applyNumberFormat="1" applyFont="1" applyFill="1" applyBorder="1" applyAlignment="1" applyProtection="1">
      <alignment vertical="center"/>
      <protection hidden="1"/>
    </xf>
    <xf numFmtId="0" fontId="29" fillId="2" borderId="0" xfId="1" applyFont="1" applyFill="1" applyBorder="1" applyAlignment="1" applyProtection="1">
      <alignment vertical="center"/>
      <protection hidden="1"/>
    </xf>
    <xf numFmtId="164" fontId="30" fillId="2" borderId="0" xfId="1" applyNumberFormat="1" applyFont="1" applyFill="1" applyBorder="1" applyAlignment="1" applyProtection="1">
      <alignment vertical="center"/>
      <protection hidden="1"/>
    </xf>
    <xf numFmtId="0" fontId="30" fillId="2" borderId="0" xfId="1" applyFont="1" applyFill="1" applyBorder="1" applyAlignment="1" applyProtection="1">
      <alignment horizontal="left" vertical="center"/>
      <protection hidden="1"/>
    </xf>
    <xf numFmtId="0" fontId="29" fillId="2" borderId="0" xfId="0" applyFont="1" applyFill="1" applyBorder="1" applyAlignment="1" applyProtection="1">
      <alignment vertical="center"/>
      <protection hidden="1"/>
    </xf>
    <xf numFmtId="0" fontId="1" fillId="3" borderId="16" xfId="1" applyFont="1" applyFill="1" applyBorder="1" applyAlignment="1" applyProtection="1">
      <alignment vertical="center"/>
      <protection hidden="1"/>
    </xf>
    <xf numFmtId="3" fontId="23" fillId="2" borderId="0" xfId="1" applyNumberFormat="1" applyFont="1" applyFill="1" applyBorder="1" applyAlignment="1" applyProtection="1">
      <alignment horizontal="center" vertical="center"/>
      <protection hidden="1"/>
    </xf>
    <xf numFmtId="0" fontId="3" fillId="2" borderId="0" xfId="1" applyFont="1" applyFill="1" applyBorder="1" applyAlignment="1" applyProtection="1">
      <alignment horizontal="center" vertical="center"/>
      <protection hidden="1"/>
    </xf>
    <xf numFmtId="10" fontId="3" fillId="2" borderId="0" xfId="1" applyNumberFormat="1" applyFont="1" applyFill="1" applyBorder="1" applyAlignment="1" applyProtection="1">
      <alignment vertical="center"/>
      <protection hidden="1"/>
    </xf>
    <xf numFmtId="0" fontId="10" fillId="2" borderId="0" xfId="1" applyFont="1" applyFill="1" applyAlignment="1" applyProtection="1">
      <alignment vertical="center"/>
      <protection hidden="1"/>
    </xf>
    <xf numFmtId="0" fontId="10" fillId="2" borderId="0" xfId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Alignment="1" applyProtection="1">
      <alignment vertical="center"/>
      <protection hidden="1"/>
    </xf>
    <xf numFmtId="167" fontId="10" fillId="2" borderId="0" xfId="1" applyNumberFormat="1" applyFont="1" applyFill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Alignment="1" applyProtection="1">
      <alignment vertical="center"/>
      <protection hidden="1"/>
    </xf>
    <xf numFmtId="3" fontId="8" fillId="2" borderId="15" xfId="1" applyNumberFormat="1" applyFont="1" applyFill="1" applyBorder="1" applyAlignment="1" applyProtection="1">
      <alignment vertical="center"/>
      <protection hidden="1"/>
    </xf>
    <xf numFmtId="3" fontId="8" fillId="2" borderId="17" xfId="1" applyNumberFormat="1" applyFont="1" applyFill="1" applyBorder="1" applyAlignment="1" applyProtection="1">
      <alignment vertical="center"/>
      <protection hidden="1"/>
    </xf>
    <xf numFmtId="3" fontId="8" fillId="2" borderId="0" xfId="1" applyNumberFormat="1" applyFont="1" applyFill="1" applyBorder="1" applyAlignment="1" applyProtection="1">
      <alignment vertical="center"/>
      <protection hidden="1"/>
    </xf>
    <xf numFmtId="0" fontId="10" fillId="2" borderId="0" xfId="0" applyFont="1" applyFill="1" applyBorder="1" applyAlignment="1" applyProtection="1">
      <alignment vertical="center"/>
      <protection hidden="1"/>
    </xf>
    <xf numFmtId="3" fontId="8" fillId="2" borderId="22" xfId="3" applyNumberFormat="1" applyFont="1" applyFill="1" applyBorder="1" applyAlignment="1" applyProtection="1">
      <alignment vertical="center"/>
      <protection hidden="1"/>
    </xf>
    <xf numFmtId="3" fontId="10" fillId="2" borderId="0" xfId="0" applyNumberFormat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Border="1" applyAlignment="1" applyProtection="1">
      <alignment vertical="center"/>
      <protection hidden="1"/>
    </xf>
    <xf numFmtId="3" fontId="8" fillId="2" borderId="0" xfId="3" applyNumberFormat="1" applyFont="1" applyFill="1" applyBorder="1" applyAlignment="1" applyProtection="1">
      <alignment horizontal="center" vertical="center"/>
      <protection hidden="1"/>
    </xf>
    <xf numFmtId="10" fontId="31" fillId="2" borderId="0" xfId="1" applyNumberFormat="1" applyFont="1" applyFill="1" applyBorder="1" applyAlignment="1" applyProtection="1">
      <alignment horizontal="center" vertical="center"/>
      <protection hidden="1"/>
    </xf>
    <xf numFmtId="3" fontId="9" fillId="2" borderId="22" xfId="3" applyNumberFormat="1" applyFont="1" applyFill="1" applyBorder="1" applyAlignment="1" applyProtection="1">
      <alignment horizontal="center" vertical="center"/>
      <protection hidden="1"/>
    </xf>
    <xf numFmtId="10" fontId="9" fillId="2" borderId="22" xfId="1" applyNumberFormat="1" applyFont="1" applyFill="1" applyBorder="1" applyAlignment="1" applyProtection="1">
      <alignment vertical="center"/>
      <protection hidden="1"/>
    </xf>
    <xf numFmtId="3" fontId="10" fillId="2" borderId="0" xfId="1" applyNumberFormat="1" applyFont="1" applyFill="1" applyBorder="1" applyAlignment="1" applyProtection="1">
      <alignment horizontal="center" vertical="center"/>
      <protection hidden="1"/>
    </xf>
    <xf numFmtId="3" fontId="8" fillId="2" borderId="0" xfId="1" applyNumberFormat="1" applyFont="1" applyFill="1" applyBorder="1" applyAlignment="1" applyProtection="1">
      <alignment vertical="center"/>
      <protection locked="0" hidden="1"/>
    </xf>
    <xf numFmtId="3" fontId="9" fillId="2" borderId="0" xfId="3" applyNumberFormat="1" applyFont="1" applyFill="1" applyBorder="1" applyAlignment="1" applyProtection="1">
      <alignment horizontal="center" vertical="center"/>
      <protection hidden="1"/>
    </xf>
    <xf numFmtId="10" fontId="9" fillId="2" borderId="0" xfId="1" applyNumberFormat="1" applyFont="1" applyFill="1" applyBorder="1" applyAlignment="1" applyProtection="1">
      <alignment vertical="center"/>
      <protection hidden="1"/>
    </xf>
    <xf numFmtId="0" fontId="8" fillId="2" borderId="0" xfId="1" applyFont="1" applyFill="1" applyBorder="1" applyAlignment="1" applyProtection="1">
      <alignment vertical="center"/>
      <protection hidden="1"/>
    </xf>
    <xf numFmtId="3" fontId="10" fillId="2" borderId="0" xfId="0" applyNumberFormat="1" applyFont="1" applyFill="1" applyAlignment="1" applyProtection="1">
      <alignment vertical="center"/>
      <protection hidden="1"/>
    </xf>
    <xf numFmtId="3" fontId="8" fillId="2" borderId="0" xfId="0" applyNumberFormat="1" applyFont="1" applyFill="1" applyBorder="1" applyAlignment="1" applyProtection="1">
      <alignment vertical="center"/>
      <protection hidden="1"/>
    </xf>
    <xf numFmtId="3" fontId="8" fillId="2" borderId="16" xfId="3" applyNumberFormat="1" applyFont="1" applyFill="1" applyBorder="1" applyAlignment="1" applyProtection="1">
      <alignment vertical="center"/>
      <protection hidden="1"/>
    </xf>
    <xf numFmtId="3" fontId="9" fillId="2" borderId="16" xfId="3" applyNumberFormat="1" applyFont="1" applyFill="1" applyBorder="1" applyAlignment="1" applyProtection="1">
      <alignment horizontal="center" vertical="center"/>
      <protection hidden="1"/>
    </xf>
    <xf numFmtId="10" fontId="9" fillId="2" borderId="16" xfId="1" applyNumberFormat="1" applyFont="1" applyFill="1" applyBorder="1" applyAlignment="1" applyProtection="1">
      <alignment vertical="center"/>
      <protection hidden="1"/>
    </xf>
    <xf numFmtId="0" fontId="8" fillId="2" borderId="0" xfId="1" applyFont="1" applyFill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3" fontId="8" fillId="4" borderId="22" xfId="3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3" fontId="8" fillId="5" borderId="22" xfId="3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vertical="center" wrapText="1"/>
      <protection hidden="1"/>
    </xf>
    <xf numFmtId="3" fontId="8" fillId="2" borderId="0" xfId="0" applyNumberFormat="1" applyFont="1" applyFill="1" applyAlignment="1" applyProtection="1">
      <alignment vertical="center"/>
      <protection hidden="1"/>
    </xf>
    <xf numFmtId="3" fontId="8" fillId="6" borderId="22" xfId="3" applyNumberFormat="1" applyFont="1" applyFill="1" applyBorder="1" applyAlignment="1" applyProtection="1">
      <alignment horizontal="center" vertical="center" wrapText="1"/>
      <protection hidden="1"/>
    </xf>
    <xf numFmtId="3" fontId="8" fillId="2" borderId="0" xfId="3" applyNumberFormat="1" applyFont="1" applyFill="1" applyBorder="1" applyAlignment="1" applyProtection="1">
      <alignment vertical="center"/>
      <protection hidden="1"/>
    </xf>
    <xf numFmtId="10" fontId="10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0" fillId="2" borderId="0" xfId="1" applyNumberFormat="1" applyFont="1" applyFill="1" applyBorder="1" applyAlignment="1" applyProtection="1">
      <alignment horizontal="center" vertical="center" wrapText="1"/>
      <protection hidden="1"/>
    </xf>
    <xf numFmtId="10" fontId="11" fillId="2" borderId="0" xfId="1" applyNumberFormat="1" applyFont="1" applyFill="1" applyBorder="1" applyAlignment="1" applyProtection="1">
      <alignment horizontal="center" vertical="center" wrapText="1"/>
      <protection hidden="1"/>
    </xf>
    <xf numFmtId="0" fontId="11" fillId="2" borderId="0" xfId="1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horizontal="center" vertical="center"/>
      <protection hidden="1"/>
    </xf>
    <xf numFmtId="3" fontId="8" fillId="0" borderId="0" xfId="1" applyNumberFormat="1" applyFont="1" applyFill="1" applyBorder="1" applyAlignment="1" applyProtection="1">
      <alignment vertical="center"/>
      <protection hidden="1"/>
    </xf>
    <xf numFmtId="3" fontId="9" fillId="2" borderId="0" xfId="3" applyNumberFormat="1" applyFont="1" applyFill="1" applyBorder="1" applyAlignment="1" applyProtection="1">
      <alignment vertical="center"/>
      <protection hidden="1"/>
    </xf>
    <xf numFmtId="10" fontId="8" fillId="2" borderId="0" xfId="1" applyNumberFormat="1" applyFont="1" applyFill="1" applyBorder="1" applyAlignment="1" applyProtection="1">
      <alignment horizontal="center" vertical="center"/>
      <protection locked="0" hidden="1"/>
    </xf>
    <xf numFmtId="3" fontId="8" fillId="2" borderId="0" xfId="1" applyNumberFormat="1" applyFont="1" applyFill="1" applyBorder="1" applyAlignment="1" applyProtection="1">
      <alignment horizontal="right" vertical="center"/>
      <protection hidden="1"/>
    </xf>
    <xf numFmtId="3" fontId="8" fillId="2" borderId="0" xfId="1" applyNumberFormat="1" applyFont="1" applyFill="1" applyAlignment="1" applyProtection="1">
      <alignment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10" fillId="2" borderId="57" xfId="0" applyFont="1" applyFill="1" applyBorder="1" applyAlignment="1" applyProtection="1">
      <alignment vertical="center"/>
      <protection locked="0" hidden="1"/>
    </xf>
    <xf numFmtId="0" fontId="10" fillId="2" borderId="58" xfId="0" applyFont="1" applyFill="1" applyBorder="1" applyAlignment="1" applyProtection="1">
      <alignment vertical="center"/>
      <protection locked="0" hidden="1"/>
    </xf>
    <xf numFmtId="10" fontId="10" fillId="0" borderId="49" xfId="1" applyNumberFormat="1" applyFont="1" applyFill="1" applyBorder="1" applyAlignment="1" applyProtection="1">
      <alignment horizontal="center" vertical="center"/>
      <protection locked="0" hidden="1"/>
    </xf>
    <xf numFmtId="10" fontId="10" fillId="2" borderId="49" xfId="1" applyNumberFormat="1" applyFont="1" applyFill="1" applyBorder="1" applyAlignment="1" applyProtection="1">
      <alignment horizontal="center" vertical="center"/>
      <protection locked="0" hidden="1"/>
    </xf>
    <xf numFmtId="3" fontId="10" fillId="2" borderId="49" xfId="1" applyNumberFormat="1" applyFont="1" applyFill="1" applyBorder="1" applyAlignment="1" applyProtection="1">
      <alignment vertical="center"/>
      <protection locked="0" hidden="1"/>
    </xf>
    <xf numFmtId="3" fontId="8" fillId="2" borderId="49" xfId="1" applyNumberFormat="1" applyFont="1" applyFill="1" applyBorder="1" applyAlignment="1" applyProtection="1">
      <alignment vertical="center"/>
      <protection locked="0" hidden="1"/>
    </xf>
    <xf numFmtId="3" fontId="10" fillId="2" borderId="0" xfId="1" applyNumberFormat="1" applyFont="1" applyFill="1" applyBorder="1" applyAlignment="1" applyProtection="1">
      <alignment vertical="center"/>
      <protection locked="0" hidden="1"/>
    </xf>
    <xf numFmtId="10" fontId="10" fillId="2" borderId="0" xfId="1" applyNumberFormat="1" applyFont="1" applyFill="1" applyAlignment="1" applyProtection="1">
      <alignment vertical="center"/>
      <protection hidden="1"/>
    </xf>
    <xf numFmtId="3" fontId="11" fillId="2" borderId="49" xfId="1" applyNumberFormat="1" applyFont="1" applyFill="1" applyBorder="1" applyAlignment="1" applyProtection="1">
      <alignment vertical="center"/>
      <protection hidden="1"/>
    </xf>
    <xf numFmtId="10" fontId="11" fillId="2" borderId="49" xfId="1" applyNumberFormat="1" applyFont="1" applyFill="1" applyBorder="1" applyAlignment="1" applyProtection="1">
      <alignment vertical="center"/>
      <protection locked="0" hidden="1"/>
    </xf>
    <xf numFmtId="0" fontId="10" fillId="2" borderId="15" xfId="0" applyFont="1" applyFill="1" applyBorder="1" applyAlignment="1" applyProtection="1">
      <alignment vertical="center"/>
      <protection locked="0" hidden="1"/>
    </xf>
    <xf numFmtId="0" fontId="10" fillId="2" borderId="17" xfId="0" applyFont="1" applyFill="1" applyBorder="1" applyAlignment="1" applyProtection="1">
      <alignment vertical="center"/>
      <protection locked="0" hidden="1"/>
    </xf>
    <xf numFmtId="3" fontId="34" fillId="2" borderId="0" xfId="0" applyNumberFormat="1" applyFont="1" applyFill="1" applyBorder="1" applyAlignment="1" applyProtection="1">
      <alignment vertical="center"/>
      <protection hidden="1"/>
    </xf>
    <xf numFmtId="0" fontId="10" fillId="2" borderId="57" xfId="0" applyFont="1" applyFill="1" applyBorder="1" applyAlignment="1" applyProtection="1">
      <alignment horizontal="left" vertical="center"/>
      <protection locked="0" hidden="1"/>
    </xf>
    <xf numFmtId="0" fontId="10" fillId="2" borderId="58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Alignment="1" applyProtection="1">
      <alignment vertical="center"/>
      <protection hidden="1"/>
    </xf>
    <xf numFmtId="3" fontId="10" fillId="0" borderId="49" xfId="1" applyNumberFormat="1" applyFont="1" applyFill="1" applyBorder="1" applyAlignment="1" applyProtection="1">
      <alignment vertical="center"/>
      <protection locked="0" hidden="1"/>
    </xf>
    <xf numFmtId="0" fontId="11" fillId="2" borderId="55" xfId="0" applyFont="1" applyFill="1" applyBorder="1" applyAlignment="1" applyProtection="1">
      <alignment horizontal="left" vertical="center"/>
      <protection locked="0" hidden="1"/>
    </xf>
    <xf numFmtId="10" fontId="10" fillId="2" borderId="0" xfId="1" applyNumberFormat="1" applyFont="1" applyFill="1" applyBorder="1" applyAlignment="1" applyProtection="1">
      <alignment horizontal="center" vertical="center"/>
      <protection locked="0" hidden="1"/>
    </xf>
    <xf numFmtId="10" fontId="10" fillId="2" borderId="0" xfId="1" applyNumberFormat="1" applyFont="1" applyFill="1" applyBorder="1" applyAlignment="1" applyProtection="1">
      <alignment vertical="center"/>
      <protection hidden="1"/>
    </xf>
    <xf numFmtId="3" fontId="11" fillId="2" borderId="0" xfId="1" applyNumberFormat="1" applyFont="1" applyFill="1" applyBorder="1" applyAlignment="1" applyProtection="1">
      <alignment vertical="center"/>
      <protection hidden="1"/>
    </xf>
    <xf numFmtId="10" fontId="11" fillId="2" borderId="0" xfId="1" applyNumberFormat="1" applyFont="1" applyFill="1" applyBorder="1" applyAlignment="1" applyProtection="1">
      <alignment vertical="center"/>
      <protection locked="0" hidden="1"/>
    </xf>
    <xf numFmtId="3" fontId="8" fillId="3" borderId="15" xfId="1" applyNumberFormat="1" applyFont="1" applyFill="1" applyBorder="1" applyAlignment="1" applyProtection="1">
      <alignment vertical="center"/>
      <protection hidden="1"/>
    </xf>
    <xf numFmtId="3" fontId="8" fillId="3" borderId="17" xfId="1" applyNumberFormat="1" applyFont="1" applyFill="1" applyBorder="1" applyAlignment="1" applyProtection="1">
      <alignment vertical="center"/>
      <protection hidden="1"/>
    </xf>
    <xf numFmtId="0" fontId="8" fillId="0" borderId="0" xfId="0" applyFont="1" applyAlignment="1" applyProtection="1">
      <alignment vertical="center"/>
      <protection hidden="1"/>
    </xf>
    <xf numFmtId="3" fontId="8" fillId="4" borderId="22" xfId="3" applyNumberFormat="1" applyFont="1" applyFill="1" applyBorder="1" applyAlignment="1" applyProtection="1">
      <alignment vertical="center"/>
      <protection hidden="1"/>
    </xf>
    <xf numFmtId="10" fontId="19" fillId="2" borderId="0" xfId="3" applyNumberFormat="1" applyFont="1" applyFill="1" applyBorder="1" applyAlignment="1" applyProtection="1">
      <alignment vertical="center"/>
      <protection hidden="1"/>
    </xf>
    <xf numFmtId="3" fontId="8" fillId="5" borderId="22" xfId="3" applyNumberFormat="1" applyFont="1" applyFill="1" applyBorder="1" applyAlignment="1" applyProtection="1">
      <alignment vertical="center"/>
      <protection hidden="1"/>
    </xf>
    <xf numFmtId="3" fontId="8" fillId="6" borderId="22" xfId="3" applyNumberFormat="1" applyFont="1" applyFill="1" applyBorder="1" applyAlignment="1" applyProtection="1">
      <alignment vertical="center"/>
      <protection hidden="1"/>
    </xf>
    <xf numFmtId="3" fontId="9" fillId="3" borderId="22" xfId="3" applyNumberFormat="1" applyFont="1" applyFill="1" applyBorder="1" applyAlignment="1" applyProtection="1">
      <alignment horizontal="center" vertical="center"/>
      <protection hidden="1"/>
    </xf>
    <xf numFmtId="10" fontId="35" fillId="3" borderId="22" xfId="1" applyNumberFormat="1" applyFont="1" applyFill="1" applyBorder="1" applyAlignment="1" applyProtection="1">
      <alignment vertical="center"/>
      <protection hidden="1"/>
    </xf>
    <xf numFmtId="0" fontId="49" fillId="8" borderId="39" xfId="6" applyFont="1" applyFill="1" applyBorder="1" applyAlignment="1" applyProtection="1">
      <alignment vertical="center"/>
      <protection hidden="1"/>
    </xf>
    <xf numFmtId="0" fontId="50" fillId="8" borderId="40" xfId="6" applyFont="1" applyFill="1" applyBorder="1" applyAlignment="1" applyProtection="1">
      <alignment horizontal="center" vertical="center"/>
      <protection hidden="1"/>
    </xf>
    <xf numFmtId="3" fontId="50" fillId="8" borderId="40" xfId="6" applyNumberFormat="1" applyFont="1" applyFill="1" applyBorder="1" applyAlignment="1" applyProtection="1">
      <alignment vertical="center"/>
      <protection hidden="1"/>
    </xf>
    <xf numFmtId="3" fontId="50" fillId="8" borderId="65" xfId="6" applyNumberFormat="1" applyFont="1" applyFill="1" applyBorder="1" applyAlignment="1" applyProtection="1">
      <alignment vertical="center"/>
      <protection hidden="1"/>
    </xf>
    <xf numFmtId="3" fontId="50" fillId="8" borderId="44" xfId="6" applyNumberFormat="1" applyFont="1" applyFill="1" applyBorder="1" applyAlignment="1" applyProtection="1">
      <alignment vertical="center"/>
      <protection hidden="1"/>
    </xf>
    <xf numFmtId="3" fontId="51" fillId="8" borderId="41" xfId="6" applyNumberFormat="1" applyFont="1" applyFill="1" applyBorder="1" applyAlignment="1" applyProtection="1">
      <alignment vertical="center"/>
      <protection hidden="1"/>
    </xf>
    <xf numFmtId="0" fontId="50" fillId="8" borderId="42" xfId="6" applyFont="1" applyFill="1" applyBorder="1" applyAlignment="1" applyProtection="1">
      <alignment vertical="center"/>
      <protection hidden="1"/>
    </xf>
    <xf numFmtId="0" fontId="50" fillId="8" borderId="0" xfId="6" applyFont="1" applyFill="1" applyBorder="1" applyAlignment="1" applyProtection="1">
      <alignment horizontal="center" vertical="center"/>
      <protection hidden="1"/>
    </xf>
    <xf numFmtId="3" fontId="50" fillId="8" borderId="0" xfId="6" applyNumberFormat="1" applyFont="1" applyFill="1" applyBorder="1" applyAlignment="1" applyProtection="1">
      <alignment vertical="center"/>
      <protection hidden="1"/>
    </xf>
    <xf numFmtId="3" fontId="50" fillId="8" borderId="66" xfId="6" applyNumberFormat="1" applyFont="1" applyFill="1" applyBorder="1" applyAlignment="1" applyProtection="1">
      <alignment vertical="center"/>
      <protection hidden="1"/>
    </xf>
    <xf numFmtId="3" fontId="50" fillId="8" borderId="8" xfId="6" applyNumberFormat="1" applyFont="1" applyFill="1" applyBorder="1" applyAlignment="1" applyProtection="1">
      <alignment vertical="center"/>
      <protection hidden="1"/>
    </xf>
    <xf numFmtId="3" fontId="51" fillId="8" borderId="43" xfId="6" applyNumberFormat="1" applyFont="1" applyFill="1" applyBorder="1" applyAlignment="1" applyProtection="1">
      <alignment vertical="center"/>
      <protection hidden="1"/>
    </xf>
    <xf numFmtId="0" fontId="52" fillId="8" borderId="42" xfId="6" applyFont="1" applyFill="1" applyBorder="1" applyAlignment="1" applyProtection="1">
      <alignment horizontal="centerContinuous" vertical="center"/>
      <protection hidden="1"/>
    </xf>
    <xf numFmtId="0" fontId="52" fillId="8" borderId="0" xfId="6" applyFont="1" applyFill="1" applyBorder="1" applyAlignment="1" applyProtection="1">
      <alignment horizontal="centerContinuous" vertical="center"/>
      <protection hidden="1"/>
    </xf>
    <xf numFmtId="3" fontId="52" fillId="8" borderId="0" xfId="6" applyNumberFormat="1" applyFont="1" applyFill="1" applyBorder="1" applyAlignment="1" applyProtection="1">
      <alignment horizontal="centerContinuous" vertical="center"/>
      <protection hidden="1"/>
    </xf>
    <xf numFmtId="3" fontId="52" fillId="8" borderId="66" xfId="6" applyNumberFormat="1" applyFont="1" applyFill="1" applyBorder="1" applyAlignment="1" applyProtection="1">
      <alignment horizontal="centerContinuous" vertical="center"/>
      <protection hidden="1"/>
    </xf>
    <xf numFmtId="3" fontId="53" fillId="8" borderId="43" xfId="6" applyNumberFormat="1" applyFont="1" applyFill="1" applyBorder="1" applyAlignment="1" applyProtection="1">
      <alignment horizontal="centerContinuous" vertical="center"/>
      <protection hidden="1"/>
    </xf>
    <xf numFmtId="0" fontId="51" fillId="8" borderId="42" xfId="6" applyFont="1" applyFill="1" applyBorder="1" applyAlignment="1" applyProtection="1">
      <alignment vertical="center"/>
      <protection hidden="1"/>
    </xf>
    <xf numFmtId="0" fontId="51" fillId="8" borderId="0" xfId="6" applyFont="1" applyFill="1" applyBorder="1" applyAlignment="1" applyProtection="1">
      <alignment horizontal="center" vertical="center"/>
      <protection hidden="1"/>
    </xf>
    <xf numFmtId="3" fontId="51" fillId="8" borderId="0" xfId="6" applyNumberFormat="1" applyFont="1" applyFill="1" applyBorder="1" applyAlignment="1" applyProtection="1">
      <alignment vertical="center"/>
      <protection hidden="1"/>
    </xf>
    <xf numFmtId="3" fontId="51" fillId="8" borderId="66" xfId="6" applyNumberFormat="1" applyFont="1" applyFill="1" applyBorder="1" applyAlignment="1" applyProtection="1">
      <alignment vertical="center"/>
      <protection hidden="1"/>
    </xf>
    <xf numFmtId="3" fontId="51" fillId="8" borderId="8" xfId="6" applyNumberFormat="1" applyFont="1" applyFill="1" applyBorder="1" applyAlignment="1" applyProtection="1">
      <alignment vertical="center"/>
      <protection hidden="1"/>
    </xf>
    <xf numFmtId="0" fontId="51" fillId="8" borderId="67" xfId="6" applyFont="1" applyFill="1" applyBorder="1" applyAlignment="1" applyProtection="1">
      <alignment vertical="center"/>
      <protection hidden="1"/>
    </xf>
    <xf numFmtId="0" fontId="51" fillId="8" borderId="68" xfId="6" applyFont="1" applyFill="1" applyBorder="1" applyAlignment="1" applyProtection="1">
      <alignment horizontal="center" vertical="center"/>
      <protection hidden="1"/>
    </xf>
    <xf numFmtId="3" fontId="51" fillId="8" borderId="68" xfId="6" applyNumberFormat="1" applyFont="1" applyFill="1" applyBorder="1" applyAlignment="1" applyProtection="1">
      <alignment vertical="center"/>
      <protection hidden="1"/>
    </xf>
    <xf numFmtId="3" fontId="51" fillId="8" borderId="69" xfId="6" applyNumberFormat="1" applyFont="1" applyFill="1" applyBorder="1" applyAlignment="1" applyProtection="1">
      <alignment vertical="center"/>
      <protection hidden="1"/>
    </xf>
    <xf numFmtId="3" fontId="51" fillId="8" borderId="70" xfId="6" applyNumberFormat="1" applyFont="1" applyFill="1" applyBorder="1" applyAlignment="1" applyProtection="1">
      <alignment vertical="center"/>
      <protection hidden="1"/>
    </xf>
    <xf numFmtId="3" fontId="51" fillId="8" borderId="71" xfId="6" applyNumberFormat="1" applyFont="1" applyFill="1" applyBorder="1" applyAlignment="1" applyProtection="1">
      <alignment vertical="center"/>
      <protection hidden="1"/>
    </xf>
    <xf numFmtId="3" fontId="51" fillId="8" borderId="72" xfId="6" applyNumberFormat="1" applyFont="1" applyFill="1" applyBorder="1" applyAlignment="1" applyProtection="1">
      <alignment vertical="center"/>
      <protection hidden="1"/>
    </xf>
    <xf numFmtId="0" fontId="54" fillId="8" borderId="247" xfId="7" applyFont="1" applyFill="1" applyBorder="1" applyAlignment="1" applyProtection="1">
      <alignment horizontal="left" vertical="center"/>
      <protection hidden="1"/>
    </xf>
    <xf numFmtId="3" fontId="54" fillId="8" borderId="74" xfId="6" applyNumberFormat="1" applyFont="1" applyFill="1" applyBorder="1" applyAlignment="1" applyProtection="1">
      <alignment horizontal="right" vertical="center"/>
      <protection hidden="1"/>
    </xf>
    <xf numFmtId="14" fontId="54" fillId="8" borderId="74" xfId="6" applyNumberFormat="1" applyFont="1" applyFill="1" applyBorder="1" applyAlignment="1" applyProtection="1">
      <alignment horizontal="centerContinuous" vertical="center"/>
      <protection hidden="1"/>
    </xf>
    <xf numFmtId="3" fontId="51" fillId="8" borderId="75" xfId="6" applyNumberFormat="1" applyFont="1" applyFill="1" applyBorder="1" applyAlignment="1" applyProtection="1">
      <alignment horizontal="centerContinuous" vertical="center"/>
      <protection hidden="1"/>
    </xf>
    <xf numFmtId="0" fontId="55" fillId="8" borderId="42" xfId="7" quotePrefix="1" applyFont="1" applyFill="1" applyBorder="1" applyAlignment="1" applyProtection="1">
      <alignment horizontal="left" vertical="center"/>
      <protection hidden="1"/>
    </xf>
    <xf numFmtId="0" fontId="54" fillId="8" borderId="0" xfId="7" applyFont="1" applyFill="1" applyBorder="1" applyProtection="1">
      <protection hidden="1"/>
    </xf>
    <xf numFmtId="0" fontId="54" fillId="8" borderId="0" xfId="6" applyFont="1" applyFill="1" applyBorder="1" applyAlignment="1" applyProtection="1">
      <alignment vertical="center"/>
      <protection hidden="1"/>
    </xf>
    <xf numFmtId="3" fontId="54" fillId="8" borderId="0" xfId="6" quotePrefix="1" applyNumberFormat="1" applyFont="1" applyFill="1" applyBorder="1" applyAlignment="1" applyProtection="1">
      <alignment horizontal="right" vertical="center"/>
      <protection hidden="1"/>
    </xf>
    <xf numFmtId="3" fontId="54" fillId="8" borderId="0" xfId="6" applyNumberFormat="1" applyFont="1" applyFill="1" applyBorder="1" applyAlignment="1" applyProtection="1">
      <alignment horizontal="centerContinuous" vertical="center"/>
      <protection hidden="1"/>
    </xf>
    <xf numFmtId="3" fontId="51" fillId="8" borderId="43" xfId="6" applyNumberFormat="1" applyFont="1" applyFill="1" applyBorder="1" applyAlignment="1" applyProtection="1">
      <alignment horizontal="centerContinuous" vertical="center"/>
      <protection hidden="1"/>
    </xf>
    <xf numFmtId="0" fontId="54" fillId="8" borderId="67" xfId="6" quotePrefix="1" applyFont="1" applyFill="1" applyBorder="1" applyAlignment="1" applyProtection="1">
      <alignment horizontal="left" vertical="center"/>
      <protection hidden="1"/>
    </xf>
    <xf numFmtId="0" fontId="54" fillId="8" borderId="71" xfId="6" applyFont="1" applyFill="1" applyBorder="1" applyAlignment="1" applyProtection="1">
      <alignment vertical="center"/>
      <protection hidden="1"/>
    </xf>
    <xf numFmtId="0" fontId="54" fillId="3" borderId="73" xfId="6" quotePrefix="1" applyFont="1" applyFill="1" applyBorder="1" applyAlignment="1" applyProtection="1">
      <alignment horizontal="left" vertical="center"/>
      <protection hidden="1"/>
    </xf>
    <xf numFmtId="0" fontId="54" fillId="3" borderId="76" xfId="6" applyFont="1" applyFill="1" applyBorder="1" applyAlignment="1" applyProtection="1">
      <alignment horizontal="center" vertical="center"/>
      <protection hidden="1"/>
    </xf>
    <xf numFmtId="0" fontId="54" fillId="3" borderId="60" xfId="6" applyFont="1" applyFill="1" applyBorder="1" applyAlignment="1" applyProtection="1">
      <alignment horizontal="center" vertical="center"/>
      <protection hidden="1"/>
    </xf>
    <xf numFmtId="3" fontId="51" fillId="3" borderId="76" xfId="6" applyNumberFormat="1" applyFont="1" applyFill="1" applyBorder="1" applyAlignment="1" applyProtection="1">
      <alignment vertical="center"/>
      <protection hidden="1"/>
    </xf>
    <xf numFmtId="3" fontId="51" fillId="3" borderId="60" xfId="6" applyNumberFormat="1" applyFont="1" applyFill="1" applyBorder="1" applyAlignment="1" applyProtection="1">
      <alignment vertical="center"/>
      <protection hidden="1"/>
    </xf>
    <xf numFmtId="3" fontId="51" fillId="3" borderId="74" xfId="6" applyNumberFormat="1" applyFont="1" applyFill="1" applyBorder="1" applyAlignment="1" applyProtection="1">
      <alignment vertical="center"/>
      <protection hidden="1"/>
    </xf>
    <xf numFmtId="0" fontId="55" fillId="3" borderId="42" xfId="6" applyFont="1" applyFill="1" applyBorder="1" applyAlignment="1" applyProtection="1">
      <alignment vertical="center"/>
      <protection hidden="1"/>
    </xf>
    <xf numFmtId="0" fontId="55" fillId="3" borderId="66" xfId="6" applyFont="1" applyFill="1" applyBorder="1" applyAlignment="1" applyProtection="1">
      <alignment horizontal="center" vertical="center"/>
      <protection hidden="1"/>
    </xf>
    <xf numFmtId="3" fontId="55" fillId="3" borderId="0" xfId="6" applyNumberFormat="1" applyFont="1" applyFill="1" applyBorder="1" applyAlignment="1" applyProtection="1">
      <alignment horizontal="centerContinuous" vertical="center"/>
      <protection hidden="1"/>
    </xf>
    <xf numFmtId="0" fontId="55" fillId="3" borderId="8" xfId="6" applyFont="1" applyFill="1" applyBorder="1" applyAlignment="1" applyProtection="1">
      <alignment horizontal="center" vertical="center"/>
      <protection hidden="1"/>
    </xf>
    <xf numFmtId="3" fontId="55" fillId="3" borderId="66" xfId="6" applyNumberFormat="1" applyFont="1" applyFill="1" applyBorder="1" applyAlignment="1" applyProtection="1">
      <alignment horizontal="centerContinuous" vertical="center"/>
      <protection hidden="1"/>
    </xf>
    <xf numFmtId="3" fontId="55" fillId="3" borderId="71" xfId="6" applyNumberFormat="1" applyFont="1" applyFill="1" applyBorder="1" applyAlignment="1" applyProtection="1">
      <alignment horizontal="centerContinuous" vertical="center"/>
      <protection hidden="1"/>
    </xf>
    <xf numFmtId="0" fontId="55" fillId="3" borderId="178" xfId="6" quotePrefix="1" applyFont="1" applyFill="1" applyBorder="1" applyAlignment="1" applyProtection="1">
      <alignment horizontal="center" vertical="center"/>
      <protection hidden="1"/>
    </xf>
    <xf numFmtId="0" fontId="55" fillId="3" borderId="79" xfId="6" applyFont="1" applyFill="1" applyBorder="1" applyAlignment="1" applyProtection="1">
      <alignment horizontal="center" vertical="center"/>
      <protection hidden="1"/>
    </xf>
    <xf numFmtId="3" fontId="55" fillId="3" borderId="78" xfId="6" applyNumberFormat="1" applyFont="1" applyFill="1" applyBorder="1" applyAlignment="1" applyProtection="1">
      <alignment horizontal="center" vertical="center"/>
      <protection hidden="1"/>
    </xf>
    <xf numFmtId="3" fontId="55" fillId="3" borderId="91" xfId="6" applyNumberFormat="1" applyFont="1" applyFill="1" applyBorder="1" applyAlignment="1" applyProtection="1">
      <alignment horizontal="center" vertical="center"/>
      <protection hidden="1"/>
    </xf>
    <xf numFmtId="3" fontId="55" fillId="3" borderId="79" xfId="6" applyNumberFormat="1" applyFont="1" applyFill="1" applyBorder="1" applyAlignment="1" applyProtection="1">
      <alignment horizontal="center" vertical="center"/>
      <protection hidden="1"/>
    </xf>
    <xf numFmtId="3" fontId="55" fillId="3" borderId="77" xfId="6" applyNumberFormat="1" applyFont="1" applyFill="1" applyBorder="1" applyAlignment="1" applyProtection="1">
      <alignment horizontal="center" vertical="center"/>
      <protection hidden="1"/>
    </xf>
    <xf numFmtId="3" fontId="56" fillId="3" borderId="80" xfId="6" applyNumberFormat="1" applyFont="1" applyFill="1" applyBorder="1" applyAlignment="1" applyProtection="1">
      <alignment horizontal="center" vertical="center"/>
      <protection hidden="1"/>
    </xf>
    <xf numFmtId="3" fontId="56" fillId="3" borderId="81" xfId="6" applyNumberFormat="1" applyFont="1" applyFill="1" applyBorder="1" applyAlignment="1" applyProtection="1">
      <alignment horizontal="center" vertical="center"/>
      <protection hidden="1"/>
    </xf>
    <xf numFmtId="3" fontId="57" fillId="3" borderId="78" xfId="6" applyNumberFormat="1" applyFont="1" applyFill="1" applyBorder="1" applyAlignment="1" applyProtection="1">
      <alignment horizontal="center" vertical="center"/>
      <protection hidden="1"/>
    </xf>
    <xf numFmtId="3" fontId="57" fillId="3" borderId="77" xfId="6" applyNumberFormat="1" applyFont="1" applyFill="1" applyBorder="1" applyAlignment="1" applyProtection="1">
      <alignment horizontal="center" vertical="center"/>
      <protection hidden="1"/>
    </xf>
    <xf numFmtId="3" fontId="57" fillId="3" borderId="81" xfId="6" applyNumberFormat="1" applyFont="1" applyFill="1" applyBorder="1" applyAlignment="1" applyProtection="1">
      <alignment horizontal="center" vertical="center"/>
      <protection hidden="1"/>
    </xf>
    <xf numFmtId="0" fontId="60" fillId="0" borderId="42" xfId="6" applyFont="1" applyBorder="1" applyAlignment="1" applyProtection="1">
      <alignment vertical="center"/>
      <protection hidden="1"/>
    </xf>
    <xf numFmtId="0" fontId="60" fillId="0" borderId="82" xfId="6" applyFont="1" applyBorder="1" applyAlignment="1" applyProtection="1">
      <alignment horizontal="center" vertical="center"/>
      <protection hidden="1"/>
    </xf>
    <xf numFmtId="3" fontId="60" fillId="0" borderId="66" xfId="6" applyNumberFormat="1" applyFont="1" applyBorder="1" applyAlignment="1" applyProtection="1">
      <alignment vertical="center"/>
      <protection hidden="1"/>
    </xf>
    <xf numFmtId="3" fontId="61" fillId="0" borderId="8" xfId="6" applyNumberFormat="1" applyFont="1" applyBorder="1" applyAlignment="1" applyProtection="1">
      <alignment vertical="center"/>
      <protection hidden="1"/>
    </xf>
    <xf numFmtId="3" fontId="61" fillId="0" borderId="82" xfId="6" applyNumberFormat="1" applyFont="1" applyBorder="1" applyAlignment="1" applyProtection="1">
      <alignment vertical="center"/>
      <protection hidden="1"/>
    </xf>
    <xf numFmtId="3" fontId="61" fillId="0" borderId="66" xfId="6" applyNumberFormat="1" applyFont="1" applyBorder="1" applyAlignment="1" applyProtection="1">
      <alignment vertical="center"/>
      <protection hidden="1"/>
    </xf>
    <xf numFmtId="3" fontId="60" fillId="0" borderId="0" xfId="6" applyNumberFormat="1" applyFont="1" applyBorder="1" applyAlignment="1" applyProtection="1">
      <alignment vertical="center"/>
      <protection hidden="1"/>
    </xf>
    <xf numFmtId="3" fontId="62" fillId="0" borderId="83" xfId="6" applyNumberFormat="1" applyFont="1" applyBorder="1" applyAlignment="1" applyProtection="1">
      <alignment vertical="center"/>
      <protection hidden="1"/>
    </xf>
    <xf numFmtId="3" fontId="62" fillId="0" borderId="84" xfId="6" applyNumberFormat="1" applyFont="1" applyBorder="1" applyAlignment="1" applyProtection="1">
      <alignment vertical="center"/>
      <protection hidden="1"/>
    </xf>
    <xf numFmtId="3" fontId="61" fillId="0" borderId="0" xfId="6" applyNumberFormat="1" applyFont="1" applyBorder="1" applyAlignment="1" applyProtection="1">
      <alignment vertical="center"/>
      <protection hidden="1"/>
    </xf>
    <xf numFmtId="3" fontId="61" fillId="0" borderId="84" xfId="8" applyNumberFormat="1" applyFont="1" applyBorder="1" applyAlignment="1" applyProtection="1">
      <alignment vertical="center"/>
      <protection hidden="1"/>
    </xf>
    <xf numFmtId="0" fontId="59" fillId="0" borderId="42" xfId="6" applyFont="1" applyFill="1" applyBorder="1" applyAlignment="1" applyProtection="1">
      <alignment horizontal="left" vertical="center"/>
      <protection hidden="1"/>
    </xf>
    <xf numFmtId="0" fontId="59" fillId="0" borderId="82" xfId="6" applyFont="1" applyFill="1" applyBorder="1" applyAlignment="1" applyProtection="1">
      <alignment horizontal="center" vertical="center"/>
      <protection hidden="1"/>
    </xf>
    <xf numFmtId="3" fontId="59" fillId="0" borderId="82" xfId="6" applyNumberFormat="1" applyFont="1" applyFill="1" applyBorder="1" applyAlignment="1" applyProtection="1">
      <alignment horizontal="center" vertical="center"/>
      <protection hidden="1"/>
    </xf>
    <xf numFmtId="3" fontId="64" fillId="0" borderId="8" xfId="6" applyNumberFormat="1" applyFont="1" applyBorder="1" applyAlignment="1" applyProtection="1">
      <alignment horizontal="center" vertical="center"/>
      <protection hidden="1"/>
    </xf>
    <xf numFmtId="3" fontId="64" fillId="0" borderId="82" xfId="6" applyNumberFormat="1" applyFont="1" applyBorder="1" applyAlignment="1" applyProtection="1">
      <alignment horizontal="center" vertical="center"/>
      <protection hidden="1"/>
    </xf>
    <xf numFmtId="3" fontId="64" fillId="0" borderId="66" xfId="6" applyNumberFormat="1" applyFont="1" applyBorder="1" applyAlignment="1" applyProtection="1">
      <alignment horizontal="center" vertical="center"/>
      <protection hidden="1"/>
    </xf>
    <xf numFmtId="3" fontId="56" fillId="0" borderId="83" xfId="6" applyNumberFormat="1" applyFont="1" applyBorder="1" applyAlignment="1" applyProtection="1">
      <alignment horizontal="center" vertical="center"/>
      <protection hidden="1"/>
    </xf>
    <xf numFmtId="3" fontId="56" fillId="0" borderId="84" xfId="6" applyNumberFormat="1" applyFont="1" applyBorder="1" applyAlignment="1" applyProtection="1">
      <alignment horizontal="center" vertical="center"/>
      <protection hidden="1"/>
    </xf>
    <xf numFmtId="3" fontId="57" fillId="0" borderId="66" xfId="6" applyNumberFormat="1" applyFont="1" applyBorder="1" applyAlignment="1" applyProtection="1">
      <alignment vertical="center"/>
      <protection hidden="1"/>
    </xf>
    <xf numFmtId="3" fontId="57" fillId="0" borderId="0" xfId="6" applyNumberFormat="1" applyFont="1" applyBorder="1" applyAlignment="1" applyProtection="1">
      <alignment vertical="center"/>
      <protection hidden="1"/>
    </xf>
    <xf numFmtId="10" fontId="57" fillId="0" borderId="84" xfId="8" applyNumberFormat="1" applyFont="1" applyBorder="1" applyAlignment="1" applyProtection="1">
      <alignment vertical="center"/>
      <protection hidden="1"/>
    </xf>
    <xf numFmtId="0" fontId="59" fillId="0" borderId="42" xfId="6" quotePrefix="1" applyFont="1" applyBorder="1" applyAlignment="1" applyProtection="1">
      <alignment horizontal="left" vertical="center"/>
      <protection hidden="1"/>
    </xf>
    <xf numFmtId="0" fontId="59" fillId="0" borderId="82" xfId="6" applyFont="1" applyBorder="1" applyAlignment="1" applyProtection="1">
      <alignment horizontal="center" vertical="center"/>
      <protection hidden="1"/>
    </xf>
    <xf numFmtId="3" fontId="59" fillId="0" borderId="82" xfId="6" applyNumberFormat="1" applyFont="1" applyBorder="1" applyAlignment="1" applyProtection="1">
      <alignment horizontal="center" vertical="center"/>
      <protection hidden="1"/>
    </xf>
    <xf numFmtId="3" fontId="59" fillId="0" borderId="66" xfId="6" applyNumberFormat="1" applyFont="1" applyBorder="1" applyAlignment="1" applyProtection="1">
      <alignment vertical="center"/>
      <protection hidden="1"/>
    </xf>
    <xf numFmtId="3" fontId="64" fillId="0" borderId="8" xfId="6" applyNumberFormat="1" applyFont="1" applyBorder="1" applyAlignment="1" applyProtection="1">
      <alignment vertical="center"/>
      <protection hidden="1"/>
    </xf>
    <xf numFmtId="3" fontId="64" fillId="0" borderId="82" xfId="6" applyNumberFormat="1" applyFont="1" applyBorder="1" applyAlignment="1" applyProtection="1">
      <alignment vertical="center"/>
      <protection hidden="1"/>
    </xf>
    <xf numFmtId="3" fontId="64" fillId="0" borderId="66" xfId="6" applyNumberFormat="1" applyFont="1" applyBorder="1" applyAlignment="1" applyProtection="1">
      <alignment vertical="center"/>
      <protection hidden="1"/>
    </xf>
    <xf numFmtId="3" fontId="59" fillId="0" borderId="66" xfId="6" applyNumberFormat="1" applyFont="1" applyFill="1" applyBorder="1" applyAlignment="1" applyProtection="1">
      <alignment horizontal="center" vertical="center"/>
      <protection hidden="1"/>
    </xf>
    <xf numFmtId="3" fontId="59" fillId="0" borderId="8" xfId="6" applyNumberFormat="1" applyFont="1" applyFill="1" applyBorder="1" applyAlignment="1" applyProtection="1">
      <alignment horizontal="center" vertical="center"/>
      <protection hidden="1"/>
    </xf>
    <xf numFmtId="3" fontId="56" fillId="0" borderId="83" xfId="6" applyNumberFormat="1" applyFont="1" applyBorder="1" applyAlignment="1" applyProtection="1">
      <alignment vertical="center"/>
      <protection hidden="1"/>
    </xf>
    <xf numFmtId="3" fontId="56" fillId="0" borderId="84" xfId="6" applyNumberFormat="1" applyFont="1" applyBorder="1" applyAlignment="1" applyProtection="1">
      <alignment vertical="center"/>
      <protection hidden="1"/>
    </xf>
    <xf numFmtId="0" fontId="59" fillId="0" borderId="42" xfId="6" applyFont="1" applyBorder="1" applyAlignment="1" applyProtection="1">
      <alignment vertical="center"/>
      <protection hidden="1"/>
    </xf>
    <xf numFmtId="9" fontId="57" fillId="0" borderId="84" xfId="8" applyNumberFormat="1" applyFont="1" applyBorder="1" applyAlignment="1" applyProtection="1">
      <alignment vertical="center"/>
      <protection hidden="1"/>
    </xf>
    <xf numFmtId="3" fontId="57" fillId="0" borderId="8" xfId="6" applyNumberFormat="1" applyFont="1" applyBorder="1" applyAlignment="1" applyProtection="1">
      <alignment vertical="center"/>
      <protection hidden="1"/>
    </xf>
    <xf numFmtId="3" fontId="57" fillId="0" borderId="82" xfId="6" applyNumberFormat="1" applyFont="1" applyBorder="1" applyAlignment="1" applyProtection="1">
      <alignment vertical="center"/>
      <protection hidden="1"/>
    </xf>
    <xf numFmtId="3" fontId="59" fillId="0" borderId="66" xfId="6" applyNumberFormat="1" applyFont="1" applyBorder="1" applyAlignment="1" applyProtection="1">
      <alignment horizontal="center" vertical="center"/>
      <protection hidden="1"/>
    </xf>
    <xf numFmtId="165" fontId="60" fillId="0" borderId="0" xfId="6" applyNumberFormat="1" applyFont="1" applyBorder="1" applyAlignment="1" applyProtection="1">
      <alignment vertical="center"/>
      <protection hidden="1"/>
    </xf>
    <xf numFmtId="3" fontId="62" fillId="0" borderId="43" xfId="6" applyNumberFormat="1" applyFont="1" applyBorder="1" applyAlignment="1" applyProtection="1">
      <alignment vertical="center"/>
      <protection hidden="1"/>
    </xf>
    <xf numFmtId="3" fontId="61" fillId="0" borderId="69" xfId="6" applyNumberFormat="1" applyFont="1" applyBorder="1" applyAlignment="1" applyProtection="1">
      <alignment vertical="center"/>
      <protection hidden="1"/>
    </xf>
    <xf numFmtId="0" fontId="54" fillId="8" borderId="216" xfId="6" applyFont="1" applyFill="1" applyBorder="1" applyAlignment="1" applyProtection="1">
      <alignment horizontal="center" vertical="center"/>
      <protection hidden="1"/>
    </xf>
    <xf numFmtId="0" fontId="51" fillId="8" borderId="88" xfId="6" applyFont="1" applyFill="1" applyBorder="1" applyAlignment="1" applyProtection="1">
      <alignment horizontal="center" vertical="center"/>
      <protection hidden="1"/>
    </xf>
    <xf numFmtId="3" fontId="54" fillId="8" borderId="88" xfId="6" applyNumberFormat="1" applyFont="1" applyFill="1" applyBorder="1" applyAlignment="1" applyProtection="1">
      <alignment vertical="center"/>
      <protection hidden="1"/>
    </xf>
    <xf numFmtId="3" fontId="65" fillId="8" borderId="89" xfId="6" applyNumberFormat="1" applyFont="1" applyFill="1" applyBorder="1" applyAlignment="1" applyProtection="1">
      <alignment vertical="center"/>
      <protection hidden="1"/>
    </xf>
    <xf numFmtId="3" fontId="65" fillId="8" borderId="88" xfId="6" applyNumberFormat="1" applyFont="1" applyFill="1" applyBorder="1" applyAlignment="1" applyProtection="1">
      <alignment vertical="center"/>
      <protection hidden="1"/>
    </xf>
    <xf numFmtId="3" fontId="65" fillId="8" borderId="87" xfId="6" applyNumberFormat="1" applyFont="1" applyFill="1" applyBorder="1" applyAlignment="1" applyProtection="1">
      <alignment vertical="center"/>
      <protection hidden="1"/>
    </xf>
    <xf numFmtId="3" fontId="54" fillId="8" borderId="87" xfId="6" applyNumberFormat="1" applyFont="1" applyFill="1" applyBorder="1" applyAlignment="1" applyProtection="1">
      <alignment vertical="center"/>
      <protection hidden="1"/>
    </xf>
    <xf numFmtId="3" fontId="54" fillId="8" borderId="89" xfId="6" applyNumberFormat="1" applyFont="1" applyFill="1" applyBorder="1" applyAlignment="1" applyProtection="1">
      <alignment vertical="center"/>
      <protection hidden="1"/>
    </xf>
    <xf numFmtId="3" fontId="66" fillId="8" borderId="85" xfId="6" applyNumberFormat="1" applyFont="1" applyFill="1" applyBorder="1" applyAlignment="1" applyProtection="1">
      <alignment vertical="center"/>
      <protection hidden="1"/>
    </xf>
    <xf numFmtId="3" fontId="66" fillId="8" borderId="90" xfId="6" applyNumberFormat="1" applyFont="1" applyFill="1" applyBorder="1" applyAlignment="1" applyProtection="1">
      <alignment vertical="center"/>
      <protection hidden="1"/>
    </xf>
    <xf numFmtId="3" fontId="65" fillId="8" borderId="86" xfId="6" applyNumberFormat="1" applyFont="1" applyFill="1" applyBorder="1" applyAlignment="1" applyProtection="1">
      <alignment vertical="center"/>
      <protection hidden="1"/>
    </xf>
    <xf numFmtId="10" fontId="65" fillId="8" borderId="90" xfId="8" applyNumberFormat="1" applyFont="1" applyFill="1" applyBorder="1" applyAlignment="1" applyProtection="1">
      <alignment vertical="center"/>
      <protection hidden="1"/>
    </xf>
    <xf numFmtId="0" fontId="10" fillId="2" borderId="29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vertical="center"/>
      <protection hidden="1"/>
    </xf>
    <xf numFmtId="10" fontId="1" fillId="2" borderId="4" xfId="0" applyNumberFormat="1" applyFont="1" applyFill="1" applyBorder="1" applyAlignment="1" applyProtection="1">
      <alignment horizontal="left" vertical="center"/>
      <protection hidden="1"/>
    </xf>
    <xf numFmtId="0" fontId="2" fillId="2" borderId="7" xfId="0" applyFont="1" applyFill="1" applyBorder="1" applyAlignment="1" applyProtection="1">
      <alignment vertical="center"/>
      <protection hidden="1"/>
    </xf>
    <xf numFmtId="10" fontId="1" fillId="2" borderId="0" xfId="0" applyNumberFormat="1" applyFont="1" applyFill="1" applyBorder="1" applyAlignment="1" applyProtection="1">
      <alignment horizontal="left" vertical="center"/>
      <protection hidden="1"/>
    </xf>
    <xf numFmtId="14" fontId="2" fillId="2" borderId="0" xfId="0" applyNumberFormat="1" applyFont="1" applyFill="1" applyBorder="1" applyAlignment="1" applyProtection="1">
      <alignment horizontal="left" vertical="center"/>
      <protection hidden="1"/>
    </xf>
    <xf numFmtId="3" fontId="1" fillId="2" borderId="0" xfId="0" applyNumberFormat="1" applyFont="1" applyFill="1" applyBorder="1" applyAlignment="1" applyProtection="1">
      <alignment horizontal="left" vertical="center"/>
      <protection hidden="1"/>
    </xf>
    <xf numFmtId="0" fontId="1" fillId="2" borderId="11" xfId="0" applyFont="1" applyFill="1" applyBorder="1" applyAlignment="1" applyProtection="1">
      <alignment horizontal="right" vertical="center"/>
      <protection hidden="1"/>
    </xf>
    <xf numFmtId="3" fontId="5" fillId="2" borderId="12" xfId="0" applyNumberFormat="1" applyFont="1" applyFill="1" applyBorder="1" applyAlignment="1" applyProtection="1">
      <alignment vertical="center"/>
      <protection hidden="1"/>
    </xf>
    <xf numFmtId="0" fontId="5" fillId="2" borderId="11" xfId="0" applyFont="1" applyFill="1" applyBorder="1" applyAlignment="1" applyProtection="1">
      <alignment vertical="center"/>
      <protection hidden="1"/>
    </xf>
    <xf numFmtId="164" fontId="6" fillId="2" borderId="11" xfId="0" applyNumberFormat="1" applyFont="1" applyFill="1" applyBorder="1" applyAlignment="1" applyProtection="1">
      <alignment vertical="center"/>
      <protection hidden="1"/>
    </xf>
    <xf numFmtId="3" fontId="6" fillId="2" borderId="11" xfId="0" applyNumberFormat="1" applyFont="1" applyFill="1" applyBorder="1" applyAlignment="1" applyProtection="1">
      <alignment horizontal="left" vertical="center"/>
      <protection hidden="1"/>
    </xf>
    <xf numFmtId="0" fontId="5" fillId="2" borderId="13" xfId="0" applyFont="1" applyFill="1" applyBorder="1" applyAlignment="1" applyProtection="1">
      <alignment vertical="center"/>
      <protection hidden="1"/>
    </xf>
    <xf numFmtId="164" fontId="1" fillId="2" borderId="11" xfId="0" applyNumberFormat="1" applyFont="1" applyFill="1" applyBorder="1" applyAlignment="1" applyProtection="1">
      <alignment horizontal="left" vertical="center"/>
      <protection hidden="1"/>
    </xf>
    <xf numFmtId="10" fontId="1" fillId="2" borderId="11" xfId="0" applyNumberFormat="1" applyFont="1" applyFill="1" applyBorder="1" applyAlignment="1" applyProtection="1">
      <alignment horizontal="left" vertical="center"/>
      <protection hidden="1"/>
    </xf>
    <xf numFmtId="3" fontId="1" fillId="2" borderId="11" xfId="0" applyNumberFormat="1" applyFont="1" applyFill="1" applyBorder="1" applyAlignment="1" applyProtection="1">
      <alignment horizontal="left" vertical="center"/>
      <protection hidden="1"/>
    </xf>
    <xf numFmtId="164" fontId="3" fillId="3" borderId="16" xfId="1" applyNumberFormat="1" applyFont="1" applyFill="1" applyBorder="1" applyAlignment="1" applyProtection="1">
      <alignment horizontal="left" vertical="center"/>
      <protection hidden="1"/>
    </xf>
    <xf numFmtId="164" fontId="9" fillId="2" borderId="0" xfId="1" applyNumberFormat="1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left" vertical="center"/>
      <protection hidden="1"/>
    </xf>
    <xf numFmtId="164" fontId="9" fillId="2" borderId="0" xfId="0" applyNumberFormat="1" applyFont="1" applyFill="1" applyBorder="1" applyAlignment="1" applyProtection="1">
      <alignment horizontal="left" vertical="center"/>
      <protection hidden="1"/>
    </xf>
    <xf numFmtId="4" fontId="8" fillId="2" borderId="0" xfId="1" applyNumberFormat="1" applyFont="1" applyFill="1" applyBorder="1" applyAlignment="1" applyProtection="1">
      <alignment horizontal="center" vertical="center" wrapText="1"/>
      <protection hidden="1"/>
    </xf>
    <xf numFmtId="164" fontId="9" fillId="2" borderId="0" xfId="1" applyNumberFormat="1" applyFont="1" applyFill="1" applyBorder="1" applyAlignment="1" applyProtection="1">
      <alignment horizontal="center" vertical="center" wrapText="1"/>
      <protection hidden="1"/>
    </xf>
    <xf numFmtId="4" fontId="9" fillId="2" borderId="0" xfId="1" applyNumberFormat="1" applyFont="1" applyFill="1" applyBorder="1" applyAlignment="1" applyProtection="1">
      <alignment horizontal="left" vertical="center" wrapText="1"/>
      <protection hidden="1"/>
    </xf>
    <xf numFmtId="164" fontId="9" fillId="2" borderId="0" xfId="0" applyNumberFormat="1" applyFont="1" applyFill="1" applyBorder="1" applyAlignment="1" applyProtection="1">
      <alignment horizontal="left" vertical="center" wrapText="1"/>
      <protection hidden="1"/>
    </xf>
    <xf numFmtId="10" fontId="9" fillId="3" borderId="22" xfId="1" applyNumberFormat="1" applyFont="1" applyFill="1" applyBorder="1" applyAlignment="1" applyProtection="1">
      <alignment horizontal="center" vertical="center" wrapText="1"/>
      <protection hidden="1"/>
    </xf>
    <xf numFmtId="3" fontId="10" fillId="2" borderId="26" xfId="1" applyNumberFormat="1" applyFont="1" applyFill="1" applyBorder="1" applyAlignment="1" applyProtection="1">
      <alignment vertical="center"/>
      <protection hidden="1"/>
    </xf>
    <xf numFmtId="3" fontId="10" fillId="4" borderId="17" xfId="1" applyNumberFormat="1" applyFont="1" applyFill="1" applyBorder="1" applyAlignment="1" applyProtection="1">
      <alignment vertical="center"/>
      <protection hidden="1"/>
    </xf>
    <xf numFmtId="164" fontId="11" fillId="2" borderId="26" xfId="1" applyNumberFormat="1" applyFont="1" applyFill="1" applyBorder="1" applyAlignment="1" applyProtection="1">
      <alignment horizontal="left" vertical="center"/>
      <protection hidden="1"/>
    </xf>
    <xf numFmtId="3" fontId="10" fillId="5" borderId="17" xfId="1" applyNumberFormat="1" applyFont="1" applyFill="1" applyBorder="1" applyAlignment="1" applyProtection="1">
      <alignment vertical="center"/>
      <protection hidden="1"/>
    </xf>
    <xf numFmtId="164" fontId="11" fillId="2" borderId="0" xfId="1" applyNumberFormat="1" applyFont="1" applyFill="1" applyBorder="1" applyAlignment="1" applyProtection="1">
      <alignment horizontal="left" vertical="center"/>
      <protection hidden="1"/>
    </xf>
    <xf numFmtId="3" fontId="10" fillId="6" borderId="22" xfId="1" applyNumberFormat="1" applyFont="1" applyFill="1" applyBorder="1" applyAlignment="1" applyProtection="1">
      <alignment vertical="center"/>
      <protection hidden="1"/>
    </xf>
    <xf numFmtId="164" fontId="11" fillId="2" borderId="0" xfId="0" applyNumberFormat="1" applyFont="1" applyFill="1" applyBorder="1" applyAlignment="1" applyProtection="1">
      <alignment horizontal="left" vertical="center"/>
      <protection hidden="1"/>
    </xf>
    <xf numFmtId="3" fontId="11" fillId="3" borderId="135" xfId="1" applyNumberFormat="1" applyFont="1" applyFill="1" applyBorder="1" applyAlignment="1" applyProtection="1">
      <alignment vertical="center"/>
      <protection hidden="1"/>
    </xf>
    <xf numFmtId="164" fontId="11" fillId="3" borderId="137" xfId="1" applyNumberFormat="1" applyFont="1" applyFill="1" applyBorder="1" applyAlignment="1" applyProtection="1">
      <alignment vertical="center"/>
      <protection hidden="1"/>
    </xf>
    <xf numFmtId="0" fontId="10" fillId="2" borderId="19" xfId="1" applyFont="1" applyFill="1" applyBorder="1" applyAlignment="1" applyProtection="1">
      <alignment vertical="center"/>
      <protection hidden="1"/>
    </xf>
    <xf numFmtId="0" fontId="10" fillId="2" borderId="20" xfId="1" applyFont="1" applyFill="1" applyBorder="1" applyAlignment="1" applyProtection="1">
      <alignment vertical="center"/>
      <protection hidden="1"/>
    </xf>
    <xf numFmtId="0" fontId="11" fillId="2" borderId="0" xfId="1" applyFont="1" applyFill="1" applyBorder="1" applyAlignment="1" applyProtection="1">
      <alignment horizontal="center" vertical="center"/>
      <protection hidden="1"/>
    </xf>
    <xf numFmtId="0" fontId="11" fillId="2" borderId="27" xfId="1" applyFont="1" applyFill="1" applyBorder="1" applyAlignment="1" applyProtection="1">
      <alignment horizontal="center" vertical="center"/>
      <protection hidden="1"/>
    </xf>
    <xf numFmtId="3" fontId="10" fillId="2" borderId="28" xfId="1" applyNumberFormat="1" applyFont="1" applyFill="1" applyBorder="1" applyAlignment="1" applyProtection="1">
      <alignment vertical="center"/>
      <protection hidden="1"/>
    </xf>
    <xf numFmtId="3" fontId="10" fillId="2" borderId="29" xfId="1" applyNumberFormat="1" applyFont="1" applyFill="1" applyBorder="1" applyAlignment="1" applyProtection="1">
      <alignment vertical="center"/>
      <protection hidden="1"/>
    </xf>
    <xf numFmtId="3" fontId="10" fillId="2" borderId="30" xfId="1" applyNumberFormat="1" applyFont="1" applyFill="1" applyBorder="1" applyAlignment="1" applyProtection="1">
      <alignment vertical="center"/>
      <protection hidden="1"/>
    </xf>
    <xf numFmtId="3" fontId="11" fillId="2" borderId="30" xfId="1" applyNumberFormat="1" applyFont="1" applyFill="1" applyBorder="1" applyAlignment="1" applyProtection="1">
      <alignment vertical="center"/>
      <protection hidden="1"/>
    </xf>
    <xf numFmtId="164" fontId="11" fillId="2" borderId="30" xfId="1" applyNumberFormat="1" applyFont="1" applyFill="1" applyBorder="1" applyAlignment="1" applyProtection="1">
      <alignment vertical="center"/>
      <protection hidden="1"/>
    </xf>
    <xf numFmtId="3" fontId="10" fillId="2" borderId="30" xfId="0" applyNumberFormat="1" applyFont="1" applyFill="1" applyBorder="1" applyAlignment="1" applyProtection="1">
      <alignment vertical="center"/>
      <protection hidden="1"/>
    </xf>
    <xf numFmtId="0" fontId="10" fillId="2" borderId="28" xfId="0" applyFont="1" applyFill="1" applyBorder="1" applyAlignment="1" applyProtection="1">
      <alignment horizontal="left" vertical="center"/>
      <protection hidden="1"/>
    </xf>
    <xf numFmtId="0" fontId="10" fillId="2" borderId="23" xfId="0" applyFont="1" applyFill="1" applyBorder="1" applyAlignment="1" applyProtection="1">
      <alignment horizontal="left" vertical="center"/>
      <protection hidden="1"/>
    </xf>
    <xf numFmtId="0" fontId="10" fillId="2" borderId="24" xfId="0" applyFont="1" applyFill="1" applyBorder="1" applyAlignment="1" applyProtection="1">
      <alignment horizontal="left" vertical="center"/>
      <protection hidden="1"/>
    </xf>
    <xf numFmtId="3" fontId="10" fillId="2" borderId="31" xfId="1" applyNumberFormat="1" applyFont="1" applyFill="1" applyBorder="1" applyAlignment="1" applyProtection="1">
      <alignment vertical="center"/>
      <protection hidden="1"/>
    </xf>
    <xf numFmtId="3" fontId="11" fillId="2" borderId="31" xfId="1" applyNumberFormat="1" applyFont="1" applyFill="1" applyBorder="1" applyAlignment="1" applyProtection="1">
      <alignment vertical="center"/>
      <protection hidden="1"/>
    </xf>
    <xf numFmtId="3" fontId="10" fillId="3" borderId="23" xfId="1" applyNumberFormat="1" applyFont="1" applyFill="1" applyBorder="1" applyAlignment="1" applyProtection="1">
      <alignment vertical="center"/>
      <protection hidden="1"/>
    </xf>
    <xf numFmtId="3" fontId="10" fillId="3" borderId="24" xfId="1" applyNumberFormat="1" applyFont="1" applyFill="1" applyBorder="1" applyAlignment="1" applyProtection="1">
      <alignment vertical="center"/>
      <protection hidden="1"/>
    </xf>
    <xf numFmtId="3" fontId="10" fillId="4" borderId="22" xfId="1" applyNumberFormat="1" applyFont="1" applyFill="1" applyBorder="1" applyAlignment="1" applyProtection="1">
      <alignment vertical="center"/>
      <protection hidden="1"/>
    </xf>
    <xf numFmtId="3" fontId="10" fillId="5" borderId="22" xfId="1" applyNumberFormat="1" applyFont="1" applyFill="1" applyBorder="1" applyAlignment="1" applyProtection="1">
      <alignment vertical="center"/>
      <protection hidden="1"/>
    </xf>
    <xf numFmtId="3" fontId="11" fillId="3" borderId="22" xfId="1" applyNumberFormat="1" applyFont="1" applyFill="1" applyBorder="1" applyAlignment="1" applyProtection="1">
      <alignment vertical="center"/>
      <protection hidden="1"/>
    </xf>
    <xf numFmtId="164" fontId="11" fillId="3" borderId="22" xfId="1" applyNumberFormat="1" applyFont="1" applyFill="1" applyBorder="1" applyAlignment="1" applyProtection="1">
      <alignment vertical="center"/>
      <protection hidden="1"/>
    </xf>
    <xf numFmtId="3" fontId="10" fillId="2" borderId="22" xfId="1" applyNumberFormat="1" applyFont="1" applyFill="1" applyBorder="1" applyAlignment="1" applyProtection="1">
      <alignment vertical="center"/>
      <protection hidden="1"/>
    </xf>
    <xf numFmtId="164" fontId="9" fillId="2" borderId="0" xfId="1" applyNumberFormat="1" applyFont="1" applyFill="1" applyBorder="1" applyAlignment="1" applyProtection="1">
      <alignment horizontal="left" vertical="center" indent="1"/>
      <protection hidden="1"/>
    </xf>
    <xf numFmtId="3" fontId="11" fillId="2" borderId="15" xfId="1" applyNumberFormat="1" applyFont="1" applyFill="1" applyBorder="1" applyAlignment="1" applyProtection="1">
      <alignment vertical="center"/>
      <protection hidden="1"/>
    </xf>
    <xf numFmtId="164" fontId="11" fillId="2" borderId="22" xfId="1" applyNumberFormat="1" applyFont="1" applyFill="1" applyBorder="1" applyAlignment="1" applyProtection="1">
      <alignment vertical="center"/>
      <protection hidden="1"/>
    </xf>
    <xf numFmtId="0" fontId="10" fillId="2" borderId="32" xfId="0" applyFont="1" applyFill="1" applyBorder="1" applyAlignment="1" applyProtection="1">
      <alignment horizontal="left" vertical="center"/>
      <protection hidden="1"/>
    </xf>
    <xf numFmtId="0" fontId="10" fillId="2" borderId="33" xfId="0" applyFont="1" applyFill="1" applyBorder="1" applyAlignment="1" applyProtection="1">
      <alignment horizontal="left" vertical="center"/>
      <protection hidden="1"/>
    </xf>
    <xf numFmtId="3" fontId="10" fillId="2" borderId="137" xfId="1" applyNumberFormat="1" applyFont="1" applyFill="1" applyBorder="1" applyAlignment="1" applyProtection="1">
      <alignment vertical="center"/>
      <protection hidden="1"/>
    </xf>
    <xf numFmtId="3" fontId="10" fillId="3" borderId="15" xfId="1" applyNumberFormat="1" applyFont="1" applyFill="1" applyBorder="1" applyAlignment="1" applyProtection="1">
      <alignment vertical="center"/>
      <protection hidden="1"/>
    </xf>
    <xf numFmtId="3" fontId="10" fillId="3" borderId="17" xfId="1" applyNumberFormat="1" applyFont="1" applyFill="1" applyBorder="1" applyAlignment="1" applyProtection="1">
      <alignment vertical="center"/>
      <protection hidden="1"/>
    </xf>
    <xf numFmtId="3" fontId="10" fillId="4" borderId="34" xfId="1" applyNumberFormat="1" applyFont="1" applyFill="1" applyBorder="1" applyAlignment="1" applyProtection="1">
      <alignment vertical="center"/>
      <protection hidden="1"/>
    </xf>
    <xf numFmtId="164" fontId="11" fillId="2" borderId="0" xfId="1" applyNumberFormat="1" applyFont="1" applyFill="1" applyBorder="1" applyAlignment="1" applyProtection="1">
      <alignment horizontal="left" vertical="center" indent="1"/>
      <protection hidden="1"/>
    </xf>
    <xf numFmtId="3" fontId="10" fillId="5" borderId="34" xfId="1" applyNumberFormat="1" applyFont="1" applyFill="1" applyBorder="1" applyAlignment="1" applyProtection="1">
      <alignment vertical="center"/>
      <protection hidden="1"/>
    </xf>
    <xf numFmtId="3" fontId="10" fillId="6" borderId="34" xfId="1" applyNumberFormat="1" applyFont="1" applyFill="1" applyBorder="1" applyAlignment="1" applyProtection="1">
      <alignment vertical="center"/>
      <protection hidden="1"/>
    </xf>
    <xf numFmtId="3" fontId="11" fillId="3" borderId="15" xfId="1" applyNumberFormat="1" applyFont="1" applyFill="1" applyBorder="1" applyAlignment="1" applyProtection="1">
      <alignment vertical="center"/>
      <protection hidden="1"/>
    </xf>
    <xf numFmtId="3" fontId="8" fillId="4" borderId="34" xfId="1" applyNumberFormat="1" applyFont="1" applyFill="1" applyBorder="1" applyAlignment="1" applyProtection="1">
      <alignment vertical="center"/>
      <protection hidden="1"/>
    </xf>
    <xf numFmtId="10" fontId="9" fillId="2" borderId="0" xfId="1" applyNumberFormat="1" applyFont="1" applyFill="1" applyBorder="1" applyAlignment="1" applyProtection="1">
      <alignment horizontal="left" vertical="center" indent="1"/>
      <protection hidden="1"/>
    </xf>
    <xf numFmtId="3" fontId="8" fillId="5" borderId="34" xfId="1" applyNumberFormat="1" applyFont="1" applyFill="1" applyBorder="1" applyAlignment="1" applyProtection="1">
      <alignment vertical="center"/>
      <protection hidden="1"/>
    </xf>
    <xf numFmtId="3" fontId="8" fillId="6" borderId="34" xfId="1" applyNumberFormat="1" applyFont="1" applyFill="1" applyBorder="1" applyAlignment="1" applyProtection="1">
      <alignment vertical="center"/>
      <protection hidden="1"/>
    </xf>
    <xf numFmtId="3" fontId="9" fillId="3" borderId="15" xfId="1" applyNumberFormat="1" applyFont="1" applyFill="1" applyBorder="1" applyAlignment="1" applyProtection="1">
      <alignment vertical="center"/>
      <protection hidden="1"/>
    </xf>
    <xf numFmtId="164" fontId="9" fillId="3" borderId="22" xfId="1" applyNumberFormat="1" applyFont="1" applyFill="1" applyBorder="1" applyAlignment="1" applyProtection="1">
      <alignment vertical="center"/>
      <protection hidden="1"/>
    </xf>
    <xf numFmtId="3" fontId="11" fillId="2" borderId="27" xfId="1" applyNumberFormat="1" applyFont="1" applyFill="1" applyBorder="1" applyAlignment="1" applyProtection="1">
      <alignment vertical="center"/>
      <protection hidden="1"/>
    </xf>
    <xf numFmtId="164" fontId="11" fillId="2" borderId="27" xfId="1" applyNumberFormat="1" applyFont="1" applyFill="1" applyBorder="1" applyAlignment="1" applyProtection="1">
      <alignment vertical="center"/>
      <protection hidden="1"/>
    </xf>
    <xf numFmtId="3" fontId="9" fillId="2" borderId="31" xfId="1" applyNumberFormat="1" applyFont="1" applyFill="1" applyBorder="1" applyAlignment="1" applyProtection="1">
      <alignment vertical="center"/>
      <protection hidden="1"/>
    </xf>
    <xf numFmtId="164" fontId="11" fillId="2" borderId="31" xfId="1" applyNumberFormat="1" applyFont="1" applyFill="1" applyBorder="1" applyAlignment="1" applyProtection="1">
      <alignment vertical="center"/>
      <protection hidden="1"/>
    </xf>
    <xf numFmtId="3" fontId="8" fillId="3" borderId="35" xfId="1" applyNumberFormat="1" applyFont="1" applyFill="1" applyBorder="1" applyAlignment="1" applyProtection="1">
      <alignment vertical="center"/>
      <protection hidden="1"/>
    </xf>
    <xf numFmtId="3" fontId="8" fillId="3" borderId="36" xfId="1" applyNumberFormat="1" applyFont="1" applyFill="1" applyBorder="1" applyAlignment="1" applyProtection="1">
      <alignment vertical="center"/>
      <protection hidden="1"/>
    </xf>
    <xf numFmtId="3" fontId="8" fillId="4" borderId="37" xfId="1" applyNumberFormat="1" applyFont="1" applyFill="1" applyBorder="1" applyAlignment="1" applyProtection="1">
      <alignment vertical="center"/>
      <protection hidden="1"/>
    </xf>
    <xf numFmtId="3" fontId="8" fillId="5" borderId="37" xfId="1" applyNumberFormat="1" applyFont="1" applyFill="1" applyBorder="1" applyAlignment="1" applyProtection="1">
      <alignment vertical="center"/>
      <protection hidden="1"/>
    </xf>
    <xf numFmtId="3" fontId="8" fillId="6" borderId="37" xfId="1" applyNumberFormat="1" applyFont="1" applyFill="1" applyBorder="1" applyAlignment="1" applyProtection="1">
      <alignment vertical="center"/>
      <protection hidden="1"/>
    </xf>
    <xf numFmtId="3" fontId="9" fillId="3" borderId="35" xfId="1" applyNumberFormat="1" applyFont="1" applyFill="1" applyBorder="1" applyAlignment="1" applyProtection="1">
      <alignment vertical="center"/>
      <protection hidden="1"/>
    </xf>
    <xf numFmtId="164" fontId="9" fillId="3" borderId="38" xfId="1" applyNumberFormat="1" applyFont="1" applyFill="1" applyBorder="1" applyAlignment="1" applyProtection="1">
      <alignment vertical="center"/>
      <protection hidden="1"/>
    </xf>
    <xf numFmtId="3" fontId="10" fillId="2" borderId="15" xfId="1" applyNumberFormat="1" applyFont="1" applyFill="1" applyBorder="1" applyAlignment="1" applyProtection="1">
      <alignment vertical="center"/>
      <protection hidden="1"/>
    </xf>
    <xf numFmtId="3" fontId="10" fillId="2" borderId="17" xfId="1" applyNumberFormat="1" applyFont="1" applyFill="1" applyBorder="1" applyAlignment="1" applyProtection="1">
      <alignment vertical="center"/>
      <protection hidden="1"/>
    </xf>
    <xf numFmtId="0" fontId="13" fillId="2" borderId="0" xfId="0" applyFont="1" applyFill="1" applyBorder="1" applyAlignment="1" applyProtection="1">
      <alignment horizontal="left" vertical="center" indent="1"/>
      <protection hidden="1"/>
    </xf>
    <xf numFmtId="0" fontId="13" fillId="2" borderId="39" xfId="0" applyFont="1" applyFill="1" applyBorder="1" applyAlignment="1" applyProtection="1">
      <alignment horizontal="left" vertical="center" indent="1"/>
      <protection hidden="1"/>
    </xf>
    <xf numFmtId="0" fontId="15" fillId="2" borderId="44" xfId="0" applyFont="1" applyFill="1" applyBorder="1" applyAlignment="1" applyProtection="1">
      <alignment horizontal="center" vertical="center"/>
      <protection hidden="1"/>
    </xf>
    <xf numFmtId="0" fontId="15" fillId="2" borderId="40" xfId="0" applyFont="1" applyFill="1" applyBorder="1" applyAlignment="1" applyProtection="1">
      <alignment horizontal="center" vertical="center"/>
      <protection hidden="1"/>
    </xf>
    <xf numFmtId="0" fontId="15" fillId="2" borderId="41" xfId="0" applyFont="1" applyFill="1" applyBorder="1" applyAlignment="1" applyProtection="1">
      <alignment horizontal="center" vertical="center"/>
      <protection hidden="1"/>
    </xf>
    <xf numFmtId="0" fontId="15" fillId="2" borderId="42" xfId="0" applyFont="1" applyFill="1" applyBorder="1" applyAlignment="1" applyProtection="1">
      <alignment horizontal="left" vertical="center"/>
      <protection hidden="1"/>
    </xf>
    <xf numFmtId="166" fontId="10" fillId="2" borderId="8" xfId="0" applyNumberFormat="1" applyFont="1" applyFill="1" applyBorder="1" applyAlignment="1" applyProtection="1">
      <alignment horizontal="center" vertical="center"/>
      <protection hidden="1"/>
    </xf>
    <xf numFmtId="166" fontId="10" fillId="2" borderId="0" xfId="0" applyNumberFormat="1" applyFont="1" applyFill="1" applyBorder="1" applyAlignment="1" applyProtection="1">
      <alignment horizontal="center" vertical="center"/>
      <protection hidden="1"/>
    </xf>
    <xf numFmtId="166" fontId="10" fillId="2" borderId="43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Border="1" applyProtection="1">
      <protection hidden="1"/>
    </xf>
    <xf numFmtId="10" fontId="10" fillId="2" borderId="8" xfId="2" applyNumberFormat="1" applyFont="1" applyFill="1" applyBorder="1" applyAlignment="1" applyProtection="1">
      <alignment horizontal="center"/>
      <protection hidden="1"/>
    </xf>
    <xf numFmtId="10" fontId="10" fillId="2" borderId="0" xfId="2" applyNumberFormat="1" applyFont="1" applyFill="1" applyBorder="1" applyAlignment="1" applyProtection="1">
      <alignment horizontal="center"/>
      <protection hidden="1"/>
    </xf>
    <xf numFmtId="10" fontId="10" fillId="2" borderId="43" xfId="2" applyNumberFormat="1" applyFont="1" applyFill="1" applyBorder="1" applyAlignment="1" applyProtection="1">
      <alignment horizontal="center"/>
      <protection hidden="1"/>
    </xf>
    <xf numFmtId="0" fontId="15" fillId="2" borderId="45" xfId="0" applyNumberFormat="1" applyFont="1" applyFill="1" applyBorder="1" applyProtection="1">
      <protection hidden="1"/>
    </xf>
    <xf numFmtId="0" fontId="15" fillId="2" borderId="46" xfId="0" applyNumberFormat="1" applyFont="1" applyFill="1" applyBorder="1" applyProtection="1">
      <protection hidden="1"/>
    </xf>
    <xf numFmtId="0" fontId="15" fillId="2" borderId="47" xfId="0" applyNumberFormat="1" applyFont="1" applyFill="1" applyBorder="1" applyProtection="1">
      <protection hidden="1"/>
    </xf>
    <xf numFmtId="0" fontId="15" fillId="2" borderId="48" xfId="0" applyNumberFormat="1" applyFont="1" applyFill="1" applyBorder="1" applyProtection="1">
      <protection hidden="1"/>
    </xf>
    <xf numFmtId="3" fontId="10" fillId="2" borderId="27" xfId="1" applyNumberFormat="1" applyFont="1" applyFill="1" applyBorder="1" applyAlignment="1" applyProtection="1">
      <alignment vertical="center"/>
      <protection locked="0"/>
    </xf>
    <xf numFmtId="3" fontId="10" fillId="2" borderId="30" xfId="1" applyNumberFormat="1" applyFont="1" applyFill="1" applyBorder="1" applyAlignment="1" applyProtection="1">
      <alignment vertical="center"/>
      <protection locked="0"/>
    </xf>
    <xf numFmtId="3" fontId="10" fillId="2" borderId="31" xfId="1" applyNumberFormat="1" applyFont="1" applyFill="1" applyBorder="1" applyAlignment="1" applyProtection="1">
      <alignment vertical="center"/>
      <protection locked="0"/>
    </xf>
    <xf numFmtId="165" fontId="10" fillId="2" borderId="27" xfId="1" applyNumberFormat="1" applyFont="1" applyFill="1" applyBorder="1" applyAlignment="1" applyProtection="1">
      <alignment vertical="center"/>
      <protection locked="0"/>
    </xf>
    <xf numFmtId="3" fontId="10" fillId="2" borderId="34" xfId="1" applyNumberFormat="1" applyFont="1" applyFill="1" applyBorder="1" applyAlignment="1" applyProtection="1">
      <alignment vertical="center"/>
      <protection locked="0"/>
    </xf>
    <xf numFmtId="0" fontId="83" fillId="16" borderId="289" xfId="0" applyFont="1" applyFill="1" applyBorder="1" applyAlignment="1">
      <alignment vertical="center"/>
    </xf>
    <xf numFmtId="170" fontId="85" fillId="16" borderId="290" xfId="0" applyNumberFormat="1" applyFont="1" applyFill="1" applyBorder="1" applyAlignment="1">
      <alignment vertical="center"/>
    </xf>
    <xf numFmtId="170" fontId="85" fillId="16" borderId="291" xfId="0" applyNumberFormat="1" applyFont="1" applyFill="1" applyBorder="1" applyAlignment="1">
      <alignment vertical="center"/>
    </xf>
    <xf numFmtId="0" fontId="83" fillId="15" borderId="148" xfId="0" applyFont="1" applyFill="1" applyBorder="1" applyAlignment="1">
      <alignment vertical="center"/>
    </xf>
    <xf numFmtId="170" fontId="85" fillId="15" borderId="149" xfId="0" applyNumberFormat="1" applyFont="1" applyFill="1" applyBorder="1" applyAlignment="1">
      <alignment vertical="center"/>
    </xf>
    <xf numFmtId="170" fontId="85" fillId="15" borderId="150" xfId="0" applyNumberFormat="1" applyFont="1" applyFill="1" applyBorder="1" applyAlignment="1">
      <alignment vertical="center"/>
    </xf>
    <xf numFmtId="0" fontId="83" fillId="20" borderId="148" xfId="0" applyFont="1" applyFill="1" applyBorder="1" applyAlignment="1">
      <alignment vertical="center"/>
    </xf>
    <xf numFmtId="170" fontId="85" fillId="20" borderId="149" xfId="0" applyNumberFormat="1" applyFont="1" applyFill="1" applyBorder="1" applyAlignment="1">
      <alignment vertical="center"/>
    </xf>
    <xf numFmtId="170" fontId="85" fillId="20" borderId="150" xfId="0" applyNumberFormat="1" applyFont="1" applyFill="1" applyBorder="1" applyAlignment="1">
      <alignment vertical="center"/>
    </xf>
    <xf numFmtId="0" fontId="83" fillId="16" borderId="148" xfId="0" applyFont="1" applyFill="1" applyBorder="1" applyAlignment="1">
      <alignment vertical="center"/>
    </xf>
    <xf numFmtId="170" fontId="85" fillId="16" borderId="149" xfId="0" applyNumberFormat="1" applyFont="1" applyFill="1" applyBorder="1" applyAlignment="1">
      <alignment vertical="center"/>
    </xf>
    <xf numFmtId="170" fontId="85" fillId="16" borderId="150" xfId="0" applyNumberFormat="1" applyFont="1" applyFill="1" applyBorder="1" applyAlignment="1">
      <alignment vertical="center"/>
    </xf>
    <xf numFmtId="0" fontId="124" fillId="0" borderId="148" xfId="0" applyFont="1" applyBorder="1" applyAlignment="1">
      <alignment vertical="center"/>
    </xf>
    <xf numFmtId="170" fontId="125" fillId="0" borderId="149" xfId="0" applyNumberFormat="1" applyFont="1" applyBorder="1" applyAlignment="1">
      <alignment vertical="center"/>
    </xf>
    <xf numFmtId="170" fontId="125" fillId="0" borderId="150" xfId="0" applyNumberFormat="1" applyFont="1" applyBorder="1" applyAlignment="1">
      <alignment vertical="center"/>
    </xf>
    <xf numFmtId="0" fontId="85" fillId="16" borderId="292" xfId="0" applyFont="1" applyFill="1" applyBorder="1" applyAlignment="1">
      <alignment vertical="center"/>
    </xf>
    <xf numFmtId="0" fontId="85" fillId="15" borderId="146" xfId="0" applyFont="1" applyFill="1" applyBorder="1" applyAlignment="1">
      <alignment vertical="center"/>
    </xf>
    <xf numFmtId="0" fontId="86" fillId="20" borderId="146" xfId="0" applyFont="1" applyFill="1" applyBorder="1" applyAlignment="1">
      <alignment vertical="center"/>
    </xf>
    <xf numFmtId="0" fontId="85" fillId="16" borderId="146" xfId="0" applyFont="1" applyFill="1" applyBorder="1" applyAlignment="1">
      <alignment vertical="center"/>
    </xf>
    <xf numFmtId="0" fontId="125" fillId="0" borderId="146" xfId="0" applyFont="1" applyBorder="1" applyAlignment="1">
      <alignment vertical="center"/>
    </xf>
    <xf numFmtId="170" fontId="85" fillId="16" borderId="289" xfId="0" applyNumberFormat="1" applyFont="1" applyFill="1" applyBorder="1" applyAlignment="1">
      <alignment vertical="center"/>
    </xf>
    <xf numFmtId="170" fontId="85" fillId="15" borderId="148" xfId="0" applyNumberFormat="1" applyFont="1" applyFill="1" applyBorder="1" applyAlignment="1">
      <alignment vertical="center"/>
    </xf>
    <xf numFmtId="170" fontId="85" fillId="20" borderId="148" xfId="0" applyNumberFormat="1" applyFont="1" applyFill="1" applyBorder="1" applyAlignment="1">
      <alignment vertical="center"/>
    </xf>
    <xf numFmtId="170" fontId="85" fillId="16" borderId="148" xfId="0" applyNumberFormat="1" applyFont="1" applyFill="1" applyBorder="1" applyAlignment="1">
      <alignment vertical="center"/>
    </xf>
    <xf numFmtId="170" fontId="125" fillId="0" borderId="148" xfId="0" applyNumberFormat="1" applyFont="1" applyBorder="1" applyAlignment="1">
      <alignment vertical="center"/>
    </xf>
    <xf numFmtId="170" fontId="85" fillId="16" borderId="293" xfId="0" applyNumberFormat="1" applyFont="1" applyFill="1" applyBorder="1" applyAlignment="1">
      <alignment vertical="center"/>
    </xf>
    <xf numFmtId="170" fontId="85" fillId="15" borderId="147" xfId="0" applyNumberFormat="1" applyFont="1" applyFill="1" applyBorder="1" applyAlignment="1">
      <alignment vertical="center"/>
    </xf>
    <xf numFmtId="170" fontId="85" fillId="20" borderId="147" xfId="0" applyNumberFormat="1" applyFont="1" applyFill="1" applyBorder="1" applyAlignment="1">
      <alignment vertical="center"/>
    </xf>
    <xf numFmtId="170" fontId="85" fillId="16" borderId="147" xfId="0" applyNumberFormat="1" applyFont="1" applyFill="1" applyBorder="1" applyAlignment="1">
      <alignment vertical="center"/>
    </xf>
    <xf numFmtId="170" fontId="125" fillId="0" borderId="147" xfId="0" applyNumberFormat="1" applyFont="1" applyBorder="1" applyAlignment="1">
      <alignment vertical="center"/>
    </xf>
    <xf numFmtId="0" fontId="1" fillId="2" borderId="0" xfId="0" applyFont="1" applyFill="1" applyProtection="1">
      <protection hidden="1"/>
    </xf>
    <xf numFmtId="0" fontId="19" fillId="3" borderId="22" xfId="0" applyFont="1" applyFill="1" applyBorder="1" applyAlignment="1" applyProtection="1">
      <alignment horizontal="center"/>
      <protection hidden="1"/>
    </xf>
    <xf numFmtId="0" fontId="19" fillId="2" borderId="30" xfId="0" applyFont="1" applyFill="1" applyBorder="1" applyAlignment="1" applyProtection="1">
      <alignment horizontal="center"/>
      <protection hidden="1"/>
    </xf>
    <xf numFmtId="0" fontId="19" fillId="2" borderId="0" xfId="0" applyFont="1" applyFill="1" applyBorder="1" applyAlignment="1" applyProtection="1">
      <alignment horizontal="right" vertical="center"/>
      <protection hidden="1"/>
    </xf>
    <xf numFmtId="3" fontId="19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19" fillId="2" borderId="30" xfId="0" applyNumberFormat="1" applyFont="1" applyFill="1" applyBorder="1" applyAlignment="1" applyProtection="1">
      <alignment horizontal="center" vertical="center" wrapText="1"/>
      <protection hidden="1"/>
    </xf>
    <xf numFmtId="3" fontId="1" fillId="3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Protection="1">
      <protection hidden="1"/>
    </xf>
    <xf numFmtId="0" fontId="19" fillId="2" borderId="0" xfId="0" applyFont="1" applyFill="1" applyBorder="1" applyProtection="1">
      <protection hidden="1"/>
    </xf>
    <xf numFmtId="0" fontId="19" fillId="2" borderId="0" xfId="0" applyFont="1" applyFill="1" applyProtection="1">
      <protection hidden="1"/>
    </xf>
    <xf numFmtId="3" fontId="19" fillId="3" borderId="15" xfId="1" applyNumberFormat="1" applyFont="1" applyFill="1" applyBorder="1" applyAlignment="1" applyProtection="1">
      <alignment horizontal="left" vertical="center" indent="1"/>
      <protection hidden="1"/>
    </xf>
    <xf numFmtId="3" fontId="19" fillId="3" borderId="17" xfId="1" applyNumberFormat="1" applyFont="1" applyFill="1" applyBorder="1" applyAlignment="1" applyProtection="1">
      <alignment vertical="center"/>
      <protection hidden="1"/>
    </xf>
    <xf numFmtId="0" fontId="49" fillId="8" borderId="119" xfId="15" applyFont="1" applyFill="1" applyBorder="1" applyAlignment="1" applyProtection="1">
      <alignment vertical="center"/>
      <protection hidden="1"/>
    </xf>
    <xf numFmtId="0" fontId="50" fillId="8" borderId="120" xfId="15" applyFont="1" applyFill="1" applyBorder="1" applyAlignment="1" applyProtection="1">
      <alignment vertical="center"/>
      <protection hidden="1"/>
    </xf>
    <xf numFmtId="3" fontId="50" fillId="8" borderId="120" xfId="15" applyNumberFormat="1" applyFont="1" applyFill="1" applyBorder="1" applyAlignment="1" applyProtection="1">
      <alignment vertical="center"/>
      <protection hidden="1"/>
    </xf>
    <xf numFmtId="164" fontId="51" fillId="8" borderId="121" xfId="10" applyNumberFormat="1" applyFont="1" applyFill="1" applyBorder="1" applyAlignment="1" applyProtection="1">
      <alignment vertical="center"/>
      <protection hidden="1"/>
    </xf>
    <xf numFmtId="0" fontId="50" fillId="8" borderId="8" xfId="15" applyFont="1" applyFill="1" applyBorder="1" applyAlignment="1" applyProtection="1">
      <alignment vertical="center"/>
      <protection hidden="1"/>
    </xf>
    <xf numFmtId="0" fontId="50" fillId="8" borderId="0" xfId="15" applyFont="1" applyFill="1" applyBorder="1" applyAlignment="1" applyProtection="1">
      <alignment vertical="center"/>
      <protection hidden="1"/>
    </xf>
    <xf numFmtId="3" fontId="50" fillId="8" borderId="0" xfId="15" applyNumberFormat="1" applyFont="1" applyFill="1" applyBorder="1" applyAlignment="1" applyProtection="1">
      <alignment vertical="center"/>
      <protection hidden="1"/>
    </xf>
    <xf numFmtId="164" fontId="51" fillId="8" borderId="66" xfId="10" applyNumberFormat="1" applyFont="1" applyFill="1" applyBorder="1" applyAlignment="1" applyProtection="1">
      <alignment vertical="center"/>
      <protection hidden="1"/>
    </xf>
    <xf numFmtId="0" fontId="51" fillId="8" borderId="70" xfId="15" applyFont="1" applyFill="1" applyBorder="1" applyAlignment="1" applyProtection="1">
      <alignment vertical="center"/>
      <protection hidden="1"/>
    </xf>
    <xf numFmtId="0" fontId="51" fillId="8" borderId="71" xfId="15" applyFont="1" applyFill="1" applyBorder="1" applyAlignment="1" applyProtection="1">
      <alignment vertical="center"/>
      <protection hidden="1"/>
    </xf>
    <xf numFmtId="3" fontId="51" fillId="8" borderId="71" xfId="15" applyNumberFormat="1" applyFont="1" applyFill="1" applyBorder="1" applyAlignment="1" applyProtection="1">
      <alignment vertical="center"/>
      <protection hidden="1"/>
    </xf>
    <xf numFmtId="164" fontId="51" fillId="8" borderId="69" xfId="10" applyNumberFormat="1" applyFont="1" applyFill="1" applyBorder="1" applyAlignment="1" applyProtection="1">
      <alignment vertical="center"/>
      <protection hidden="1"/>
    </xf>
    <xf numFmtId="0" fontId="54" fillId="8" borderId="119" xfId="15" quotePrefix="1" applyFont="1" applyFill="1" applyBorder="1" applyAlignment="1" applyProtection="1">
      <alignment horizontal="left" vertical="center"/>
      <protection hidden="1"/>
    </xf>
    <xf numFmtId="0" fontId="54" fillId="8" borderId="120" xfId="15" applyFont="1" applyFill="1" applyBorder="1" applyAlignment="1" applyProtection="1">
      <alignment horizontal="left" vertical="center"/>
      <protection hidden="1"/>
    </xf>
    <xf numFmtId="3" fontId="54" fillId="8" borderId="120" xfId="15" applyNumberFormat="1" applyFont="1" applyFill="1" applyBorder="1" applyAlignment="1" applyProtection="1">
      <alignment vertical="center"/>
      <protection hidden="1"/>
    </xf>
    <xf numFmtId="0" fontId="54" fillId="8" borderId="120" xfId="15" applyFont="1" applyFill="1" applyBorder="1" applyAlignment="1" applyProtection="1">
      <alignment vertical="center"/>
      <protection hidden="1"/>
    </xf>
    <xf numFmtId="4" fontId="54" fillId="8" borderId="120" xfId="15" applyNumberFormat="1" applyFont="1" applyFill="1" applyBorder="1" applyAlignment="1" applyProtection="1">
      <alignment horizontal="right" vertical="center"/>
      <protection hidden="1"/>
    </xf>
    <xf numFmtId="14" fontId="54" fillId="8" borderId="121" xfId="15" applyNumberFormat="1" applyFont="1" applyFill="1" applyBorder="1" applyAlignment="1" applyProtection="1">
      <alignment horizontal="left" vertical="center"/>
      <protection hidden="1"/>
    </xf>
    <xf numFmtId="0" fontId="54" fillId="8" borderId="8" xfId="15" quotePrefix="1" applyFont="1" applyFill="1" applyBorder="1" applyAlignment="1" applyProtection="1">
      <alignment horizontal="left" vertical="center"/>
      <protection hidden="1"/>
    </xf>
    <xf numFmtId="0" fontId="54" fillId="8" borderId="0" xfId="15" applyFont="1" applyFill="1" applyBorder="1" applyAlignment="1" applyProtection="1">
      <alignment vertical="center"/>
      <protection hidden="1"/>
    </xf>
    <xf numFmtId="3" fontId="54" fillId="8" borderId="0" xfId="15" applyNumberFormat="1" applyFont="1" applyFill="1" applyBorder="1" applyAlignment="1" applyProtection="1">
      <alignment vertical="center"/>
      <protection hidden="1"/>
    </xf>
    <xf numFmtId="4" fontId="54" fillId="8" borderId="0" xfId="15" quotePrefix="1" applyNumberFormat="1" applyFont="1" applyFill="1" applyBorder="1" applyAlignment="1" applyProtection="1">
      <alignment horizontal="right" vertical="center"/>
      <protection hidden="1"/>
    </xf>
    <xf numFmtId="0" fontId="55" fillId="8" borderId="66" xfId="15" applyFont="1" applyFill="1" applyBorder="1" applyAlignment="1" applyProtection="1">
      <alignment vertical="center"/>
      <protection hidden="1"/>
    </xf>
    <xf numFmtId="0" fontId="54" fillId="8" borderId="70" xfId="15" quotePrefix="1" applyFont="1" applyFill="1" applyBorder="1" applyAlignment="1" applyProtection="1">
      <alignment horizontal="left" vertical="center"/>
      <protection hidden="1"/>
    </xf>
    <xf numFmtId="0" fontId="54" fillId="8" borderId="71" xfId="15" applyFont="1" applyFill="1" applyBorder="1" applyAlignment="1" applyProtection="1">
      <alignment vertical="center"/>
      <protection hidden="1"/>
    </xf>
    <xf numFmtId="164" fontId="51" fillId="8" borderId="66" xfId="15" applyNumberFormat="1" applyFont="1" applyFill="1" applyBorder="1" applyAlignment="1" applyProtection="1">
      <alignment vertical="center"/>
      <protection hidden="1"/>
    </xf>
    <xf numFmtId="0" fontId="54" fillId="3" borderId="119" xfId="15" quotePrefix="1" applyFont="1" applyFill="1" applyBorder="1" applyAlignment="1" applyProtection="1">
      <alignment horizontal="center" vertical="center"/>
      <protection hidden="1"/>
    </xf>
    <xf numFmtId="0" fontId="54" fillId="3" borderId="121" xfId="15" applyFont="1" applyFill="1" applyBorder="1" applyAlignment="1" applyProtection="1">
      <alignment horizontal="center" vertical="center"/>
      <protection hidden="1"/>
    </xf>
    <xf numFmtId="3" fontId="54" fillId="3" borderId="121" xfId="15" applyNumberFormat="1" applyFont="1" applyFill="1" applyBorder="1" applyAlignment="1" applyProtection="1">
      <alignment horizontal="center" vertical="center"/>
      <protection hidden="1"/>
    </xf>
    <xf numFmtId="0" fontId="54" fillId="3" borderId="122" xfId="15" applyFont="1" applyFill="1" applyBorder="1" applyAlignment="1" applyProtection="1">
      <alignment horizontal="center" vertical="center"/>
      <protection hidden="1"/>
    </xf>
    <xf numFmtId="0" fontId="54" fillId="3" borderId="119" xfId="15" applyFont="1" applyFill="1" applyBorder="1" applyAlignment="1" applyProtection="1">
      <alignment horizontal="center" vertical="center"/>
      <protection hidden="1"/>
    </xf>
    <xf numFmtId="0" fontId="54" fillId="3" borderId="70" xfId="15" quotePrefix="1" applyFont="1" applyFill="1" applyBorder="1" applyAlignment="1" applyProtection="1">
      <alignment horizontal="left" vertical="center"/>
      <protection hidden="1"/>
    </xf>
    <xf numFmtId="0" fontId="54" fillId="3" borderId="69" xfId="15" applyFont="1" applyFill="1" applyBorder="1" applyAlignment="1" applyProtection="1">
      <alignment vertical="center"/>
      <protection hidden="1"/>
    </xf>
    <xf numFmtId="3" fontId="54" fillId="3" borderId="69" xfId="15" applyNumberFormat="1" applyFont="1" applyFill="1" applyBorder="1" applyAlignment="1" applyProtection="1">
      <alignment horizontal="center" vertical="center"/>
      <protection hidden="1"/>
    </xf>
    <xf numFmtId="3" fontId="60" fillId="3" borderId="118" xfId="15" applyNumberFormat="1" applyFont="1" applyFill="1" applyBorder="1" applyAlignment="1" applyProtection="1">
      <alignment horizontal="center" vertical="center" wrapText="1"/>
      <protection hidden="1"/>
    </xf>
    <xf numFmtId="172" fontId="60" fillId="3" borderId="70" xfId="15" applyNumberFormat="1" applyFont="1" applyFill="1" applyBorder="1" applyAlignment="1" applyProtection="1">
      <alignment horizontal="center" vertical="center" wrapText="1"/>
      <protection hidden="1"/>
    </xf>
    <xf numFmtId="0" fontId="60" fillId="0" borderId="8" xfId="15" applyFont="1" applyBorder="1" applyAlignment="1" applyProtection="1">
      <alignment horizontal="left" vertical="center"/>
      <protection hidden="1"/>
    </xf>
    <xf numFmtId="0" fontId="60" fillId="0" borderId="66" xfId="15" applyFont="1" applyBorder="1" applyAlignment="1" applyProtection="1">
      <alignment horizontal="center" vertical="center"/>
      <protection hidden="1"/>
    </xf>
    <xf numFmtId="3" fontId="51" fillId="0" borderId="66" xfId="15" applyNumberFormat="1" applyFont="1" applyBorder="1" applyAlignment="1" applyProtection="1">
      <alignment horizontal="center" vertical="center"/>
      <protection hidden="1"/>
    </xf>
    <xf numFmtId="3" fontId="51" fillId="0" borderId="82" xfId="15" applyNumberFormat="1" applyFont="1" applyBorder="1" applyAlignment="1" applyProtection="1">
      <alignment vertical="center"/>
      <protection hidden="1"/>
    </xf>
    <xf numFmtId="165" fontId="51" fillId="0" borderId="82" xfId="15" applyNumberFormat="1" applyFont="1" applyBorder="1" applyAlignment="1" applyProtection="1">
      <alignment vertical="center"/>
      <protection hidden="1"/>
    </xf>
    <xf numFmtId="3" fontId="51" fillId="0" borderId="8" xfId="15" applyNumberFormat="1" applyFont="1" applyBorder="1" applyAlignment="1" applyProtection="1">
      <alignment vertical="center"/>
      <protection hidden="1"/>
    </xf>
    <xf numFmtId="3" fontId="51" fillId="0" borderId="132" xfId="15" applyNumberFormat="1" applyFont="1" applyBorder="1" applyAlignment="1" applyProtection="1">
      <alignment vertical="center"/>
      <protection hidden="1"/>
    </xf>
    <xf numFmtId="4" fontId="51" fillId="0" borderId="82" xfId="15" applyNumberFormat="1" applyFont="1" applyBorder="1" applyAlignment="1" applyProtection="1">
      <alignment vertical="center"/>
      <protection hidden="1"/>
    </xf>
    <xf numFmtId="0" fontId="90" fillId="3" borderId="104" xfId="15" applyFont="1" applyFill="1" applyBorder="1" applyAlignment="1" applyProtection="1">
      <alignment vertical="center"/>
      <protection hidden="1"/>
    </xf>
    <xf numFmtId="0" fontId="60" fillId="3" borderId="128" xfId="15" applyFont="1" applyFill="1" applyBorder="1" applyAlignment="1" applyProtection="1">
      <alignment horizontal="center" vertical="center"/>
      <protection hidden="1"/>
    </xf>
    <xf numFmtId="3" fontId="54" fillId="3" borderId="79" xfId="15" applyNumberFormat="1" applyFont="1" applyFill="1" applyBorder="1" applyAlignment="1" applyProtection="1">
      <alignment horizontal="center" vertical="center"/>
      <protection hidden="1"/>
    </xf>
    <xf numFmtId="3" fontId="54" fillId="3" borderId="79" xfId="15" applyNumberFormat="1" applyFont="1" applyFill="1" applyBorder="1" applyAlignment="1" applyProtection="1">
      <alignment vertical="center"/>
      <protection hidden="1"/>
    </xf>
    <xf numFmtId="3" fontId="54" fillId="3" borderId="104" xfId="15" applyNumberFormat="1" applyFont="1" applyFill="1" applyBorder="1" applyAlignment="1" applyProtection="1">
      <alignment vertical="center"/>
      <protection hidden="1"/>
    </xf>
    <xf numFmtId="3" fontId="54" fillId="3" borderId="286" xfId="15" applyNumberFormat="1" applyFont="1" applyFill="1" applyBorder="1" applyAlignment="1" applyProtection="1">
      <alignment vertical="center"/>
      <protection hidden="1"/>
    </xf>
    <xf numFmtId="0" fontId="90" fillId="0" borderId="8" xfId="15" applyFont="1" applyBorder="1" applyAlignment="1" applyProtection="1">
      <alignment horizontal="center" vertical="center"/>
      <protection hidden="1"/>
    </xf>
    <xf numFmtId="0" fontId="90" fillId="0" borderId="66" xfId="15" applyFont="1" applyBorder="1" applyAlignment="1" applyProtection="1">
      <alignment horizontal="center" vertical="center"/>
      <protection hidden="1"/>
    </xf>
    <xf numFmtId="3" fontId="54" fillId="0" borderId="66" xfId="15" applyNumberFormat="1" applyFont="1" applyBorder="1" applyAlignment="1" applyProtection="1">
      <alignment horizontal="center" vertical="center"/>
      <protection hidden="1"/>
    </xf>
    <xf numFmtId="3" fontId="54" fillId="0" borderId="82" xfId="15" applyNumberFormat="1" applyFont="1" applyBorder="1" applyAlignment="1" applyProtection="1">
      <alignment horizontal="center" vertical="center"/>
      <protection hidden="1"/>
    </xf>
    <xf numFmtId="165" fontId="54" fillId="0" borderId="82" xfId="15" applyNumberFormat="1" applyFont="1" applyBorder="1" applyAlignment="1" applyProtection="1">
      <alignment horizontal="center" vertical="center"/>
      <protection hidden="1"/>
    </xf>
    <xf numFmtId="3" fontId="54" fillId="0" borderId="8" xfId="15" applyNumberFormat="1" applyFont="1" applyBorder="1" applyAlignment="1" applyProtection="1">
      <alignment horizontal="center" vertical="center"/>
      <protection hidden="1"/>
    </xf>
    <xf numFmtId="3" fontId="54" fillId="0" borderId="132" xfId="15" applyNumberFormat="1" applyFont="1" applyBorder="1" applyAlignment="1" applyProtection="1">
      <alignment horizontal="center" vertical="center"/>
      <protection hidden="1"/>
    </xf>
    <xf numFmtId="0" fontId="60" fillId="0" borderId="66" xfId="15" applyFont="1" applyBorder="1" applyAlignment="1" applyProtection="1">
      <alignment horizontal="left" vertical="center"/>
      <protection hidden="1"/>
    </xf>
    <xf numFmtId="3" fontId="51" fillId="0" borderId="82" xfId="15" applyNumberFormat="1" applyFont="1" applyBorder="1" applyAlignment="1" applyProtection="1">
      <alignment horizontal="right" vertical="center"/>
      <protection hidden="1"/>
    </xf>
    <xf numFmtId="165" fontId="51" fillId="0" borderId="82" xfId="15" applyNumberFormat="1" applyFont="1" applyBorder="1" applyAlignment="1" applyProtection="1">
      <alignment horizontal="right" vertical="center"/>
      <protection hidden="1"/>
    </xf>
    <xf numFmtId="3" fontId="51" fillId="0" borderId="8" xfId="15" applyNumberFormat="1" applyFont="1" applyBorder="1" applyAlignment="1" applyProtection="1">
      <alignment horizontal="right" vertical="center"/>
      <protection hidden="1"/>
    </xf>
    <xf numFmtId="3" fontId="51" fillId="0" borderId="132" xfId="15" applyNumberFormat="1" applyFont="1" applyBorder="1" applyAlignment="1" applyProtection="1">
      <alignment horizontal="right" vertical="center"/>
      <protection hidden="1"/>
    </xf>
    <xf numFmtId="4" fontId="51" fillId="0" borderId="82" xfId="15" applyNumberFormat="1" applyFont="1" applyBorder="1" applyAlignment="1" applyProtection="1">
      <alignment horizontal="right" vertical="center"/>
      <protection hidden="1"/>
    </xf>
    <xf numFmtId="0" fontId="90" fillId="0" borderId="132" xfId="15" applyFont="1" applyBorder="1" applyAlignment="1" applyProtection="1">
      <alignment horizontal="center" vertical="center"/>
      <protection hidden="1"/>
    </xf>
    <xf numFmtId="4" fontId="54" fillId="0" borderId="82" xfId="15" applyNumberFormat="1" applyFont="1" applyBorder="1" applyAlignment="1" applyProtection="1">
      <alignment horizontal="center" vertical="center"/>
      <protection hidden="1"/>
    </xf>
    <xf numFmtId="0" fontId="60" fillId="0" borderId="132" xfId="15" applyFont="1" applyBorder="1" applyAlignment="1" applyProtection="1">
      <alignment horizontal="left" vertical="center"/>
      <protection hidden="1"/>
    </xf>
    <xf numFmtId="3" fontId="51" fillId="0" borderId="70" xfId="15" applyNumberFormat="1" applyFont="1" applyBorder="1" applyAlignment="1" applyProtection="1">
      <alignment horizontal="right" vertical="center"/>
      <protection hidden="1"/>
    </xf>
    <xf numFmtId="3" fontId="54" fillId="3" borderId="286" xfId="15" applyNumberFormat="1" applyFont="1" applyFill="1" applyBorder="1" applyAlignment="1" applyProtection="1">
      <alignment horizontal="center" vertical="center"/>
      <protection hidden="1"/>
    </xf>
    <xf numFmtId="1" fontId="51" fillId="0" borderId="82" xfId="15" applyNumberFormat="1" applyFont="1" applyBorder="1" applyAlignment="1" applyProtection="1">
      <alignment horizontal="right" vertical="center"/>
      <protection hidden="1"/>
    </xf>
    <xf numFmtId="1" fontId="51" fillId="0" borderId="8" xfId="15" applyNumberFormat="1" applyFont="1" applyBorder="1" applyAlignment="1" applyProtection="1">
      <alignment horizontal="right" vertical="center"/>
      <protection hidden="1"/>
    </xf>
    <xf numFmtId="1" fontId="51" fillId="0" borderId="132" xfId="15" applyNumberFormat="1" applyFont="1" applyBorder="1" applyAlignment="1" applyProtection="1">
      <alignment horizontal="right" vertical="center"/>
      <protection hidden="1"/>
    </xf>
    <xf numFmtId="1" fontId="51" fillId="0" borderId="82" xfId="15" applyNumberFormat="1" applyFont="1" applyFill="1" applyBorder="1" applyAlignment="1" applyProtection="1">
      <alignment horizontal="right" vertical="center"/>
      <protection hidden="1"/>
    </xf>
    <xf numFmtId="1" fontId="51" fillId="0" borderId="8" xfId="15" applyNumberFormat="1" applyFont="1" applyFill="1" applyBorder="1" applyAlignment="1" applyProtection="1">
      <alignment horizontal="right" vertical="center"/>
      <protection hidden="1"/>
    </xf>
    <xf numFmtId="1" fontId="51" fillId="0" borderId="132" xfId="15" applyNumberFormat="1" applyFont="1" applyFill="1" applyBorder="1" applyAlignment="1" applyProtection="1">
      <alignment horizontal="right" vertical="center"/>
      <protection hidden="1"/>
    </xf>
    <xf numFmtId="0" fontId="90" fillId="3" borderId="119" xfId="15" applyFont="1" applyFill="1" applyBorder="1" applyAlignment="1" applyProtection="1">
      <alignment vertical="center"/>
      <protection hidden="1"/>
    </xf>
    <xf numFmtId="0" fontId="60" fillId="3" borderId="121" xfId="15" applyFont="1" applyFill="1" applyBorder="1" applyAlignment="1" applyProtection="1">
      <alignment horizontal="center" vertical="center"/>
      <protection hidden="1"/>
    </xf>
    <xf numFmtId="3" fontId="54" fillId="3" borderId="122" xfId="15" applyNumberFormat="1" applyFont="1" applyFill="1" applyBorder="1" applyAlignment="1" applyProtection="1">
      <alignment horizontal="center" vertical="center"/>
      <protection hidden="1"/>
    </xf>
    <xf numFmtId="3" fontId="54" fillId="3" borderId="119" xfId="15" applyNumberFormat="1" applyFont="1" applyFill="1" applyBorder="1" applyAlignment="1" applyProtection="1">
      <alignment horizontal="center" vertical="center"/>
      <protection hidden="1"/>
    </xf>
    <xf numFmtId="0" fontId="90" fillId="8" borderId="129" xfId="15" applyFont="1" applyFill="1" applyBorder="1" applyAlignment="1" applyProtection="1">
      <alignment vertical="center"/>
      <protection hidden="1"/>
    </xf>
    <xf numFmtId="0" fontId="60" fillId="8" borderId="130" xfId="15" applyFont="1" applyFill="1" applyBorder="1" applyAlignment="1" applyProtection="1">
      <alignment horizontal="center" vertical="center"/>
      <protection hidden="1"/>
    </xf>
    <xf numFmtId="3" fontId="54" fillId="8" borderId="131" xfId="15" applyNumberFormat="1" applyFont="1" applyFill="1" applyBorder="1" applyAlignment="1" applyProtection="1">
      <alignment horizontal="center" vertical="center"/>
      <protection hidden="1"/>
    </xf>
    <xf numFmtId="3" fontId="54" fillId="8" borderId="129" xfId="15" applyNumberFormat="1" applyFont="1" applyFill="1" applyBorder="1" applyAlignment="1" applyProtection="1">
      <alignment horizontal="center" vertical="center"/>
      <protection hidden="1"/>
    </xf>
    <xf numFmtId="0" fontId="90" fillId="0" borderId="8" xfId="15" applyFont="1" applyBorder="1" applyAlignment="1" applyProtection="1">
      <alignment vertical="center"/>
      <protection hidden="1"/>
    </xf>
    <xf numFmtId="3" fontId="60" fillId="0" borderId="8" xfId="15" applyNumberFormat="1" applyFont="1" applyBorder="1" applyAlignment="1" applyProtection="1">
      <alignment vertical="center"/>
      <protection hidden="1"/>
    </xf>
    <xf numFmtId="0" fontId="60" fillId="0" borderId="8" xfId="15" applyFont="1" applyBorder="1" applyAlignment="1" applyProtection="1">
      <alignment vertical="center"/>
      <protection hidden="1"/>
    </xf>
    <xf numFmtId="0" fontId="90" fillId="8" borderId="104" xfId="15" applyFont="1" applyFill="1" applyBorder="1" applyAlignment="1" applyProtection="1">
      <alignment horizontal="left" vertical="center"/>
      <protection hidden="1"/>
    </xf>
    <xf numFmtId="0" fontId="60" fillId="8" borderId="128" xfId="15" applyFont="1" applyFill="1" applyBorder="1" applyAlignment="1" applyProtection="1">
      <alignment horizontal="center" vertical="center"/>
      <protection hidden="1"/>
    </xf>
    <xf numFmtId="3" fontId="54" fillId="8" borderId="79" xfId="15" applyNumberFormat="1" applyFont="1" applyFill="1" applyBorder="1" applyAlignment="1" applyProtection="1">
      <alignment horizontal="center" vertical="center"/>
      <protection hidden="1"/>
    </xf>
    <xf numFmtId="3" fontId="54" fillId="8" borderId="104" xfId="15" applyNumberFormat="1" applyFont="1" applyFill="1" applyBorder="1" applyAlignment="1" applyProtection="1">
      <alignment horizontal="center" vertical="center"/>
      <protection hidden="1"/>
    </xf>
    <xf numFmtId="3" fontId="54" fillId="8" borderId="286" xfId="15" applyNumberFormat="1" applyFont="1" applyFill="1" applyBorder="1" applyAlignment="1" applyProtection="1">
      <alignment horizontal="center" vertical="center"/>
      <protection hidden="1"/>
    </xf>
    <xf numFmtId="3" fontId="46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17" fillId="0" borderId="6" xfId="1" applyNumberFormat="1" applyFont="1" applyFill="1" applyBorder="1" applyAlignment="1" applyProtection="1">
      <alignment horizontal="center" vertical="center"/>
    </xf>
    <xf numFmtId="3" fontId="17" fillId="0" borderId="0" xfId="1" applyNumberFormat="1" applyFont="1" applyFill="1" applyBorder="1" applyAlignment="1" applyProtection="1">
      <alignment horizontal="center" vertical="center"/>
    </xf>
    <xf numFmtId="3" fontId="17" fillId="0" borderId="9" xfId="1" applyNumberFormat="1" applyFont="1" applyFill="1" applyBorder="1" applyAlignment="1" applyProtection="1">
      <alignment horizontal="center" vertical="center"/>
    </xf>
    <xf numFmtId="0" fontId="94" fillId="0" borderId="0" xfId="16" applyFont="1" applyFill="1" applyAlignment="1" applyProtection="1">
      <alignment vertical="center"/>
      <protection locked="0"/>
    </xf>
    <xf numFmtId="0" fontId="95" fillId="0" borderId="0" xfId="16" applyFont="1" applyFill="1" applyAlignment="1" applyProtection="1">
      <alignment vertical="center"/>
    </xf>
    <xf numFmtId="0" fontId="96" fillId="0" borderId="0" xfId="16" applyFont="1" applyFill="1" applyAlignment="1" applyProtection="1">
      <alignment vertical="center"/>
      <protection locked="0"/>
    </xf>
    <xf numFmtId="0" fontId="95" fillId="0" borderId="0" xfId="16" applyFont="1" applyFill="1" applyBorder="1" applyAlignment="1" applyProtection="1">
      <alignment vertical="center"/>
    </xf>
    <xf numFmtId="0" fontId="96" fillId="0" borderId="0" xfId="16" applyFont="1" applyFill="1" applyBorder="1" applyAlignment="1" applyProtection="1">
      <alignment vertical="center"/>
    </xf>
    <xf numFmtId="0" fontId="95" fillId="0" borderId="0" xfId="16" quotePrefix="1" applyFont="1" applyFill="1" applyBorder="1" applyAlignment="1" applyProtection="1">
      <alignment vertical="center"/>
    </xf>
    <xf numFmtId="0" fontId="98" fillId="0" borderId="0" xfId="16" applyFont="1" applyFill="1" applyAlignment="1" applyProtection="1">
      <alignment vertical="center"/>
      <protection locked="0"/>
    </xf>
    <xf numFmtId="0" fontId="98" fillId="0" borderId="0" xfId="16" applyFont="1" applyFill="1" applyBorder="1" applyAlignment="1" applyProtection="1">
      <alignment vertical="center"/>
      <protection locked="0"/>
    </xf>
    <xf numFmtId="3" fontId="98" fillId="0" borderId="0" xfId="16" applyNumberFormat="1" applyFont="1" applyFill="1" applyAlignment="1" applyProtection="1">
      <alignment vertical="center"/>
      <protection locked="0"/>
    </xf>
    <xf numFmtId="0" fontId="105" fillId="0" borderId="0" xfId="16" applyFont="1" applyFill="1" applyAlignment="1" applyProtection="1">
      <alignment vertical="center"/>
      <protection locked="0"/>
    </xf>
    <xf numFmtId="0" fontId="40" fillId="0" borderId="0" xfId="18" applyFont="1" applyFill="1" applyAlignment="1" applyProtection="1">
      <alignment vertical="center"/>
      <protection locked="0"/>
    </xf>
    <xf numFmtId="3" fontId="40" fillId="0" borderId="0" xfId="18" applyNumberFormat="1" applyFont="1" applyFill="1" applyAlignment="1" applyProtection="1">
      <alignment horizontal="center" vertical="center"/>
      <protection locked="0"/>
    </xf>
    <xf numFmtId="3" fontId="40" fillId="0" borderId="0" xfId="18" applyNumberFormat="1" applyFont="1" applyFill="1" applyAlignment="1" applyProtection="1">
      <alignment vertical="center"/>
      <protection locked="0"/>
    </xf>
    <xf numFmtId="10" fontId="40" fillId="0" borderId="0" xfId="18" applyNumberFormat="1" applyFont="1" applyFill="1" applyAlignment="1" applyProtection="1">
      <alignment vertical="center"/>
      <protection locked="0"/>
    </xf>
    <xf numFmtId="0" fontId="40" fillId="0" borderId="0" xfId="18" applyFont="1" applyFill="1" applyAlignment="1" applyProtection="1">
      <alignment horizontal="center" vertical="center"/>
      <protection locked="0"/>
    </xf>
    <xf numFmtId="0" fontId="119" fillId="0" borderId="0" xfId="18" applyFont="1" applyFill="1" applyAlignment="1" applyProtection="1">
      <alignment vertical="center"/>
      <protection locked="0"/>
    </xf>
    <xf numFmtId="0" fontId="22" fillId="0" borderId="0" xfId="18" applyFont="1" applyFill="1" applyAlignment="1" applyProtection="1">
      <alignment vertical="center"/>
    </xf>
    <xf numFmtId="0" fontId="1" fillId="0" borderId="1" xfId="18" applyFont="1" applyFill="1" applyBorder="1" applyAlignment="1" applyProtection="1">
      <alignment vertical="center"/>
      <protection locked="0"/>
    </xf>
    <xf numFmtId="0" fontId="1" fillId="0" borderId="4" xfId="18" applyFont="1" applyFill="1" applyBorder="1" applyAlignment="1" applyProtection="1">
      <alignment vertical="center"/>
      <protection locked="0"/>
    </xf>
    <xf numFmtId="0" fontId="2" fillId="0" borderId="2" xfId="18" applyFont="1" applyFill="1" applyBorder="1" applyAlignment="1" applyProtection="1">
      <alignment vertical="center"/>
      <protection locked="0"/>
    </xf>
    <xf numFmtId="0" fontId="1" fillId="0" borderId="4" xfId="18" applyFont="1" applyFill="1" applyBorder="1" applyAlignment="1" applyProtection="1">
      <alignment horizontal="center" vertical="center"/>
      <protection locked="0"/>
    </xf>
    <xf numFmtId="164" fontId="45" fillId="0" borderId="4" xfId="18" applyNumberFormat="1" applyFont="1" applyFill="1" applyBorder="1" applyAlignment="1" applyProtection="1">
      <alignment horizontal="left" vertical="center"/>
      <protection locked="0"/>
    </xf>
    <xf numFmtId="17" fontId="1" fillId="0" borderId="5" xfId="18" applyNumberFormat="1" applyFont="1" applyFill="1" applyBorder="1" applyAlignment="1" applyProtection="1">
      <alignment horizontal="left" vertical="center"/>
      <protection locked="0"/>
    </xf>
    <xf numFmtId="0" fontId="18" fillId="0" borderId="0" xfId="18" applyFont="1" applyFill="1" applyAlignment="1" applyProtection="1">
      <alignment vertical="center"/>
      <protection locked="0"/>
    </xf>
    <xf numFmtId="0" fontId="1" fillId="0" borderId="0" xfId="18" applyFont="1" applyFill="1" applyAlignment="1" applyProtection="1">
      <alignment vertical="center"/>
      <protection locked="0"/>
    </xf>
    <xf numFmtId="0" fontId="13" fillId="0" borderId="0" xfId="18" applyFont="1" applyFill="1" applyBorder="1" applyAlignment="1" applyProtection="1">
      <alignment horizontal="center" vertical="center"/>
      <protection locked="0"/>
    </xf>
    <xf numFmtId="164" fontId="45" fillId="0" borderId="0" xfId="18" applyNumberFormat="1" applyFont="1" applyFill="1" applyBorder="1" applyAlignment="1" applyProtection="1">
      <alignment horizontal="left" vertical="center"/>
      <protection locked="0"/>
    </xf>
    <xf numFmtId="0" fontId="1" fillId="0" borderId="0" xfId="18" applyFont="1" applyFill="1" applyBorder="1" applyAlignment="1" applyProtection="1">
      <alignment vertical="center"/>
      <protection locked="0"/>
    </xf>
    <xf numFmtId="0" fontId="1" fillId="0" borderId="9" xfId="18" applyFont="1" applyFill="1" applyBorder="1" applyAlignment="1" applyProtection="1">
      <alignment horizontal="left" vertical="center"/>
      <protection locked="0"/>
    </xf>
    <xf numFmtId="0" fontId="15" fillId="0" borderId="132" xfId="18" applyFont="1" applyFill="1" applyBorder="1" applyAlignment="1" applyProtection="1">
      <alignment horizontal="center" vertical="center"/>
      <protection locked="0"/>
    </xf>
    <xf numFmtId="0" fontId="15" fillId="0" borderId="0" xfId="18" applyFont="1" applyFill="1" applyBorder="1" applyAlignment="1" applyProtection="1">
      <alignment horizontal="center" vertical="center"/>
      <protection locked="0"/>
    </xf>
    <xf numFmtId="0" fontId="15" fillId="0" borderId="66" xfId="18" applyFont="1" applyFill="1" applyBorder="1" applyAlignment="1" applyProtection="1">
      <alignment horizontal="center" vertical="center"/>
      <protection locked="0"/>
    </xf>
    <xf numFmtId="0" fontId="29" fillId="0" borderId="0" xfId="18" applyFont="1" applyFill="1" applyBorder="1" applyAlignment="1" applyProtection="1">
      <alignment horizontal="center" vertical="center"/>
      <protection locked="0"/>
    </xf>
    <xf numFmtId="0" fontId="22" fillId="0" borderId="0" xfId="18" applyFont="1" applyFill="1" applyBorder="1" applyAlignment="1" applyProtection="1">
      <alignment vertical="center"/>
    </xf>
    <xf numFmtId="0" fontId="1" fillId="0" borderId="10" xfId="18" applyFont="1" applyFill="1" applyBorder="1" applyAlignment="1" applyProtection="1">
      <alignment vertical="center"/>
      <protection locked="0"/>
    </xf>
    <xf numFmtId="0" fontId="1" fillId="0" borderId="11" xfId="18" applyFont="1" applyFill="1" applyBorder="1" applyAlignment="1" applyProtection="1">
      <alignment vertical="center"/>
      <protection locked="0"/>
    </xf>
    <xf numFmtId="0" fontId="1" fillId="0" borderId="13" xfId="18" applyFont="1" applyFill="1" applyBorder="1" applyAlignment="1" applyProtection="1">
      <alignment horizontal="right" vertical="center"/>
      <protection locked="0"/>
    </xf>
    <xf numFmtId="0" fontId="29" fillId="0" borderId="11" xfId="18" applyFont="1" applyFill="1" applyBorder="1" applyAlignment="1" applyProtection="1">
      <alignment horizontal="center" vertical="center"/>
      <protection locked="0"/>
    </xf>
    <xf numFmtId="164" fontId="45" fillId="0" borderId="11" xfId="18" applyNumberFormat="1" applyFont="1" applyFill="1" applyBorder="1" applyAlignment="1" applyProtection="1">
      <alignment horizontal="left" vertical="center"/>
      <protection locked="0"/>
    </xf>
    <xf numFmtId="0" fontId="1" fillId="0" borderId="11" xfId="18" applyFont="1" applyFill="1" applyBorder="1" applyAlignment="1" applyProtection="1">
      <alignment vertical="center"/>
    </xf>
    <xf numFmtId="3" fontId="1" fillId="0" borderId="14" xfId="18" applyNumberFormat="1" applyFont="1" applyFill="1" applyBorder="1" applyAlignment="1" applyProtection="1">
      <alignment horizontal="left" vertical="center"/>
      <protection locked="0"/>
    </xf>
    <xf numFmtId="0" fontId="18" fillId="0" borderId="0" xfId="18" applyFont="1" applyFill="1" applyBorder="1" applyAlignment="1" applyProtection="1">
      <alignment vertical="center"/>
    </xf>
    <xf numFmtId="0" fontId="1" fillId="0" borderId="0" xfId="18" applyFont="1" applyFill="1" applyBorder="1" applyAlignment="1" applyProtection="1">
      <alignment vertical="center"/>
    </xf>
    <xf numFmtId="0" fontId="40" fillId="0" borderId="1" xfId="18" applyFont="1" applyFill="1" applyBorder="1" applyAlignment="1" applyProtection="1">
      <alignment vertical="center"/>
      <protection locked="0"/>
    </xf>
    <xf numFmtId="0" fontId="40" fillId="0" borderId="0" xfId="18" applyFont="1" applyFill="1" applyBorder="1" applyAlignment="1" applyProtection="1">
      <alignment vertical="center"/>
      <protection locked="0"/>
    </xf>
    <xf numFmtId="3" fontId="40" fillId="0" borderId="0" xfId="18" applyNumberFormat="1" applyFont="1" applyFill="1" applyBorder="1" applyAlignment="1" applyProtection="1">
      <alignment horizontal="center" vertical="center"/>
      <protection locked="0"/>
    </xf>
    <xf numFmtId="3" fontId="40" fillId="0" borderId="0" xfId="18" applyNumberFormat="1" applyFont="1" applyFill="1" applyBorder="1" applyAlignment="1" applyProtection="1">
      <alignment vertical="center"/>
      <protection locked="0"/>
    </xf>
    <xf numFmtId="10" fontId="40" fillId="0" borderId="0" xfId="18" applyNumberFormat="1" applyFont="1" applyFill="1" applyBorder="1" applyAlignment="1" applyProtection="1">
      <alignment vertical="center"/>
      <protection locked="0"/>
    </xf>
    <xf numFmtId="0" fontId="40" fillId="0" borderId="0" xfId="18" applyFont="1" applyFill="1" applyBorder="1" applyAlignment="1" applyProtection="1">
      <alignment horizontal="center" vertical="center"/>
      <protection locked="0"/>
    </xf>
    <xf numFmtId="0" fontId="40" fillId="0" borderId="9" xfId="18" applyFont="1" applyFill="1" applyBorder="1" applyAlignment="1" applyProtection="1">
      <alignment vertical="center"/>
      <protection locked="0"/>
    </xf>
    <xf numFmtId="0" fontId="22" fillId="0" borderId="0" xfId="18" quotePrefix="1" applyFont="1" applyFill="1" applyBorder="1" applyAlignment="1" applyProtection="1">
      <alignment vertical="center"/>
    </xf>
    <xf numFmtId="0" fontId="41" fillId="0" borderId="6" xfId="18" applyFont="1" applyFill="1" applyBorder="1" applyAlignment="1" applyProtection="1">
      <alignment horizontal="center" vertical="center"/>
      <protection locked="0"/>
    </xf>
    <xf numFmtId="0" fontId="41" fillId="0" borderId="0" xfId="18" applyFont="1" applyFill="1" applyBorder="1" applyAlignment="1" applyProtection="1">
      <alignment horizontal="center" vertical="center"/>
      <protection locked="0"/>
    </xf>
    <xf numFmtId="3" fontId="41" fillId="0" borderId="0" xfId="18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18" applyFont="1" applyFill="1" applyBorder="1" applyAlignment="1" applyProtection="1">
      <alignment horizontal="center" vertical="center" wrapText="1"/>
      <protection locked="0"/>
    </xf>
    <xf numFmtId="0" fontId="46" fillId="0" borderId="0" xfId="18" applyFont="1" applyFill="1" applyBorder="1" applyAlignment="1" applyProtection="1">
      <alignment horizontal="center" vertical="center" wrapText="1"/>
      <protection locked="0"/>
    </xf>
    <xf numFmtId="0" fontId="41" fillId="0" borderId="9" xfId="18" applyFont="1" applyFill="1" applyBorder="1" applyAlignment="1" applyProtection="1">
      <alignment horizontal="center" vertical="center" wrapText="1"/>
      <protection locked="0"/>
    </xf>
    <xf numFmtId="0" fontId="40" fillId="0" borderId="6" xfId="18" applyFont="1" applyFill="1" applyBorder="1" applyAlignment="1" applyProtection="1">
      <alignment vertical="center"/>
      <protection locked="0"/>
    </xf>
    <xf numFmtId="0" fontId="120" fillId="0" borderId="0" xfId="18" quotePrefix="1" applyFont="1" applyFill="1" applyBorder="1" applyAlignment="1" applyProtection="1">
      <alignment horizontal="right" vertical="center" indent="1"/>
      <protection locked="0"/>
    </xf>
    <xf numFmtId="3" fontId="1" fillId="0" borderId="0" xfId="18" applyNumberFormat="1" applyFont="1" applyFill="1" applyBorder="1" applyAlignment="1" applyProtection="1">
      <alignment horizontal="left" vertical="center"/>
      <protection locked="0"/>
    </xf>
    <xf numFmtId="3" fontId="45" fillId="0" borderId="0" xfId="1" applyNumberFormat="1" applyFont="1" applyFill="1" applyBorder="1" applyAlignment="1" applyProtection="1">
      <alignment horizontal="center" vertical="center" wrapText="1"/>
    </xf>
    <xf numFmtId="0" fontId="45" fillId="0" borderId="0" xfId="18" applyFont="1" applyFill="1" applyBorder="1" applyAlignment="1" applyProtection="1">
      <alignment vertical="center"/>
      <protection locked="0"/>
    </xf>
    <xf numFmtId="0" fontId="15" fillId="0" borderId="6" xfId="18" applyFont="1" applyFill="1" applyBorder="1"/>
    <xf numFmtId="3" fontId="45" fillId="0" borderId="0" xfId="1" applyNumberFormat="1" applyFont="1" applyFill="1" applyBorder="1" applyAlignment="1" applyProtection="1">
      <alignment vertical="center"/>
    </xf>
    <xf numFmtId="3" fontId="1" fillId="0" borderId="0" xfId="1" applyNumberFormat="1" applyFont="1" applyFill="1" applyBorder="1" applyAlignment="1" applyProtection="1">
      <alignment horizontal="center" vertical="center" wrapText="1"/>
    </xf>
    <xf numFmtId="9" fontId="45" fillId="0" borderId="0" xfId="1" applyNumberFormat="1" applyFont="1" applyFill="1" applyBorder="1" applyAlignment="1" applyProtection="1">
      <alignment vertical="center"/>
    </xf>
    <xf numFmtId="3" fontId="45" fillId="0" borderId="9" xfId="1" applyNumberFormat="1" applyFont="1" applyFill="1" applyBorder="1" applyAlignment="1" applyProtection="1">
      <alignment horizontal="center" vertical="center" wrapText="1"/>
    </xf>
    <xf numFmtId="0" fontId="42" fillId="0" borderId="0" xfId="18" applyFont="1" applyFill="1" applyBorder="1" applyAlignment="1" applyProtection="1">
      <alignment vertical="center"/>
      <protection locked="0"/>
    </xf>
    <xf numFmtId="0" fontId="15" fillId="0" borderId="0" xfId="18" applyFont="1" applyFill="1" applyBorder="1"/>
    <xf numFmtId="0" fontId="45" fillId="0" borderId="6" xfId="18" applyFont="1" applyFill="1" applyBorder="1" applyAlignment="1" applyProtection="1">
      <alignment vertical="center"/>
      <protection locked="0"/>
    </xf>
    <xf numFmtId="0" fontId="1" fillId="0" borderId="0" xfId="18" applyFont="1" applyFill="1" applyBorder="1" applyAlignment="1" applyProtection="1">
      <alignment horizontal="center" vertical="center"/>
      <protection locked="0"/>
    </xf>
    <xf numFmtId="0" fontId="45" fillId="0" borderId="0" xfId="18" applyFont="1" applyFill="1" applyBorder="1" applyAlignment="1" applyProtection="1">
      <alignment horizontal="center" vertical="center"/>
      <protection locked="0"/>
    </xf>
    <xf numFmtId="0" fontId="45" fillId="0" borderId="9" xfId="18" applyFont="1" applyFill="1" applyBorder="1" applyAlignment="1" applyProtection="1">
      <alignment vertical="center"/>
      <protection locked="0"/>
    </xf>
    <xf numFmtId="0" fontId="120" fillId="0" borderId="0" xfId="18" quotePrefix="1" applyFont="1" applyFill="1" applyBorder="1" applyAlignment="1" applyProtection="1">
      <alignment horizontal="right" vertical="top" indent="1"/>
      <protection locked="0"/>
    </xf>
    <xf numFmtId="3" fontId="45" fillId="0" borderId="0" xfId="18" applyNumberFormat="1" applyFont="1" applyFill="1" applyBorder="1" applyAlignment="1" applyProtection="1">
      <alignment horizontal="center" vertical="center"/>
      <protection locked="0"/>
    </xf>
    <xf numFmtId="3" fontId="46" fillId="0" borderId="0" xfId="1" applyNumberFormat="1" applyFont="1" applyFill="1" applyBorder="1" applyAlignment="1" applyProtection="1">
      <alignment horizontal="right" vertical="center"/>
    </xf>
    <xf numFmtId="3" fontId="121" fillId="0" borderId="0" xfId="1" applyNumberFormat="1" applyFont="1" applyFill="1" applyBorder="1" applyAlignment="1" applyProtection="1">
      <alignment horizontal="center" vertical="center" wrapText="1"/>
    </xf>
    <xf numFmtId="9" fontId="19" fillId="0" borderId="0" xfId="1" applyNumberFormat="1" applyFont="1" applyFill="1" applyBorder="1" applyAlignment="1" applyProtection="1">
      <alignment vertical="center"/>
    </xf>
    <xf numFmtId="164" fontId="46" fillId="0" borderId="0" xfId="10" applyNumberFormat="1" applyFont="1" applyFill="1" applyBorder="1" applyAlignment="1" applyProtection="1">
      <alignment horizontal="center" vertical="center" wrapText="1"/>
    </xf>
    <xf numFmtId="0" fontId="40" fillId="0" borderId="10" xfId="18" applyFont="1" applyFill="1" applyBorder="1" applyAlignment="1" applyProtection="1">
      <alignment vertical="center"/>
      <protection locked="0"/>
    </xf>
    <xf numFmtId="0" fontId="40" fillId="0" borderId="11" xfId="18" applyFont="1" applyFill="1" applyBorder="1" applyAlignment="1" applyProtection="1">
      <alignment vertical="center"/>
      <protection locked="0"/>
    </xf>
    <xf numFmtId="3" fontId="40" fillId="0" borderId="11" xfId="18" applyNumberFormat="1" applyFont="1" applyFill="1" applyBorder="1" applyAlignment="1" applyProtection="1">
      <alignment horizontal="center" vertical="center"/>
      <protection locked="0"/>
    </xf>
    <xf numFmtId="3" fontId="40" fillId="0" borderId="11" xfId="18" applyNumberFormat="1" applyFont="1" applyFill="1" applyBorder="1" applyAlignment="1" applyProtection="1">
      <alignment vertical="center"/>
      <protection locked="0"/>
    </xf>
    <xf numFmtId="10" fontId="40" fillId="0" borderId="11" xfId="18" applyNumberFormat="1" applyFont="1" applyFill="1" applyBorder="1" applyAlignment="1" applyProtection="1">
      <alignment vertical="center"/>
      <protection locked="0"/>
    </xf>
    <xf numFmtId="0" fontId="40" fillId="0" borderId="11" xfId="18" applyFont="1" applyFill="1" applyBorder="1" applyAlignment="1" applyProtection="1">
      <alignment horizontal="center" vertical="center"/>
      <protection locked="0"/>
    </xf>
    <xf numFmtId="0" fontId="40" fillId="0" borderId="14" xfId="18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3" fontId="1" fillId="0" borderId="3" xfId="0" applyNumberFormat="1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164" fontId="3" fillId="0" borderId="4" xfId="0" applyNumberFormat="1" applyFont="1" applyFill="1" applyBorder="1" applyAlignment="1" applyProtection="1">
      <alignment vertical="center"/>
      <protection locked="0"/>
    </xf>
    <xf numFmtId="3" fontId="3" fillId="0" borderId="2" xfId="0" applyNumberFormat="1" applyFont="1" applyFill="1" applyBorder="1" applyAlignment="1" applyProtection="1">
      <alignment horizontal="left" vertical="center"/>
      <protection locked="0"/>
    </xf>
    <xf numFmtId="164" fontId="1" fillId="0" borderId="4" xfId="0" applyNumberFormat="1" applyFont="1" applyFill="1" applyBorder="1" applyAlignment="1" applyProtection="1">
      <alignment horizontal="left" vertical="center"/>
      <protection locked="0"/>
    </xf>
    <xf numFmtId="164" fontId="1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alignment vertical="center"/>
      <protection locked="0"/>
    </xf>
    <xf numFmtId="164" fontId="1" fillId="0" borderId="0" xfId="0" applyNumberFormat="1" applyFont="1" applyFill="1" applyBorder="1" applyAlignment="1" applyProtection="1">
      <alignment horizontal="left" vertical="center"/>
      <protection locked="0"/>
    </xf>
    <xf numFmtId="164" fontId="1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9" xfId="0" applyFont="1" applyFill="1" applyBorder="1" applyAlignment="1" applyProtection="1">
      <alignment horizontal="right" vertical="center"/>
      <protection hidden="1"/>
    </xf>
    <xf numFmtId="14" fontId="2" fillId="0" borderId="0" xfId="0" applyNumberFormat="1" applyFont="1" applyFill="1" applyBorder="1" applyAlignment="1" applyProtection="1">
      <alignment horizontal="right" vertical="center"/>
      <protection hidden="1"/>
    </xf>
    <xf numFmtId="0" fontId="4" fillId="0" borderId="8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7" xfId="0" applyFont="1" applyFill="1" applyBorder="1" applyAlignment="1" applyProtection="1">
      <alignment vertical="center"/>
      <protection locked="0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14" fontId="4" fillId="0" borderId="0" xfId="0" applyNumberFormat="1" applyFont="1" applyFill="1" applyBorder="1" applyAlignment="1" applyProtection="1">
      <alignment horizontal="right" vertical="center"/>
      <protection hidden="1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right" vertical="center"/>
      <protection locked="0"/>
    </xf>
    <xf numFmtId="3" fontId="5" fillId="0" borderId="12" xfId="0" applyNumberFormat="1" applyFont="1" applyFill="1" applyBorder="1" applyAlignment="1" applyProtection="1">
      <alignment vertical="center"/>
      <protection locked="0"/>
    </xf>
    <xf numFmtId="0" fontId="5" fillId="0" borderId="11" xfId="0" applyFont="1" applyFill="1" applyBorder="1" applyAlignment="1" applyProtection="1">
      <alignment vertical="center"/>
      <protection locked="0"/>
    </xf>
    <xf numFmtId="164" fontId="6" fillId="0" borderId="11" xfId="0" applyNumberFormat="1" applyFont="1" applyFill="1" applyBorder="1" applyAlignment="1" applyProtection="1">
      <alignment vertical="center"/>
      <protection locked="0"/>
    </xf>
    <xf numFmtId="3" fontId="6" fillId="0" borderId="13" xfId="0" applyNumberFormat="1" applyFont="1" applyFill="1" applyBorder="1" applyAlignment="1" applyProtection="1">
      <alignment horizontal="left" vertical="center"/>
      <protection locked="0"/>
    </xf>
    <xf numFmtId="164" fontId="1" fillId="0" borderId="11" xfId="0" applyNumberFormat="1" applyFont="1" applyFill="1" applyBorder="1" applyAlignment="1" applyProtection="1">
      <alignment horizontal="left" vertical="center"/>
      <protection locked="0"/>
    </xf>
    <xf numFmtId="10" fontId="1" fillId="0" borderId="14" xfId="0" applyNumberFormat="1" applyFont="1" applyFill="1" applyBorder="1" applyAlignment="1" applyProtection="1">
      <alignment horizontal="left" vertical="center"/>
      <protection locked="0"/>
    </xf>
    <xf numFmtId="3" fontId="17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/>
    <xf numFmtId="0" fontId="1" fillId="0" borderId="0" xfId="0" applyFont="1" applyFill="1" applyBorder="1" applyAlignment="1" applyProtection="1">
      <alignment horizontal="left" indent="1"/>
      <protection locked="0"/>
    </xf>
    <xf numFmtId="3" fontId="19" fillId="0" borderId="0" xfId="1" applyNumberFormat="1" applyFont="1" applyFill="1" applyBorder="1" applyAlignment="1" applyProtection="1">
      <alignment horizontal="left" vertical="center" indent="1"/>
      <protection locked="0"/>
    </xf>
    <xf numFmtId="3" fontId="19" fillId="0" borderId="19" xfId="1" applyNumberFormat="1" applyFont="1" applyFill="1" applyBorder="1" applyAlignment="1" applyProtection="1">
      <alignment horizontal="left" vertical="center" indent="1"/>
      <protection locked="0"/>
    </xf>
    <xf numFmtId="0" fontId="1" fillId="0" borderId="20" xfId="0" applyFont="1" applyFill="1" applyBorder="1" applyProtection="1">
      <protection locked="0"/>
    </xf>
    <xf numFmtId="3" fontId="1" fillId="0" borderId="27" xfId="0" applyNumberFormat="1" applyFont="1" applyFill="1" applyBorder="1" applyProtection="1">
      <protection locked="0" hidden="1"/>
    </xf>
    <xf numFmtId="3" fontId="1" fillId="0" borderId="28" xfId="1" applyNumberFormat="1" applyFont="1" applyFill="1" applyBorder="1" applyAlignment="1" applyProtection="1">
      <alignment horizontal="left" vertical="center" indent="1"/>
      <protection locked="0"/>
    </xf>
    <xf numFmtId="0" fontId="1" fillId="0" borderId="29" xfId="0" applyFont="1" applyFill="1" applyBorder="1" applyProtection="1">
      <protection locked="0"/>
    </xf>
    <xf numFmtId="3" fontId="1" fillId="0" borderId="30" xfId="0" applyNumberFormat="1" applyFont="1" applyFill="1" applyBorder="1" applyProtection="1">
      <protection locked="0" hidden="1"/>
    </xf>
    <xf numFmtId="3" fontId="1" fillId="0" borderId="138" xfId="0" applyNumberFormat="1" applyFont="1" applyFill="1" applyBorder="1" applyProtection="1">
      <protection locked="0" hidden="1"/>
    </xf>
    <xf numFmtId="3" fontId="19" fillId="0" borderId="23" xfId="1" applyNumberFormat="1" applyFont="1" applyFill="1" applyBorder="1" applyAlignment="1" applyProtection="1">
      <alignment horizontal="left" vertical="center" indent="1"/>
      <protection locked="0"/>
    </xf>
    <xf numFmtId="0" fontId="1" fillId="0" borderId="24" xfId="0" applyFont="1" applyFill="1" applyBorder="1" applyProtection="1">
      <protection locked="0"/>
    </xf>
    <xf numFmtId="3" fontId="1" fillId="0" borderId="31" xfId="0" applyNumberFormat="1" applyFont="1" applyFill="1" applyBorder="1" applyProtection="1">
      <protection locked="0" hidden="1"/>
    </xf>
    <xf numFmtId="3" fontId="1" fillId="0" borderId="0" xfId="0" applyNumberFormat="1" applyFont="1" applyFill="1" applyBorder="1" applyProtection="1">
      <protection locked="0" hidden="1"/>
    </xf>
    <xf numFmtId="0" fontId="19" fillId="0" borderId="15" xfId="0" applyFont="1" applyFill="1" applyBorder="1" applyAlignment="1" applyProtection="1">
      <alignment horizontal="left" vertical="center" indent="1"/>
      <protection locked="0"/>
    </xf>
    <xf numFmtId="0" fontId="1" fillId="0" borderId="17" xfId="0" applyFont="1" applyFill="1" applyBorder="1" applyProtection="1">
      <protection locked="0"/>
    </xf>
    <xf numFmtId="3" fontId="1" fillId="0" borderId="22" xfId="0" applyNumberFormat="1" applyFont="1" applyFill="1" applyBorder="1" applyProtection="1">
      <protection hidden="1"/>
    </xf>
    <xf numFmtId="0" fontId="1" fillId="0" borderId="50" xfId="0" applyFont="1" applyFill="1" applyBorder="1" applyProtection="1"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3" fontId="1" fillId="0" borderId="0" xfId="1" applyNumberFormat="1" applyFont="1" applyFill="1" applyBorder="1" applyAlignment="1" applyProtection="1">
      <alignment horizontal="left" vertical="center" inden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1" fillId="0" borderId="0" xfId="0" applyFont="1" applyFill="1" applyBorder="1"/>
    <xf numFmtId="3" fontId="21" fillId="0" borderId="0" xfId="0" applyNumberFormat="1" applyFont="1" applyFill="1" applyBorder="1" applyProtection="1"/>
    <xf numFmtId="3" fontId="1" fillId="0" borderId="19" xfId="1" applyNumberFormat="1" applyFont="1" applyFill="1" applyBorder="1" applyAlignment="1" applyProtection="1">
      <alignment horizontal="left" vertical="center" indent="1"/>
      <protection locked="0"/>
    </xf>
    <xf numFmtId="3" fontId="1" fillId="0" borderId="29" xfId="1" applyNumberFormat="1" applyFont="1" applyFill="1" applyBorder="1" applyAlignment="1" applyProtection="1">
      <alignment horizontal="left" vertical="center" indent="1"/>
      <protection locked="0"/>
    </xf>
    <xf numFmtId="3" fontId="1" fillId="0" borderId="53" xfId="1" applyNumberFormat="1" applyFont="1" applyFill="1" applyBorder="1" applyAlignment="1" applyProtection="1">
      <alignment vertical="center"/>
      <protection locked="0" hidden="1"/>
    </xf>
    <xf numFmtId="3" fontId="19" fillId="0" borderId="22" xfId="1" applyNumberFormat="1" applyFont="1" applyFill="1" applyBorder="1" applyAlignment="1" applyProtection="1">
      <alignment vertical="center"/>
      <protection hidden="1"/>
    </xf>
    <xf numFmtId="3" fontId="1" fillId="0" borderId="49" xfId="1" applyNumberFormat="1" applyFont="1" applyFill="1" applyBorder="1" applyAlignment="1" applyProtection="1">
      <alignment vertical="center"/>
      <protection locked="0" hidden="1"/>
    </xf>
    <xf numFmtId="3" fontId="21" fillId="0" borderId="0" xfId="0" applyNumberFormat="1" applyFont="1" applyFill="1" applyBorder="1" applyProtection="1">
      <protection locked="0"/>
    </xf>
    <xf numFmtId="3" fontId="21" fillId="0" borderId="0" xfId="0" applyNumberFormat="1" applyFont="1" applyFill="1" applyBorder="1"/>
    <xf numFmtId="3" fontId="1" fillId="0" borderId="20" xfId="1" applyNumberFormat="1" applyFont="1" applyFill="1" applyBorder="1" applyAlignment="1" applyProtection="1">
      <alignment horizontal="left" vertical="center" indent="1"/>
      <protection locked="0"/>
    </xf>
    <xf numFmtId="3" fontId="1" fillId="0" borderId="54" xfId="1" applyNumberFormat="1" applyFont="1" applyFill="1" applyBorder="1" applyAlignment="1" applyProtection="1">
      <alignment vertical="center"/>
      <protection locked="0" hidden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20" fillId="0" borderId="0" xfId="0" applyFont="1" applyFill="1"/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</xf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hidden="1"/>
    </xf>
    <xf numFmtId="3" fontId="1" fillId="0" borderId="0" xfId="0" applyNumberFormat="1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Alignment="1" applyProtection="1">
      <alignment vertical="center"/>
      <protection hidden="1"/>
    </xf>
    <xf numFmtId="3" fontId="3" fillId="0" borderId="0" xfId="0" applyNumberFormat="1" applyFont="1" applyFill="1" applyAlignment="1" applyProtection="1">
      <alignment horizontal="left" vertical="center"/>
      <protection hidden="1"/>
    </xf>
    <xf numFmtId="164" fontId="3" fillId="0" borderId="0" xfId="0" applyNumberFormat="1" applyFont="1" applyFill="1" applyAlignment="1" applyProtection="1">
      <alignment horizontal="left" vertical="center"/>
      <protection hidden="1"/>
    </xf>
    <xf numFmtId="10" fontId="1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1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3" fontId="1" fillId="0" borderId="3" xfId="0" applyNumberFormat="1" applyFont="1" applyFill="1" applyBorder="1" applyAlignment="1" applyProtection="1">
      <alignment vertical="center"/>
      <protection hidden="1"/>
    </xf>
    <xf numFmtId="164" fontId="3" fillId="0" borderId="4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horizontal="left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0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4" xfId="0" applyNumberFormat="1" applyFont="1" applyFill="1" applyBorder="1" applyAlignment="1" applyProtection="1">
      <alignment horizontal="left" vertical="center"/>
      <protection hidden="1"/>
    </xf>
    <xf numFmtId="17" fontId="1" fillId="0" borderId="5" xfId="0" applyNumberFormat="1" applyFont="1" applyFill="1" applyBorder="1" applyAlignment="1" applyProtection="1">
      <alignment horizontal="righ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164" fontId="10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0" xfId="0" applyFont="1" applyFill="1" applyBorder="1" applyAlignment="1" applyProtection="1">
      <alignment horizontal="left" vertical="center"/>
      <protection hidden="1"/>
    </xf>
    <xf numFmtId="14" fontId="4" fillId="0" borderId="0" xfId="0" applyNumberFormat="1" applyFont="1" applyFill="1" applyBorder="1" applyAlignment="1" applyProtection="1">
      <alignment horizontal="left" vertical="center"/>
      <protection hidden="1"/>
    </xf>
    <xf numFmtId="14" fontId="1" fillId="0" borderId="0" xfId="0" applyNumberFormat="1" applyFont="1" applyFill="1" applyBorder="1" applyAlignment="1" applyProtection="1">
      <alignment horizontal="left" vertical="center"/>
      <protection hidden="1"/>
    </xf>
    <xf numFmtId="14" fontId="1" fillId="0" borderId="9" xfId="0" applyNumberFormat="1" applyFont="1" applyFill="1" applyBorder="1" applyAlignment="1" applyProtection="1">
      <alignment horizontal="right" vertical="center"/>
      <protection hidden="1"/>
    </xf>
    <xf numFmtId="3" fontId="10" fillId="0" borderId="0" xfId="0" applyNumberFormat="1" applyFont="1" applyFill="1" applyBorder="1" applyAlignment="1" applyProtection="1">
      <alignment horizontal="left" vertical="center"/>
      <protection hidden="1"/>
    </xf>
    <xf numFmtId="0" fontId="1" fillId="0" borderId="10" xfId="0" applyFont="1" applyFill="1" applyBorder="1" applyAlignment="1" applyProtection="1">
      <alignment vertical="center"/>
      <protection hidden="1"/>
    </xf>
    <xf numFmtId="0" fontId="1" fillId="0" borderId="11" xfId="0" applyFont="1" applyFill="1" applyBorder="1" applyAlignment="1" applyProtection="1">
      <alignment vertical="center"/>
      <protection hidden="1"/>
    </xf>
    <xf numFmtId="164" fontId="10" fillId="0" borderId="11" xfId="0" applyNumberFormat="1" applyFont="1" applyFill="1" applyBorder="1" applyAlignment="1" applyProtection="1">
      <alignment horizontal="left" vertical="center"/>
      <protection hidden="1"/>
    </xf>
    <xf numFmtId="3" fontId="10" fillId="0" borderId="11" xfId="0" applyNumberFormat="1" applyFont="1" applyFill="1" applyBorder="1" applyAlignment="1" applyProtection="1">
      <alignment horizontal="left" vertical="center"/>
      <protection hidden="1"/>
    </xf>
    <xf numFmtId="3" fontId="1" fillId="0" borderId="14" xfId="0" applyNumberFormat="1" applyFont="1" applyFill="1" applyBorder="1" applyAlignment="1" applyProtection="1">
      <alignment horizontal="right" vertical="center"/>
      <protection hidden="1"/>
    </xf>
    <xf numFmtId="0" fontId="1" fillId="0" borderId="0" xfId="1" applyFont="1" applyFill="1" applyBorder="1" applyAlignment="1" applyProtection="1">
      <alignment vertical="center"/>
      <protection hidden="1"/>
    </xf>
    <xf numFmtId="3" fontId="1" fillId="0" borderId="0" xfId="1" applyNumberFormat="1" applyFont="1" applyFill="1" applyBorder="1" applyAlignment="1" applyProtection="1">
      <alignment vertical="center"/>
      <protection hidden="1"/>
    </xf>
    <xf numFmtId="164" fontId="3" fillId="0" borderId="0" xfId="1" applyNumberFormat="1" applyFont="1" applyFill="1" applyBorder="1" applyAlignment="1" applyProtection="1">
      <alignment vertical="center"/>
      <protection hidden="1"/>
    </xf>
    <xf numFmtId="0" fontId="3" fillId="0" borderId="0" xfId="1" applyFont="1" applyFill="1" applyBorder="1" applyAlignment="1" applyProtection="1">
      <alignment horizontal="left" vertical="center"/>
      <protection hidden="1"/>
    </xf>
    <xf numFmtId="164" fontId="3" fillId="0" borderId="0" xfId="1" applyNumberFormat="1" applyFont="1" applyFill="1" applyBorder="1" applyAlignment="1" applyProtection="1">
      <alignment horizontal="left" vertical="center"/>
      <protection hidden="1"/>
    </xf>
    <xf numFmtId="0" fontId="1" fillId="0" borderId="0" xfId="1" applyFont="1" applyFill="1" applyBorder="1" applyAlignment="1" applyProtection="1">
      <alignment horizontal="center" vertical="center"/>
      <protection hidden="1"/>
    </xf>
    <xf numFmtId="10" fontId="1" fillId="0" borderId="0" xfId="1" applyNumberFormat="1" applyFont="1" applyFill="1" applyBorder="1" applyAlignment="1" applyProtection="1">
      <alignment vertical="center"/>
      <protection hidden="1"/>
    </xf>
    <xf numFmtId="0" fontId="13" fillId="0" borderId="0" xfId="1" applyFont="1" applyFill="1" applyBorder="1" applyAlignment="1" applyProtection="1">
      <alignment vertical="center"/>
      <protection hidden="1"/>
    </xf>
    <xf numFmtId="0" fontId="24" fillId="0" borderId="0" xfId="1" applyFont="1" applyFill="1" applyBorder="1" applyAlignment="1" applyProtection="1">
      <alignment horizontal="center" vertical="center"/>
      <protection hidden="1"/>
    </xf>
    <xf numFmtId="0" fontId="25" fillId="0" borderId="0" xfId="1" applyFont="1" applyFill="1" applyBorder="1" applyAlignment="1" applyProtection="1">
      <alignment horizontal="center" vertical="center"/>
      <protection hidden="1"/>
    </xf>
    <xf numFmtId="0" fontId="26" fillId="0" borderId="55" xfId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vertical="center"/>
      <protection hidden="1"/>
    </xf>
    <xf numFmtId="3" fontId="24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3" fontId="15" fillId="0" borderId="22" xfId="0" applyNumberFormat="1" applyFont="1" applyFill="1" applyBorder="1" applyAlignment="1" applyProtection="1">
      <alignment vertical="center"/>
      <protection hidden="1"/>
    </xf>
    <xf numFmtId="3" fontId="15" fillId="0" borderId="22" xfId="1" applyNumberFormat="1" applyFont="1" applyFill="1" applyBorder="1" applyAlignment="1" applyProtection="1">
      <alignment vertical="center"/>
      <protection hidden="1"/>
    </xf>
    <xf numFmtId="3" fontId="15" fillId="0" borderId="0" xfId="1" applyNumberFormat="1" applyFont="1" applyFill="1" applyBorder="1" applyAlignment="1" applyProtection="1">
      <alignment vertical="center"/>
      <protection hidden="1"/>
    </xf>
    <xf numFmtId="3" fontId="27" fillId="0" borderId="22" xfId="1" applyNumberFormat="1" applyFont="1" applyFill="1" applyBorder="1" applyAlignment="1" applyProtection="1">
      <alignment vertical="center"/>
      <protection hidden="1"/>
    </xf>
    <xf numFmtId="10" fontId="27" fillId="0" borderId="17" xfId="1" applyNumberFormat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left" vertical="center" indent="1"/>
      <protection hidden="1"/>
    </xf>
    <xf numFmtId="10" fontId="27" fillId="0" borderId="0" xfId="1" applyNumberFormat="1" applyFont="1" applyFill="1" applyBorder="1" applyAlignment="1" applyProtection="1">
      <alignment horizontal="center" vertical="center"/>
      <protection hidden="1"/>
    </xf>
    <xf numFmtId="0" fontId="27" fillId="0" borderId="0" xfId="0" applyFont="1" applyFill="1" applyBorder="1" applyAlignment="1" applyProtection="1">
      <alignment horizontal="center" vertical="center"/>
      <protection hidden="1"/>
    </xf>
    <xf numFmtId="10" fontId="27" fillId="0" borderId="0" xfId="0" applyNumberFormat="1" applyFont="1" applyFill="1" applyBorder="1" applyAlignment="1" applyProtection="1">
      <alignment vertical="center"/>
      <protection hidden="1"/>
    </xf>
    <xf numFmtId="3" fontId="15" fillId="0" borderId="15" xfId="1" applyNumberFormat="1" applyFont="1" applyFill="1" applyBorder="1" applyAlignment="1" applyProtection="1">
      <alignment vertical="center"/>
      <protection hidden="1"/>
    </xf>
    <xf numFmtId="10" fontId="27" fillId="0" borderId="17" xfId="1" applyNumberFormat="1" applyFont="1" applyFill="1" applyBorder="1" applyAlignment="1" applyProtection="1">
      <alignment vertical="center"/>
      <protection hidden="1"/>
    </xf>
    <xf numFmtId="3" fontId="15" fillId="0" borderId="56" xfId="0" applyNumberFormat="1" applyFont="1" applyFill="1" applyBorder="1" applyAlignment="1" applyProtection="1">
      <alignment vertical="center"/>
      <protection hidden="1"/>
    </xf>
    <xf numFmtId="3" fontId="15" fillId="0" borderId="15" xfId="0" applyNumberFormat="1" applyFont="1" applyFill="1" applyBorder="1" applyAlignment="1" applyProtection="1">
      <alignment vertical="center"/>
      <protection hidden="1"/>
    </xf>
    <xf numFmtId="3" fontId="15" fillId="0" borderId="0" xfId="0" applyNumberFormat="1" applyFont="1" applyFill="1" applyBorder="1" applyAlignment="1" applyProtection="1">
      <alignment vertical="center"/>
      <protection hidden="1"/>
    </xf>
    <xf numFmtId="0" fontId="15" fillId="0" borderId="286" xfId="0" applyFont="1" applyFill="1" applyBorder="1" applyAlignment="1" applyProtection="1">
      <alignment horizontal="left" vertical="center"/>
      <protection hidden="1"/>
    </xf>
    <xf numFmtId="0" fontId="15" fillId="0" borderId="128" xfId="0" applyFont="1" applyFill="1" applyBorder="1" applyAlignment="1" applyProtection="1">
      <alignment horizontal="left" vertical="center"/>
      <protection hidden="1"/>
    </xf>
    <xf numFmtId="0" fontId="28" fillId="0" borderId="0" xfId="0" applyFont="1" applyFill="1" applyBorder="1" applyAlignment="1" applyProtection="1">
      <alignment horizontal="right" vertical="center"/>
      <protection hidden="1"/>
    </xf>
    <xf numFmtId="0" fontId="15" fillId="0" borderId="0" xfId="0" applyFont="1" applyFill="1" applyBorder="1" applyAlignment="1" applyProtection="1">
      <alignment horizontal="left" vertical="center" indent="1"/>
      <protection hidden="1"/>
    </xf>
    <xf numFmtId="3" fontId="15" fillId="0" borderId="56" xfId="1" applyNumberFormat="1" applyFont="1" applyFill="1" applyBorder="1" applyAlignment="1" applyProtection="1">
      <alignment vertical="center"/>
      <protection hidden="1"/>
    </xf>
    <xf numFmtId="3" fontId="15" fillId="0" borderId="17" xfId="1" applyNumberFormat="1" applyFont="1" applyFill="1" applyBorder="1" applyAlignment="1" applyProtection="1">
      <alignment vertical="center"/>
      <protection hidden="1"/>
    </xf>
    <xf numFmtId="0" fontId="27" fillId="0" borderId="0" xfId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31" fillId="0" borderId="0" xfId="0" applyFont="1" applyFill="1" applyAlignment="1" applyProtection="1">
      <alignment vertical="center"/>
    </xf>
    <xf numFmtId="0" fontId="31" fillId="0" borderId="0" xfId="1" applyFont="1" applyFill="1" applyBorder="1" applyAlignment="1" applyProtection="1">
      <alignment vertical="center"/>
    </xf>
    <xf numFmtId="0" fontId="8" fillId="0" borderId="0" xfId="1" applyFont="1" applyFill="1" applyAlignment="1" applyProtection="1">
      <alignment vertical="center"/>
      <protection hidden="1"/>
    </xf>
    <xf numFmtId="10" fontId="8" fillId="0" borderId="0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Fill="1" applyAlignment="1" applyProtection="1">
      <alignment vertical="center"/>
      <protection hidden="1"/>
    </xf>
    <xf numFmtId="0" fontId="10" fillId="0" borderId="0" xfId="1" applyFont="1" applyFill="1" applyBorder="1" applyAlignment="1" applyProtection="1">
      <alignment vertical="center"/>
      <protection hidden="1"/>
    </xf>
    <xf numFmtId="3" fontId="10" fillId="0" borderId="0" xfId="1" applyNumberFormat="1" applyFont="1" applyFill="1" applyBorder="1" applyAlignment="1" applyProtection="1">
      <alignment vertical="center"/>
      <protection hidden="1"/>
    </xf>
    <xf numFmtId="3" fontId="10" fillId="0" borderId="0" xfId="0" applyNumberFormat="1" applyFont="1" applyFill="1" applyAlignment="1" applyProtection="1">
      <alignment vertical="center"/>
      <protection hidden="1"/>
    </xf>
    <xf numFmtId="164" fontId="10" fillId="0" borderId="0" xfId="0" applyNumberFormat="1" applyFont="1" applyFill="1" applyBorder="1" applyAlignment="1" applyProtection="1">
      <alignment vertical="center"/>
      <protection hidden="1"/>
    </xf>
    <xf numFmtId="164" fontId="10" fillId="0" borderId="0" xfId="1" applyNumberFormat="1" applyFont="1" applyFill="1" applyAlignment="1" applyProtection="1">
      <alignment vertical="center"/>
      <protection hidden="1"/>
    </xf>
    <xf numFmtId="10" fontId="11" fillId="0" borderId="0" xfId="1" applyNumberFormat="1" applyFont="1" applyFill="1" applyBorder="1" applyAlignment="1" applyProtection="1">
      <alignment horizontal="center" vertical="center"/>
      <protection hidden="1"/>
    </xf>
    <xf numFmtId="10" fontId="11" fillId="0" borderId="0" xfId="1" applyNumberFormat="1" applyFont="1" applyFill="1" applyBorder="1" applyAlignment="1" applyProtection="1">
      <alignment vertical="center"/>
      <protection hidden="1"/>
    </xf>
    <xf numFmtId="0" fontId="33" fillId="0" borderId="0" xfId="0" applyFont="1" applyFill="1" applyAlignment="1" applyProtection="1">
      <alignment vertical="center"/>
    </xf>
    <xf numFmtId="0" fontId="33" fillId="0" borderId="0" xfId="0" applyFont="1" applyFill="1" applyBorder="1" applyAlignment="1" applyProtection="1">
      <alignment vertical="center"/>
    </xf>
    <xf numFmtId="3" fontId="8" fillId="0" borderId="15" xfId="1" applyNumberFormat="1" applyFont="1" applyFill="1" applyBorder="1" applyAlignment="1" applyProtection="1">
      <alignment vertical="center"/>
      <protection hidden="1"/>
    </xf>
    <xf numFmtId="3" fontId="8" fillId="0" borderId="17" xfId="1" applyNumberFormat="1" applyFont="1" applyFill="1" applyBorder="1" applyAlignment="1" applyProtection="1">
      <alignment vertical="center"/>
      <protection hidden="1"/>
    </xf>
    <xf numFmtId="0" fontId="8" fillId="0" borderId="0" xfId="1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3" fontId="8" fillId="0" borderId="49" xfId="1" applyNumberFormat="1" applyFont="1" applyFill="1" applyBorder="1" applyAlignment="1" applyProtection="1">
      <alignment vertical="center"/>
      <protection hidden="1"/>
    </xf>
    <xf numFmtId="10" fontId="19" fillId="0" borderId="0" xfId="1" applyNumberFormat="1" applyFont="1" applyFill="1" applyBorder="1" applyAlignment="1" applyProtection="1">
      <alignment vertical="center"/>
      <protection hidden="1"/>
    </xf>
    <xf numFmtId="164" fontId="19" fillId="0" borderId="0" xfId="1" applyNumberFormat="1" applyFont="1" applyFill="1" applyBorder="1" applyAlignment="1" applyProtection="1">
      <alignment vertical="center"/>
      <protection hidden="1"/>
    </xf>
    <xf numFmtId="3" fontId="9" fillId="0" borderId="22" xfId="3" applyNumberFormat="1" applyFont="1" applyFill="1" applyBorder="1" applyAlignment="1" applyProtection="1">
      <alignment horizontal="center" vertical="center"/>
      <protection hidden="1"/>
    </xf>
    <xf numFmtId="10" fontId="35" fillId="0" borderId="22" xfId="1" applyNumberFormat="1" applyFont="1" applyFill="1" applyBorder="1" applyAlignment="1" applyProtection="1">
      <alignment vertical="center"/>
      <protection hidden="1"/>
    </xf>
    <xf numFmtId="3" fontId="32" fillId="0" borderId="0" xfId="0" applyNumberFormat="1" applyFont="1" applyFill="1" applyAlignment="1" applyProtection="1">
      <alignment vertical="center"/>
      <protection hidden="1"/>
    </xf>
    <xf numFmtId="3" fontId="10" fillId="0" borderId="0" xfId="0" applyNumberFormat="1" applyFont="1" applyFill="1" applyBorder="1" applyAlignment="1" applyProtection="1">
      <alignment vertical="center"/>
      <protection hidden="1"/>
    </xf>
    <xf numFmtId="3" fontId="10" fillId="0" borderId="0" xfId="3" applyNumberFormat="1" applyFont="1" applyFill="1" applyAlignment="1" applyProtection="1">
      <alignment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167" fontId="8" fillId="0" borderId="0" xfId="1" applyNumberFormat="1" applyFont="1" applyFill="1" applyBorder="1" applyAlignment="1" applyProtection="1">
      <alignment horizontal="center" vertical="center"/>
      <protection hidden="1"/>
    </xf>
    <xf numFmtId="3" fontId="10" fillId="0" borderId="0" xfId="1" applyNumberFormat="1" applyFont="1" applyFill="1" applyAlignment="1" applyProtection="1">
      <alignment vertical="center"/>
      <protection hidden="1"/>
    </xf>
    <xf numFmtId="3" fontId="10" fillId="0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Alignment="1" applyProtection="1">
      <alignment vertical="center"/>
      <protection hidden="1"/>
    </xf>
    <xf numFmtId="3" fontId="10" fillId="0" borderId="0" xfId="0" applyNumberFormat="1" applyFont="1" applyFill="1" applyAlignment="1" applyProtection="1">
      <alignment horizontal="center" vertical="center"/>
      <protection hidden="1"/>
    </xf>
    <xf numFmtId="3" fontId="33" fillId="0" borderId="0" xfId="1" applyNumberFormat="1" applyFont="1" applyFill="1" applyBorder="1" applyAlignment="1" applyProtection="1">
      <alignment vertical="center"/>
    </xf>
    <xf numFmtId="0" fontId="10" fillId="0" borderId="19" xfId="0" applyNumberFormat="1" applyFont="1" applyFill="1" applyBorder="1" applyAlignment="1" applyProtection="1">
      <alignment horizontal="centerContinuous"/>
      <protection hidden="1"/>
    </xf>
    <xf numFmtId="0" fontId="10" fillId="0" borderId="18" xfId="0" applyNumberFormat="1" applyFont="1" applyFill="1" applyBorder="1" applyAlignment="1" applyProtection="1">
      <alignment horizontal="centerContinuous"/>
      <protection hidden="1"/>
    </xf>
    <xf numFmtId="0" fontId="10" fillId="0" borderId="18" xfId="0" quotePrefix="1" applyNumberFormat="1" applyFont="1" applyFill="1" applyBorder="1" applyAlignment="1" applyProtection="1">
      <alignment horizontal="centerContinuous"/>
      <protection hidden="1"/>
    </xf>
    <xf numFmtId="0" fontId="8" fillId="0" borderId="18" xfId="0" applyNumberFormat="1" applyFont="1" applyFill="1" applyBorder="1" applyAlignment="1" applyProtection="1">
      <alignment horizontal="center"/>
      <protection hidden="1"/>
    </xf>
    <xf numFmtId="0" fontId="10" fillId="0" borderId="18" xfId="0" applyFont="1" applyFill="1" applyBorder="1" applyAlignment="1" applyProtection="1">
      <alignment vertical="center"/>
      <protection hidden="1"/>
    </xf>
    <xf numFmtId="3" fontId="10" fillId="0" borderId="18" xfId="0" applyNumberFormat="1" applyFont="1" applyFill="1" applyBorder="1" applyAlignment="1" applyProtection="1">
      <alignment vertical="center"/>
      <protection hidden="1"/>
    </xf>
    <xf numFmtId="10" fontId="10" fillId="0" borderId="18" xfId="0" applyNumberFormat="1" applyFont="1" applyFill="1" applyBorder="1" applyAlignment="1" applyProtection="1">
      <alignment vertical="center"/>
      <protection hidden="1"/>
    </xf>
    <xf numFmtId="0" fontId="10" fillId="0" borderId="20" xfId="0" applyFont="1" applyFill="1" applyBorder="1" applyAlignment="1" applyProtection="1">
      <alignment vertical="center"/>
      <protection hidden="1"/>
    </xf>
    <xf numFmtId="0" fontId="31" fillId="0" borderId="0" xfId="0" applyFont="1" applyFill="1" applyBorder="1" applyAlignment="1" applyProtection="1">
      <alignment vertical="center"/>
    </xf>
    <xf numFmtId="0" fontId="10" fillId="0" borderId="28" xfId="0" applyNumberFormat="1" applyFont="1" applyFill="1" applyBorder="1" applyProtection="1">
      <protection hidden="1"/>
    </xf>
    <xf numFmtId="0" fontId="10" fillId="0" borderId="0" xfId="0" applyNumberFormat="1" applyFont="1" applyFill="1" applyBorder="1" applyProtection="1">
      <protection hidden="1"/>
    </xf>
    <xf numFmtId="0" fontId="10" fillId="0" borderId="0" xfId="0" applyFont="1" applyFill="1" applyBorder="1" applyAlignment="1" applyProtection="1">
      <alignment vertical="center"/>
      <protection hidden="1"/>
    </xf>
    <xf numFmtId="10" fontId="10" fillId="0" borderId="0" xfId="0" applyNumberFormat="1" applyFont="1" applyFill="1" applyBorder="1" applyAlignment="1" applyProtection="1">
      <alignment vertical="center"/>
      <protection hidden="1"/>
    </xf>
    <xf numFmtId="0" fontId="10" fillId="0" borderId="29" xfId="0" applyFont="1" applyFill="1" applyBorder="1" applyAlignment="1" applyProtection="1">
      <alignment vertical="center"/>
      <protection hidden="1"/>
    </xf>
    <xf numFmtId="0" fontId="36" fillId="0" borderId="28" xfId="0" applyNumberFormat="1" applyFont="1" applyFill="1" applyBorder="1" applyAlignment="1" applyProtection="1">
      <alignment horizontal="left" indent="1"/>
      <protection hidden="1"/>
    </xf>
    <xf numFmtId="0" fontId="10" fillId="0" borderId="0" xfId="0" applyNumberFormat="1" applyFont="1" applyFill="1" applyBorder="1" applyAlignment="1" applyProtection="1">
      <alignment horizontal="right"/>
      <protection locked="0" hidden="1"/>
    </xf>
    <xf numFmtId="168" fontId="10" fillId="0" borderId="0" xfId="4" quotePrefix="1" applyNumberFormat="1" applyFont="1" applyFill="1" applyBorder="1" applyAlignment="1" applyProtection="1">
      <protection locked="0" hidden="1"/>
    </xf>
    <xf numFmtId="0" fontId="10" fillId="0" borderId="0" xfId="0" applyFont="1" applyFill="1" applyBorder="1" applyAlignment="1" applyProtection="1">
      <alignment vertical="center"/>
      <protection locked="0" hidden="1"/>
    </xf>
    <xf numFmtId="0" fontId="10" fillId="0" borderId="0" xfId="0" applyNumberFormat="1" applyFont="1" applyFill="1" applyBorder="1" applyAlignment="1" applyProtection="1">
      <alignment horizontal="left"/>
      <protection locked="0" hidden="1"/>
    </xf>
    <xf numFmtId="2" fontId="10" fillId="0" borderId="0" xfId="4" quotePrefix="1" applyNumberFormat="1" applyFont="1" applyFill="1" applyBorder="1" applyAlignment="1" applyProtection="1">
      <protection locked="0" hidden="1"/>
    </xf>
    <xf numFmtId="2" fontId="10" fillId="0" borderId="0" xfId="4" applyNumberFormat="1" applyFont="1" applyFill="1" applyBorder="1" applyAlignment="1" applyProtection="1">
      <protection locked="0" hidden="1"/>
    </xf>
    <xf numFmtId="0" fontId="10" fillId="0" borderId="0" xfId="0" quotePrefix="1" applyNumberFormat="1" applyFont="1" applyFill="1" applyBorder="1" applyAlignment="1" applyProtection="1">
      <protection locked="0" hidden="1"/>
    </xf>
    <xf numFmtId="10" fontId="10" fillId="0" borderId="0" xfId="0" applyNumberFormat="1" applyFont="1" applyFill="1" applyBorder="1" applyAlignment="1" applyProtection="1">
      <alignment horizontal="right"/>
      <protection locked="0" hidden="1"/>
    </xf>
    <xf numFmtId="0" fontId="10" fillId="0" borderId="0" xfId="0" applyFont="1" applyFill="1" applyBorder="1" applyAlignment="1" applyProtection="1">
      <alignment horizontal="center" vertical="center"/>
      <protection locked="0" hidden="1"/>
    </xf>
    <xf numFmtId="0" fontId="10" fillId="0" borderId="28" xfId="0" applyNumberFormat="1" applyFont="1" applyFill="1" applyBorder="1" applyAlignment="1" applyProtection="1">
      <alignment horizontal="left" indent="1"/>
      <protection hidden="1"/>
    </xf>
    <xf numFmtId="0" fontId="10" fillId="0" borderId="0" xfId="0" quotePrefix="1" applyNumberFormat="1" applyFont="1" applyFill="1" applyBorder="1" applyAlignment="1" applyProtection="1">
      <alignment horizontal="right"/>
      <protection locked="0" hidden="1"/>
    </xf>
    <xf numFmtId="4" fontId="10" fillId="0" borderId="0" xfId="0" applyNumberFormat="1" applyFont="1" applyFill="1" applyBorder="1" applyAlignment="1" applyProtection="1">
      <alignment vertical="center"/>
      <protection locked="0" hidden="1"/>
    </xf>
    <xf numFmtId="17" fontId="10" fillId="0" borderId="0" xfId="0" applyNumberFormat="1" applyFont="1" applyFill="1" applyBorder="1" applyAlignment="1" applyProtection="1">
      <alignment horizontal="left"/>
      <protection locked="0" hidden="1"/>
    </xf>
    <xf numFmtId="17" fontId="10" fillId="0" borderId="0" xfId="0" applyNumberFormat="1" applyFont="1" applyFill="1" applyBorder="1" applyAlignment="1" applyProtection="1">
      <alignment horizontal="right"/>
      <protection locked="0" hidden="1"/>
    </xf>
    <xf numFmtId="3" fontId="10" fillId="0" borderId="0" xfId="0" applyNumberFormat="1" applyFont="1" applyFill="1" applyBorder="1" applyAlignment="1" applyProtection="1">
      <alignment vertical="center"/>
      <protection locked="0" hidden="1"/>
    </xf>
    <xf numFmtId="15" fontId="10" fillId="0" borderId="0" xfId="0" applyNumberFormat="1" applyFont="1" applyFill="1" applyBorder="1" applyAlignment="1" applyProtection="1">
      <alignment horizontal="left"/>
      <protection locked="0" hidden="1"/>
    </xf>
    <xf numFmtId="0" fontId="10" fillId="0" borderId="0" xfId="0" applyNumberFormat="1" applyFont="1" applyFill="1" applyBorder="1" applyAlignment="1" applyProtection="1">
      <alignment horizontal="left"/>
      <protection hidden="1"/>
    </xf>
    <xf numFmtId="0" fontId="10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Protection="1">
      <protection locked="0" hidden="1"/>
    </xf>
    <xf numFmtId="0" fontId="10" fillId="0" borderId="0" xfId="0" applyNumberFormat="1" applyFont="1" applyFill="1" applyBorder="1" applyAlignment="1" applyProtection="1">
      <alignment horizontal="center"/>
      <protection locked="0" hidden="1"/>
    </xf>
    <xf numFmtId="10" fontId="10" fillId="0" borderId="0" xfId="0" applyNumberFormat="1" applyFont="1" applyFill="1" applyBorder="1" applyAlignment="1" applyProtection="1">
      <alignment vertical="center"/>
      <protection locked="0" hidden="1"/>
    </xf>
    <xf numFmtId="169" fontId="10" fillId="0" borderId="0" xfId="4" applyNumberFormat="1" applyFont="1" applyFill="1" applyBorder="1" applyAlignment="1" applyProtection="1">
      <alignment horizontal="right"/>
      <protection hidden="1"/>
    </xf>
    <xf numFmtId="9" fontId="10" fillId="0" borderId="0" xfId="0" applyNumberFormat="1" applyFont="1" applyFill="1" applyBorder="1" applyAlignment="1" applyProtection="1">
      <alignment horizontal="right" vertical="center"/>
      <protection locked="0" hidden="1"/>
    </xf>
    <xf numFmtId="10" fontId="10" fillId="0" borderId="0" xfId="2" applyNumberFormat="1" applyFont="1" applyFill="1" applyBorder="1" applyAlignment="1" applyProtection="1">
      <alignment horizontal="left"/>
      <protection locked="0" hidden="1"/>
    </xf>
    <xf numFmtId="0" fontId="10" fillId="0" borderId="0" xfId="0" applyNumberFormat="1" applyFont="1" applyFill="1" applyBorder="1" applyAlignment="1" applyProtection="1">
      <alignment horizontal="right"/>
      <protection hidden="1"/>
    </xf>
    <xf numFmtId="169" fontId="10" fillId="0" borderId="0" xfId="4" applyNumberFormat="1" applyFont="1" applyFill="1" applyBorder="1" applyAlignment="1" applyProtection="1">
      <alignment horizontal="left"/>
      <protection locked="0" hidden="1"/>
    </xf>
    <xf numFmtId="168" fontId="10" fillId="0" borderId="0" xfId="4" applyNumberFormat="1" applyFont="1" applyFill="1" applyBorder="1" applyAlignment="1" applyProtection="1">
      <protection hidden="1"/>
    </xf>
    <xf numFmtId="0" fontId="10" fillId="0" borderId="0" xfId="0" quotePrefix="1" applyFont="1" applyFill="1" applyBorder="1" applyAlignment="1" applyProtection="1">
      <alignment horizontal="right" vertical="center"/>
      <protection locked="0" hidden="1"/>
    </xf>
    <xf numFmtId="0" fontId="10" fillId="0" borderId="0" xfId="4" applyNumberFormat="1" applyFont="1" applyFill="1" applyBorder="1" applyAlignment="1" applyProtection="1">
      <alignment horizontal="left"/>
      <protection locked="0" hidden="1"/>
    </xf>
    <xf numFmtId="0" fontId="10" fillId="0" borderId="0" xfId="4" applyNumberFormat="1" applyFont="1" applyFill="1" applyBorder="1" applyAlignment="1" applyProtection="1">
      <alignment horizontal="left"/>
      <protection hidden="1"/>
    </xf>
    <xf numFmtId="0" fontId="10" fillId="0" borderId="0" xfId="0" applyFont="1" applyFill="1" applyBorder="1" applyAlignment="1" applyProtection="1">
      <alignment horizontal="right"/>
      <protection locked="0" hidden="1"/>
    </xf>
    <xf numFmtId="15" fontId="10" fillId="0" borderId="0" xfId="5" applyNumberFormat="1" applyFont="1" applyFill="1" applyBorder="1" applyAlignment="1" applyProtection="1">
      <alignment horizontal="left"/>
      <protection locked="0" hidden="1"/>
    </xf>
    <xf numFmtId="0" fontId="36" fillId="0" borderId="28" xfId="0" applyNumberFormat="1" applyFont="1" applyFill="1" applyBorder="1" applyAlignment="1" applyProtection="1">
      <alignment horizontal="left" vertical="center" indent="1"/>
      <protection hidden="1"/>
    </xf>
    <xf numFmtId="0" fontId="10" fillId="0" borderId="0" xfId="4" applyNumberFormat="1" applyFont="1" applyFill="1" applyBorder="1" applyAlignment="1" applyProtection="1">
      <alignment horizontal="right"/>
      <protection hidden="1"/>
    </xf>
    <xf numFmtId="169" fontId="10" fillId="0" borderId="0" xfId="4" quotePrefix="1" applyNumberFormat="1" applyFont="1" applyFill="1" applyBorder="1" applyAlignment="1" applyProtection="1">
      <protection locked="0" hidden="1"/>
    </xf>
    <xf numFmtId="0" fontId="10" fillId="0" borderId="0" xfId="0" applyNumberFormat="1" applyFont="1" applyFill="1" applyBorder="1" applyAlignment="1" applyProtection="1">
      <protection locked="0" hidden="1"/>
    </xf>
    <xf numFmtId="168" fontId="10" fillId="0" borderId="0" xfId="0" applyNumberFormat="1" applyFont="1" applyFill="1" applyBorder="1" applyAlignment="1" applyProtection="1">
      <protection locked="0" hidden="1"/>
    </xf>
    <xf numFmtId="3" fontId="10" fillId="0" borderId="0" xfId="0" applyNumberFormat="1" applyFont="1" applyFill="1" applyBorder="1" applyAlignment="1" applyProtection="1">
      <alignment horizontal="right" vertical="center"/>
      <protection locked="0" hidden="1"/>
    </xf>
    <xf numFmtId="0" fontId="10" fillId="0" borderId="23" xfId="0" applyNumberFormat="1" applyFont="1" applyFill="1" applyBorder="1" applyAlignment="1" applyProtection="1">
      <alignment horizontal="left" indent="1"/>
      <protection hidden="1"/>
    </xf>
    <xf numFmtId="0" fontId="10" fillId="0" borderId="55" xfId="0" applyNumberFormat="1" applyFont="1" applyFill="1" applyBorder="1" applyAlignment="1" applyProtection="1">
      <alignment horizontal="center"/>
      <protection hidden="1"/>
    </xf>
    <xf numFmtId="0" fontId="10" fillId="0" borderId="55" xfId="0" applyNumberFormat="1" applyFont="1" applyFill="1" applyBorder="1" applyProtection="1">
      <protection hidden="1"/>
    </xf>
    <xf numFmtId="0" fontId="10" fillId="0" borderId="55" xfId="0" applyNumberFormat="1" applyFont="1" applyFill="1" applyBorder="1" applyProtection="1">
      <protection locked="0" hidden="1"/>
    </xf>
    <xf numFmtId="0" fontId="10" fillId="0" borderId="55" xfId="0" applyFont="1" applyFill="1" applyBorder="1" applyAlignment="1" applyProtection="1">
      <alignment vertical="center"/>
      <protection locked="0" hidden="1"/>
    </xf>
    <xf numFmtId="3" fontId="10" fillId="0" borderId="55" xfId="0" applyNumberFormat="1" applyFont="1" applyFill="1" applyBorder="1" applyAlignment="1" applyProtection="1">
      <alignment vertical="center"/>
      <protection locked="0" hidden="1"/>
    </xf>
    <xf numFmtId="10" fontId="10" fillId="0" borderId="55" xfId="0" applyNumberFormat="1" applyFont="1" applyFill="1" applyBorder="1" applyAlignment="1" applyProtection="1">
      <alignment vertical="center"/>
      <protection locked="0" hidden="1"/>
    </xf>
    <xf numFmtId="0" fontId="10" fillId="0" borderId="55" xfId="0" applyFont="1" applyFill="1" applyBorder="1" applyAlignment="1" applyProtection="1">
      <alignment horizontal="center" vertical="center"/>
      <protection locked="0" hidden="1"/>
    </xf>
    <xf numFmtId="0" fontId="10" fillId="0" borderId="24" xfId="0" applyFont="1" applyFill="1" applyBorder="1" applyAlignment="1" applyProtection="1">
      <alignment vertical="center"/>
      <protection hidden="1"/>
    </xf>
    <xf numFmtId="0" fontId="0" fillId="0" borderId="1" xfId="0" applyFill="1" applyBorder="1" applyProtection="1">
      <protection hidden="1"/>
    </xf>
    <xf numFmtId="0" fontId="0" fillId="0" borderId="5" xfId="0" applyFill="1" applyBorder="1" applyProtection="1">
      <protection hidden="1"/>
    </xf>
    <xf numFmtId="0" fontId="0" fillId="0" borderId="4" xfId="0" applyFill="1" applyBorder="1" applyProtection="1">
      <protection hidden="1"/>
    </xf>
    <xf numFmtId="164" fontId="1" fillId="0" borderId="3" xfId="0" applyNumberFormat="1" applyFont="1" applyFill="1" applyBorder="1" applyAlignment="1" applyProtection="1">
      <alignment horizontal="left" vertical="center"/>
      <protection hidden="1"/>
    </xf>
    <xf numFmtId="0" fontId="0" fillId="0" borderId="6" xfId="0" applyFill="1" applyBorder="1" applyProtection="1">
      <protection hidden="1"/>
    </xf>
    <xf numFmtId="0" fontId="0" fillId="0" borderId="9" xfId="0" applyFill="1" applyBorder="1" applyProtection="1">
      <protection hidden="1"/>
    </xf>
    <xf numFmtId="164" fontId="1" fillId="0" borderId="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Protection="1">
      <protection hidden="1"/>
    </xf>
    <xf numFmtId="0" fontId="18" fillId="0" borderId="9" xfId="0" applyFont="1" applyFill="1" applyBorder="1" applyAlignment="1" applyProtection="1">
      <alignment horizontal="right" vertical="center"/>
      <protection hidden="1"/>
    </xf>
    <xf numFmtId="14" fontId="17" fillId="0" borderId="9" xfId="0" applyNumberFormat="1" applyFont="1" applyFill="1" applyBorder="1" applyAlignment="1" applyProtection="1">
      <alignment horizontal="right" vertical="center"/>
      <protection hidden="1"/>
    </xf>
    <xf numFmtId="14" fontId="18" fillId="0" borderId="9" xfId="0" applyNumberFormat="1" applyFont="1" applyFill="1" applyBorder="1" applyAlignment="1" applyProtection="1">
      <alignment horizontal="right" vertical="center"/>
      <protection hidden="1"/>
    </xf>
    <xf numFmtId="14" fontId="5" fillId="0" borderId="9" xfId="0" applyNumberFormat="1" applyFont="1" applyFill="1" applyBorder="1" applyAlignment="1" applyProtection="1">
      <alignment horizontal="right" vertical="center"/>
      <protection hidden="1"/>
    </xf>
    <xf numFmtId="0" fontId="0" fillId="0" borderId="1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1" xfId="0" applyFill="1" applyBorder="1" applyProtection="1">
      <protection hidden="1"/>
    </xf>
    <xf numFmtId="164" fontId="1" fillId="0" borderId="12" xfId="0" applyNumberFormat="1" applyFont="1" applyFill="1" applyBorder="1" applyAlignment="1" applyProtection="1">
      <alignment horizontal="left" vertical="center"/>
      <protection hidden="1"/>
    </xf>
    <xf numFmtId="0" fontId="18" fillId="0" borderId="14" xfId="0" applyFont="1" applyFill="1" applyBorder="1" applyAlignment="1" applyProtection="1">
      <alignment horizontal="right" vertical="center"/>
      <protection hidden="1"/>
    </xf>
    <xf numFmtId="0" fontId="40" fillId="0" borderId="0" xfId="0" applyFont="1" applyFill="1" applyAlignment="1" applyProtection="1">
      <alignment vertical="center"/>
      <protection locked="0"/>
    </xf>
    <xf numFmtId="0" fontId="1" fillId="0" borderId="0" xfId="0" applyFont="1" applyFill="1"/>
    <xf numFmtId="0" fontId="40" fillId="0" borderId="0" xfId="0" applyFont="1" applyFill="1"/>
    <xf numFmtId="0" fontId="1" fillId="0" borderId="0" xfId="0" applyFont="1" applyFill="1" applyAlignment="1"/>
    <xf numFmtId="0" fontId="40" fillId="0" borderId="0" xfId="0" applyFont="1" applyFill="1" applyAlignment="1"/>
    <xf numFmtId="0" fontId="1" fillId="0" borderId="0" xfId="0" applyFont="1" applyFill="1" applyAlignment="1">
      <alignment wrapText="1"/>
    </xf>
    <xf numFmtId="0" fontId="40" fillId="0" borderId="0" xfId="0" applyFont="1" applyFill="1" applyAlignment="1">
      <alignment wrapText="1"/>
    </xf>
    <xf numFmtId="0" fontId="1" fillId="0" borderId="0" xfId="0" applyFont="1" applyFill="1" applyBorder="1"/>
    <xf numFmtId="0" fontId="40" fillId="0" borderId="0" xfId="0" applyFont="1" applyFill="1" applyBorder="1"/>
    <xf numFmtId="0" fontId="19" fillId="0" borderId="0" xfId="0" applyFont="1" applyFill="1"/>
    <xf numFmtId="0" fontId="41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right" vertical="center"/>
      <protection hidden="1"/>
    </xf>
    <xf numFmtId="0" fontId="1" fillId="0" borderId="0" xfId="0" applyFont="1" applyFill="1" applyAlignment="1" applyProtection="1">
      <protection hidden="1"/>
    </xf>
    <xf numFmtId="0" fontId="19" fillId="0" borderId="22" xfId="0" applyFont="1" applyFill="1" applyBorder="1" applyAlignment="1" applyProtection="1">
      <alignment horizontal="center" vertical="center"/>
      <protection hidden="1"/>
    </xf>
    <xf numFmtId="0" fontId="19" fillId="0" borderId="30" xfId="0" applyFont="1" applyFill="1" applyBorder="1" applyAlignment="1" applyProtection="1">
      <alignment horizontal="center" vertical="center"/>
      <protection hidden="1"/>
    </xf>
    <xf numFmtId="0" fontId="1" fillId="0" borderId="22" xfId="0" applyFont="1" applyFill="1" applyBorder="1" applyAlignment="1" applyProtection="1">
      <alignment horizontal="center" vertical="center" wrapText="1"/>
      <protection hidden="1"/>
    </xf>
    <xf numFmtId="0" fontId="1" fillId="0" borderId="22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wrapText="1"/>
      <protection hidden="1"/>
    </xf>
    <xf numFmtId="14" fontId="19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0" xfId="0" applyFont="1" applyFill="1" applyAlignment="1" applyProtection="1">
      <alignment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19" fillId="0" borderId="30" xfId="0" applyFont="1" applyFill="1" applyBorder="1" applyAlignment="1" applyProtection="1">
      <alignment horizontal="center" vertical="center" wrapText="1"/>
      <protection hidden="1"/>
    </xf>
    <xf numFmtId="4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Alignment="1" applyProtection="1">
      <alignment horizontal="right" vertical="center"/>
      <protection hidden="1"/>
    </xf>
    <xf numFmtId="17" fontId="1" fillId="0" borderId="2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19" fillId="0" borderId="0" xfId="1" applyFont="1" applyFill="1" applyBorder="1" applyAlignment="1" applyProtection="1">
      <alignment vertical="center"/>
      <protection hidden="1"/>
    </xf>
    <xf numFmtId="0" fontId="1" fillId="0" borderId="51" xfId="0" applyFont="1" applyFill="1" applyBorder="1" applyAlignment="1" applyProtection="1">
      <alignment horizontal="left" vertical="center" indent="1"/>
      <protection hidden="1"/>
    </xf>
    <xf numFmtId="0" fontId="1" fillId="0" borderId="52" xfId="0" applyFont="1" applyFill="1" applyBorder="1" applyAlignment="1" applyProtection="1">
      <alignment vertical="center"/>
      <protection hidden="1"/>
    </xf>
    <xf numFmtId="3" fontId="19" fillId="0" borderId="30" xfId="0" applyNumberFormat="1" applyFont="1" applyFill="1" applyBorder="1" applyAlignment="1" applyProtection="1">
      <alignment horizontal="center" vertical="center" wrapText="1"/>
      <protection hidden="1"/>
    </xf>
    <xf numFmtId="3" fontId="19" fillId="0" borderId="15" xfId="1" applyNumberFormat="1" applyFont="1" applyFill="1" applyBorder="1" applyAlignment="1" applyProtection="1">
      <alignment horizontal="left" vertical="center" indent="1"/>
      <protection hidden="1"/>
    </xf>
    <xf numFmtId="3" fontId="19" fillId="0" borderId="17" xfId="1" applyNumberFormat="1" applyFont="1" applyFill="1" applyBorder="1" applyAlignment="1" applyProtection="1">
      <alignment vertical="center"/>
      <protection hidden="1"/>
    </xf>
    <xf numFmtId="0" fontId="19" fillId="0" borderId="0" xfId="0" applyFont="1" applyFill="1" applyProtection="1">
      <protection hidden="1"/>
    </xf>
    <xf numFmtId="3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horizontal="left" vertical="center" indent="1"/>
      <protection hidden="1"/>
    </xf>
    <xf numFmtId="0" fontId="19" fillId="0" borderId="0" xfId="1" applyFont="1" applyFill="1" applyBorder="1" applyAlignment="1" applyProtection="1">
      <alignment horizontal="left" vertical="center" indent="1"/>
      <protection hidden="1"/>
    </xf>
    <xf numFmtId="1" fontId="1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1" fillId="0" borderId="137" xfId="0" applyNumberFormat="1" applyFont="1" applyFill="1" applyBorder="1" applyAlignment="1" applyProtection="1">
      <alignment horizontal="center" vertical="center" wrapText="1"/>
      <protection hidden="1"/>
    </xf>
    <xf numFmtId="3" fontId="19" fillId="0" borderId="13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Fill="1" applyBorder="1" applyAlignment="1" applyProtection="1">
      <alignment horizontal="center" vertical="center" wrapText="1"/>
      <protection hidden="1"/>
    </xf>
    <xf numFmtId="9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10" fontId="19" fillId="0" borderId="30" xfId="0" applyNumberFormat="1" applyFont="1" applyFill="1" applyBorder="1" applyAlignment="1" applyProtection="1">
      <alignment horizontal="center" vertical="center" wrapText="1"/>
      <protection hidden="1"/>
    </xf>
    <xf numFmtId="10" fontId="19" fillId="0" borderId="22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0" applyFont="1" applyFill="1" applyAlignment="1" applyProtection="1">
      <alignment vertical="center"/>
      <protection locked="0"/>
    </xf>
    <xf numFmtId="0" fontId="46" fillId="0" borderId="0" xfId="0" applyFont="1" applyFill="1" applyAlignment="1" applyProtection="1">
      <alignment vertical="center"/>
      <protection locked="0"/>
    </xf>
    <xf numFmtId="0" fontId="45" fillId="0" borderId="0" xfId="0" applyFont="1" applyFill="1" applyBorder="1" applyAlignment="1" applyProtection="1">
      <alignment vertical="center"/>
      <protection locked="0"/>
    </xf>
    <xf numFmtId="0" fontId="48" fillId="0" borderId="0" xfId="0" applyFont="1" applyFill="1" applyBorder="1" applyAlignment="1" applyProtection="1">
      <alignment vertical="center"/>
      <protection locked="0"/>
    </xf>
    <xf numFmtId="0" fontId="48" fillId="0" borderId="0" xfId="0" applyFont="1" applyFill="1" applyAlignment="1" applyProtection="1">
      <alignment vertical="center"/>
      <protection locked="0"/>
    </xf>
    <xf numFmtId="0" fontId="47" fillId="0" borderId="0" xfId="0" applyFont="1" applyFill="1" applyAlignment="1" applyProtection="1">
      <alignment vertical="center"/>
      <protection locked="0"/>
    </xf>
    <xf numFmtId="0" fontId="0" fillId="0" borderId="2" xfId="0" applyFill="1" applyBorder="1" applyProtection="1">
      <protection hidden="1"/>
    </xf>
    <xf numFmtId="0" fontId="42" fillId="0" borderId="3" xfId="0" applyFont="1" applyFill="1" applyBorder="1" applyProtection="1">
      <protection hidden="1"/>
    </xf>
    <xf numFmtId="17" fontId="1" fillId="0" borderId="4" xfId="0" applyNumberFormat="1" applyFont="1" applyFill="1" applyBorder="1" applyAlignment="1" applyProtection="1">
      <alignment horizontal="right" vertical="center"/>
      <protection hidden="1"/>
    </xf>
    <xf numFmtId="0" fontId="42" fillId="0" borderId="5" xfId="0" applyFont="1" applyFill="1" applyBorder="1" applyProtection="1">
      <protection hidden="1"/>
    </xf>
    <xf numFmtId="0" fontId="0" fillId="0" borderId="7" xfId="0" applyFill="1" applyBorder="1" applyProtection="1">
      <protection hidden="1"/>
    </xf>
    <xf numFmtId="0" fontId="42" fillId="0" borderId="8" xfId="0" applyFont="1" applyFill="1" applyBorder="1" applyProtection="1">
      <protection hidden="1"/>
    </xf>
    <xf numFmtId="0" fontId="42" fillId="0" borderId="0" xfId="0" applyFont="1" applyFill="1" applyBorder="1" applyAlignment="1" applyProtection="1">
      <alignment horizontal="right" vertical="center"/>
      <protection hidden="1"/>
    </xf>
    <xf numFmtId="0" fontId="42" fillId="0" borderId="9" xfId="0" applyFont="1" applyFill="1" applyBorder="1" applyProtection="1">
      <protection hidden="1"/>
    </xf>
    <xf numFmtId="14" fontId="19" fillId="0" borderId="7" xfId="0" applyNumberFormat="1" applyFont="1" applyFill="1" applyBorder="1" applyAlignment="1" applyProtection="1">
      <alignment horizontal="right" vertical="center" indent="1"/>
      <protection hidden="1"/>
    </xf>
    <xf numFmtId="14" fontId="42" fillId="0" borderId="0" xfId="0" applyNumberFormat="1" applyFont="1" applyFill="1" applyBorder="1" applyAlignment="1" applyProtection="1">
      <alignment horizontal="right" vertical="center"/>
      <protection hidden="1"/>
    </xf>
    <xf numFmtId="14" fontId="42" fillId="0" borderId="7" xfId="0" applyNumberFormat="1" applyFont="1" applyFill="1" applyBorder="1" applyAlignment="1" applyProtection="1">
      <alignment horizontal="right" vertical="center"/>
      <protection hidden="1"/>
    </xf>
    <xf numFmtId="0" fontId="0" fillId="0" borderId="13" xfId="0" applyFill="1" applyBorder="1" applyProtection="1">
      <protection hidden="1"/>
    </xf>
    <xf numFmtId="0" fontId="42" fillId="0" borderId="12" xfId="0" applyFont="1" applyFill="1" applyBorder="1" applyProtection="1">
      <protection hidden="1"/>
    </xf>
    <xf numFmtId="0" fontId="42" fillId="0" borderId="11" xfId="0" applyFont="1" applyFill="1" applyBorder="1" applyAlignment="1" applyProtection="1">
      <alignment horizontal="right" vertical="center"/>
      <protection hidden="1"/>
    </xf>
    <xf numFmtId="0" fontId="42" fillId="0" borderId="14" xfId="0" applyFont="1" applyFill="1" applyBorder="1" applyProtection="1">
      <protection hidden="1"/>
    </xf>
    <xf numFmtId="0" fontId="40" fillId="0" borderId="0" xfId="0" applyFont="1" applyFill="1" applyAlignment="1" applyProtection="1">
      <alignment vertical="center"/>
      <protection hidden="1"/>
    </xf>
    <xf numFmtId="3" fontId="40" fillId="0" borderId="0" xfId="0" applyNumberFormat="1" applyFont="1" applyFill="1" applyAlignment="1" applyProtection="1">
      <alignment horizontal="center" vertical="center"/>
      <protection hidden="1"/>
    </xf>
    <xf numFmtId="3" fontId="40" fillId="0" borderId="0" xfId="0" applyNumberFormat="1" applyFont="1" applyFill="1" applyAlignment="1" applyProtection="1">
      <alignment vertical="center"/>
      <protection hidden="1"/>
    </xf>
    <xf numFmtId="10" fontId="40" fillId="0" borderId="0" xfId="0" applyNumberFormat="1" applyFont="1" applyFill="1" applyAlignment="1" applyProtection="1">
      <alignment vertical="center"/>
      <protection hidden="1"/>
    </xf>
    <xf numFmtId="0" fontId="40" fillId="0" borderId="0" xfId="0" applyFont="1" applyFill="1" applyAlignment="1" applyProtection="1">
      <alignment horizontal="center" vertical="center"/>
      <protection hidden="1"/>
    </xf>
    <xf numFmtId="3" fontId="44" fillId="0" borderId="0" xfId="1" applyNumberFormat="1" applyFont="1" applyFill="1" applyBorder="1" applyAlignment="1" applyProtection="1">
      <alignment horizontal="center" vertical="center"/>
    </xf>
    <xf numFmtId="0" fontId="40" fillId="0" borderId="55" xfId="0" applyFont="1" applyFill="1" applyBorder="1" applyAlignment="1" applyProtection="1">
      <alignment vertical="center"/>
      <protection hidden="1"/>
    </xf>
    <xf numFmtId="3" fontId="40" fillId="0" borderId="55" xfId="0" applyNumberFormat="1" applyFont="1" applyFill="1" applyBorder="1" applyAlignment="1" applyProtection="1">
      <alignment horizontal="center" vertical="center"/>
      <protection hidden="1"/>
    </xf>
    <xf numFmtId="0" fontId="41" fillId="0" borderId="0" xfId="0" applyFont="1" applyFill="1" applyBorder="1" applyAlignment="1" applyProtection="1">
      <alignment horizontal="center" vertical="center"/>
      <protection hidden="1"/>
    </xf>
    <xf numFmtId="3" fontId="4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41" fillId="0" borderId="0" xfId="0" applyFont="1" applyFill="1" applyBorder="1" applyAlignment="1" applyProtection="1">
      <alignment horizontal="center" vertical="center" wrapText="1"/>
      <protection hidden="1"/>
    </xf>
    <xf numFmtId="0" fontId="45" fillId="0" borderId="19" xfId="0" applyFont="1" applyFill="1" applyBorder="1" applyAlignment="1" applyProtection="1">
      <alignment horizontal="left" vertical="center" indent="1"/>
      <protection hidden="1"/>
    </xf>
    <xf numFmtId="0" fontId="45" fillId="0" borderId="20" xfId="0" applyFont="1" applyFill="1" applyBorder="1" applyAlignment="1" applyProtection="1">
      <alignment vertical="center"/>
      <protection hidden="1"/>
    </xf>
    <xf numFmtId="3" fontId="45" fillId="0" borderId="17" xfId="1" applyNumberFormat="1" applyFont="1" applyFill="1" applyBorder="1" applyAlignment="1" applyProtection="1">
      <alignment vertical="center"/>
      <protection hidden="1"/>
    </xf>
    <xf numFmtId="3" fontId="47" fillId="0" borderId="15" xfId="1" applyNumberFormat="1" applyFont="1" applyFill="1" applyBorder="1" applyAlignment="1" applyProtection="1">
      <alignment horizontal="left" vertical="center" indent="1"/>
      <protection hidden="1"/>
    </xf>
    <xf numFmtId="3" fontId="46" fillId="0" borderId="16" xfId="1" applyNumberFormat="1" applyFont="1" applyFill="1" applyBorder="1" applyAlignment="1" applyProtection="1">
      <alignment vertical="center"/>
      <protection hidden="1"/>
    </xf>
    <xf numFmtId="3" fontId="46" fillId="0" borderId="22" xfId="1" applyNumberFormat="1" applyFont="1" applyFill="1" applyBorder="1" applyAlignment="1" applyProtection="1">
      <alignment vertical="center"/>
      <protection hidden="1"/>
    </xf>
    <xf numFmtId="3" fontId="47" fillId="0" borderId="0" xfId="1" applyNumberFormat="1" applyFont="1" applyFill="1" applyBorder="1" applyAlignment="1" applyProtection="1">
      <alignment horizontal="left" vertical="center" indent="1"/>
      <protection hidden="1"/>
    </xf>
    <xf numFmtId="3" fontId="46" fillId="0" borderId="0" xfId="1" applyNumberFormat="1" applyFont="1" applyFill="1" applyBorder="1" applyAlignment="1" applyProtection="1">
      <alignment vertical="center"/>
      <protection hidden="1"/>
    </xf>
    <xf numFmtId="3" fontId="45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0" applyFont="1" applyFill="1" applyBorder="1" applyAlignment="1" applyProtection="1">
      <alignment horizontal="left" vertical="center" indent="1"/>
      <protection hidden="1"/>
    </xf>
    <xf numFmtId="0" fontId="45" fillId="0" borderId="0" xfId="0" applyFont="1" applyFill="1" applyBorder="1" applyAlignment="1" applyProtection="1">
      <alignment vertical="center"/>
      <protection hidden="1"/>
    </xf>
    <xf numFmtId="3" fontId="45" fillId="0" borderId="0" xfId="1" applyNumberFormat="1" applyFont="1" applyFill="1" applyBorder="1" applyAlignment="1" applyProtection="1">
      <alignment vertical="center"/>
      <protection hidden="1"/>
    </xf>
    <xf numFmtId="3" fontId="45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4" xfId="1" applyNumberFormat="1" applyFont="1" applyFill="1" applyBorder="1" applyAlignment="1" applyProtection="1">
      <alignment vertical="center"/>
      <protection hidden="1"/>
    </xf>
    <xf numFmtId="3" fontId="45" fillId="0" borderId="13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34" xfId="1" applyNumberFormat="1" applyFont="1" applyFill="1" applyBorder="1" applyAlignment="1" applyProtection="1">
      <alignment horizontal="center" vertical="center" wrapText="1"/>
      <protection hidden="1"/>
    </xf>
    <xf numFmtId="0" fontId="45" fillId="0" borderId="134" xfId="0" applyFont="1" applyFill="1" applyBorder="1" applyAlignment="1" applyProtection="1">
      <alignment vertical="center"/>
      <protection hidden="1"/>
    </xf>
    <xf numFmtId="0" fontId="48" fillId="0" borderId="0" xfId="0" applyFont="1" applyFill="1" applyBorder="1" applyAlignment="1" applyProtection="1">
      <alignment horizontal="left" vertical="center" indent="1"/>
      <protection hidden="1"/>
    </xf>
    <xf numFmtId="0" fontId="48" fillId="0" borderId="0" xfId="0" applyFont="1" applyFill="1" applyBorder="1" applyAlignment="1" applyProtection="1">
      <alignment vertical="center"/>
      <protection hidden="1"/>
    </xf>
    <xf numFmtId="3" fontId="48" fillId="0" borderId="0" xfId="1" applyNumberFormat="1" applyFont="1" applyFill="1" applyBorder="1" applyAlignment="1" applyProtection="1">
      <alignment vertical="center"/>
      <protection hidden="1"/>
    </xf>
    <xf numFmtId="3" fontId="4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47" fillId="0" borderId="16" xfId="1" applyNumberFormat="1" applyFont="1" applyFill="1" applyBorder="1" applyAlignment="1" applyProtection="1">
      <alignment vertical="center"/>
      <protection hidden="1"/>
    </xf>
    <xf numFmtId="3" fontId="47" fillId="0" borderId="22" xfId="1" applyNumberFormat="1" applyFont="1" applyFill="1" applyBorder="1" applyAlignment="1" applyProtection="1">
      <alignment vertical="center"/>
      <protection hidden="1"/>
    </xf>
    <xf numFmtId="0" fontId="48" fillId="0" borderId="15" xfId="0" applyFont="1" applyFill="1" applyBorder="1" applyAlignment="1" applyProtection="1">
      <alignment horizontal="left" vertical="center" indent="1"/>
      <protection hidden="1"/>
    </xf>
    <xf numFmtId="0" fontId="48" fillId="0" borderId="16" xfId="0" applyFont="1" applyFill="1" applyBorder="1" applyAlignment="1" applyProtection="1">
      <alignment vertical="center"/>
      <protection hidden="1"/>
    </xf>
    <xf numFmtId="3" fontId="48" fillId="0" borderId="22" xfId="1" applyNumberFormat="1" applyFont="1" applyFill="1" applyBorder="1" applyAlignment="1" applyProtection="1">
      <alignment vertical="center"/>
      <protection hidden="1"/>
    </xf>
    <xf numFmtId="0" fontId="94" fillId="2" borderId="0" xfId="16" applyFont="1" applyFill="1" applyAlignment="1" applyProtection="1">
      <alignment vertical="center"/>
      <protection hidden="1"/>
    </xf>
    <xf numFmtId="3" fontId="94" fillId="2" borderId="0" xfId="16" applyNumberFormat="1" applyFont="1" applyFill="1" applyAlignment="1" applyProtection="1">
      <alignment horizontal="center" vertical="center"/>
      <protection hidden="1"/>
    </xf>
    <xf numFmtId="3" fontId="94" fillId="2" borderId="0" xfId="16" applyNumberFormat="1" applyFont="1" applyFill="1" applyAlignment="1" applyProtection="1">
      <alignment vertical="center"/>
      <protection hidden="1"/>
    </xf>
    <xf numFmtId="10" fontId="94" fillId="2" borderId="0" xfId="16" applyNumberFormat="1" applyFont="1" applyFill="1" applyAlignment="1" applyProtection="1">
      <alignment vertical="center"/>
      <protection hidden="1"/>
    </xf>
    <xf numFmtId="0" fontId="94" fillId="2" borderId="0" xfId="16" applyFont="1" applyFill="1" applyAlignment="1" applyProtection="1">
      <alignment horizontal="center" vertical="center"/>
      <protection hidden="1"/>
    </xf>
    <xf numFmtId="0" fontId="96" fillId="2" borderId="1" xfId="16" applyFont="1" applyFill="1" applyBorder="1" applyAlignment="1" applyProtection="1">
      <alignment vertical="center"/>
      <protection hidden="1"/>
    </xf>
    <xf numFmtId="0" fontId="96" fillId="2" borderId="4" xfId="16" applyFont="1" applyFill="1" applyBorder="1" applyAlignment="1" applyProtection="1">
      <alignment vertical="center"/>
      <protection hidden="1"/>
    </xf>
    <xf numFmtId="0" fontId="97" fillId="2" borderId="2" xfId="16" applyFont="1" applyFill="1" applyBorder="1" applyAlignment="1" applyProtection="1">
      <alignment vertical="center"/>
      <protection hidden="1"/>
    </xf>
    <xf numFmtId="164" fontId="98" fillId="2" borderId="4" xfId="16" applyNumberFormat="1" applyFont="1" applyFill="1" applyBorder="1" applyAlignment="1" applyProtection="1">
      <alignment horizontal="left" vertical="center"/>
      <protection hidden="1"/>
    </xf>
    <xf numFmtId="17" fontId="98" fillId="2" borderId="4" xfId="16" applyNumberFormat="1" applyFont="1" applyFill="1" applyBorder="1" applyAlignment="1" applyProtection="1">
      <alignment horizontal="right" vertical="center"/>
      <protection hidden="1"/>
    </xf>
    <xf numFmtId="17" fontId="96" fillId="2" borderId="5" xfId="16" applyNumberFormat="1" applyFont="1" applyFill="1" applyBorder="1" applyAlignment="1" applyProtection="1">
      <alignment horizontal="left" vertical="center"/>
      <protection hidden="1"/>
    </xf>
    <xf numFmtId="164" fontId="98" fillId="2" borderId="0" xfId="16" applyNumberFormat="1" applyFont="1" applyFill="1" applyBorder="1" applyAlignment="1" applyProtection="1">
      <alignment horizontal="left" vertical="center"/>
      <protection hidden="1"/>
    </xf>
    <xf numFmtId="0" fontId="96" fillId="2" borderId="0" xfId="16" applyFont="1" applyFill="1" applyBorder="1" applyAlignment="1" applyProtection="1">
      <alignment vertical="center"/>
      <protection hidden="1"/>
    </xf>
    <xf numFmtId="0" fontId="98" fillId="2" borderId="0" xfId="16" applyFont="1" applyFill="1" applyBorder="1" applyAlignment="1" applyProtection="1">
      <alignment horizontal="right" vertical="center"/>
      <protection hidden="1"/>
    </xf>
    <xf numFmtId="0" fontId="96" fillId="2" borderId="9" xfId="16" applyFont="1" applyFill="1" applyBorder="1" applyAlignment="1" applyProtection="1">
      <alignment horizontal="left" vertical="center"/>
      <protection hidden="1"/>
    </xf>
    <xf numFmtId="0" fontId="101" fillId="2" borderId="8" xfId="16" applyFont="1" applyFill="1" applyBorder="1" applyAlignment="1" applyProtection="1">
      <alignment horizontal="center" vertical="center"/>
      <protection hidden="1"/>
    </xf>
    <xf numFmtId="0" fontId="101" fillId="2" borderId="0" xfId="16" applyFont="1" applyFill="1" applyBorder="1" applyAlignment="1" applyProtection="1">
      <alignment horizontal="center" vertical="center"/>
      <protection hidden="1"/>
    </xf>
    <xf numFmtId="0" fontId="101" fillId="2" borderId="66" xfId="16" applyFont="1" applyFill="1" applyBorder="1" applyAlignment="1" applyProtection="1">
      <alignment horizontal="center" vertical="center"/>
      <protection hidden="1"/>
    </xf>
    <xf numFmtId="3" fontId="98" fillId="2" borderId="0" xfId="16" applyNumberFormat="1" applyFont="1" applyFill="1" applyBorder="1" applyAlignment="1" applyProtection="1">
      <alignment horizontal="right" vertical="center"/>
      <protection hidden="1"/>
    </xf>
    <xf numFmtId="0" fontId="96" fillId="2" borderId="10" xfId="16" applyFont="1" applyFill="1" applyBorder="1" applyAlignment="1" applyProtection="1">
      <alignment vertical="center"/>
      <protection hidden="1"/>
    </xf>
    <xf numFmtId="0" fontId="96" fillId="2" borderId="11" xfId="16" applyFont="1" applyFill="1" applyBorder="1" applyAlignment="1" applyProtection="1">
      <alignment vertical="center"/>
      <protection hidden="1"/>
    </xf>
    <xf numFmtId="0" fontId="96" fillId="2" borderId="13" xfId="16" applyFont="1" applyFill="1" applyBorder="1" applyAlignment="1" applyProtection="1">
      <alignment horizontal="right" vertical="center"/>
      <protection hidden="1"/>
    </xf>
    <xf numFmtId="164" fontId="98" fillId="2" borderId="11" xfId="16" applyNumberFormat="1" applyFont="1" applyFill="1" applyBorder="1" applyAlignment="1" applyProtection="1">
      <alignment horizontal="left" vertical="center"/>
      <protection hidden="1"/>
    </xf>
    <xf numFmtId="3" fontId="98" fillId="2" borderId="11" xfId="16" applyNumberFormat="1" applyFont="1" applyFill="1" applyBorder="1" applyAlignment="1" applyProtection="1">
      <alignment horizontal="right" vertical="center"/>
      <protection hidden="1"/>
    </xf>
    <xf numFmtId="3" fontId="96" fillId="2" borderId="14" xfId="16" applyNumberFormat="1" applyFont="1" applyFill="1" applyBorder="1" applyAlignment="1" applyProtection="1">
      <alignment horizontal="left" vertical="center"/>
      <protection hidden="1"/>
    </xf>
    <xf numFmtId="0" fontId="94" fillId="2" borderId="1" xfId="16" applyFont="1" applyFill="1" applyBorder="1" applyAlignment="1" applyProtection="1">
      <alignment vertical="center"/>
      <protection hidden="1"/>
    </xf>
    <xf numFmtId="0" fontId="94" fillId="2" borderId="0" xfId="16" applyFont="1" applyFill="1" applyBorder="1" applyAlignment="1" applyProtection="1">
      <alignment vertical="center"/>
      <protection hidden="1"/>
    </xf>
    <xf numFmtId="3" fontId="94" fillId="2" borderId="0" xfId="16" applyNumberFormat="1" applyFont="1" applyFill="1" applyBorder="1" applyAlignment="1" applyProtection="1">
      <alignment horizontal="center" vertical="center"/>
      <protection hidden="1"/>
    </xf>
    <xf numFmtId="3" fontId="94" fillId="2" borderId="0" xfId="16" applyNumberFormat="1" applyFont="1" applyFill="1" applyBorder="1" applyAlignment="1" applyProtection="1">
      <alignment vertical="center"/>
      <protection hidden="1"/>
    </xf>
    <xf numFmtId="10" fontId="94" fillId="2" borderId="0" xfId="16" applyNumberFormat="1" applyFont="1" applyFill="1" applyBorder="1" applyAlignment="1" applyProtection="1">
      <alignment vertical="center"/>
      <protection hidden="1"/>
    </xf>
    <xf numFmtId="0" fontId="94" fillId="2" borderId="0" xfId="16" applyFont="1" applyFill="1" applyBorder="1" applyAlignment="1" applyProtection="1">
      <alignment horizontal="center" vertical="center"/>
      <protection hidden="1"/>
    </xf>
    <xf numFmtId="0" fontId="94" fillId="2" borderId="9" xfId="16" applyFont="1" applyFill="1" applyBorder="1" applyAlignment="1" applyProtection="1">
      <alignment vertical="center"/>
      <protection hidden="1"/>
    </xf>
    <xf numFmtId="0" fontId="94" fillId="2" borderId="6" xfId="16" applyFont="1" applyFill="1" applyBorder="1" applyAlignment="1" applyProtection="1">
      <alignment vertical="center"/>
      <protection hidden="1"/>
    </xf>
    <xf numFmtId="0" fontId="103" fillId="0" borderId="6" xfId="16" applyFont="1" applyBorder="1" applyAlignment="1" applyProtection="1">
      <alignment horizontal="left" vertical="center"/>
      <protection hidden="1"/>
    </xf>
    <xf numFmtId="0" fontId="104" fillId="0" borderId="0" xfId="16" applyFont="1" applyBorder="1" applyAlignment="1" applyProtection="1">
      <alignment horizontal="left" vertical="center"/>
      <protection hidden="1"/>
    </xf>
    <xf numFmtId="0" fontId="98" fillId="2" borderId="0" xfId="16" applyFont="1" applyFill="1" applyBorder="1" applyAlignment="1" applyProtection="1">
      <alignment vertical="center"/>
      <protection hidden="1"/>
    </xf>
    <xf numFmtId="3" fontId="98" fillId="2" borderId="0" xfId="1" applyNumberFormat="1" applyFont="1" applyFill="1" applyBorder="1" applyAlignment="1" applyProtection="1">
      <alignment vertical="center"/>
      <protection hidden="1"/>
    </xf>
    <xf numFmtId="0" fontId="98" fillId="2" borderId="6" xfId="16" applyFont="1" applyFill="1" applyBorder="1" applyAlignment="1" applyProtection="1">
      <alignment horizontal="left" vertical="center"/>
      <protection hidden="1"/>
    </xf>
    <xf numFmtId="0" fontId="98" fillId="2" borderId="0" xfId="16" applyFont="1" applyFill="1" applyBorder="1" applyAlignment="1" applyProtection="1">
      <alignment horizontal="left" vertical="center"/>
      <protection hidden="1"/>
    </xf>
    <xf numFmtId="0" fontId="105" fillId="2" borderId="0" xfId="16" applyFont="1" applyFill="1" applyBorder="1" applyAlignment="1" applyProtection="1">
      <alignment horizontal="center"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0" xfId="1" applyNumberFormat="1" applyFont="1" applyFill="1" applyBorder="1" applyAlignment="1" applyProtection="1">
      <alignment vertical="center" wrapText="1"/>
      <protection hidden="1"/>
    </xf>
    <xf numFmtId="3" fontId="98" fillId="2" borderId="9" xfId="1" applyNumberFormat="1" applyFont="1" applyFill="1" applyBorder="1" applyAlignment="1" applyProtection="1">
      <alignment vertical="center" wrapText="1"/>
      <protection hidden="1"/>
    </xf>
    <xf numFmtId="3" fontId="96" fillId="2" borderId="0" xfId="16" applyNumberFormat="1" applyFont="1" applyFill="1" applyBorder="1" applyAlignment="1" applyProtection="1">
      <alignment horizontal="center" vertical="center"/>
      <protection hidden="1"/>
    </xf>
    <xf numFmtId="3" fontId="96" fillId="2" borderId="0" xfId="1" applyNumberFormat="1" applyFont="1" applyFill="1" applyBorder="1" applyAlignment="1" applyProtection="1">
      <alignment horizontal="center" vertical="center"/>
      <protection hidden="1"/>
    </xf>
    <xf numFmtId="10" fontId="96" fillId="2" borderId="0" xfId="1" applyNumberFormat="1" applyFont="1" applyFill="1" applyBorder="1" applyAlignment="1" applyProtection="1">
      <alignment vertical="center"/>
      <protection hidden="1"/>
    </xf>
    <xf numFmtId="3" fontId="98" fillId="2" borderId="9" xfId="1" applyNumberFormat="1" applyFont="1" applyFill="1" applyBorder="1" applyAlignment="1" applyProtection="1">
      <alignment vertical="center"/>
      <protection hidden="1"/>
    </xf>
    <xf numFmtId="3" fontId="105" fillId="2" borderId="6" xfId="1" applyNumberFormat="1" applyFont="1" applyFill="1" applyBorder="1" applyAlignment="1" applyProtection="1">
      <alignment horizontal="left" vertical="center"/>
      <protection hidden="1"/>
    </xf>
    <xf numFmtId="3" fontId="105" fillId="2" borderId="0" xfId="1" applyNumberFormat="1" applyFont="1" applyFill="1" applyBorder="1" applyAlignment="1" applyProtection="1">
      <alignment horizontal="left" vertical="center"/>
      <protection hidden="1"/>
    </xf>
    <xf numFmtId="3" fontId="105" fillId="2" borderId="0" xfId="1" applyNumberFormat="1" applyFont="1" applyFill="1" applyBorder="1" applyAlignment="1" applyProtection="1">
      <alignment vertical="center"/>
      <protection hidden="1"/>
    </xf>
    <xf numFmtId="0" fontId="101" fillId="0" borderId="6" xfId="16" applyFont="1" applyBorder="1" applyAlignment="1" applyProtection="1">
      <alignment vertical="center"/>
      <protection hidden="1"/>
    </xf>
    <xf numFmtId="0" fontId="100" fillId="0" borderId="71" xfId="16" applyFont="1" applyBorder="1" applyAlignment="1" applyProtection="1">
      <alignment vertical="center"/>
      <protection hidden="1"/>
    </xf>
    <xf numFmtId="0" fontId="105" fillId="2" borderId="71" xfId="16" applyFont="1" applyFill="1" applyBorder="1" applyAlignment="1" applyProtection="1">
      <alignment vertical="center"/>
      <protection hidden="1"/>
    </xf>
    <xf numFmtId="3" fontId="105" fillId="2" borderId="71" xfId="1" applyNumberFormat="1" applyFont="1" applyFill="1" applyBorder="1" applyAlignment="1" applyProtection="1">
      <alignment vertical="center"/>
      <protection hidden="1"/>
    </xf>
    <xf numFmtId="3" fontId="98" fillId="2" borderId="71" xfId="1" applyNumberFormat="1" applyFont="1" applyFill="1" applyBorder="1" applyAlignment="1" applyProtection="1">
      <alignment vertical="center"/>
      <protection hidden="1"/>
    </xf>
    <xf numFmtId="3" fontId="98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100" fillId="0" borderId="0" xfId="16" applyFont="1" applyBorder="1" applyAlignment="1" applyProtection="1">
      <alignment vertical="center"/>
      <protection hidden="1"/>
    </xf>
    <xf numFmtId="0" fontId="96" fillId="0" borderId="0" xfId="17" applyFont="1" applyBorder="1" applyAlignment="1" applyProtection="1">
      <alignment vertical="center"/>
      <protection hidden="1"/>
    </xf>
    <xf numFmtId="0" fontId="107" fillId="0" borderId="104" xfId="6" applyFont="1" applyBorder="1" applyAlignment="1" applyProtection="1">
      <alignment horizontal="center" vertical="center"/>
      <protection hidden="1"/>
    </xf>
    <xf numFmtId="0" fontId="107" fillId="0" borderId="77" xfId="6" applyFont="1" applyBorder="1" applyAlignment="1" applyProtection="1">
      <alignment horizontal="center" vertical="center"/>
      <protection hidden="1"/>
    </xf>
    <xf numFmtId="3" fontId="107" fillId="0" borderId="128" xfId="6" applyNumberFormat="1" applyFont="1" applyBorder="1" applyAlignment="1" applyProtection="1">
      <alignment vertical="center"/>
      <protection hidden="1"/>
    </xf>
    <xf numFmtId="3" fontId="107" fillId="0" borderId="79" xfId="6" applyNumberFormat="1" applyFont="1" applyBorder="1" applyAlignment="1" applyProtection="1">
      <alignment horizontal="center" vertical="center"/>
      <protection hidden="1"/>
    </xf>
    <xf numFmtId="0" fontId="106" fillId="0" borderId="104" xfId="6" applyFont="1" applyBorder="1" applyAlignment="1" applyProtection="1">
      <alignment vertical="center"/>
      <protection hidden="1"/>
    </xf>
    <xf numFmtId="0" fontId="106" fillId="0" borderId="77" xfId="6" applyFont="1" applyBorder="1" applyAlignment="1" applyProtection="1">
      <alignment horizontal="center" vertical="center"/>
      <protection hidden="1"/>
    </xf>
    <xf numFmtId="3" fontId="106" fillId="0" borderId="128" xfId="6" applyNumberFormat="1" applyFont="1" applyBorder="1" applyAlignment="1" applyProtection="1">
      <alignment vertical="center"/>
      <protection hidden="1"/>
    </xf>
    <xf numFmtId="4" fontId="106" fillId="0" borderId="79" xfId="6" applyNumberFormat="1" applyFont="1" applyBorder="1" applyAlignment="1" applyProtection="1">
      <alignment horizontal="center" vertical="center"/>
      <protection hidden="1"/>
    </xf>
    <xf numFmtId="14" fontId="106" fillId="0" borderId="104" xfId="6" applyNumberFormat="1" applyFont="1" applyBorder="1" applyAlignment="1" applyProtection="1">
      <alignment vertical="center"/>
      <protection hidden="1"/>
    </xf>
    <xf numFmtId="0" fontId="96" fillId="0" borderId="0" xfId="17" applyFont="1" applyFill="1" applyBorder="1" applyAlignment="1" applyProtection="1">
      <alignment vertical="center"/>
      <protection hidden="1"/>
    </xf>
    <xf numFmtId="0" fontId="106" fillId="0" borderId="104" xfId="6" applyFont="1" applyFill="1" applyBorder="1" applyAlignment="1" applyProtection="1">
      <alignment vertical="center"/>
      <protection hidden="1"/>
    </xf>
    <xf numFmtId="0" fontId="106" fillId="0" borderId="77" xfId="6" applyFont="1" applyFill="1" applyBorder="1" applyAlignment="1" applyProtection="1">
      <alignment horizontal="center" vertical="center"/>
      <protection hidden="1"/>
    </xf>
    <xf numFmtId="3" fontId="106" fillId="0" borderId="128" xfId="6" applyNumberFormat="1" applyFont="1" applyFill="1" applyBorder="1" applyAlignment="1" applyProtection="1">
      <alignment vertical="center"/>
      <protection hidden="1"/>
    </xf>
    <xf numFmtId="4" fontId="108" fillId="0" borderId="79" xfId="6" applyNumberFormat="1" applyFont="1" applyFill="1" applyBorder="1" applyAlignment="1" applyProtection="1">
      <alignment horizontal="center" vertical="center"/>
      <protection hidden="1"/>
    </xf>
    <xf numFmtId="0" fontId="96" fillId="0" borderId="0" xfId="17" quotePrefix="1" applyFont="1" applyBorder="1" applyAlignment="1" applyProtection="1">
      <alignment vertical="center"/>
      <protection hidden="1"/>
    </xf>
    <xf numFmtId="0" fontId="109" fillId="0" borderId="0" xfId="6" quotePrefix="1" applyFont="1" applyAlignment="1" applyProtection="1">
      <alignment vertical="center"/>
      <protection hidden="1"/>
    </xf>
    <xf numFmtId="0" fontId="109" fillId="0" borderId="0" xfId="6" applyFont="1" applyAlignment="1" applyProtection="1">
      <alignment vertical="center"/>
      <protection hidden="1"/>
    </xf>
    <xf numFmtId="3" fontId="109" fillId="0" borderId="0" xfId="6" applyNumberFormat="1" applyFont="1" applyAlignment="1" applyProtection="1">
      <alignment vertical="center"/>
      <protection hidden="1"/>
    </xf>
    <xf numFmtId="0" fontId="96" fillId="0" borderId="0" xfId="17" applyFont="1" applyFill="1" applyBorder="1" applyAlignment="1" applyProtection="1">
      <alignment horizontal="center" vertical="center"/>
      <protection hidden="1"/>
    </xf>
    <xf numFmtId="0" fontId="96" fillId="17" borderId="77" xfId="6" applyFont="1" applyFill="1" applyBorder="1" applyAlignment="1" applyProtection="1">
      <alignment horizontal="center" vertical="center"/>
      <protection hidden="1"/>
    </xf>
    <xf numFmtId="3" fontId="96" fillId="17" borderId="77" xfId="6" applyNumberFormat="1" applyFont="1" applyFill="1" applyBorder="1" applyAlignment="1" applyProtection="1">
      <alignment vertical="center"/>
      <protection hidden="1"/>
    </xf>
    <xf numFmtId="10" fontId="98" fillId="2" borderId="0" xfId="16" applyNumberFormat="1" applyFont="1" applyFill="1" applyBorder="1" applyAlignment="1" applyProtection="1">
      <alignment vertical="center"/>
      <protection hidden="1"/>
    </xf>
    <xf numFmtId="0" fontId="98" fillId="2" borderId="9" xfId="16" applyFont="1" applyFill="1" applyBorder="1" applyAlignment="1" applyProtection="1">
      <alignment vertical="center"/>
      <protection hidden="1"/>
    </xf>
    <xf numFmtId="0" fontId="96" fillId="0" borderId="0" xfId="17" quotePrefix="1" applyFont="1" applyFill="1" applyBorder="1" applyAlignment="1" applyProtection="1">
      <alignment vertical="center"/>
      <protection hidden="1"/>
    </xf>
    <xf numFmtId="0" fontId="106" fillId="17" borderId="104" xfId="6" quotePrefix="1" applyFont="1" applyFill="1" applyBorder="1" applyAlignment="1" applyProtection="1">
      <alignment vertical="center"/>
      <protection hidden="1"/>
    </xf>
    <xf numFmtId="0" fontId="106" fillId="17" borderId="77" xfId="6" applyFont="1" applyFill="1" applyBorder="1" applyAlignment="1" applyProtection="1">
      <alignment horizontal="center" vertical="center"/>
      <protection hidden="1"/>
    </xf>
    <xf numFmtId="3" fontId="106" fillId="17" borderId="128" xfId="6" applyNumberFormat="1" applyFont="1" applyFill="1" applyBorder="1" applyAlignment="1" applyProtection="1">
      <alignment vertical="center"/>
      <protection hidden="1"/>
    </xf>
    <xf numFmtId="3" fontId="106" fillId="17" borderId="79" xfId="6" applyNumberFormat="1" applyFont="1" applyFill="1" applyBorder="1" applyAlignment="1" applyProtection="1">
      <alignment vertical="center"/>
      <protection hidden="1"/>
    </xf>
    <xf numFmtId="0" fontId="96" fillId="0" borderId="0" xfId="17" applyFont="1" applyBorder="1" applyAlignment="1" applyProtection="1">
      <alignment horizontal="center" vertical="center"/>
      <protection hidden="1"/>
    </xf>
    <xf numFmtId="3" fontId="105" fillId="0" borderId="0" xfId="17" applyNumberFormat="1" applyFont="1" applyBorder="1" applyAlignment="1" applyProtection="1">
      <alignment vertical="center"/>
      <protection hidden="1"/>
    </xf>
    <xf numFmtId="3" fontId="98" fillId="0" borderId="0" xfId="17" applyNumberFormat="1" applyFont="1" applyBorder="1" applyAlignment="1" applyProtection="1">
      <alignment vertical="center"/>
      <protection hidden="1"/>
    </xf>
    <xf numFmtId="3" fontId="109" fillId="2" borderId="0" xfId="1" applyNumberFormat="1" applyFont="1" applyFill="1" applyBorder="1" applyAlignment="1" applyProtection="1">
      <alignment vertical="center"/>
      <protection hidden="1"/>
    </xf>
    <xf numFmtId="3" fontId="110" fillId="2" borderId="0" xfId="1" applyNumberFormat="1" applyFont="1" applyFill="1" applyBorder="1" applyAlignment="1" applyProtection="1">
      <alignment horizontal="right" vertical="center"/>
      <protection hidden="1"/>
    </xf>
    <xf numFmtId="3" fontId="111" fillId="0" borderId="0" xfId="17" applyNumberFormat="1" applyFont="1" applyBorder="1" applyAlignment="1" applyProtection="1">
      <alignment vertical="center"/>
      <protection hidden="1"/>
    </xf>
    <xf numFmtId="3" fontId="111" fillId="2" borderId="0" xfId="1" applyNumberFormat="1" applyFont="1" applyFill="1" applyBorder="1" applyAlignment="1" applyProtection="1">
      <alignment vertical="center"/>
      <protection hidden="1"/>
    </xf>
    <xf numFmtId="0" fontId="106" fillId="0" borderId="0" xfId="17" applyFont="1" applyBorder="1" applyAlignment="1" applyProtection="1">
      <alignment horizontal="center" vertical="center"/>
      <protection hidden="1"/>
    </xf>
    <xf numFmtId="0" fontId="98" fillId="2" borderId="6" xfId="16" applyFont="1" applyFill="1" applyBorder="1" applyAlignment="1" applyProtection="1">
      <alignment vertical="center"/>
      <protection hidden="1"/>
    </xf>
    <xf numFmtId="0" fontId="106" fillId="0" borderId="104" xfId="6" applyFont="1" applyBorder="1" applyAlignment="1" applyProtection="1">
      <alignment horizontal="center" vertical="center"/>
      <protection hidden="1"/>
    </xf>
    <xf numFmtId="3" fontId="106" fillId="0" borderId="79" xfId="6" applyNumberFormat="1" applyFont="1" applyBorder="1" applyAlignment="1" applyProtection="1">
      <alignment horizontal="center" vertical="center"/>
      <protection hidden="1"/>
    </xf>
    <xf numFmtId="4" fontId="110" fillId="0" borderId="79" xfId="6" applyNumberFormat="1" applyFont="1" applyFill="1" applyBorder="1" applyAlignment="1" applyProtection="1">
      <alignment horizontal="center" vertical="center"/>
      <protection hidden="1"/>
    </xf>
    <xf numFmtId="0" fontId="96" fillId="0" borderId="0" xfId="6" quotePrefix="1" applyFont="1" applyAlignment="1" applyProtection="1">
      <alignment vertical="center"/>
      <protection hidden="1"/>
    </xf>
    <xf numFmtId="0" fontId="96" fillId="0" borderId="0" xfId="6" applyFont="1" applyAlignment="1" applyProtection="1">
      <alignment vertical="center"/>
      <protection hidden="1"/>
    </xf>
    <xf numFmtId="3" fontId="96" fillId="0" borderId="0" xfId="6" applyNumberFormat="1" applyFont="1" applyAlignment="1" applyProtection="1">
      <alignment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/>
      <protection hidden="1"/>
    </xf>
    <xf numFmtId="3" fontId="106" fillId="2" borderId="0" xfId="1" applyNumberFormat="1" applyFont="1" applyFill="1" applyBorder="1" applyAlignment="1" applyProtection="1">
      <alignment vertical="center"/>
      <protection hidden="1"/>
    </xf>
    <xf numFmtId="3" fontId="96" fillId="2" borderId="0" xfId="1" applyNumberFormat="1" applyFont="1" applyFill="1" applyBorder="1" applyAlignment="1" applyProtection="1">
      <alignment vertical="center"/>
      <protection hidden="1"/>
    </xf>
    <xf numFmtId="0" fontId="109" fillId="0" borderId="0" xfId="6" quotePrefix="1" applyFont="1" applyBorder="1" applyAlignment="1" applyProtection="1">
      <alignment vertical="center"/>
      <protection hidden="1"/>
    </xf>
    <xf numFmtId="0" fontId="109" fillId="0" borderId="0" xfId="6" applyFont="1" applyBorder="1" applyAlignment="1" applyProtection="1">
      <alignment vertical="center"/>
      <protection hidden="1"/>
    </xf>
    <xf numFmtId="3" fontId="109" fillId="0" borderId="0" xfId="6" applyNumberFormat="1" applyFont="1" applyBorder="1" applyAlignment="1" applyProtection="1">
      <alignment vertical="center"/>
      <protection hidden="1"/>
    </xf>
    <xf numFmtId="3" fontId="109" fillId="0" borderId="0" xfId="17" applyNumberFormat="1" applyFont="1" applyBorder="1" applyAlignment="1" applyProtection="1">
      <alignment vertical="center"/>
      <protection hidden="1"/>
    </xf>
    <xf numFmtId="173" fontId="96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105" fillId="2" borderId="71" xfId="1" applyNumberFormat="1" applyFont="1" applyFill="1" applyBorder="1" applyAlignment="1" applyProtection="1">
      <alignment horizontal="center" vertical="center" wrapText="1"/>
      <protection hidden="1"/>
    </xf>
    <xf numFmtId="10" fontId="106" fillId="2" borderId="0" xfId="1" applyNumberFormat="1" applyFont="1" applyFill="1" applyBorder="1" applyAlignment="1" applyProtection="1">
      <alignment vertical="center"/>
      <protection hidden="1"/>
    </xf>
    <xf numFmtId="3" fontId="98" fillId="0" borderId="0" xfId="17" quotePrefix="1" applyNumberFormat="1" applyFont="1" applyBorder="1" applyAlignment="1" applyProtection="1">
      <alignment vertical="center"/>
      <protection hidden="1"/>
    </xf>
    <xf numFmtId="0" fontId="94" fillId="2" borderId="10" xfId="16" applyFont="1" applyFill="1" applyBorder="1" applyAlignment="1" applyProtection="1">
      <alignment vertical="center"/>
      <protection hidden="1"/>
    </xf>
    <xf numFmtId="0" fontId="96" fillId="0" borderId="11" xfId="17" applyFont="1" applyBorder="1" applyAlignment="1" applyProtection="1">
      <alignment horizontal="center" vertical="center"/>
      <protection hidden="1"/>
    </xf>
    <xf numFmtId="3" fontId="98" fillId="0" borderId="11" xfId="17" quotePrefix="1" applyNumberFormat="1" applyFont="1" applyBorder="1" applyAlignment="1" applyProtection="1">
      <alignment vertical="center"/>
      <protection hidden="1"/>
    </xf>
    <xf numFmtId="3" fontId="98" fillId="2" borderId="11" xfId="1" applyNumberFormat="1" applyFont="1" applyFill="1" applyBorder="1" applyAlignment="1" applyProtection="1">
      <alignment vertical="center"/>
      <protection hidden="1"/>
    </xf>
    <xf numFmtId="3" fontId="109" fillId="2" borderId="11" xfId="1" applyNumberFormat="1" applyFont="1" applyFill="1" applyBorder="1" applyAlignment="1" applyProtection="1">
      <alignment vertical="center"/>
      <protection hidden="1"/>
    </xf>
    <xf numFmtId="10" fontId="94" fillId="2" borderId="11" xfId="16" applyNumberFormat="1" applyFont="1" applyFill="1" applyBorder="1" applyAlignment="1" applyProtection="1">
      <alignment vertical="center"/>
      <protection hidden="1"/>
    </xf>
    <xf numFmtId="0" fontId="94" fillId="2" borderId="14" xfId="16" applyFont="1" applyFill="1" applyBorder="1" applyAlignment="1" applyProtection="1">
      <alignment vertical="center"/>
      <protection hidden="1"/>
    </xf>
    <xf numFmtId="0" fontId="94" fillId="0" borderId="0" xfId="16" applyFont="1" applyFill="1" applyAlignment="1" applyProtection="1">
      <alignment vertical="center"/>
      <protection hidden="1"/>
    </xf>
    <xf numFmtId="3" fontId="94" fillId="0" borderId="0" xfId="16" applyNumberFormat="1" applyFont="1" applyFill="1" applyAlignment="1" applyProtection="1">
      <alignment horizontal="center" vertical="center"/>
      <protection hidden="1"/>
    </xf>
    <xf numFmtId="3" fontId="94" fillId="0" borderId="0" xfId="16" applyNumberFormat="1" applyFont="1" applyFill="1" applyAlignment="1" applyProtection="1">
      <alignment vertical="center"/>
      <protection hidden="1"/>
    </xf>
    <xf numFmtId="10" fontId="94" fillId="0" borderId="0" xfId="16" applyNumberFormat="1" applyFont="1" applyFill="1" applyAlignment="1" applyProtection="1">
      <alignment vertical="center"/>
      <protection hidden="1"/>
    </xf>
    <xf numFmtId="0" fontId="94" fillId="0" borderId="0" xfId="16" applyFont="1" applyFill="1" applyAlignment="1" applyProtection="1">
      <alignment horizontal="center" vertical="center"/>
      <protection hidden="1"/>
    </xf>
    <xf numFmtId="0" fontId="96" fillId="0" borderId="1" xfId="16" applyFont="1" applyFill="1" applyBorder="1" applyAlignment="1" applyProtection="1">
      <alignment vertical="center"/>
      <protection hidden="1"/>
    </xf>
    <xf numFmtId="0" fontId="96" fillId="0" borderId="4" xfId="16" applyFont="1" applyFill="1" applyBorder="1" applyAlignment="1" applyProtection="1">
      <alignment vertical="center"/>
      <protection hidden="1"/>
    </xf>
    <xf numFmtId="0" fontId="97" fillId="0" borderId="2" xfId="16" applyFont="1" applyFill="1" applyBorder="1" applyAlignment="1" applyProtection="1">
      <alignment vertical="center"/>
      <protection hidden="1"/>
    </xf>
    <xf numFmtId="164" fontId="98" fillId="0" borderId="4" xfId="16" applyNumberFormat="1" applyFont="1" applyFill="1" applyBorder="1" applyAlignment="1" applyProtection="1">
      <alignment horizontal="left" vertical="center"/>
      <protection hidden="1"/>
    </xf>
    <xf numFmtId="17" fontId="98" fillId="0" borderId="4" xfId="16" applyNumberFormat="1" applyFont="1" applyFill="1" applyBorder="1" applyAlignment="1" applyProtection="1">
      <alignment horizontal="right" vertical="center"/>
      <protection hidden="1"/>
    </xf>
    <xf numFmtId="17" fontId="96" fillId="0" borderId="5" xfId="16" applyNumberFormat="1" applyFont="1" applyFill="1" applyBorder="1" applyAlignment="1" applyProtection="1">
      <alignment horizontal="left" vertical="center"/>
      <protection hidden="1"/>
    </xf>
    <xf numFmtId="164" fontId="98" fillId="0" borderId="0" xfId="16" applyNumberFormat="1" applyFont="1" applyFill="1" applyBorder="1" applyAlignment="1" applyProtection="1">
      <alignment horizontal="left" vertical="center"/>
      <protection hidden="1"/>
    </xf>
    <xf numFmtId="0" fontId="96" fillId="0" borderId="0" xfId="16" applyFont="1" applyFill="1" applyBorder="1" applyAlignment="1" applyProtection="1">
      <alignment vertical="center"/>
      <protection hidden="1"/>
    </xf>
    <xf numFmtId="0" fontId="98" fillId="0" borderId="0" xfId="16" applyFont="1" applyFill="1" applyBorder="1" applyAlignment="1" applyProtection="1">
      <alignment horizontal="right" vertical="center"/>
      <protection hidden="1"/>
    </xf>
    <xf numFmtId="0" fontId="96" fillId="0" borderId="9" xfId="16" applyFont="1" applyFill="1" applyBorder="1" applyAlignment="1" applyProtection="1">
      <alignment horizontal="left" vertical="center"/>
      <protection hidden="1"/>
    </xf>
    <xf numFmtId="0" fontId="101" fillId="0" borderId="132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0" xfId="16" applyNumberFormat="1" applyFont="1" applyFill="1" applyBorder="1" applyAlignment="1" applyProtection="1">
      <alignment horizontal="right" vertical="center"/>
      <protection hidden="1"/>
    </xf>
    <xf numFmtId="0" fontId="96" fillId="0" borderId="10" xfId="16" applyFont="1" applyFill="1" applyBorder="1" applyAlignment="1" applyProtection="1">
      <alignment vertical="center"/>
      <protection hidden="1"/>
    </xf>
    <xf numFmtId="0" fontId="96" fillId="0" borderId="11" xfId="16" applyFont="1" applyFill="1" applyBorder="1" applyAlignment="1" applyProtection="1">
      <alignment vertical="center"/>
      <protection hidden="1"/>
    </xf>
    <xf numFmtId="0" fontId="96" fillId="0" borderId="13" xfId="16" applyFont="1" applyFill="1" applyBorder="1" applyAlignment="1" applyProtection="1">
      <alignment horizontal="right" vertical="center"/>
      <protection hidden="1"/>
    </xf>
    <xf numFmtId="164" fontId="98" fillId="0" borderId="11" xfId="16" applyNumberFormat="1" applyFont="1" applyFill="1" applyBorder="1" applyAlignment="1" applyProtection="1">
      <alignment horizontal="left" vertical="center"/>
      <protection hidden="1"/>
    </xf>
    <xf numFmtId="3" fontId="98" fillId="0" borderId="11" xfId="16" applyNumberFormat="1" applyFont="1" applyFill="1" applyBorder="1" applyAlignment="1" applyProtection="1">
      <alignment horizontal="right" vertical="center"/>
      <protection hidden="1"/>
    </xf>
    <xf numFmtId="3" fontId="96" fillId="0" borderId="14" xfId="16" applyNumberFormat="1" applyFont="1" applyFill="1" applyBorder="1" applyAlignment="1" applyProtection="1">
      <alignment horizontal="left" vertical="center"/>
      <protection hidden="1"/>
    </xf>
    <xf numFmtId="0" fontId="94" fillId="0" borderId="1" xfId="16" applyFont="1" applyFill="1" applyBorder="1" applyAlignment="1" applyProtection="1">
      <alignment vertical="center"/>
      <protection hidden="1"/>
    </xf>
    <xf numFmtId="0" fontId="113" fillId="0" borderId="6" xfId="16" applyFont="1" applyFill="1" applyBorder="1" applyAlignment="1" applyProtection="1">
      <alignment horizontal="center" vertical="center"/>
      <protection hidden="1"/>
    </xf>
    <xf numFmtId="0" fontId="113" fillId="0" borderId="0" xfId="16" applyFont="1" applyFill="1" applyBorder="1" applyAlignment="1" applyProtection="1">
      <alignment horizontal="center" vertical="center"/>
      <protection hidden="1"/>
    </xf>
    <xf numFmtId="3" fontId="113" fillId="0" borderId="0" xfId="16" applyNumberFormat="1" applyFont="1" applyFill="1" applyBorder="1" applyAlignment="1" applyProtection="1">
      <alignment horizontal="center" vertical="center" wrapText="1"/>
      <protection hidden="1"/>
    </xf>
    <xf numFmtId="0" fontId="113" fillId="0" borderId="0" xfId="16" applyFont="1" applyFill="1" applyBorder="1" applyAlignment="1" applyProtection="1">
      <alignment horizontal="center" vertical="center" wrapText="1"/>
      <protection hidden="1"/>
    </xf>
    <xf numFmtId="0" fontId="113" fillId="0" borderId="9" xfId="16" applyFont="1" applyFill="1" applyBorder="1" applyAlignment="1" applyProtection="1">
      <alignment horizontal="center" vertical="center" wrapText="1"/>
      <protection hidden="1"/>
    </xf>
    <xf numFmtId="0" fontId="94" fillId="0" borderId="6" xfId="16" applyFont="1" applyFill="1" applyBorder="1" applyAlignment="1" applyProtection="1">
      <alignment vertical="center"/>
      <protection hidden="1"/>
    </xf>
    <xf numFmtId="0" fontId="94" fillId="0" borderId="0" xfId="16" applyFont="1" applyFill="1" applyBorder="1" applyAlignment="1" applyProtection="1">
      <alignment vertical="center"/>
      <protection hidden="1"/>
    </xf>
    <xf numFmtId="3" fontId="94" fillId="0" borderId="0" xfId="16" applyNumberFormat="1" applyFont="1" applyFill="1" applyBorder="1" applyAlignment="1" applyProtection="1">
      <alignment horizontal="center" vertical="center"/>
      <protection hidden="1"/>
    </xf>
    <xf numFmtId="3" fontId="94" fillId="0" borderId="0" xfId="16" applyNumberFormat="1" applyFont="1" applyFill="1" applyBorder="1" applyAlignment="1" applyProtection="1">
      <alignment vertical="center"/>
      <protection hidden="1"/>
    </xf>
    <xf numFmtId="10" fontId="94" fillId="0" borderId="0" xfId="16" applyNumberFormat="1" applyFont="1" applyFill="1" applyBorder="1" applyAlignment="1" applyProtection="1">
      <alignment vertical="center"/>
      <protection hidden="1"/>
    </xf>
    <xf numFmtId="0" fontId="94" fillId="0" borderId="0" xfId="16" applyFont="1" applyFill="1" applyBorder="1" applyAlignment="1" applyProtection="1">
      <alignment horizontal="center" vertical="center"/>
      <protection hidden="1"/>
    </xf>
    <xf numFmtId="0" fontId="94" fillId="0" borderId="9" xfId="16" applyFont="1" applyFill="1" applyBorder="1" applyAlignment="1" applyProtection="1">
      <alignment vertical="center"/>
      <protection hidden="1"/>
    </xf>
    <xf numFmtId="0" fontId="103" fillId="0" borderId="6" xfId="16" applyFont="1" applyFill="1" applyBorder="1" applyAlignment="1" applyProtection="1">
      <alignment horizontal="left" vertical="center"/>
      <protection hidden="1"/>
    </xf>
    <xf numFmtId="0" fontId="104" fillId="0" borderId="0" xfId="16" applyFont="1" applyFill="1" applyBorder="1" applyAlignment="1" applyProtection="1">
      <alignment horizontal="left" vertical="center"/>
      <protection hidden="1"/>
    </xf>
    <xf numFmtId="0" fontId="98" fillId="0" borderId="0" xfId="16" applyFont="1" applyFill="1" applyBorder="1" applyAlignment="1" applyProtection="1">
      <alignment vertical="center"/>
      <protection hidden="1"/>
    </xf>
    <xf numFmtId="3" fontId="98" fillId="0" borderId="0" xfId="1" applyNumberFormat="1" applyFont="1" applyFill="1" applyBorder="1" applyAlignment="1" applyProtection="1">
      <alignment vertical="center"/>
      <protection hidden="1"/>
    </xf>
    <xf numFmtId="0" fontId="98" fillId="0" borderId="6" xfId="16" applyFont="1" applyFill="1" applyBorder="1" applyAlignment="1" applyProtection="1">
      <alignment horizontal="left" vertical="center" indent="1"/>
      <protection hidden="1"/>
    </xf>
    <xf numFmtId="0" fontId="98" fillId="0" borderId="0" xfId="16" applyFont="1" applyFill="1" applyBorder="1" applyAlignment="1" applyProtection="1">
      <alignment horizontal="left" vertical="center" indent="1"/>
      <protection hidden="1"/>
    </xf>
    <xf numFmtId="3" fontId="96" fillId="0" borderId="0" xfId="1" applyNumberFormat="1" applyFont="1" applyFill="1" applyBorder="1" applyAlignment="1" applyProtection="1">
      <alignment vertical="center"/>
      <protection hidden="1"/>
    </xf>
    <xf numFmtId="3" fontId="96" fillId="0" borderId="0" xfId="1" applyNumberFormat="1" applyFont="1" applyFill="1" applyBorder="1" applyAlignment="1" applyProtection="1">
      <alignment vertical="center" wrapText="1"/>
      <protection hidden="1"/>
    </xf>
    <xf numFmtId="3" fontId="98" fillId="0" borderId="0" xfId="1" applyNumberFormat="1" applyFont="1" applyFill="1" applyBorder="1" applyAlignment="1" applyProtection="1">
      <alignment vertical="center" wrapText="1"/>
      <protection hidden="1"/>
    </xf>
    <xf numFmtId="3" fontId="98" fillId="0" borderId="9" xfId="1" applyNumberFormat="1" applyFont="1" applyFill="1" applyBorder="1" applyAlignment="1" applyProtection="1">
      <alignment vertical="center" wrapText="1"/>
      <protection hidden="1"/>
    </xf>
    <xf numFmtId="3" fontId="114" fillId="0" borderId="0" xfId="16" applyNumberFormat="1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vertical="center"/>
      <protection hidden="1"/>
    </xf>
    <xf numFmtId="10" fontId="114" fillId="0" borderId="0" xfId="1" applyNumberFormat="1" applyFont="1" applyFill="1" applyBorder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vertical="center"/>
      <protection hidden="1"/>
    </xf>
    <xf numFmtId="3" fontId="98" fillId="0" borderId="0" xfId="1" applyNumberFormat="1" applyFont="1" applyFill="1" applyBorder="1" applyAlignment="1" applyProtection="1">
      <alignment horizontal="center" vertical="center"/>
      <protection hidden="1"/>
    </xf>
    <xf numFmtId="3" fontId="105" fillId="0" borderId="6" xfId="1" applyNumberFormat="1" applyFont="1" applyFill="1" applyBorder="1" applyAlignment="1" applyProtection="1">
      <alignment horizontal="left" vertical="center" indent="1"/>
      <protection hidden="1"/>
    </xf>
    <xf numFmtId="3" fontId="105" fillId="0" borderId="0" xfId="1" applyNumberFormat="1" applyFont="1" applyFill="1" applyBorder="1" applyAlignment="1" applyProtection="1">
      <alignment horizontal="left" vertical="center" indent="1"/>
      <protection hidden="1"/>
    </xf>
    <xf numFmtId="3" fontId="105" fillId="0" borderId="0" xfId="1" applyNumberFormat="1" applyFont="1" applyFill="1" applyBorder="1" applyAlignment="1" applyProtection="1">
      <alignment vertical="center"/>
      <protection hidden="1"/>
    </xf>
    <xf numFmtId="0" fontId="101" fillId="0" borderId="6" xfId="16" applyFont="1" applyFill="1" applyBorder="1" applyProtection="1">
      <protection hidden="1"/>
    </xf>
    <xf numFmtId="9" fontId="98" fillId="0" borderId="0" xfId="1" applyNumberFormat="1" applyFont="1" applyFill="1" applyBorder="1" applyAlignment="1" applyProtection="1">
      <alignment vertical="center"/>
      <protection hidden="1"/>
    </xf>
    <xf numFmtId="0" fontId="98" fillId="0" borderId="6" xfId="16" applyFont="1" applyFill="1" applyBorder="1" applyAlignment="1" applyProtection="1">
      <alignment vertical="center"/>
      <protection hidden="1"/>
    </xf>
    <xf numFmtId="3" fontId="96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8" fillId="0" borderId="0" xfId="16" applyFont="1" applyFill="1" applyBorder="1" applyAlignment="1" applyProtection="1">
      <alignment horizontal="center" vertical="center"/>
      <protection hidden="1"/>
    </xf>
    <xf numFmtId="10" fontId="98" fillId="0" borderId="0" xfId="16" applyNumberFormat="1" applyFont="1" applyFill="1" applyBorder="1" applyAlignment="1" applyProtection="1">
      <alignment vertical="center"/>
      <protection hidden="1"/>
    </xf>
    <xf numFmtId="0" fontId="98" fillId="0" borderId="9" xfId="16" applyFont="1" applyFill="1" applyBorder="1" applyAlignment="1" applyProtection="1">
      <alignment vertical="center"/>
      <protection hidden="1"/>
    </xf>
    <xf numFmtId="0" fontId="114" fillId="0" borderId="0" xfId="16" applyFont="1" applyFill="1" applyBorder="1" applyAlignment="1" applyProtection="1">
      <alignment vertical="center"/>
      <protection hidden="1"/>
    </xf>
    <xf numFmtId="0" fontId="98" fillId="0" borderId="0" xfId="16" quotePrefix="1" applyFont="1" applyFill="1" applyBorder="1" applyAlignment="1" applyProtection="1">
      <alignment horizontal="left" vertical="center" indent="1"/>
      <protection hidden="1"/>
    </xf>
    <xf numFmtId="0" fontId="101" fillId="0" borderId="0" xfId="16" applyFont="1" applyFill="1" applyBorder="1" applyProtection="1">
      <protection hidden="1"/>
    </xf>
    <xf numFmtId="3" fontId="106" fillId="0" borderId="0" xfId="1" applyNumberFormat="1" applyFont="1" applyFill="1" applyBorder="1" applyAlignment="1" applyProtection="1">
      <alignment horizontal="center" vertical="center" wrapText="1"/>
      <protection hidden="1"/>
    </xf>
    <xf numFmtId="10" fontId="106" fillId="0" borderId="0" xfId="1" applyNumberFormat="1" applyFont="1" applyFill="1" applyBorder="1" applyAlignment="1" applyProtection="1">
      <alignment vertical="center"/>
      <protection hidden="1"/>
    </xf>
    <xf numFmtId="0" fontId="114" fillId="0" borderId="0" xfId="16" applyFont="1" applyFill="1" applyBorder="1" applyProtection="1">
      <protection hidden="1"/>
    </xf>
    <xf numFmtId="3" fontId="114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4" fillId="0" borderId="10" xfId="16" applyFont="1" applyFill="1" applyBorder="1" applyAlignment="1" applyProtection="1">
      <alignment vertical="center"/>
      <protection hidden="1"/>
    </xf>
    <xf numFmtId="0" fontId="94" fillId="0" borderId="11" xfId="16" applyFont="1" applyFill="1" applyBorder="1" applyAlignment="1" applyProtection="1">
      <alignment vertical="center"/>
      <protection hidden="1"/>
    </xf>
    <xf numFmtId="3" fontId="94" fillId="0" borderId="11" xfId="16" applyNumberFormat="1" applyFont="1" applyFill="1" applyBorder="1" applyAlignment="1" applyProtection="1">
      <alignment horizontal="center" vertical="center"/>
      <protection hidden="1"/>
    </xf>
    <xf numFmtId="3" fontId="94" fillId="0" borderId="11" xfId="16" applyNumberFormat="1" applyFont="1" applyFill="1" applyBorder="1" applyAlignment="1" applyProtection="1">
      <alignment vertical="center"/>
      <protection hidden="1"/>
    </xf>
    <xf numFmtId="10" fontId="94" fillId="0" borderId="11" xfId="16" applyNumberFormat="1" applyFont="1" applyFill="1" applyBorder="1" applyAlignment="1" applyProtection="1">
      <alignment vertical="center"/>
      <protection hidden="1"/>
    </xf>
    <xf numFmtId="0" fontId="94" fillId="0" borderId="11" xfId="16" applyFont="1" applyFill="1" applyBorder="1" applyAlignment="1" applyProtection="1">
      <alignment horizontal="center" vertical="center"/>
      <protection hidden="1"/>
    </xf>
    <xf numFmtId="0" fontId="94" fillId="0" borderId="14" xfId="16" applyFont="1" applyFill="1" applyBorder="1" applyAlignment="1" applyProtection="1">
      <alignment vertical="center"/>
      <protection hidden="1"/>
    </xf>
    <xf numFmtId="0" fontId="98" fillId="0" borderId="0" xfId="16" applyFont="1" applyFill="1" applyAlignment="1" applyProtection="1">
      <alignment vertical="center"/>
      <protection hidden="1"/>
    </xf>
    <xf numFmtId="3" fontId="99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1" quotePrefix="1" applyNumberFormat="1" applyFont="1" applyFill="1" applyBorder="1" applyAlignment="1" applyProtection="1">
      <alignment horizontal="center" vertical="center" wrapText="1"/>
      <protection hidden="1"/>
    </xf>
    <xf numFmtId="0" fontId="79" fillId="15" borderId="151" xfId="11" applyFont="1" applyFill="1" applyBorder="1" applyAlignment="1" applyProtection="1">
      <alignment vertical="center"/>
      <protection hidden="1"/>
    </xf>
    <xf numFmtId="0" fontId="79" fillId="15" borderId="152" xfId="11" applyFont="1" applyFill="1" applyBorder="1" applyAlignment="1" applyProtection="1">
      <alignment vertical="center"/>
      <protection hidden="1"/>
    </xf>
    <xf numFmtId="0" fontId="79" fillId="15" borderId="145" xfId="11" applyFont="1" applyFill="1" applyBorder="1" applyAlignment="1" applyProtection="1">
      <alignment vertical="center"/>
      <protection hidden="1"/>
    </xf>
    <xf numFmtId="170" fontId="79" fillId="15" borderId="154" xfId="11" applyNumberFormat="1" applyFont="1" applyFill="1" applyBorder="1" applyAlignment="1" applyProtection="1">
      <alignment vertical="center"/>
      <protection hidden="1"/>
    </xf>
    <xf numFmtId="170" fontId="79" fillId="15" borderId="145" xfId="11" applyNumberFormat="1" applyFont="1" applyFill="1" applyBorder="1" applyAlignment="1" applyProtection="1">
      <alignment vertical="center"/>
      <protection hidden="1"/>
    </xf>
    <xf numFmtId="170" fontId="84" fillId="20" borderId="150" xfId="13" applyNumberFormat="1" applyFont="1" applyFill="1" applyBorder="1" applyAlignment="1" applyProtection="1">
      <alignment vertical="center"/>
      <protection hidden="1"/>
    </xf>
    <xf numFmtId="170" fontId="83" fillId="14" borderId="150" xfId="13" applyNumberFormat="1" applyFont="1" applyFill="1" applyBorder="1" applyAlignment="1" applyProtection="1">
      <alignment vertical="center"/>
      <protection hidden="1"/>
    </xf>
    <xf numFmtId="0" fontId="79" fillId="0" borderId="312" xfId="11" quotePrefix="1" applyFont="1" applyBorder="1" applyAlignment="1" applyProtection="1">
      <alignment horizontal="center" vertical="center"/>
      <protection locked="0" hidden="1"/>
    </xf>
    <xf numFmtId="0" fontId="81" fillId="0" borderId="313" xfId="11" applyFont="1" applyBorder="1" applyAlignment="1" applyProtection="1">
      <alignment vertical="center"/>
      <protection locked="0" hidden="1"/>
    </xf>
    <xf numFmtId="0" fontId="79" fillId="0" borderId="313" xfId="11" applyFont="1" applyBorder="1" applyAlignment="1" applyProtection="1">
      <alignment vertical="center"/>
      <protection locked="0" hidden="1"/>
    </xf>
    <xf numFmtId="0" fontId="79" fillId="0" borderId="314" xfId="11" applyFont="1" applyBorder="1" applyAlignment="1" applyProtection="1">
      <alignment vertical="center"/>
      <protection locked="0" hidden="1"/>
    </xf>
    <xf numFmtId="0" fontId="128" fillId="0" borderId="148" xfId="0" applyFont="1" applyBorder="1" applyAlignment="1">
      <alignment vertical="center"/>
    </xf>
    <xf numFmtId="0" fontId="83" fillId="15" borderId="151" xfId="0" applyFont="1" applyFill="1" applyBorder="1" applyAlignment="1">
      <alignment vertical="center"/>
    </xf>
    <xf numFmtId="170" fontId="85" fillId="15" borderId="152" xfId="0" applyNumberFormat="1" applyFont="1" applyFill="1" applyBorder="1" applyAlignment="1">
      <alignment vertical="center"/>
    </xf>
    <xf numFmtId="170" fontId="85" fillId="15" borderId="145" xfId="0" applyNumberFormat="1" applyFont="1" applyFill="1" applyBorder="1" applyAlignment="1">
      <alignment vertical="center"/>
    </xf>
    <xf numFmtId="0" fontId="85" fillId="15" borderId="153" xfId="0" applyFont="1" applyFill="1" applyBorder="1" applyAlignment="1">
      <alignment vertical="center"/>
    </xf>
    <xf numFmtId="170" fontId="85" fillId="15" borderId="151" xfId="0" applyNumberFormat="1" applyFont="1" applyFill="1" applyBorder="1" applyAlignment="1">
      <alignment vertical="center"/>
    </xf>
    <xf numFmtId="170" fontId="85" fillId="15" borderId="154" xfId="0" applyNumberFormat="1" applyFont="1" applyFill="1" applyBorder="1" applyAlignment="1">
      <alignment vertical="center"/>
    </xf>
    <xf numFmtId="0" fontId="79" fillId="16" borderId="147" xfId="11" applyFont="1" applyFill="1" applyBorder="1" applyAlignment="1" applyProtection="1">
      <alignment vertical="center"/>
      <protection hidden="1"/>
    </xf>
    <xf numFmtId="49" fontId="73" fillId="2" borderId="270" xfId="9" applyNumberFormat="1" applyFont="1" applyFill="1" applyBorder="1" applyAlignment="1" applyProtection="1">
      <alignment horizontal="center" vertical="center"/>
      <protection locked="0"/>
    </xf>
    <xf numFmtId="0" fontId="79" fillId="0" borderId="0" xfId="11" applyFont="1" applyBorder="1" applyAlignment="1" applyProtection="1">
      <alignment vertical="center"/>
      <protection hidden="1"/>
    </xf>
    <xf numFmtId="0" fontId="81" fillId="13" borderId="115" xfId="11" applyFont="1" applyFill="1" applyBorder="1" applyAlignment="1" applyProtection="1">
      <alignment horizontal="center" vertical="center" wrapText="1"/>
      <protection hidden="1"/>
    </xf>
    <xf numFmtId="0" fontId="81" fillId="13" borderId="315" xfId="11" applyFont="1" applyFill="1" applyBorder="1" applyAlignment="1" applyProtection="1">
      <alignment horizontal="center" vertical="center" wrapText="1"/>
      <protection hidden="1"/>
    </xf>
    <xf numFmtId="0" fontId="81" fillId="0" borderId="108" xfId="11" applyFont="1" applyBorder="1" applyAlignment="1" applyProtection="1">
      <alignment horizontal="center" vertical="center"/>
      <protection hidden="1"/>
    </xf>
    <xf numFmtId="0" fontId="82" fillId="14" borderId="316" xfId="11" applyFont="1" applyFill="1" applyBorder="1" applyAlignment="1" applyProtection="1">
      <alignment horizontal="center" vertical="center"/>
      <protection locked="0" hidden="1"/>
    </xf>
    <xf numFmtId="0" fontId="79" fillId="0" borderId="318" xfId="11" applyFont="1" applyBorder="1" applyAlignment="1" applyProtection="1">
      <alignment vertical="center"/>
      <protection hidden="1"/>
    </xf>
    <xf numFmtId="0" fontId="79" fillId="0" borderId="0" xfId="11" applyFont="1" applyBorder="1" applyAlignment="1" applyProtection="1">
      <alignment vertical="center"/>
      <protection hidden="1"/>
    </xf>
    <xf numFmtId="0" fontId="81" fillId="0" borderId="0" xfId="11" applyFont="1" applyBorder="1" applyAlignment="1" applyProtection="1">
      <alignment vertical="center"/>
      <protection hidden="1"/>
    </xf>
    <xf numFmtId="0" fontId="79" fillId="0" borderId="0" xfId="11" applyFont="1" applyFill="1" applyBorder="1" applyAlignment="1" applyProtection="1">
      <alignment vertical="center"/>
      <protection hidden="1"/>
    </xf>
    <xf numFmtId="0" fontId="81" fillId="0" borderId="319" xfId="11" applyFont="1" applyBorder="1" applyAlignment="1" applyProtection="1">
      <alignment horizontal="center" vertical="center"/>
      <protection hidden="1"/>
    </xf>
    <xf numFmtId="0" fontId="129" fillId="0" borderId="71" xfId="0" applyFont="1" applyBorder="1"/>
    <xf numFmtId="3" fontId="130" fillId="0" borderId="71" xfId="0" applyNumberFormat="1" applyFont="1" applyBorder="1" applyAlignment="1">
      <alignment horizontal="right"/>
    </xf>
    <xf numFmtId="10" fontId="130" fillId="0" borderId="71" xfId="0" applyNumberFormat="1" applyFont="1" applyBorder="1" applyAlignment="1">
      <alignment horizontal="right"/>
    </xf>
    <xf numFmtId="0" fontId="94" fillId="0" borderId="320" xfId="16" applyFont="1" applyFill="1" applyBorder="1" applyAlignment="1" applyProtection="1">
      <alignment vertical="center"/>
      <protection hidden="1"/>
    </xf>
    <xf numFmtId="0" fontId="94" fillId="0" borderId="321" xfId="16" applyFont="1" applyFill="1" applyBorder="1" applyAlignment="1" applyProtection="1">
      <alignment vertical="center"/>
      <protection hidden="1"/>
    </xf>
    <xf numFmtId="3" fontId="94" fillId="0" borderId="321" xfId="16" applyNumberFormat="1" applyFont="1" applyFill="1" applyBorder="1" applyAlignment="1" applyProtection="1">
      <alignment horizontal="center" vertical="center"/>
      <protection hidden="1"/>
    </xf>
    <xf numFmtId="3" fontId="94" fillId="0" borderId="321" xfId="16" applyNumberFormat="1" applyFont="1" applyFill="1" applyBorder="1" applyAlignment="1" applyProtection="1">
      <alignment vertical="center"/>
      <protection hidden="1"/>
    </xf>
    <xf numFmtId="10" fontId="94" fillId="0" borderId="321" xfId="16" applyNumberFormat="1" applyFont="1" applyFill="1" applyBorder="1" applyAlignment="1" applyProtection="1">
      <alignment vertical="center"/>
      <protection hidden="1"/>
    </xf>
    <xf numFmtId="0" fontId="94" fillId="0" borderId="321" xfId="16" applyFont="1" applyFill="1" applyBorder="1" applyAlignment="1" applyProtection="1">
      <alignment horizontal="center" vertical="center"/>
      <protection hidden="1"/>
    </xf>
    <xf numFmtId="0" fontId="94" fillId="0" borderId="322" xfId="16" applyFont="1" applyFill="1" applyBorder="1" applyAlignment="1" applyProtection="1">
      <alignment vertical="center"/>
      <protection hidden="1"/>
    </xf>
    <xf numFmtId="0" fontId="113" fillId="0" borderId="323" xfId="16" applyFont="1" applyFill="1" applyBorder="1" applyAlignment="1" applyProtection="1">
      <alignment horizontal="center" vertical="center"/>
      <protection hidden="1"/>
    </xf>
    <xf numFmtId="0" fontId="113" fillId="0" borderId="324" xfId="16" applyFont="1" applyFill="1" applyBorder="1" applyAlignment="1" applyProtection="1">
      <alignment horizontal="center" vertical="center" wrapText="1"/>
      <protection hidden="1"/>
    </xf>
    <xf numFmtId="0" fontId="94" fillId="0" borderId="323" xfId="16" applyFont="1" applyFill="1" applyBorder="1" applyAlignment="1" applyProtection="1">
      <alignment vertical="center"/>
      <protection hidden="1"/>
    </xf>
    <xf numFmtId="0" fontId="94" fillId="0" borderId="324" xfId="16" applyFont="1" applyFill="1" applyBorder="1" applyAlignment="1" applyProtection="1">
      <alignment vertical="center"/>
      <protection hidden="1"/>
    </xf>
    <xf numFmtId="0" fontId="103" fillId="0" borderId="323" xfId="16" applyFont="1" applyFill="1" applyBorder="1" applyAlignment="1" applyProtection="1">
      <alignment horizontal="left" vertical="center"/>
      <protection hidden="1"/>
    </xf>
    <xf numFmtId="0" fontId="98" fillId="0" borderId="323" xfId="16" applyFont="1" applyFill="1" applyBorder="1" applyAlignment="1" applyProtection="1">
      <alignment horizontal="left" vertical="center" indent="1"/>
      <protection hidden="1"/>
    </xf>
    <xf numFmtId="3" fontId="98" fillId="0" borderId="324" xfId="1" applyNumberFormat="1" applyFont="1" applyFill="1" applyBorder="1" applyAlignment="1" applyProtection="1">
      <alignment vertical="center" wrapText="1"/>
      <protection hidden="1"/>
    </xf>
    <xf numFmtId="3" fontId="98" fillId="0" borderId="324" xfId="1" applyNumberFormat="1" applyFont="1" applyFill="1" applyBorder="1" applyAlignment="1" applyProtection="1">
      <alignment vertical="center"/>
      <protection hidden="1"/>
    </xf>
    <xf numFmtId="3" fontId="105" fillId="0" borderId="323" xfId="1" applyNumberFormat="1" applyFont="1" applyFill="1" applyBorder="1" applyAlignment="1" applyProtection="1">
      <alignment horizontal="left" vertical="center" indent="1"/>
      <protection hidden="1"/>
    </xf>
    <xf numFmtId="0" fontId="0" fillId="0" borderId="323" xfId="0" applyBorder="1"/>
    <xf numFmtId="0" fontId="0" fillId="0" borderId="0" xfId="0" applyBorder="1"/>
    <xf numFmtId="0" fontId="0" fillId="0" borderId="324" xfId="0" applyBorder="1"/>
    <xf numFmtId="0" fontId="0" fillId="0" borderId="325" xfId="0" applyBorder="1"/>
    <xf numFmtId="0" fontId="0" fillId="0" borderId="326" xfId="0" applyBorder="1"/>
    <xf numFmtId="0" fontId="0" fillId="0" borderId="327" xfId="0" applyBorder="1"/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0" fontId="101" fillId="0" borderId="132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96" fillId="0" borderId="1" xfId="0" applyFont="1" applyBorder="1" applyAlignment="1" applyProtection="1">
      <alignment vertical="center"/>
      <protection hidden="1"/>
    </xf>
    <xf numFmtId="0" fontId="96" fillId="0" borderId="4" xfId="0" applyFont="1" applyBorder="1" applyAlignment="1" applyProtection="1">
      <alignment vertical="center"/>
      <protection hidden="1"/>
    </xf>
    <xf numFmtId="0" fontId="97" fillId="0" borderId="2" xfId="0" applyFont="1" applyBorder="1" applyAlignment="1" applyProtection="1">
      <alignment vertical="center"/>
      <protection hidden="1"/>
    </xf>
    <xf numFmtId="164" fontId="98" fillId="0" borderId="4" xfId="0" applyNumberFormat="1" applyFont="1" applyBorder="1" applyAlignment="1" applyProtection="1">
      <alignment horizontal="left" vertical="center"/>
      <protection hidden="1"/>
    </xf>
    <xf numFmtId="17" fontId="98" fillId="0" borderId="4" xfId="0" applyNumberFormat="1" applyFont="1" applyBorder="1" applyAlignment="1" applyProtection="1">
      <alignment horizontal="right" vertical="center"/>
      <protection hidden="1"/>
    </xf>
    <xf numFmtId="17" fontId="96" fillId="0" borderId="5" xfId="0" applyNumberFormat="1" applyFont="1" applyBorder="1" applyAlignment="1" applyProtection="1">
      <alignment horizontal="left" vertical="center"/>
      <protection hidden="1"/>
    </xf>
    <xf numFmtId="164" fontId="98" fillId="0" borderId="0" xfId="0" applyNumberFormat="1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vertical="center"/>
      <protection hidden="1"/>
    </xf>
    <xf numFmtId="0" fontId="98" fillId="0" borderId="0" xfId="0" applyFont="1" applyAlignment="1" applyProtection="1">
      <alignment horizontal="right" vertical="center"/>
      <protection hidden="1"/>
    </xf>
    <xf numFmtId="0" fontId="96" fillId="0" borderId="9" xfId="0" applyFont="1" applyBorder="1" applyAlignment="1" applyProtection="1">
      <alignment horizontal="left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1" fillId="0" borderId="66" xfId="0" applyFont="1" applyBorder="1" applyAlignment="1" applyProtection="1">
      <alignment horizontal="center" vertical="center"/>
      <protection hidden="1"/>
    </xf>
    <xf numFmtId="3" fontId="98" fillId="0" borderId="0" xfId="0" applyNumberFormat="1" applyFont="1" applyAlignment="1" applyProtection="1">
      <alignment horizontal="right" vertical="center"/>
      <protection hidden="1"/>
    </xf>
    <xf numFmtId="0" fontId="96" fillId="0" borderId="10" xfId="0" applyFont="1" applyBorder="1" applyAlignment="1" applyProtection="1">
      <alignment vertical="center"/>
      <protection hidden="1"/>
    </xf>
    <xf numFmtId="0" fontId="96" fillId="0" borderId="11" xfId="0" applyFont="1" applyBorder="1" applyAlignment="1" applyProtection="1">
      <alignment vertical="center"/>
      <protection hidden="1"/>
    </xf>
    <xf numFmtId="0" fontId="96" fillId="0" borderId="13" xfId="0" applyFont="1" applyBorder="1" applyAlignment="1" applyProtection="1">
      <alignment horizontal="right" vertical="center"/>
      <protection hidden="1"/>
    </xf>
    <xf numFmtId="164" fontId="98" fillId="0" borderId="11" xfId="0" applyNumberFormat="1" applyFont="1" applyBorder="1" applyAlignment="1" applyProtection="1">
      <alignment horizontal="left" vertical="center"/>
      <protection hidden="1"/>
    </xf>
    <xf numFmtId="3" fontId="98" fillId="0" borderId="11" xfId="0" applyNumberFormat="1" applyFont="1" applyBorder="1" applyAlignment="1" applyProtection="1">
      <alignment horizontal="right" vertical="center"/>
      <protection hidden="1"/>
    </xf>
    <xf numFmtId="3" fontId="96" fillId="0" borderId="14" xfId="0" applyNumberFormat="1" applyFont="1" applyBorder="1" applyAlignment="1" applyProtection="1">
      <alignment horizontal="left" vertical="center"/>
      <protection hidden="1"/>
    </xf>
    <xf numFmtId="0" fontId="94" fillId="0" borderId="6" xfId="0" applyFont="1" applyBorder="1" applyAlignment="1" applyProtection="1">
      <alignment vertical="center"/>
      <protection hidden="1"/>
    </xf>
    <xf numFmtId="0" fontId="94" fillId="0" borderId="0" xfId="0" applyFont="1" applyAlignment="1" applyProtection="1">
      <alignment vertical="center"/>
      <protection hidden="1"/>
    </xf>
    <xf numFmtId="3" fontId="94" fillId="0" borderId="0" xfId="0" applyNumberFormat="1" applyFont="1" applyAlignment="1" applyProtection="1">
      <alignment horizontal="center" vertical="center"/>
      <protection hidden="1"/>
    </xf>
    <xf numFmtId="3" fontId="94" fillId="0" borderId="0" xfId="0" applyNumberFormat="1" applyFont="1" applyAlignment="1" applyProtection="1">
      <alignment vertical="center"/>
      <protection hidden="1"/>
    </xf>
    <xf numFmtId="10" fontId="94" fillId="0" borderId="0" xfId="0" applyNumberFormat="1" applyFont="1" applyAlignment="1" applyProtection="1">
      <alignment vertical="center"/>
      <protection hidden="1"/>
    </xf>
    <xf numFmtId="0" fontId="94" fillId="0" borderId="0" xfId="0" applyFont="1" applyAlignment="1" applyProtection="1">
      <alignment horizontal="center" vertical="center"/>
      <protection hidden="1"/>
    </xf>
    <xf numFmtId="0" fontId="94" fillId="0" borderId="9" xfId="0" applyFont="1" applyBorder="1" applyAlignment="1" applyProtection="1">
      <alignment vertical="center"/>
      <protection hidden="1"/>
    </xf>
    <xf numFmtId="0" fontId="113" fillId="0" borderId="6" xfId="0" applyFont="1" applyBorder="1" applyAlignment="1" applyProtection="1">
      <alignment horizontal="center" vertical="center"/>
      <protection hidden="1"/>
    </xf>
    <xf numFmtId="0" fontId="113" fillId="0" borderId="0" xfId="0" applyFont="1" applyAlignment="1" applyProtection="1">
      <alignment horizontal="center" vertical="center"/>
      <protection hidden="1"/>
    </xf>
    <xf numFmtId="3" fontId="113" fillId="0" borderId="0" xfId="0" applyNumberFormat="1" applyFont="1" applyAlignment="1" applyProtection="1">
      <alignment horizontal="center" vertical="center" wrapText="1"/>
      <protection hidden="1"/>
    </xf>
    <xf numFmtId="0" fontId="113" fillId="0" borderId="0" xfId="0" applyFont="1" applyAlignment="1" applyProtection="1">
      <alignment horizontal="center" vertical="center" wrapText="1"/>
      <protection hidden="1"/>
    </xf>
    <xf numFmtId="0" fontId="113" fillId="0" borderId="9" xfId="0" applyFont="1" applyBorder="1" applyAlignment="1" applyProtection="1">
      <alignment horizontal="center" vertical="center" wrapText="1"/>
      <protection hidden="1"/>
    </xf>
    <xf numFmtId="0" fontId="103" fillId="0" borderId="6" xfId="0" applyFont="1" applyBorder="1" applyAlignment="1" applyProtection="1">
      <alignment horizontal="left" vertical="center"/>
      <protection hidden="1"/>
    </xf>
    <xf numFmtId="3" fontId="98" fillId="0" borderId="0" xfId="0" applyNumberFormat="1" applyFont="1" applyAlignment="1" applyProtection="1">
      <alignment vertical="center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0" fontId="98" fillId="0" borderId="6" xfId="0" applyFont="1" applyBorder="1" applyAlignment="1" applyProtection="1">
      <alignment horizontal="left" vertical="center" indent="1"/>
      <protection hidden="1"/>
    </xf>
    <xf numFmtId="0" fontId="98" fillId="0" borderId="0" xfId="0" applyFont="1" applyAlignment="1" applyProtection="1">
      <alignment horizontal="left" vertical="center" indent="1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3" fontId="96" fillId="0" borderId="0" xfId="0" applyNumberFormat="1" applyFont="1" applyAlignment="1" applyProtection="1">
      <alignment vertical="center"/>
      <protection hidden="1"/>
    </xf>
    <xf numFmtId="3" fontId="96" fillId="0" borderId="0" xfId="0" applyNumberFormat="1" applyFont="1" applyAlignment="1" applyProtection="1">
      <alignment vertical="center" wrapText="1"/>
      <protection hidden="1"/>
    </xf>
    <xf numFmtId="3" fontId="98" fillId="0" borderId="0" xfId="0" applyNumberFormat="1" applyFont="1" applyAlignment="1" applyProtection="1">
      <alignment vertical="center" wrapText="1"/>
      <protection hidden="1"/>
    </xf>
    <xf numFmtId="3" fontId="98" fillId="0" borderId="9" xfId="0" applyNumberFormat="1" applyFont="1" applyBorder="1" applyAlignment="1" applyProtection="1">
      <alignment vertical="center" wrapText="1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3" fontId="114" fillId="0" borderId="0" xfId="0" applyNumberFormat="1" applyFont="1" applyAlignment="1" applyProtection="1">
      <alignment vertical="center"/>
      <protection hidden="1"/>
    </xf>
    <xf numFmtId="10" fontId="114" fillId="0" borderId="0" xfId="0" applyNumberFormat="1" applyFont="1" applyAlignment="1" applyProtection="1">
      <alignment vertical="center"/>
      <protection hidden="1"/>
    </xf>
    <xf numFmtId="3" fontId="98" fillId="0" borderId="9" xfId="0" applyNumberFormat="1" applyFont="1" applyBorder="1" applyAlignment="1" applyProtection="1">
      <alignment vertical="center"/>
      <protection hidden="1"/>
    </xf>
    <xf numFmtId="0" fontId="98" fillId="0" borderId="0" xfId="0" applyFont="1" applyAlignment="1" applyProtection="1">
      <alignment vertical="center"/>
      <protection hidden="1"/>
    </xf>
    <xf numFmtId="3" fontId="98" fillId="0" borderId="0" xfId="0" applyNumberFormat="1" applyFont="1" applyAlignment="1" applyProtection="1">
      <alignment horizontal="center" vertical="center"/>
      <protection hidden="1"/>
    </xf>
    <xf numFmtId="3" fontId="105" fillId="0" borderId="6" xfId="0" applyNumberFormat="1" applyFont="1" applyBorder="1" applyAlignment="1" applyProtection="1">
      <alignment horizontal="left" vertical="center" indent="1"/>
      <protection hidden="1"/>
    </xf>
    <xf numFmtId="3" fontId="105" fillId="0" borderId="0" xfId="0" applyNumberFormat="1" applyFont="1" applyAlignment="1" applyProtection="1">
      <alignment horizontal="left" vertical="center" indent="1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0" fontId="101" fillId="0" borderId="6" xfId="0" applyFont="1" applyBorder="1" applyProtection="1">
      <protection hidden="1"/>
    </xf>
    <xf numFmtId="0" fontId="101" fillId="0" borderId="0" xfId="0" applyFont="1" applyProtection="1">
      <protection hidden="1"/>
    </xf>
    <xf numFmtId="3" fontId="99" fillId="0" borderId="0" xfId="0" applyNumberFormat="1" applyFont="1" applyAlignment="1" applyProtection="1">
      <alignment horizontal="center" vertical="center" wrapText="1"/>
      <protection hidden="1"/>
    </xf>
    <xf numFmtId="10" fontId="106" fillId="0" borderId="0" xfId="0" applyNumberFormat="1" applyFont="1" applyAlignment="1" applyProtection="1">
      <alignment vertical="center"/>
      <protection hidden="1"/>
    </xf>
    <xf numFmtId="10" fontId="98" fillId="0" borderId="0" xfId="0" applyNumberFormat="1" applyFont="1" applyAlignment="1" applyProtection="1">
      <alignment horizontal="center" vertical="center" wrapText="1"/>
      <protection hidden="1"/>
    </xf>
    <xf numFmtId="3" fontId="98" fillId="0" borderId="9" xfId="0" applyNumberFormat="1" applyFont="1" applyBorder="1" applyAlignment="1" applyProtection="1">
      <alignment horizontal="center" vertical="center" wrapText="1"/>
      <protection hidden="1"/>
    </xf>
    <xf numFmtId="9" fontId="98" fillId="0" borderId="0" xfId="0" applyNumberFormat="1" applyFont="1" applyAlignment="1" applyProtection="1">
      <alignment vertical="center"/>
      <protection hidden="1"/>
    </xf>
    <xf numFmtId="0" fontId="98" fillId="0" borderId="6" xfId="0" applyFont="1" applyBorder="1" applyAlignment="1" applyProtection="1">
      <alignment vertical="center"/>
      <protection hidden="1"/>
    </xf>
    <xf numFmtId="3" fontId="96" fillId="0" borderId="0" xfId="0" applyNumberFormat="1" applyFont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horizontal="center" vertical="center"/>
      <protection hidden="1"/>
    </xf>
    <xf numFmtId="10" fontId="98" fillId="0" borderId="0" xfId="0" applyNumberFormat="1" applyFont="1" applyAlignment="1" applyProtection="1">
      <alignment vertical="center"/>
      <protection hidden="1"/>
    </xf>
    <xf numFmtId="0" fontId="98" fillId="0" borderId="9" xfId="0" applyFont="1" applyBorder="1" applyAlignment="1" applyProtection="1">
      <alignment vertical="center"/>
      <protection hidden="1"/>
    </xf>
    <xf numFmtId="0" fontId="114" fillId="0" borderId="0" xfId="0" applyFont="1" applyAlignment="1" applyProtection="1">
      <alignment vertical="center"/>
      <protection hidden="1"/>
    </xf>
    <xf numFmtId="0" fontId="94" fillId="0" borderId="10" xfId="0" applyFont="1" applyBorder="1" applyAlignment="1" applyProtection="1">
      <alignment vertical="center"/>
      <protection hidden="1"/>
    </xf>
    <xf numFmtId="0" fontId="94" fillId="0" borderId="11" xfId="0" applyFont="1" applyBorder="1" applyAlignment="1" applyProtection="1">
      <alignment vertical="center"/>
      <protection hidden="1"/>
    </xf>
    <xf numFmtId="3" fontId="94" fillId="0" borderId="11" xfId="0" applyNumberFormat="1" applyFont="1" applyBorder="1" applyAlignment="1" applyProtection="1">
      <alignment horizontal="center" vertical="center"/>
      <protection hidden="1"/>
    </xf>
    <xf numFmtId="3" fontId="94" fillId="0" borderId="11" xfId="0" applyNumberFormat="1" applyFont="1" applyBorder="1" applyAlignment="1" applyProtection="1">
      <alignment vertical="center"/>
      <protection hidden="1"/>
    </xf>
    <xf numFmtId="10" fontId="94" fillId="0" borderId="11" xfId="0" applyNumberFormat="1" applyFont="1" applyBorder="1" applyAlignment="1" applyProtection="1">
      <alignment vertical="center"/>
      <protection hidden="1"/>
    </xf>
    <xf numFmtId="0" fontId="94" fillId="0" borderId="11" xfId="0" applyFont="1" applyBorder="1" applyAlignment="1" applyProtection="1">
      <alignment horizontal="center" vertical="center"/>
      <protection hidden="1"/>
    </xf>
    <xf numFmtId="0" fontId="94" fillId="0" borderId="14" xfId="0" applyFont="1" applyBorder="1" applyAlignment="1" applyProtection="1">
      <alignment vertical="center"/>
      <protection hidden="1"/>
    </xf>
    <xf numFmtId="3" fontId="106" fillId="0" borderId="0" xfId="0" applyNumberFormat="1" applyFont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vertical="center"/>
      <protection hidden="1"/>
    </xf>
    <xf numFmtId="0" fontId="104" fillId="0" borderId="0" xfId="0" applyFont="1" applyAlignment="1" applyProtection="1">
      <alignment horizontal="left" vertical="center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105" fillId="0" borderId="0" xfId="0" applyFont="1" applyAlignment="1" applyProtection="1">
      <alignment vertical="center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164" fontId="90" fillId="3" borderId="334" xfId="10" applyNumberFormat="1" applyFont="1" applyFill="1" applyBorder="1" applyAlignment="1" applyProtection="1">
      <alignment horizontal="center" vertical="center"/>
      <protection hidden="1"/>
    </xf>
    <xf numFmtId="164" fontId="90" fillId="3" borderId="335" xfId="10" applyNumberFormat="1" applyFont="1" applyFill="1" applyBorder="1" applyAlignment="1" applyProtection="1">
      <alignment horizontal="center" vertical="center" wrapText="1"/>
      <protection hidden="1"/>
    </xf>
    <xf numFmtId="3" fontId="51" fillId="0" borderId="336" xfId="10" applyNumberFormat="1" applyFont="1" applyBorder="1" applyAlignment="1" applyProtection="1">
      <alignment vertical="center"/>
      <protection hidden="1"/>
    </xf>
    <xf numFmtId="3" fontId="54" fillId="3" borderId="333" xfId="15" applyNumberFormat="1" applyFont="1" applyFill="1" applyBorder="1" applyAlignment="1" applyProtection="1">
      <alignment vertical="center"/>
      <protection hidden="1"/>
    </xf>
    <xf numFmtId="3" fontId="54" fillId="0" borderId="336" xfId="10" applyNumberFormat="1" applyFont="1" applyBorder="1" applyAlignment="1" applyProtection="1">
      <alignment horizontal="center" vertical="center"/>
      <protection hidden="1"/>
    </xf>
    <xf numFmtId="3" fontId="51" fillId="0" borderId="336" xfId="10" applyNumberFormat="1" applyFont="1" applyBorder="1" applyAlignment="1" applyProtection="1">
      <alignment horizontal="right" vertical="center"/>
      <protection hidden="1"/>
    </xf>
    <xf numFmtId="3" fontId="54" fillId="3" borderId="333" xfId="15" applyNumberFormat="1" applyFont="1" applyFill="1" applyBorder="1" applyAlignment="1" applyProtection="1">
      <alignment horizontal="center" vertical="center"/>
      <protection hidden="1"/>
    </xf>
    <xf numFmtId="3" fontId="54" fillId="3" borderId="334" xfId="15" applyNumberFormat="1" applyFont="1" applyFill="1" applyBorder="1" applyAlignment="1" applyProtection="1">
      <alignment horizontal="center" vertical="center"/>
      <protection hidden="1"/>
    </xf>
    <xf numFmtId="3" fontId="54" fillId="8" borderId="337" xfId="15" applyNumberFormat="1" applyFont="1" applyFill="1" applyBorder="1" applyAlignment="1" applyProtection="1">
      <alignment horizontal="center" vertical="center"/>
      <protection hidden="1"/>
    </xf>
    <xf numFmtId="3" fontId="54" fillId="0" borderId="336" xfId="15" applyNumberFormat="1" applyFont="1" applyBorder="1" applyAlignment="1" applyProtection="1">
      <alignment vertical="center"/>
      <protection hidden="1"/>
    </xf>
    <xf numFmtId="3" fontId="54" fillId="8" borderId="337" xfId="15" applyNumberFormat="1" applyFont="1" applyFill="1" applyBorder="1" applyAlignment="1" applyProtection="1">
      <alignment vertical="center"/>
      <protection hidden="1"/>
    </xf>
    <xf numFmtId="3" fontId="54" fillId="8" borderId="333" xfId="15" applyNumberFormat="1" applyFont="1" applyFill="1" applyBorder="1" applyAlignment="1" applyProtection="1">
      <alignment horizontal="center" vertical="center"/>
      <protection hidden="1"/>
    </xf>
    <xf numFmtId="0" fontId="9" fillId="3" borderId="22" xfId="1" applyFont="1" applyFill="1" applyBorder="1" applyAlignment="1" applyProtection="1">
      <alignment horizontal="center" vertical="center"/>
      <protection hidden="1"/>
    </xf>
    <xf numFmtId="0" fontId="10" fillId="2" borderId="28" xfId="0" applyFont="1" applyFill="1" applyBorder="1" applyAlignment="1" applyProtection="1">
      <alignment horizontal="left" vertical="center"/>
      <protection hidden="1"/>
    </xf>
    <xf numFmtId="0" fontId="10" fillId="2" borderId="29" xfId="0" applyFont="1" applyFill="1" applyBorder="1" applyAlignment="1" applyProtection="1">
      <alignment horizontal="left" vertical="center"/>
      <protection hidden="1"/>
    </xf>
    <xf numFmtId="3" fontId="14" fillId="3" borderId="16" xfId="1" applyNumberFormat="1" applyFont="1" applyFill="1" applyBorder="1" applyAlignment="1" applyProtection="1">
      <alignment horizontal="center" vertical="center"/>
      <protection hidden="1"/>
    </xf>
    <xf numFmtId="164" fontId="14" fillId="2" borderId="18" xfId="1" applyNumberFormat="1" applyFont="1" applyFill="1" applyBorder="1" applyAlignment="1" applyProtection="1">
      <alignment horizontal="center" vertical="center"/>
      <protection hidden="1"/>
    </xf>
    <xf numFmtId="0" fontId="8" fillId="3" borderId="19" xfId="1" applyFont="1" applyFill="1" applyBorder="1" applyAlignment="1" applyProtection="1">
      <alignment horizontal="center" vertical="center"/>
      <protection hidden="1"/>
    </xf>
    <xf numFmtId="0" fontId="8" fillId="3" borderId="20" xfId="1" applyFont="1" applyFill="1" applyBorder="1" applyAlignment="1" applyProtection="1">
      <alignment horizontal="center" vertical="center"/>
      <protection hidden="1"/>
    </xf>
    <xf numFmtId="0" fontId="8" fillId="3" borderId="23" xfId="1" applyFont="1" applyFill="1" applyBorder="1" applyAlignment="1" applyProtection="1">
      <alignment horizontal="center" vertical="center"/>
      <protection hidden="1"/>
    </xf>
    <xf numFmtId="0" fontId="8" fillId="3" borderId="24" xfId="1" applyFont="1" applyFill="1" applyBorder="1" applyAlignment="1" applyProtection="1">
      <alignment horizontal="center" vertical="center"/>
      <protection hidden="1"/>
    </xf>
    <xf numFmtId="4" fontId="8" fillId="4" borderId="21" xfId="1" applyNumberFormat="1" applyFont="1" applyFill="1" applyBorder="1" applyAlignment="1" applyProtection="1">
      <alignment horizontal="center" vertical="center" wrapText="1"/>
      <protection hidden="1"/>
    </xf>
    <xf numFmtId="0" fontId="8" fillId="4" borderId="25" xfId="1" applyFont="1" applyFill="1" applyBorder="1" applyAlignment="1" applyProtection="1">
      <alignment horizontal="center" vertical="center" wrapText="1"/>
      <protection hidden="1"/>
    </xf>
    <xf numFmtId="0" fontId="8" fillId="5" borderId="21" xfId="1" applyFont="1" applyFill="1" applyBorder="1" applyAlignment="1" applyProtection="1">
      <alignment horizontal="center" vertical="center" wrapText="1"/>
      <protection hidden="1"/>
    </xf>
    <xf numFmtId="0" fontId="8" fillId="5" borderId="25" xfId="1" applyFont="1" applyFill="1" applyBorder="1" applyAlignment="1" applyProtection="1">
      <alignment horizontal="center" vertical="center" wrapText="1"/>
      <protection hidden="1"/>
    </xf>
    <xf numFmtId="14" fontId="8" fillId="6" borderId="21" xfId="1" applyNumberFormat="1" applyFont="1" applyFill="1" applyBorder="1" applyAlignment="1" applyProtection="1">
      <alignment horizontal="center" vertical="center" wrapText="1"/>
      <protection hidden="1"/>
    </xf>
    <xf numFmtId="0" fontId="8" fillId="6" borderId="25" xfId="1" applyFont="1" applyFill="1" applyBorder="1" applyAlignment="1" applyProtection="1">
      <alignment horizontal="center" vertical="center" wrapText="1"/>
      <protection hidden="1"/>
    </xf>
    <xf numFmtId="3" fontId="10" fillId="3" borderId="15" xfId="1" applyNumberFormat="1" applyFont="1" applyFill="1" applyBorder="1" applyAlignment="1" applyProtection="1">
      <alignment horizontal="center" vertical="center"/>
      <protection hidden="1"/>
    </xf>
    <xf numFmtId="3" fontId="10" fillId="3" borderId="17" xfId="1" applyNumberFormat="1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14" fontId="1" fillId="2" borderId="0" xfId="0" applyNumberFormat="1" applyFont="1" applyFill="1" applyBorder="1" applyAlignment="1" applyProtection="1">
      <alignment horizontal="right" vertical="center"/>
      <protection hidden="1"/>
    </xf>
    <xf numFmtId="14" fontId="1" fillId="2" borderId="9" xfId="0" applyNumberFormat="1" applyFont="1" applyFill="1" applyBorder="1" applyAlignment="1" applyProtection="1">
      <alignment horizontal="right" vertical="center"/>
      <protection hidden="1"/>
    </xf>
    <xf numFmtId="0" fontId="10" fillId="2" borderId="32" xfId="0" applyFont="1" applyFill="1" applyBorder="1" applyAlignment="1" applyProtection="1">
      <alignment horizontal="left" vertical="center"/>
      <protection hidden="1"/>
    </xf>
    <xf numFmtId="0" fontId="10" fillId="2" borderId="33" xfId="0" applyFont="1" applyFill="1" applyBorder="1" applyAlignment="1" applyProtection="1">
      <alignment horizontal="left" vertical="center"/>
      <protection hidden="1"/>
    </xf>
    <xf numFmtId="3" fontId="10" fillId="2" borderId="19" xfId="1" applyNumberFormat="1" applyFont="1" applyFill="1" applyBorder="1" applyAlignment="1" applyProtection="1">
      <alignment horizontal="left" vertical="center" indent="1"/>
      <protection hidden="1"/>
    </xf>
    <xf numFmtId="0" fontId="0" fillId="0" borderId="20" xfId="0" applyBorder="1" applyProtection="1">
      <protection hidden="1"/>
    </xf>
    <xf numFmtId="0" fontId="15" fillId="2" borderId="41" xfId="0" applyFont="1" applyFill="1" applyBorder="1" applyAlignment="1" applyProtection="1">
      <alignment horizontal="center" vertical="center"/>
      <protection hidden="1"/>
    </xf>
    <xf numFmtId="0" fontId="15" fillId="2" borderId="48" xfId="0" applyFont="1" applyFill="1" applyBorder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3" fontId="10" fillId="2" borderId="28" xfId="1" applyNumberFormat="1" applyFont="1" applyFill="1" applyBorder="1" applyAlignment="1" applyProtection="1">
      <alignment horizontal="left" vertical="center" indent="1"/>
      <protection hidden="1"/>
    </xf>
    <xf numFmtId="3" fontId="10" fillId="2" borderId="29" xfId="1" applyNumberFormat="1" applyFont="1" applyFill="1" applyBorder="1" applyAlignment="1" applyProtection="1">
      <alignment horizontal="left" vertical="center" indent="1"/>
      <protection hidden="1"/>
    </xf>
    <xf numFmtId="3" fontId="10" fillId="2" borderId="23" xfId="1" applyNumberFormat="1" applyFont="1" applyFill="1" applyBorder="1" applyAlignment="1" applyProtection="1">
      <alignment horizontal="left" vertical="center" indent="1"/>
      <protection hidden="1"/>
    </xf>
    <xf numFmtId="3" fontId="10" fillId="2" borderId="24" xfId="1" applyNumberFormat="1" applyFont="1" applyFill="1" applyBorder="1" applyAlignment="1" applyProtection="1">
      <alignment horizontal="left" vertical="center" indent="1"/>
      <protection hidden="1"/>
    </xf>
    <xf numFmtId="0" fontId="15" fillId="2" borderId="39" xfId="0" applyFont="1" applyFill="1" applyBorder="1" applyAlignment="1" applyProtection="1">
      <alignment horizontal="center" vertical="center"/>
      <protection hidden="1"/>
    </xf>
    <xf numFmtId="0" fontId="15" fillId="2" borderId="45" xfId="0" applyFont="1" applyFill="1" applyBorder="1" applyAlignment="1" applyProtection="1">
      <alignment horizontal="center" vertical="center"/>
      <protection hidden="1"/>
    </xf>
    <xf numFmtId="0" fontId="15" fillId="2" borderId="40" xfId="0" applyFont="1" applyFill="1" applyBorder="1" applyAlignment="1" applyProtection="1">
      <alignment horizontal="center" vertical="center"/>
      <protection hidden="1"/>
    </xf>
    <xf numFmtId="0" fontId="15" fillId="2" borderId="47" xfId="0" applyFont="1" applyFill="1" applyBorder="1" applyAlignment="1" applyProtection="1">
      <alignment horizontal="center" vertical="center"/>
      <protection hidden="1"/>
    </xf>
    <xf numFmtId="3" fontId="19" fillId="2" borderId="51" xfId="1" applyNumberFormat="1" applyFont="1" applyFill="1" applyBorder="1" applyAlignment="1" applyProtection="1">
      <alignment horizontal="left" vertical="center" indent="1"/>
      <protection locked="0"/>
    </xf>
    <xf numFmtId="3" fontId="19" fillId="2" borderId="52" xfId="1" applyNumberFormat="1" applyFont="1" applyFill="1" applyBorder="1" applyAlignment="1" applyProtection="1">
      <alignment horizontal="left" vertical="center" inden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Alignment="1" applyProtection="1">
      <alignment horizontal="center"/>
      <protection locked="0"/>
    </xf>
    <xf numFmtId="3" fontId="5" fillId="3" borderId="15" xfId="1" applyNumberFormat="1" applyFont="1" applyFill="1" applyBorder="1" applyAlignment="1" applyProtection="1">
      <alignment horizontal="center" vertical="center"/>
      <protection locked="0"/>
    </xf>
    <xf numFmtId="3" fontId="5" fillId="3" borderId="16" xfId="1" applyNumberFormat="1" applyFont="1" applyFill="1" applyBorder="1" applyAlignment="1" applyProtection="1">
      <alignment horizontal="center" vertical="center"/>
      <protection locked="0"/>
    </xf>
    <xf numFmtId="3" fontId="5" fillId="3" borderId="136" xfId="1" applyNumberFormat="1" applyFont="1" applyFill="1" applyBorder="1" applyAlignment="1" applyProtection="1">
      <alignment horizontal="center" vertical="center"/>
      <protection locked="0"/>
    </xf>
    <xf numFmtId="3" fontId="5" fillId="3" borderId="17" xfId="1" applyNumberFormat="1" applyFont="1" applyFill="1" applyBorder="1" applyAlignment="1" applyProtection="1">
      <alignment horizontal="center" vertical="center"/>
      <protection locked="0"/>
    </xf>
    <xf numFmtId="3" fontId="19" fillId="0" borderId="15" xfId="1" applyNumberFormat="1" applyFont="1" applyFill="1" applyBorder="1" applyAlignment="1" applyProtection="1">
      <alignment horizontal="left" vertical="center" indent="1"/>
      <protection locked="0"/>
    </xf>
    <xf numFmtId="3" fontId="19" fillId="0" borderId="17" xfId="1" applyNumberFormat="1" applyFont="1" applyFill="1" applyBorder="1" applyAlignment="1" applyProtection="1">
      <alignment horizontal="left" vertical="center" indent="1"/>
      <protection locked="0"/>
    </xf>
    <xf numFmtId="3" fontId="1" fillId="0" borderId="15" xfId="1" applyNumberFormat="1" applyFont="1" applyFill="1" applyBorder="1" applyAlignment="1" applyProtection="1">
      <alignment horizontal="left" vertical="center" indent="1"/>
      <protection locked="0"/>
    </xf>
    <xf numFmtId="3" fontId="1" fillId="0" borderId="17" xfId="1" applyNumberFormat="1" applyFont="1" applyFill="1" applyBorder="1" applyAlignment="1" applyProtection="1">
      <alignment horizontal="left" vertical="center" indent="1"/>
      <protection locked="0"/>
    </xf>
    <xf numFmtId="14" fontId="1" fillId="0" borderId="0" xfId="0" applyNumberFormat="1" applyFont="1" applyFill="1" applyBorder="1" applyAlignment="1" applyProtection="1">
      <alignment horizontal="right" vertical="center"/>
      <protection hidden="1"/>
    </xf>
    <xf numFmtId="14" fontId="1" fillId="0" borderId="9" xfId="0" applyNumberFormat="1" applyFont="1" applyFill="1" applyBorder="1" applyAlignment="1" applyProtection="1">
      <alignment horizontal="right" vertical="center"/>
      <protection hidden="1"/>
    </xf>
    <xf numFmtId="3" fontId="13" fillId="3" borderId="79" xfId="1" applyNumberFormat="1" applyFont="1" applyFill="1" applyBorder="1" applyAlignment="1" applyProtection="1">
      <alignment horizontal="left" vertical="center"/>
      <protection hidden="1"/>
    </xf>
    <xf numFmtId="0" fontId="15" fillId="0" borderId="286" xfId="0" applyFont="1" applyFill="1" applyBorder="1" applyAlignment="1" applyProtection="1">
      <alignment horizontal="left" vertical="center"/>
      <protection hidden="1"/>
    </xf>
    <xf numFmtId="0" fontId="15" fillId="0" borderId="128" xfId="0" applyFont="1" applyFill="1" applyBorder="1" applyAlignment="1" applyProtection="1">
      <alignment horizontal="left" vertical="center"/>
      <protection hidden="1"/>
    </xf>
    <xf numFmtId="0" fontId="15" fillId="0" borderId="79" xfId="0" applyFont="1" applyFill="1" applyBorder="1" applyAlignment="1" applyProtection="1">
      <alignment horizontal="left" vertical="center"/>
      <protection hidden="1"/>
    </xf>
    <xf numFmtId="0" fontId="23" fillId="0" borderId="8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23" fillId="0" borderId="7" xfId="0" applyFont="1" applyFill="1" applyBorder="1" applyAlignment="1" applyProtection="1">
      <alignment horizontal="center" vertical="center"/>
      <protection hidden="1"/>
    </xf>
    <xf numFmtId="0" fontId="24" fillId="3" borderId="22" xfId="1" applyFont="1" applyFill="1" applyBorder="1" applyAlignment="1" applyProtection="1">
      <alignment horizontal="center" vertical="center" wrapText="1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4" fillId="0" borderId="11" xfId="0" applyFont="1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3" fontId="23" fillId="3" borderId="16" xfId="1" applyNumberFormat="1" applyFont="1" applyFill="1" applyBorder="1" applyAlignment="1" applyProtection="1">
      <alignment horizontal="center" vertical="center"/>
      <protection hidden="1"/>
    </xf>
    <xf numFmtId="0" fontId="14" fillId="0" borderId="18" xfId="1" applyFont="1" applyFill="1" applyBorder="1" applyAlignment="1" applyProtection="1">
      <alignment horizontal="center" vertical="center"/>
      <protection hidden="1"/>
    </xf>
    <xf numFmtId="0" fontId="13" fillId="5" borderId="15" xfId="1" applyFont="1" applyFill="1" applyBorder="1" applyAlignment="1" applyProtection="1">
      <alignment horizontal="center" vertical="center" wrapText="1"/>
      <protection hidden="1"/>
    </xf>
    <xf numFmtId="0" fontId="13" fillId="5" borderId="16" xfId="1" applyFont="1" applyFill="1" applyBorder="1" applyAlignment="1" applyProtection="1">
      <alignment horizontal="center" vertical="center" wrapText="1"/>
      <protection hidden="1"/>
    </xf>
    <xf numFmtId="0" fontId="13" fillId="5" borderId="17" xfId="1" applyFont="1" applyFill="1" applyBorder="1" applyAlignment="1" applyProtection="1">
      <alignment horizontal="center" vertical="center" wrapText="1"/>
      <protection hidden="1"/>
    </xf>
    <xf numFmtId="14" fontId="17" fillId="2" borderId="0" xfId="0" applyNumberFormat="1" applyFont="1" applyFill="1" applyBorder="1" applyAlignment="1" applyProtection="1">
      <alignment horizontal="right" vertical="center"/>
      <protection locked="0" hidden="1"/>
    </xf>
    <xf numFmtId="0" fontId="17" fillId="2" borderId="7" xfId="0" applyFont="1" applyFill="1" applyBorder="1" applyAlignment="1" applyProtection="1">
      <alignment horizontal="right" vertical="center"/>
      <protection locked="0" hidden="1"/>
    </xf>
    <xf numFmtId="14" fontId="5" fillId="2" borderId="0" xfId="0" applyNumberFormat="1" applyFont="1" applyFill="1" applyBorder="1" applyAlignment="1" applyProtection="1">
      <alignment horizontal="right" vertical="center"/>
      <protection locked="0" hidden="1"/>
    </xf>
    <xf numFmtId="0" fontId="5" fillId="2" borderId="7" xfId="0" applyFont="1" applyFill="1" applyBorder="1" applyAlignment="1" applyProtection="1">
      <alignment horizontal="right" vertical="center"/>
      <protection locked="0" hidden="1"/>
    </xf>
    <xf numFmtId="0" fontId="23" fillId="2" borderId="8" xfId="0" applyFont="1" applyFill="1" applyBorder="1" applyAlignment="1" applyProtection="1">
      <alignment horizontal="center" vertical="center"/>
      <protection locked="0" hidden="1"/>
    </xf>
    <xf numFmtId="0" fontId="23" fillId="2" borderId="0" xfId="0" applyFont="1" applyFill="1" applyBorder="1" applyAlignment="1" applyProtection="1">
      <alignment horizontal="center" vertical="center"/>
      <protection locked="0" hidden="1"/>
    </xf>
    <xf numFmtId="0" fontId="23" fillId="2" borderId="7" xfId="0" applyFont="1" applyFill="1" applyBorder="1" applyAlignment="1" applyProtection="1">
      <alignment horizontal="center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10" fillId="0" borderId="0" xfId="0" applyFont="1" applyFill="1" applyBorder="1" applyAlignment="1" applyProtection="1">
      <alignment horizontal="left" vertical="center"/>
      <protection hidden="1"/>
    </xf>
    <xf numFmtId="0" fontId="10" fillId="0" borderId="29" xfId="0" applyFont="1" applyFill="1" applyBorder="1" applyAlignment="1" applyProtection="1">
      <alignment horizontal="left" vertical="center"/>
      <protection hidden="1"/>
    </xf>
    <xf numFmtId="3" fontId="23" fillId="2" borderId="18" xfId="1" applyNumberFormat="1" applyFont="1" applyFill="1" applyBorder="1" applyAlignment="1" applyProtection="1">
      <alignment horizontal="center" vertical="center"/>
      <protection hidden="1"/>
    </xf>
    <xf numFmtId="10" fontId="9" fillId="3" borderId="15" xfId="1" applyNumberFormat="1" applyFont="1" applyFill="1" applyBorder="1" applyAlignment="1" applyProtection="1">
      <alignment horizontal="center" vertical="center" wrapText="1"/>
      <protection hidden="1"/>
    </xf>
    <xf numFmtId="10" fontId="9" fillId="3" borderId="17" xfId="1" applyNumberFormat="1" applyFont="1" applyFill="1" applyBorder="1" applyAlignment="1" applyProtection="1">
      <alignment horizontal="center" vertical="center" wrapText="1"/>
      <protection hidden="1"/>
    </xf>
    <xf numFmtId="0" fontId="39" fillId="0" borderId="6" xfId="0" applyFont="1" applyFill="1" applyBorder="1" applyAlignment="1" applyProtection="1">
      <alignment horizontal="center"/>
      <protection hidden="1"/>
    </xf>
    <xf numFmtId="0" fontId="39" fillId="0" borderId="0" xfId="0" applyFont="1" applyFill="1" applyBorder="1" applyAlignment="1" applyProtection="1">
      <alignment horizontal="center"/>
      <protection hidden="1"/>
    </xf>
    <xf numFmtId="0" fontId="39" fillId="0" borderId="6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Border="1" applyAlignment="1" applyProtection="1">
      <alignment horizontal="center" vertical="center"/>
      <protection hidden="1"/>
    </xf>
    <xf numFmtId="3" fontId="29" fillId="3" borderId="15" xfId="1" applyNumberFormat="1" applyFont="1" applyFill="1" applyBorder="1" applyAlignment="1" applyProtection="1">
      <alignment horizontal="center" vertical="center"/>
      <protection hidden="1"/>
    </xf>
    <xf numFmtId="3" fontId="29" fillId="3" borderId="16" xfId="1" applyNumberFormat="1" applyFont="1" applyFill="1" applyBorder="1" applyAlignment="1" applyProtection="1">
      <alignment horizontal="center" vertical="center"/>
      <protection hidden="1"/>
    </xf>
    <xf numFmtId="3" fontId="29" fillId="3" borderId="17" xfId="1" applyNumberFormat="1" applyFont="1" applyFill="1" applyBorder="1" applyAlignment="1" applyProtection="1">
      <alignment horizontal="center" vertical="center"/>
      <protection hidden="1"/>
    </xf>
    <xf numFmtId="0" fontId="29" fillId="0" borderId="18" xfId="0" applyFont="1" applyFill="1" applyBorder="1" applyAlignment="1" applyProtection="1">
      <alignment horizontal="center" vertical="center"/>
      <protection hidden="1"/>
    </xf>
    <xf numFmtId="0" fontId="43" fillId="0" borderId="8" xfId="0" applyFont="1" applyFill="1" applyBorder="1" applyAlignment="1" applyProtection="1">
      <alignment horizontal="center"/>
      <protection hidden="1"/>
    </xf>
    <xf numFmtId="0" fontId="43" fillId="0" borderId="0" xfId="0" applyFont="1" applyFill="1" applyBorder="1" applyAlignment="1" applyProtection="1">
      <alignment horizontal="center"/>
      <protection hidden="1"/>
    </xf>
    <xf numFmtId="0" fontId="43" fillId="0" borderId="7" xfId="0" applyFont="1" applyFill="1" applyBorder="1" applyAlignment="1" applyProtection="1">
      <alignment horizontal="center"/>
      <protection hidden="1"/>
    </xf>
    <xf numFmtId="3" fontId="15" fillId="3" borderId="15" xfId="1" applyNumberFormat="1" applyFont="1" applyFill="1" applyBorder="1" applyAlignment="1" applyProtection="1">
      <alignment horizontal="center" vertical="center"/>
      <protection hidden="1"/>
    </xf>
    <xf numFmtId="3" fontId="15" fillId="3" borderId="16" xfId="1" applyNumberFormat="1" applyFont="1" applyFill="1" applyBorder="1" applyAlignment="1" applyProtection="1">
      <alignment horizontal="center" vertical="center"/>
      <protection hidden="1"/>
    </xf>
    <xf numFmtId="3" fontId="15" fillId="3" borderId="17" xfId="1" applyNumberFormat="1" applyFont="1" applyFill="1" applyBorder="1" applyAlignment="1" applyProtection="1">
      <alignment horizontal="center" vertical="center"/>
      <protection hidden="1"/>
    </xf>
    <xf numFmtId="3" fontId="29" fillId="0" borderId="18" xfId="1" applyNumberFormat="1" applyFont="1" applyFill="1" applyBorder="1" applyAlignment="1" applyProtection="1">
      <alignment horizontal="center" vertical="center"/>
      <protection hidden="1"/>
    </xf>
    <xf numFmtId="0" fontId="46" fillId="3" borderId="61" xfId="0" applyFont="1" applyFill="1" applyBorder="1" applyAlignment="1" applyProtection="1">
      <alignment horizontal="center" vertical="center"/>
      <protection hidden="1"/>
    </xf>
    <xf numFmtId="0" fontId="46" fillId="3" borderId="62" xfId="0" applyFont="1" applyFill="1" applyBorder="1" applyAlignment="1" applyProtection="1">
      <alignment horizontal="center" vertical="center"/>
      <protection hidden="1"/>
    </xf>
    <xf numFmtId="0" fontId="46" fillId="3" borderId="61" xfId="0" applyFont="1" applyFill="1" applyBorder="1" applyAlignment="1" applyProtection="1">
      <alignment horizontal="center" vertical="center" wrapText="1"/>
      <protection hidden="1"/>
    </xf>
    <xf numFmtId="0" fontId="46" fillId="3" borderId="63" xfId="0" applyFont="1" applyFill="1" applyBorder="1" applyAlignment="1" applyProtection="1">
      <alignment horizontal="center" vertical="center" wrapText="1"/>
      <protection hidden="1"/>
    </xf>
    <xf numFmtId="0" fontId="46" fillId="3" borderId="64" xfId="0" applyFont="1" applyFill="1" applyBorder="1" applyAlignment="1" applyProtection="1">
      <alignment horizontal="center" vertical="center" wrapText="1"/>
      <protection hidden="1"/>
    </xf>
    <xf numFmtId="3" fontId="45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5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5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6" xfId="1" applyNumberFormat="1" applyFont="1" applyFill="1" applyBorder="1" applyAlignment="1" applyProtection="1">
      <alignment horizontal="center" vertical="center" wrapText="1"/>
      <protection hidden="1"/>
    </xf>
    <xf numFmtId="3" fontId="48" fillId="0" borderId="17" xfId="1" applyNumberFormat="1" applyFont="1" applyFill="1" applyBorder="1" applyAlignment="1" applyProtection="1">
      <alignment horizontal="center" vertical="center" wrapText="1"/>
      <protection hidden="1"/>
    </xf>
    <xf numFmtId="3" fontId="52" fillId="8" borderId="8" xfId="6" applyNumberFormat="1" applyFont="1" applyFill="1" applyBorder="1" applyAlignment="1" applyProtection="1">
      <alignment horizontal="center" vertical="center"/>
      <protection hidden="1"/>
    </xf>
    <xf numFmtId="3" fontId="52" fillId="8" borderId="0" xfId="6" applyNumberFormat="1" applyFont="1" applyFill="1" applyBorder="1" applyAlignment="1" applyProtection="1">
      <alignment horizontal="center" vertical="center"/>
      <protection hidden="1"/>
    </xf>
    <xf numFmtId="3" fontId="56" fillId="3" borderId="73" xfId="6" applyNumberFormat="1" applyFont="1" applyFill="1" applyBorder="1" applyAlignment="1" applyProtection="1">
      <alignment horizontal="center" vertical="center"/>
      <protection hidden="1"/>
    </xf>
    <xf numFmtId="3" fontId="56" fillId="3" borderId="75" xfId="6" applyNumberFormat="1" applyFont="1" applyFill="1" applyBorder="1" applyAlignment="1" applyProtection="1">
      <alignment horizontal="center" vertical="center"/>
      <protection hidden="1"/>
    </xf>
    <xf numFmtId="3" fontId="56" fillId="3" borderId="42" xfId="6" applyNumberFormat="1" applyFont="1" applyFill="1" applyBorder="1" applyAlignment="1" applyProtection="1">
      <alignment horizontal="center" vertical="center"/>
      <protection hidden="1"/>
    </xf>
    <xf numFmtId="3" fontId="56" fillId="3" borderId="43" xfId="6" applyNumberFormat="1" applyFont="1" applyFill="1" applyBorder="1" applyAlignment="1" applyProtection="1">
      <alignment horizontal="center" vertical="center"/>
      <protection hidden="1"/>
    </xf>
    <xf numFmtId="3" fontId="56" fillId="3" borderId="67" xfId="6" applyNumberFormat="1" applyFont="1" applyFill="1" applyBorder="1" applyAlignment="1" applyProtection="1">
      <alignment horizontal="center" vertical="center"/>
      <protection hidden="1"/>
    </xf>
    <xf numFmtId="3" fontId="56" fillId="3" borderId="72" xfId="6" applyNumberFormat="1" applyFont="1" applyFill="1" applyBorder="1" applyAlignment="1" applyProtection="1">
      <alignment horizontal="center" vertical="center"/>
      <protection hidden="1"/>
    </xf>
    <xf numFmtId="3" fontId="57" fillId="3" borderId="73" xfId="6" applyNumberFormat="1" applyFont="1" applyFill="1" applyBorder="1" applyAlignment="1" applyProtection="1">
      <alignment horizontal="center" vertical="center"/>
      <protection hidden="1"/>
    </xf>
    <xf numFmtId="3" fontId="57" fillId="3" borderId="74" xfId="6" applyNumberFormat="1" applyFont="1" applyFill="1" applyBorder="1" applyAlignment="1" applyProtection="1">
      <alignment horizontal="center" vertical="center"/>
      <protection hidden="1"/>
    </xf>
    <xf numFmtId="3" fontId="57" fillId="3" borderId="75" xfId="6" applyNumberFormat="1" applyFont="1" applyFill="1" applyBorder="1" applyAlignment="1" applyProtection="1">
      <alignment horizontal="center" vertical="center"/>
      <protection hidden="1"/>
    </xf>
    <xf numFmtId="3" fontId="57" fillId="3" borderId="42" xfId="6" applyNumberFormat="1" applyFont="1" applyFill="1" applyBorder="1" applyAlignment="1" applyProtection="1">
      <alignment horizontal="center" vertical="center"/>
      <protection hidden="1"/>
    </xf>
    <xf numFmtId="3" fontId="57" fillId="3" borderId="0" xfId="6" applyNumberFormat="1" applyFont="1" applyFill="1" applyBorder="1" applyAlignment="1" applyProtection="1">
      <alignment horizontal="center" vertical="center"/>
      <protection hidden="1"/>
    </xf>
    <xf numFmtId="3" fontId="57" fillId="3" borderId="43" xfId="6" applyNumberFormat="1" applyFont="1" applyFill="1" applyBorder="1" applyAlignment="1" applyProtection="1">
      <alignment horizontal="center" vertical="center"/>
      <protection hidden="1"/>
    </xf>
    <xf numFmtId="3" fontId="57" fillId="3" borderId="67" xfId="6" applyNumberFormat="1" applyFont="1" applyFill="1" applyBorder="1" applyAlignment="1" applyProtection="1">
      <alignment horizontal="center" vertical="center"/>
      <protection hidden="1"/>
    </xf>
    <xf numFmtId="3" fontId="57" fillId="3" borderId="71" xfId="6" applyNumberFormat="1" applyFont="1" applyFill="1" applyBorder="1" applyAlignment="1" applyProtection="1">
      <alignment horizontal="center" vertical="center"/>
      <protection hidden="1"/>
    </xf>
    <xf numFmtId="3" fontId="57" fillId="3" borderId="72" xfId="6" applyNumberFormat="1" applyFont="1" applyFill="1" applyBorder="1" applyAlignment="1" applyProtection="1">
      <alignment horizontal="center" vertical="center"/>
      <protection hidden="1"/>
    </xf>
    <xf numFmtId="0" fontId="55" fillId="3" borderId="8" xfId="6" applyFont="1" applyFill="1" applyBorder="1" applyAlignment="1" applyProtection="1">
      <alignment horizontal="center" vertical="center"/>
      <protection hidden="1"/>
    </xf>
    <xf numFmtId="0" fontId="55" fillId="3" borderId="66" xfId="6" applyFont="1" applyFill="1" applyBorder="1" applyAlignment="1" applyProtection="1">
      <alignment horizontal="center" vertical="center"/>
      <protection hidden="1"/>
    </xf>
    <xf numFmtId="3" fontId="58" fillId="3" borderId="8" xfId="6" applyNumberFormat="1" applyFont="1" applyFill="1" applyBorder="1" applyAlignment="1" applyProtection="1">
      <alignment horizontal="center" vertical="center"/>
      <protection hidden="1"/>
    </xf>
    <xf numFmtId="3" fontId="58" fillId="3" borderId="66" xfId="6" quotePrefix="1" applyNumberFormat="1" applyFont="1" applyFill="1" applyBorder="1" applyAlignment="1" applyProtection="1">
      <alignment horizontal="center" vertical="center"/>
      <protection hidden="1"/>
    </xf>
    <xf numFmtId="3" fontId="55" fillId="3" borderId="70" xfId="6" quotePrefix="1" applyNumberFormat="1" applyFont="1" applyFill="1" applyBorder="1" applyAlignment="1" applyProtection="1">
      <alignment horizontal="center" vertical="center"/>
      <protection hidden="1"/>
    </xf>
    <xf numFmtId="3" fontId="55" fillId="3" borderId="69" xfId="6" quotePrefix="1" applyNumberFormat="1" applyFont="1" applyFill="1" applyBorder="1" applyAlignment="1" applyProtection="1">
      <alignment horizontal="center" vertical="center"/>
      <protection hidden="1"/>
    </xf>
    <xf numFmtId="0" fontId="54" fillId="8" borderId="120" xfId="7" applyFont="1" applyFill="1" applyBorder="1" applyAlignment="1" applyProtection="1">
      <alignment horizontal="left"/>
      <protection hidden="1"/>
    </xf>
    <xf numFmtId="49" fontId="73" fillId="2" borderId="269" xfId="9" applyNumberFormat="1" applyFont="1" applyFill="1" applyBorder="1" applyAlignment="1" applyProtection="1">
      <alignment horizontal="center" vertical="center"/>
      <protection locked="0"/>
    </xf>
    <xf numFmtId="49" fontId="73" fillId="2" borderId="161" xfId="9" applyNumberFormat="1" applyFont="1" applyFill="1" applyBorder="1" applyAlignment="1" applyProtection="1">
      <alignment horizontal="center" vertical="center"/>
      <protection locked="0"/>
    </xf>
    <xf numFmtId="49" fontId="73" fillId="2" borderId="270" xfId="9" applyNumberFormat="1" applyFont="1" applyFill="1" applyBorder="1" applyAlignment="1" applyProtection="1">
      <alignment horizontal="center" vertical="center"/>
      <protection locked="0"/>
    </xf>
    <xf numFmtId="49" fontId="73" fillId="2" borderId="271" xfId="9" applyNumberFormat="1" applyFont="1" applyFill="1" applyBorder="1" applyAlignment="1" applyProtection="1">
      <alignment horizontal="center" vertical="center"/>
      <protection locked="0"/>
    </xf>
    <xf numFmtId="49" fontId="73" fillId="2" borderId="274" xfId="9" applyNumberFormat="1" applyFont="1" applyFill="1" applyBorder="1" applyAlignment="1" applyProtection="1">
      <alignment horizontal="center" vertical="center"/>
      <protection locked="0"/>
    </xf>
    <xf numFmtId="49" fontId="73" fillId="2" borderId="275" xfId="9" applyNumberFormat="1" applyFont="1" applyFill="1" applyBorder="1" applyAlignment="1" applyProtection="1">
      <alignment horizontal="center" vertical="center"/>
      <protection locked="0"/>
    </xf>
    <xf numFmtId="49" fontId="73" fillId="2" borderId="278" xfId="9" applyNumberFormat="1" applyFont="1" applyFill="1" applyBorder="1" applyAlignment="1" applyProtection="1">
      <alignment horizontal="center" vertical="center"/>
      <protection locked="0"/>
    </xf>
    <xf numFmtId="49" fontId="73" fillId="2" borderId="100" xfId="9" applyNumberFormat="1" applyFont="1" applyFill="1" applyBorder="1" applyAlignment="1" applyProtection="1">
      <alignment horizontal="center" vertical="center"/>
      <protection locked="0"/>
    </xf>
    <xf numFmtId="49" fontId="68" fillId="3" borderId="255" xfId="9" applyNumberFormat="1" applyFont="1" applyFill="1" applyBorder="1" applyAlignment="1" applyProtection="1">
      <alignment horizontal="center" vertical="center"/>
      <protection locked="0"/>
    </xf>
    <xf numFmtId="49" fontId="68" fillId="3" borderId="256" xfId="9" applyNumberFormat="1" applyFont="1" applyFill="1" applyBorder="1" applyAlignment="1" applyProtection="1">
      <alignment horizontal="center" vertical="center"/>
      <protection locked="0"/>
    </xf>
    <xf numFmtId="49" fontId="68" fillId="3" borderId="257" xfId="9" applyNumberFormat="1" applyFont="1" applyFill="1" applyBorder="1" applyAlignment="1" applyProtection="1">
      <alignment horizontal="center" vertical="center"/>
      <protection locked="0"/>
    </xf>
    <xf numFmtId="2" fontId="73" fillId="3" borderId="260" xfId="9" applyNumberFormat="1" applyFont="1" applyFill="1" applyBorder="1" applyAlignment="1" applyProtection="1">
      <alignment horizontal="center" vertical="center"/>
    </xf>
    <xf numFmtId="2" fontId="73" fillId="3" borderId="261" xfId="9" quotePrefix="1" applyNumberFormat="1" applyFont="1" applyFill="1" applyBorder="1" applyAlignment="1" applyProtection="1">
      <alignment horizontal="center" vertical="center"/>
    </xf>
    <xf numFmtId="2" fontId="73" fillId="3" borderId="262" xfId="9" quotePrefix="1" applyNumberFormat="1" applyFont="1" applyFill="1" applyBorder="1" applyAlignment="1" applyProtection="1">
      <alignment horizontal="center" vertical="center"/>
    </xf>
    <xf numFmtId="2" fontId="73" fillId="3" borderId="255" xfId="9" applyNumberFormat="1" applyFont="1" applyFill="1" applyBorder="1" applyAlignment="1" applyProtection="1">
      <alignment horizontal="center" vertical="center"/>
    </xf>
    <xf numFmtId="2" fontId="73" fillId="3" borderId="256" xfId="9" applyNumberFormat="1" applyFont="1" applyFill="1" applyBorder="1" applyAlignment="1" applyProtection="1">
      <alignment horizontal="center" vertical="center"/>
    </xf>
    <xf numFmtId="2" fontId="73" fillId="3" borderId="257" xfId="9" applyNumberFormat="1" applyFont="1" applyFill="1" applyBorder="1" applyAlignment="1" applyProtection="1">
      <alignment horizontal="center" vertical="center"/>
    </xf>
    <xf numFmtId="49" fontId="73" fillId="3" borderId="260" xfId="9" applyNumberFormat="1" applyFont="1" applyFill="1" applyBorder="1" applyAlignment="1" applyProtection="1">
      <alignment horizontal="center" vertical="center"/>
      <protection locked="0"/>
    </xf>
    <xf numFmtId="49" fontId="73" fillId="3" borderId="262" xfId="9" applyNumberFormat="1" applyFont="1" applyFill="1" applyBorder="1" applyAlignment="1" applyProtection="1">
      <alignment horizontal="center" vertical="center"/>
      <protection locked="0"/>
    </xf>
    <xf numFmtId="2" fontId="73" fillId="3" borderId="255" xfId="9" quotePrefix="1" applyNumberFormat="1" applyFont="1" applyFill="1" applyBorder="1" applyAlignment="1" applyProtection="1">
      <alignment horizontal="center" vertical="center"/>
    </xf>
    <xf numFmtId="2" fontId="73" fillId="3" borderId="256" xfId="9" quotePrefix="1" applyNumberFormat="1" applyFont="1" applyFill="1" applyBorder="1" applyAlignment="1" applyProtection="1">
      <alignment horizontal="center" vertical="center"/>
    </xf>
    <xf numFmtId="2" fontId="73" fillId="3" borderId="257" xfId="9" quotePrefix="1" applyNumberFormat="1" applyFont="1" applyFill="1" applyBorder="1" applyAlignment="1" applyProtection="1">
      <alignment horizontal="center" vertical="center"/>
    </xf>
    <xf numFmtId="49" fontId="73" fillId="2" borderId="264" xfId="9" applyNumberFormat="1" applyFont="1" applyFill="1" applyBorder="1" applyAlignment="1" applyProtection="1">
      <alignment horizontal="center" vertical="center"/>
      <protection locked="0"/>
    </xf>
    <xf numFmtId="49" fontId="73" fillId="2" borderId="157" xfId="9" applyNumberFormat="1" applyFont="1" applyFill="1" applyBorder="1" applyAlignment="1" applyProtection="1">
      <alignment horizontal="center" vertical="center"/>
      <protection locked="0"/>
    </xf>
    <xf numFmtId="49" fontId="73" fillId="2" borderId="265" xfId="9" applyNumberFormat="1" applyFont="1" applyFill="1" applyBorder="1" applyAlignment="1" applyProtection="1">
      <alignment horizontal="center" vertical="center"/>
      <protection locked="0"/>
    </xf>
    <xf numFmtId="49" fontId="73" fillId="2" borderId="158" xfId="9" applyNumberFormat="1" applyFont="1" applyFill="1" applyBorder="1" applyAlignment="1" applyProtection="1">
      <alignment horizontal="center" vertical="center"/>
      <protection locked="0"/>
    </xf>
    <xf numFmtId="49" fontId="73" fillId="2" borderId="267" xfId="9" applyNumberFormat="1" applyFont="1" applyFill="1" applyBorder="1" applyAlignment="1" applyProtection="1">
      <alignment horizontal="center" vertical="center"/>
      <protection locked="0"/>
    </xf>
    <xf numFmtId="49" fontId="73" fillId="2" borderId="268" xfId="9" applyNumberFormat="1" applyFont="1" applyFill="1" applyBorder="1" applyAlignment="1" applyProtection="1">
      <alignment horizontal="center" vertical="center"/>
      <protection locked="0"/>
    </xf>
    <xf numFmtId="49" fontId="73" fillId="2" borderId="160" xfId="9" applyNumberFormat="1" applyFont="1" applyFill="1" applyBorder="1" applyAlignment="1" applyProtection="1">
      <alignment horizontal="center" vertical="center"/>
      <protection locked="0"/>
    </xf>
    <xf numFmtId="0" fontId="81" fillId="13" borderId="106" xfId="11" applyFont="1" applyFill="1" applyBorder="1" applyAlignment="1" applyProtection="1">
      <alignment horizontal="center" vertical="center" wrapText="1"/>
      <protection hidden="1"/>
    </xf>
    <xf numFmtId="0" fontId="81" fillId="13" borderId="115" xfId="11" applyFont="1" applyFill="1" applyBorder="1" applyAlignment="1" applyProtection="1">
      <alignment horizontal="center" vertical="center" wrapText="1"/>
      <protection hidden="1"/>
    </xf>
    <xf numFmtId="0" fontId="81" fillId="0" borderId="105" xfId="11" applyFont="1" applyBorder="1" applyAlignment="1" applyProtection="1">
      <alignment horizontal="center" vertical="center"/>
      <protection hidden="1"/>
    </xf>
    <xf numFmtId="0" fontId="81" fillId="0" borderId="139" xfId="11" applyFont="1" applyBorder="1" applyAlignment="1" applyProtection="1">
      <alignment horizontal="center" vertical="center"/>
      <protection hidden="1"/>
    </xf>
    <xf numFmtId="0" fontId="81" fillId="0" borderId="114" xfId="11" applyFont="1" applyBorder="1" applyAlignment="1" applyProtection="1">
      <alignment horizontal="center" vertical="center"/>
      <protection hidden="1"/>
    </xf>
    <xf numFmtId="0" fontId="81" fillId="0" borderId="140" xfId="11" applyFont="1" applyBorder="1" applyAlignment="1" applyProtection="1">
      <alignment horizontal="center" vertical="center"/>
      <protection hidden="1"/>
    </xf>
    <xf numFmtId="0" fontId="81" fillId="0" borderId="294" xfId="11" applyFont="1" applyBorder="1" applyAlignment="1" applyProtection="1">
      <alignment horizontal="center" vertical="center"/>
      <protection locked="0" hidden="1"/>
    </xf>
    <xf numFmtId="0" fontId="81" fillId="0" borderId="309" xfId="11" applyFont="1" applyBorder="1" applyAlignment="1" applyProtection="1">
      <alignment horizontal="center" vertical="center"/>
      <protection locked="0" hidden="1"/>
    </xf>
    <xf numFmtId="0" fontId="79" fillId="0" borderId="0" xfId="11" applyFont="1" applyBorder="1" applyAlignment="1" applyProtection="1">
      <alignment vertical="center"/>
      <protection hidden="1"/>
    </xf>
    <xf numFmtId="0" fontId="80" fillId="0" borderId="0" xfId="11" applyFont="1" applyAlignment="1" applyProtection="1">
      <alignment horizontal="center" vertical="center"/>
      <protection hidden="1"/>
    </xf>
    <xf numFmtId="0" fontId="79" fillId="13" borderId="106" xfId="11" applyFont="1" applyFill="1" applyBorder="1" applyAlignment="1" applyProtection="1">
      <alignment horizontal="center" vertical="center"/>
      <protection hidden="1"/>
    </xf>
    <xf numFmtId="0" fontId="79" fillId="13" borderId="109" xfId="11" applyFont="1" applyFill="1" applyBorder="1" applyAlignment="1" applyProtection="1">
      <alignment horizontal="center" vertical="center"/>
      <protection hidden="1"/>
    </xf>
    <xf numFmtId="0" fontId="79" fillId="13" borderId="115" xfId="11" applyFont="1" applyFill="1" applyBorder="1" applyAlignment="1" applyProtection="1">
      <alignment horizontal="center" vertical="center"/>
      <protection hidden="1"/>
    </xf>
    <xf numFmtId="0" fontId="81" fillId="13" borderId="106" xfId="11" applyFont="1" applyFill="1" applyBorder="1" applyAlignment="1" applyProtection="1">
      <alignment horizontal="center" vertical="center"/>
      <protection hidden="1"/>
    </xf>
    <xf numFmtId="0" fontId="81" fillId="13" borderId="109" xfId="11" applyFont="1" applyFill="1" applyBorder="1" applyAlignment="1" applyProtection="1">
      <alignment horizontal="center" vertical="center"/>
      <protection hidden="1"/>
    </xf>
    <xf numFmtId="0" fontId="81" fillId="13" borderId="115" xfId="11" applyFont="1" applyFill="1" applyBorder="1" applyAlignment="1" applyProtection="1">
      <alignment horizontal="center" vertical="center"/>
      <protection hidden="1"/>
    </xf>
    <xf numFmtId="0" fontId="81" fillId="0" borderId="106" xfId="11" applyFont="1" applyBorder="1" applyAlignment="1" applyProtection="1">
      <alignment horizontal="center" vertical="center"/>
      <protection hidden="1"/>
    </xf>
    <xf numFmtId="0" fontId="81" fillId="0" borderId="112" xfId="11" applyFont="1" applyBorder="1" applyAlignment="1" applyProtection="1">
      <alignment horizontal="center" vertical="center"/>
      <protection hidden="1"/>
    </xf>
    <xf numFmtId="0" fontId="81" fillId="0" borderId="109" xfId="11" applyFont="1" applyBorder="1" applyAlignment="1" applyProtection="1">
      <alignment horizontal="center" vertical="center"/>
      <protection hidden="1"/>
    </xf>
    <xf numFmtId="0" fontId="81" fillId="0" borderId="107" xfId="11" applyFont="1" applyBorder="1" applyAlignment="1" applyProtection="1">
      <alignment horizontal="center" vertical="center"/>
      <protection hidden="1"/>
    </xf>
    <xf numFmtId="0" fontId="81" fillId="0" borderId="115" xfId="11" applyFont="1" applyBorder="1" applyAlignment="1" applyProtection="1">
      <alignment horizontal="center" vertical="center"/>
      <protection hidden="1"/>
    </xf>
    <xf numFmtId="0" fontId="81" fillId="0" borderId="108" xfId="11" applyFont="1" applyBorder="1" applyAlignment="1" applyProtection="1">
      <alignment horizontal="center" vertical="center"/>
      <protection hidden="1"/>
    </xf>
    <xf numFmtId="0" fontId="79" fillId="0" borderId="0" xfId="11" applyFont="1" applyBorder="1" applyAlignment="1" applyProtection="1">
      <alignment horizontal="center" vertical="center"/>
      <protection hidden="1"/>
    </xf>
    <xf numFmtId="0" fontId="81" fillId="0" borderId="313" xfId="11" applyFont="1" applyBorder="1" applyAlignment="1" applyProtection="1">
      <alignment horizontal="center" vertical="center"/>
      <protection locked="0" hidden="1"/>
    </xf>
    <xf numFmtId="0" fontId="81" fillId="0" borderId="295" xfId="11" applyFont="1" applyBorder="1" applyAlignment="1" applyProtection="1">
      <alignment horizontal="center" vertical="center"/>
      <protection locked="0" hidden="1"/>
    </xf>
    <xf numFmtId="0" fontId="81" fillId="0" borderId="116" xfId="11" applyFont="1" applyBorder="1" applyAlignment="1" applyProtection="1">
      <alignment horizontal="center" vertical="center"/>
      <protection hidden="1"/>
    </xf>
    <xf numFmtId="0" fontId="81" fillId="0" borderId="113" xfId="11" applyFont="1" applyBorder="1" applyAlignment="1" applyProtection="1">
      <alignment horizontal="center" vertical="center"/>
      <protection hidden="1"/>
    </xf>
    <xf numFmtId="0" fontId="81" fillId="0" borderId="117" xfId="11" applyFont="1" applyBorder="1" applyAlignment="1" applyProtection="1">
      <alignment horizontal="center" vertical="center"/>
      <protection hidden="1"/>
    </xf>
    <xf numFmtId="0" fontId="81" fillId="0" borderId="316" xfId="11" applyFont="1" applyBorder="1" applyAlignment="1" applyProtection="1">
      <alignment horizontal="center" vertical="center"/>
      <protection hidden="1"/>
    </xf>
    <xf numFmtId="0" fontId="81" fillId="0" borderId="0" xfId="11" applyFont="1" applyBorder="1" applyAlignment="1" applyProtection="1">
      <alignment horizontal="center" vertical="center"/>
      <protection hidden="1"/>
    </xf>
    <xf numFmtId="0" fontId="81" fillId="0" borderId="317" xfId="11" applyFont="1" applyBorder="1" applyAlignment="1" applyProtection="1">
      <alignment horizontal="center" vertical="center"/>
      <protection hidden="1"/>
    </xf>
    <xf numFmtId="4" fontId="54" fillId="3" borderId="84" xfId="14" applyNumberFormat="1" applyFont="1" applyFill="1" applyBorder="1" applyAlignment="1" applyProtection="1">
      <alignment horizontal="center" vertical="center" wrapText="1"/>
      <protection hidden="1"/>
    </xf>
    <xf numFmtId="4" fontId="54" fillId="3" borderId="126" xfId="14" applyNumberFormat="1" applyFont="1" applyFill="1" applyBorder="1" applyAlignment="1" applyProtection="1">
      <alignment horizontal="center" vertical="center" wrapText="1"/>
      <protection hidden="1"/>
    </xf>
    <xf numFmtId="0" fontId="52" fillId="8" borderId="8" xfId="15" applyFont="1" applyFill="1" applyBorder="1" applyAlignment="1" applyProtection="1">
      <alignment horizontal="center" vertical="center"/>
      <protection hidden="1"/>
    </xf>
    <xf numFmtId="0" fontId="52" fillId="8" borderId="0" xfId="15" applyFont="1" applyFill="1" applyBorder="1" applyAlignment="1" applyProtection="1">
      <alignment horizontal="center" vertical="center"/>
      <protection hidden="1"/>
    </xf>
    <xf numFmtId="0" fontId="52" fillId="8" borderId="66" xfId="15" applyFont="1" applyFill="1" applyBorder="1" applyAlignment="1" applyProtection="1">
      <alignment horizontal="center" vertical="center"/>
      <protection hidden="1"/>
    </xf>
    <xf numFmtId="0" fontId="90" fillId="8" borderId="129" xfId="15" applyFont="1" applyFill="1" applyBorder="1" applyAlignment="1" applyProtection="1">
      <alignment horizontal="center" vertical="center"/>
      <protection hidden="1"/>
    </xf>
    <xf numFmtId="0" fontId="90" fillId="8" borderId="130" xfId="15" applyFont="1" applyFill="1" applyBorder="1" applyAlignment="1" applyProtection="1">
      <alignment horizontal="center" vertical="center"/>
      <protection hidden="1"/>
    </xf>
    <xf numFmtId="0" fontId="96" fillId="2" borderId="3" xfId="16" applyFont="1" applyFill="1" applyBorder="1" applyAlignment="1" applyProtection="1">
      <alignment horizontal="center" vertical="center"/>
      <protection hidden="1"/>
    </xf>
    <xf numFmtId="0" fontId="96" fillId="2" borderId="4" xfId="16" applyFont="1" applyFill="1" applyBorder="1" applyAlignment="1" applyProtection="1">
      <alignment horizontal="center" vertical="center"/>
      <protection hidden="1"/>
    </xf>
    <xf numFmtId="0" fontId="96" fillId="2" borderId="2" xfId="16" applyFont="1" applyFill="1" applyBorder="1" applyAlignment="1" applyProtection="1">
      <alignment horizontal="center" vertical="center"/>
      <protection hidden="1"/>
    </xf>
    <xf numFmtId="14" fontId="99" fillId="2" borderId="6" xfId="16" applyNumberFormat="1" applyFont="1" applyFill="1" applyBorder="1" applyAlignment="1" applyProtection="1">
      <alignment horizontal="center" vertical="center"/>
      <protection hidden="1"/>
    </xf>
    <xf numFmtId="14" fontId="99" fillId="2" borderId="0" xfId="16" applyNumberFormat="1" applyFont="1" applyFill="1" applyBorder="1" applyAlignment="1" applyProtection="1">
      <alignment horizontal="center" vertical="center"/>
      <protection hidden="1"/>
    </xf>
    <xf numFmtId="14" fontId="99" fillId="2" borderId="66" xfId="16" applyNumberFormat="1" applyFont="1" applyFill="1" applyBorder="1" applyAlignment="1" applyProtection="1">
      <alignment horizontal="center" vertical="center"/>
      <protection hidden="1"/>
    </xf>
    <xf numFmtId="0" fontId="100" fillId="2" borderId="8" xfId="16" applyFont="1" applyFill="1" applyBorder="1" applyAlignment="1" applyProtection="1">
      <alignment horizontal="center" vertical="center"/>
      <protection hidden="1"/>
    </xf>
    <xf numFmtId="0" fontId="100" fillId="2" borderId="0" xfId="16" applyFont="1" applyFill="1" applyBorder="1" applyAlignment="1" applyProtection="1">
      <alignment horizontal="center" vertical="center"/>
      <protection hidden="1"/>
    </xf>
    <xf numFmtId="0" fontId="100" fillId="2" borderId="66" xfId="16" applyFont="1" applyFill="1" applyBorder="1" applyAlignment="1" applyProtection="1">
      <alignment horizontal="center" vertical="center"/>
      <protection hidden="1"/>
    </xf>
    <xf numFmtId="0" fontId="101" fillId="2" borderId="8" xfId="16" applyFont="1" applyFill="1" applyBorder="1" applyAlignment="1" applyProtection="1">
      <alignment horizontal="center" vertical="center"/>
      <protection hidden="1"/>
    </xf>
    <xf numFmtId="0" fontId="101" fillId="2" borderId="0" xfId="16" applyFont="1" applyFill="1" applyBorder="1" applyAlignment="1" applyProtection="1">
      <alignment horizontal="center" vertical="center"/>
      <protection hidden="1"/>
    </xf>
    <xf numFmtId="0" fontId="101" fillId="2" borderId="66" xfId="16" applyFont="1" applyFill="1" applyBorder="1" applyAlignment="1" applyProtection="1">
      <alignment horizontal="center" vertical="center"/>
      <protection hidden="1"/>
    </xf>
    <xf numFmtId="14" fontId="98" fillId="2" borderId="6" xfId="16" applyNumberFormat="1" applyFont="1" applyFill="1" applyBorder="1" applyAlignment="1" applyProtection="1">
      <alignment horizontal="center" vertical="center"/>
      <protection hidden="1"/>
    </xf>
    <xf numFmtId="14" fontId="98" fillId="2" borderId="0" xfId="16" applyNumberFormat="1" applyFont="1" applyFill="1" applyBorder="1" applyAlignment="1" applyProtection="1">
      <alignment horizontal="center" vertical="center"/>
      <protection hidden="1"/>
    </xf>
    <xf numFmtId="14" fontId="98" fillId="2" borderId="66" xfId="16" applyNumberFormat="1" applyFont="1" applyFill="1" applyBorder="1" applyAlignment="1" applyProtection="1">
      <alignment horizontal="center" vertical="center"/>
      <protection hidden="1"/>
    </xf>
    <xf numFmtId="3" fontId="107" fillId="0" borderId="104" xfId="6" applyNumberFormat="1" applyFont="1" applyBorder="1" applyAlignment="1" applyProtection="1">
      <alignment horizontal="center" vertical="center"/>
      <protection hidden="1"/>
    </xf>
    <xf numFmtId="3" fontId="107" fillId="0" borderId="128" xfId="6" applyNumberFormat="1" applyFont="1" applyBorder="1" applyAlignment="1" applyProtection="1">
      <alignment horizontal="center" vertical="center"/>
      <protection hidden="1"/>
    </xf>
    <xf numFmtId="0" fontId="102" fillId="2" borderId="12" xfId="16" applyFont="1" applyFill="1" applyBorder="1" applyAlignment="1" applyProtection="1">
      <alignment horizontal="center" vertical="center"/>
      <protection hidden="1"/>
    </xf>
    <xf numFmtId="0" fontId="102" fillId="2" borderId="11" xfId="16" applyFont="1" applyFill="1" applyBorder="1" applyAlignment="1" applyProtection="1">
      <alignment horizontal="center" vertical="center"/>
      <protection hidden="1"/>
    </xf>
    <xf numFmtId="0" fontId="102" fillId="2" borderId="13" xfId="16" applyFont="1" applyFill="1" applyBorder="1" applyAlignment="1" applyProtection="1">
      <alignment horizontal="center" vertical="center"/>
      <protection hidden="1"/>
    </xf>
    <xf numFmtId="3" fontId="101" fillId="0" borderId="6" xfId="1" quotePrefix="1" applyNumberFormat="1" applyFont="1" applyFill="1" applyBorder="1" applyAlignment="1" applyProtection="1">
      <alignment horizontal="center" vertical="center"/>
      <protection hidden="1"/>
    </xf>
    <xf numFmtId="3" fontId="101" fillId="0" borderId="0" xfId="1" quotePrefix="1" applyNumberFormat="1" applyFont="1" applyFill="1" applyBorder="1" applyAlignment="1" applyProtection="1">
      <alignment horizontal="center" vertical="center"/>
      <protection hidden="1"/>
    </xf>
    <xf numFmtId="3" fontId="101" fillId="0" borderId="0" xfId="1" applyNumberFormat="1" applyFont="1" applyFill="1" applyBorder="1" applyAlignment="1" applyProtection="1">
      <alignment horizontal="center" vertical="center"/>
      <protection hidden="1"/>
    </xf>
    <xf numFmtId="3" fontId="101" fillId="0" borderId="9" xfId="1" applyNumberFormat="1" applyFont="1" applyFill="1" applyBorder="1" applyAlignment="1" applyProtection="1">
      <alignment horizontal="center" vertical="center"/>
      <protection hidden="1"/>
    </xf>
    <xf numFmtId="3" fontId="101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101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105" fillId="2" borderId="0" xfId="16" applyFont="1" applyFill="1" applyBorder="1" applyAlignment="1" applyProtection="1">
      <alignment horizontal="center" vertical="center"/>
      <protection hidden="1"/>
    </xf>
    <xf numFmtId="0" fontId="105" fillId="2" borderId="0" xfId="16" applyFont="1" applyFill="1" applyBorder="1" applyAlignment="1" applyProtection="1">
      <alignment horizontal="left" vertical="center"/>
      <protection hidden="1"/>
    </xf>
    <xf numFmtId="3" fontId="96" fillId="2" borderId="0" xfId="1" applyNumberFormat="1" applyFont="1" applyFill="1" applyBorder="1" applyAlignment="1" applyProtection="1">
      <alignment horizontal="center" vertical="center"/>
      <protection hidden="1"/>
    </xf>
    <xf numFmtId="3" fontId="106" fillId="0" borderId="104" xfId="6" applyNumberFormat="1" applyFont="1" applyBorder="1" applyAlignment="1" applyProtection="1">
      <alignment horizontal="center" vertical="center"/>
      <protection hidden="1"/>
    </xf>
    <xf numFmtId="3" fontId="106" fillId="0" borderId="128" xfId="6" applyNumberFormat="1" applyFont="1" applyBorder="1" applyAlignment="1" applyProtection="1">
      <alignment horizontal="center" vertical="center"/>
      <protection hidden="1"/>
    </xf>
    <xf numFmtId="3" fontId="108" fillId="0" borderId="104" xfId="6" applyNumberFormat="1" applyFont="1" applyFill="1" applyBorder="1" applyAlignment="1" applyProtection="1">
      <alignment horizontal="center" vertical="center"/>
      <protection hidden="1"/>
    </xf>
    <xf numFmtId="3" fontId="108" fillId="0" borderId="128" xfId="6" applyNumberFormat="1" applyFont="1" applyFill="1" applyBorder="1" applyAlignment="1" applyProtection="1">
      <alignment horizontal="center" vertical="center"/>
      <protection hidden="1"/>
    </xf>
    <xf numFmtId="3" fontId="106" fillId="17" borderId="77" xfId="6" applyNumberFormat="1" applyFont="1" applyFill="1" applyBorder="1" applyAlignment="1" applyProtection="1">
      <alignment horizontal="center" vertical="center"/>
      <protection hidden="1"/>
    </xf>
    <xf numFmtId="3" fontId="106" fillId="17" borderId="128" xfId="6" applyNumberFormat="1" applyFont="1" applyFill="1" applyBorder="1" applyAlignment="1" applyProtection="1">
      <alignment horizontal="center" vertical="center"/>
      <protection hidden="1"/>
    </xf>
    <xf numFmtId="164" fontId="106" fillId="17" borderId="104" xfId="8" applyNumberFormat="1" applyFont="1" applyFill="1" applyBorder="1" applyAlignment="1" applyProtection="1">
      <alignment horizontal="center" vertical="center"/>
      <protection hidden="1"/>
    </xf>
    <xf numFmtId="164" fontId="106" fillId="17" borderId="128" xfId="8" applyNumberFormat="1" applyFont="1" applyFill="1" applyBorder="1" applyAlignment="1" applyProtection="1">
      <alignment horizontal="center" vertical="center"/>
      <protection hidden="1"/>
    </xf>
    <xf numFmtId="3" fontId="106" fillId="17" borderId="104" xfId="6" applyNumberFormat="1" applyFont="1" applyFill="1" applyBorder="1" applyAlignment="1" applyProtection="1">
      <alignment horizontal="center" vertical="center"/>
      <protection hidden="1"/>
    </xf>
    <xf numFmtId="3" fontId="98" fillId="2" borderId="0" xfId="1" applyNumberFormat="1" applyFont="1" applyFill="1" applyBorder="1" applyAlignment="1" applyProtection="1">
      <alignment horizontal="center" vertical="center"/>
      <protection hidden="1"/>
    </xf>
    <xf numFmtId="3" fontId="110" fillId="0" borderId="104" xfId="6" applyNumberFormat="1" applyFont="1" applyFill="1" applyBorder="1" applyAlignment="1" applyProtection="1">
      <alignment horizontal="center" vertical="center"/>
      <protection hidden="1"/>
    </xf>
    <xf numFmtId="3" fontId="110" fillId="0" borderId="128" xfId="6" applyNumberFormat="1" applyFont="1" applyFill="1" applyBorder="1" applyAlignment="1" applyProtection="1">
      <alignment horizontal="center" vertical="center"/>
      <protection hidden="1"/>
    </xf>
    <xf numFmtId="3" fontId="98" fillId="2" borderId="11" xfId="1" applyNumberFormat="1" applyFont="1" applyFill="1" applyBorder="1" applyAlignment="1" applyProtection="1">
      <alignment horizontal="center" vertical="center"/>
      <protection hidden="1"/>
    </xf>
    <xf numFmtId="165" fontId="105" fillId="2" borderId="71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center" vertical="center" wrapText="1"/>
      <protection hidden="1"/>
    </xf>
    <xf numFmtId="3" fontId="98" fillId="0" borderId="324" xfId="1" applyNumberFormat="1" applyFont="1" applyFill="1" applyBorder="1" applyAlignment="1" applyProtection="1">
      <alignment horizontal="center" vertical="center" wrapText="1"/>
      <protection hidden="1"/>
    </xf>
    <xf numFmtId="0" fontId="106" fillId="0" borderId="0" xfId="16" applyFont="1" applyFill="1" applyBorder="1" applyAlignment="1" applyProtection="1">
      <alignment horizontal="center" vertical="center"/>
      <protection hidden="1"/>
    </xf>
    <xf numFmtId="0" fontId="106" fillId="0" borderId="0" xfId="16" applyFont="1" applyFill="1" applyBorder="1" applyAlignment="1" applyProtection="1">
      <alignment horizontal="left" vertical="center"/>
      <protection hidden="1"/>
    </xf>
    <xf numFmtId="3" fontId="114" fillId="0" borderId="0" xfId="1" applyNumberFormat="1" applyFont="1" applyFill="1" applyBorder="1" applyAlignment="1" applyProtection="1">
      <alignment horizontal="center" vertical="center"/>
      <protection hidden="1"/>
    </xf>
    <xf numFmtId="14" fontId="98" fillId="0" borderId="6" xfId="16" applyNumberFormat="1" applyFont="1" applyFill="1" applyBorder="1" applyAlignment="1" applyProtection="1">
      <alignment horizontal="center" vertical="center"/>
      <protection hidden="1"/>
    </xf>
    <xf numFmtId="14" fontId="98" fillId="0" borderId="0" xfId="16" applyNumberFormat="1" applyFont="1" applyFill="1" applyBorder="1" applyAlignment="1" applyProtection="1">
      <alignment horizontal="center" vertical="center"/>
      <protection hidden="1"/>
    </xf>
    <xf numFmtId="14" fontId="98" fillId="0" borderId="66" xfId="16" applyNumberFormat="1" applyFont="1" applyFill="1" applyBorder="1" applyAlignment="1" applyProtection="1">
      <alignment horizontal="center" vertical="center"/>
      <protection hidden="1"/>
    </xf>
    <xf numFmtId="0" fontId="100" fillId="0" borderId="132" xfId="16" applyFont="1" applyFill="1" applyBorder="1" applyAlignment="1" applyProtection="1">
      <alignment horizontal="center" vertical="center"/>
      <protection hidden="1"/>
    </xf>
    <xf numFmtId="0" fontId="100" fillId="0" borderId="0" xfId="16" applyFont="1" applyFill="1" applyBorder="1" applyAlignment="1" applyProtection="1">
      <alignment horizontal="center" vertical="center"/>
      <protection hidden="1"/>
    </xf>
    <xf numFmtId="0" fontId="100" fillId="0" borderId="66" xfId="16" applyFont="1" applyFill="1" applyBorder="1" applyAlignment="1" applyProtection="1">
      <alignment horizontal="center" vertical="center"/>
      <protection hidden="1"/>
    </xf>
    <xf numFmtId="0" fontId="102" fillId="0" borderId="12" xfId="16" applyFont="1" applyFill="1" applyBorder="1" applyAlignment="1" applyProtection="1">
      <alignment horizontal="center" vertical="center"/>
      <protection hidden="1"/>
    </xf>
    <xf numFmtId="0" fontId="102" fillId="0" borderId="11" xfId="16" applyFont="1" applyFill="1" applyBorder="1" applyAlignment="1" applyProtection="1">
      <alignment horizontal="center" vertical="center"/>
      <protection hidden="1"/>
    </xf>
    <xf numFmtId="0" fontId="102" fillId="0" borderId="13" xfId="16" applyFont="1" applyFill="1" applyBorder="1" applyAlignment="1" applyProtection="1">
      <alignment horizontal="center" vertical="center"/>
      <protection hidden="1"/>
    </xf>
    <xf numFmtId="3" fontId="112" fillId="0" borderId="323" xfId="1" quotePrefix="1" applyNumberFormat="1" applyFont="1" applyFill="1" applyBorder="1" applyAlignment="1" applyProtection="1">
      <alignment horizontal="center" vertical="center"/>
      <protection hidden="1"/>
    </xf>
    <xf numFmtId="3" fontId="112" fillId="0" borderId="0" xfId="1" quotePrefix="1" applyNumberFormat="1" applyFont="1" applyFill="1" applyBorder="1" applyAlignment="1" applyProtection="1">
      <alignment horizontal="center" vertical="center"/>
      <protection hidden="1"/>
    </xf>
    <xf numFmtId="3" fontId="112" fillId="0" borderId="0" xfId="1" applyNumberFormat="1" applyFont="1" applyFill="1" applyBorder="1" applyAlignment="1" applyProtection="1">
      <alignment horizontal="center" vertical="center"/>
      <protection hidden="1"/>
    </xf>
    <xf numFmtId="3" fontId="112" fillId="0" borderId="324" xfId="1" applyNumberFormat="1" applyFont="1" applyFill="1" applyBorder="1" applyAlignment="1" applyProtection="1">
      <alignment horizontal="center" vertical="center"/>
      <protection hidden="1"/>
    </xf>
    <xf numFmtId="3" fontId="112" fillId="0" borderId="323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96" fillId="0" borderId="3" xfId="16" applyFont="1" applyFill="1" applyBorder="1" applyAlignment="1" applyProtection="1">
      <alignment horizontal="center" vertical="center"/>
      <protection hidden="1"/>
    </xf>
    <xf numFmtId="0" fontId="96" fillId="0" borderId="4" xfId="16" applyFont="1" applyFill="1" applyBorder="1" applyAlignment="1" applyProtection="1">
      <alignment horizontal="center" vertical="center"/>
      <protection hidden="1"/>
    </xf>
    <xf numFmtId="0" fontId="96" fillId="0" borderId="2" xfId="16" applyFont="1" applyFill="1" applyBorder="1" applyAlignment="1" applyProtection="1">
      <alignment horizontal="center" vertical="center"/>
      <protection hidden="1"/>
    </xf>
    <xf numFmtId="14" fontId="99" fillId="0" borderId="6" xfId="16" applyNumberFormat="1" applyFont="1" applyFill="1" applyBorder="1" applyAlignment="1" applyProtection="1">
      <alignment horizontal="center" vertical="center"/>
      <protection hidden="1"/>
    </xf>
    <xf numFmtId="14" fontId="99" fillId="0" borderId="0" xfId="16" applyNumberFormat="1" applyFont="1" applyFill="1" applyBorder="1" applyAlignment="1" applyProtection="1">
      <alignment horizontal="center" vertical="center"/>
      <protection hidden="1"/>
    </xf>
    <xf numFmtId="14" fontId="99" fillId="0" borderId="66" xfId="16" applyNumberFormat="1" applyFont="1" applyFill="1" applyBorder="1" applyAlignment="1" applyProtection="1">
      <alignment horizontal="center" vertical="center"/>
      <protection hidden="1"/>
    </xf>
    <xf numFmtId="0" fontId="101" fillId="0" borderId="132" xfId="16" applyFont="1" applyFill="1" applyBorder="1" applyAlignment="1" applyProtection="1">
      <alignment horizontal="center" vertical="center"/>
      <protection hidden="1"/>
    </xf>
    <xf numFmtId="0" fontId="101" fillId="0" borderId="0" xfId="16" applyFont="1" applyFill="1" applyBorder="1" applyAlignment="1" applyProtection="1">
      <alignment horizontal="center" vertical="center"/>
      <protection hidden="1"/>
    </xf>
    <xf numFmtId="0" fontId="101" fillId="0" borderId="66" xfId="16" applyFont="1" applyFill="1" applyBorder="1" applyAlignment="1" applyProtection="1">
      <alignment horizontal="center" vertical="center"/>
      <protection hidden="1"/>
    </xf>
    <xf numFmtId="3" fontId="98" fillId="0" borderId="0" xfId="0" applyNumberFormat="1" applyFont="1" applyAlignment="1" applyProtection="1">
      <alignment horizontal="center" vertical="center" wrapText="1"/>
      <protection hidden="1"/>
    </xf>
    <xf numFmtId="3" fontId="98" fillId="0" borderId="331" xfId="0" applyNumberFormat="1" applyFont="1" applyBorder="1" applyAlignment="1" applyProtection="1">
      <alignment horizontal="center" vertical="center" wrapText="1"/>
      <protection hidden="1"/>
    </xf>
    <xf numFmtId="0" fontId="98" fillId="0" borderId="0" xfId="0" applyFont="1" applyAlignment="1" applyProtection="1">
      <alignment vertical="center"/>
      <protection hidden="1"/>
    </xf>
    <xf numFmtId="0" fontId="104" fillId="0" borderId="0" xfId="0" applyFont="1" applyAlignment="1" applyProtection="1">
      <alignment horizontal="left" vertical="center"/>
      <protection hidden="1"/>
    </xf>
    <xf numFmtId="0" fontId="106" fillId="0" borderId="0" xfId="0" applyFont="1" applyAlignment="1" applyProtection="1">
      <alignment horizontal="left" vertical="center"/>
      <protection hidden="1"/>
    </xf>
    <xf numFmtId="3" fontId="114" fillId="0" borderId="0" xfId="0" applyNumberFormat="1" applyFont="1" applyAlignment="1" applyProtection="1">
      <alignment horizontal="center" vertical="center"/>
      <protection hidden="1"/>
    </xf>
    <xf numFmtId="0" fontId="106" fillId="0" borderId="0" xfId="0" applyFont="1" applyAlignment="1" applyProtection="1">
      <alignment horizontal="center" vertical="center"/>
      <protection hidden="1"/>
    </xf>
    <xf numFmtId="0" fontId="96" fillId="0" borderId="3" xfId="0" applyFont="1" applyBorder="1" applyAlignment="1" applyProtection="1">
      <alignment horizontal="center" vertical="center"/>
      <protection hidden="1"/>
    </xf>
    <xf numFmtId="0" fontId="96" fillId="0" borderId="4" xfId="0" applyFont="1" applyBorder="1" applyAlignment="1" applyProtection="1">
      <alignment horizontal="center" vertical="center"/>
      <protection hidden="1"/>
    </xf>
    <xf numFmtId="0" fontId="96" fillId="0" borderId="328" xfId="0" applyFont="1" applyBorder="1" applyAlignment="1" applyProtection="1">
      <alignment horizontal="center" vertical="center"/>
      <protection hidden="1"/>
    </xf>
    <xf numFmtId="14" fontId="99" fillId="0" borderId="6" xfId="0" applyNumberFormat="1" applyFont="1" applyBorder="1" applyAlignment="1" applyProtection="1">
      <alignment horizontal="center" vertical="center"/>
      <protection hidden="1"/>
    </xf>
    <xf numFmtId="14" fontId="99" fillId="0" borderId="0" xfId="0" applyNumberFormat="1" applyFont="1" applyBorder="1" applyAlignment="1" applyProtection="1">
      <alignment horizontal="center" vertical="center"/>
      <protection hidden="1"/>
    </xf>
    <xf numFmtId="14" fontId="99" fillId="0" borderId="329" xfId="0" applyNumberFormat="1" applyFont="1" applyBorder="1" applyAlignment="1" applyProtection="1">
      <alignment horizontal="center" vertical="center"/>
      <protection hidden="1"/>
    </xf>
    <xf numFmtId="0" fontId="100" fillId="0" borderId="332" xfId="0" applyFont="1" applyBorder="1" applyAlignment="1" applyProtection="1">
      <alignment horizontal="center" vertical="center"/>
      <protection hidden="1"/>
    </xf>
    <xf numFmtId="0" fontId="100" fillId="0" borderId="0" xfId="0" applyFont="1" applyAlignment="1" applyProtection="1">
      <alignment horizontal="center" vertical="center"/>
      <protection hidden="1"/>
    </xf>
    <xf numFmtId="0" fontId="100" fillId="0" borderId="329" xfId="0" applyFont="1" applyBorder="1" applyAlignment="1" applyProtection="1">
      <alignment horizontal="center" vertical="center"/>
      <protection hidden="1"/>
    </xf>
    <xf numFmtId="0" fontId="101" fillId="0" borderId="332" xfId="0" applyFont="1" applyBorder="1" applyAlignment="1" applyProtection="1">
      <alignment horizontal="center" vertical="center"/>
      <protection hidden="1"/>
    </xf>
    <xf numFmtId="0" fontId="101" fillId="0" borderId="0" xfId="0" applyFont="1" applyAlignment="1" applyProtection="1">
      <alignment horizontal="center" vertical="center"/>
      <protection hidden="1"/>
    </xf>
    <xf numFmtId="0" fontId="101" fillId="0" borderId="329" xfId="0" applyFont="1" applyBorder="1" applyAlignment="1" applyProtection="1">
      <alignment horizontal="center" vertical="center"/>
      <protection hidden="1"/>
    </xf>
    <xf numFmtId="14" fontId="98" fillId="0" borderId="6" xfId="0" applyNumberFormat="1" applyFont="1" applyBorder="1" applyAlignment="1" applyProtection="1">
      <alignment horizontal="center" vertical="center"/>
      <protection hidden="1"/>
    </xf>
    <xf numFmtId="14" fontId="98" fillId="0" borderId="0" xfId="0" applyNumberFormat="1" applyFont="1" applyBorder="1" applyAlignment="1" applyProtection="1">
      <alignment horizontal="center" vertical="center"/>
      <protection hidden="1"/>
    </xf>
    <xf numFmtId="14" fontId="98" fillId="0" borderId="329" xfId="0" applyNumberFormat="1" applyFont="1" applyBorder="1" applyAlignment="1" applyProtection="1">
      <alignment horizontal="center" vertical="center"/>
      <protection hidden="1"/>
    </xf>
    <xf numFmtId="0" fontId="102" fillId="0" borderId="12" xfId="0" applyFont="1" applyBorder="1" applyAlignment="1" applyProtection="1">
      <alignment horizontal="center" vertical="center"/>
      <protection hidden="1"/>
    </xf>
    <xf numFmtId="0" fontId="102" fillId="0" borderId="11" xfId="0" applyFont="1" applyBorder="1" applyAlignment="1" applyProtection="1">
      <alignment horizontal="center" vertical="center"/>
      <protection hidden="1"/>
    </xf>
    <xf numFmtId="0" fontId="102" fillId="0" borderId="330" xfId="0" applyFont="1" applyBorder="1" applyAlignment="1" applyProtection="1">
      <alignment horizontal="center" vertical="center"/>
      <protection hidden="1"/>
    </xf>
    <xf numFmtId="3" fontId="112" fillId="0" borderId="6" xfId="0" applyNumberFormat="1" applyFont="1" applyBorder="1" applyAlignment="1" applyProtection="1">
      <alignment horizontal="center" vertical="center"/>
      <protection hidden="1"/>
    </xf>
    <xf numFmtId="3" fontId="112" fillId="0" borderId="0" xfId="0" applyNumberFormat="1" applyFont="1" applyBorder="1" applyAlignment="1" applyProtection="1">
      <alignment horizontal="center" vertical="center"/>
      <protection hidden="1"/>
    </xf>
    <xf numFmtId="3" fontId="112" fillId="0" borderId="331" xfId="0" applyNumberFormat="1" applyFont="1" applyBorder="1" applyAlignment="1" applyProtection="1">
      <alignment horizontal="center" vertical="center"/>
      <protection hidden="1"/>
    </xf>
    <xf numFmtId="3" fontId="112" fillId="0" borderId="6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9" xfId="1" applyNumberFormat="1" applyFont="1" applyFill="1" applyBorder="1" applyAlignment="1" applyProtection="1">
      <alignment horizontal="center" vertical="center"/>
      <protection hidden="1"/>
    </xf>
    <xf numFmtId="3" fontId="105" fillId="0" borderId="0" xfId="0" applyNumberFormat="1" applyFont="1" applyAlignment="1" applyProtection="1">
      <alignment vertical="center"/>
      <protection hidden="1"/>
    </xf>
    <xf numFmtId="3" fontId="98" fillId="0" borderId="9" xfId="1" applyNumberFormat="1" applyFont="1" applyFill="1" applyBorder="1" applyAlignment="1" applyProtection="1">
      <alignment horizontal="center" vertical="center" wrapText="1"/>
      <protection hidden="1"/>
    </xf>
    <xf numFmtId="3" fontId="112" fillId="0" borderId="6" xfId="0" applyNumberFormat="1" applyFont="1" applyBorder="1" applyAlignment="1" applyProtection="1">
      <alignment horizontal="center" vertical="center" wrapText="1"/>
      <protection hidden="1"/>
    </xf>
    <xf numFmtId="3" fontId="112" fillId="0" borderId="0" xfId="0" applyNumberFormat="1" applyFont="1" applyBorder="1" applyAlignment="1" applyProtection="1">
      <alignment horizontal="center" vertical="center" wrapText="1"/>
      <protection hidden="1"/>
    </xf>
    <xf numFmtId="3" fontId="112" fillId="0" borderId="331" xfId="0" applyNumberFormat="1" applyFont="1" applyBorder="1" applyAlignment="1" applyProtection="1">
      <alignment horizontal="center" vertical="center" wrapText="1"/>
      <protection hidden="1"/>
    </xf>
    <xf numFmtId="3" fontId="98" fillId="0" borderId="0" xfId="1" applyNumberFormat="1" applyFont="1" applyFill="1" applyBorder="1" applyAlignment="1" applyProtection="1">
      <alignment horizontal="left" vertical="center" wrapText="1"/>
      <protection hidden="1"/>
    </xf>
    <xf numFmtId="3" fontId="112" fillId="0" borderId="6" xfId="1" quotePrefix="1" applyNumberFormat="1" applyFont="1" applyFill="1" applyBorder="1" applyAlignment="1" applyProtection="1">
      <alignment horizontal="center" vertical="center"/>
      <protection hidden="1"/>
    </xf>
    <xf numFmtId="0" fontId="32" fillId="0" borderId="132" xfId="16" applyBorder="1" applyAlignment="1">
      <alignment horizontal="left" vertical="center" wrapText="1"/>
    </xf>
    <xf numFmtId="0" fontId="32" fillId="0" borderId="0" xfId="16" applyBorder="1" applyAlignment="1">
      <alignment horizontal="left" vertical="center" wrapText="1"/>
    </xf>
    <xf numFmtId="0" fontId="32" fillId="0" borderId="66" xfId="16" applyBorder="1" applyAlignment="1">
      <alignment horizontal="left" vertical="center" wrapText="1"/>
    </xf>
    <xf numFmtId="0" fontId="32" fillId="0" borderId="70" xfId="16" applyBorder="1" applyAlignment="1">
      <alignment horizontal="left" vertical="center" wrapText="1"/>
    </xf>
    <xf numFmtId="0" fontId="32" fillId="0" borderId="71" xfId="16" applyBorder="1" applyAlignment="1">
      <alignment horizontal="left" vertical="center" wrapText="1"/>
    </xf>
    <xf numFmtId="0" fontId="32" fillId="0" borderId="69" xfId="16" applyBorder="1" applyAlignment="1">
      <alignment horizontal="left" vertical="center" wrapText="1"/>
    </xf>
    <xf numFmtId="0" fontId="115" fillId="0" borderId="0" xfId="16" applyFont="1" applyFill="1" applyAlignment="1">
      <alignment horizontal="center" vertical="center"/>
    </xf>
    <xf numFmtId="0" fontId="38" fillId="7" borderId="79" xfId="16" applyFont="1" applyFill="1" applyBorder="1" applyAlignment="1">
      <alignment horizontal="center" vertical="center" wrapText="1"/>
    </xf>
    <xf numFmtId="0" fontId="38" fillId="7" borderId="104" xfId="16" applyFont="1" applyFill="1" applyBorder="1" applyAlignment="1">
      <alignment horizontal="center" vertical="center" wrapText="1"/>
    </xf>
    <xf numFmtId="0" fontId="38" fillId="7" borderId="128" xfId="16" applyFont="1" applyFill="1" applyBorder="1" applyAlignment="1">
      <alignment horizontal="center" vertical="center" wrapText="1"/>
    </xf>
    <xf numFmtId="0" fontId="115" fillId="0" borderId="0" xfId="16" applyFont="1" applyAlignment="1">
      <alignment horizontal="center" vertical="center"/>
    </xf>
    <xf numFmtId="0" fontId="77" fillId="7" borderId="79" xfId="16" applyFont="1" applyFill="1" applyBorder="1" applyAlignment="1">
      <alignment horizontal="center" vertical="center" wrapText="1"/>
    </xf>
    <xf numFmtId="0" fontId="1" fillId="0" borderId="3" xfId="18" applyFont="1" applyFill="1" applyBorder="1" applyAlignment="1" applyProtection="1">
      <alignment horizontal="center" vertical="center"/>
      <protection locked="0"/>
    </xf>
    <xf numFmtId="0" fontId="1" fillId="0" borderId="4" xfId="18" applyFont="1" applyFill="1" applyBorder="1" applyAlignment="1" applyProtection="1">
      <alignment horizontal="center" vertical="center"/>
      <protection locked="0"/>
    </xf>
    <xf numFmtId="0" fontId="1" fillId="0" borderId="2" xfId="18" applyFont="1" applyFill="1" applyBorder="1" applyAlignment="1" applyProtection="1">
      <alignment horizontal="center" vertical="center"/>
      <protection locked="0"/>
    </xf>
    <xf numFmtId="14" fontId="8" fillId="0" borderId="6" xfId="18" applyNumberFormat="1" applyFont="1" applyFill="1" applyBorder="1" applyAlignment="1" applyProtection="1">
      <alignment horizontal="center" vertical="center"/>
      <protection locked="0"/>
    </xf>
    <xf numFmtId="14" fontId="8" fillId="0" borderId="0" xfId="18" applyNumberFormat="1" applyFont="1" applyFill="1" applyBorder="1" applyAlignment="1" applyProtection="1">
      <alignment horizontal="center" vertical="center"/>
      <protection locked="0"/>
    </xf>
    <xf numFmtId="14" fontId="8" fillId="0" borderId="66" xfId="18" applyNumberFormat="1" applyFont="1" applyFill="1" applyBorder="1" applyAlignment="1" applyProtection="1">
      <alignment horizontal="center" vertical="center"/>
      <protection locked="0"/>
    </xf>
    <xf numFmtId="0" fontId="13" fillId="0" borderId="132" xfId="18" applyFont="1" applyFill="1" applyBorder="1" applyAlignment="1" applyProtection="1">
      <alignment horizontal="center" vertical="center"/>
      <protection locked="0"/>
    </xf>
    <xf numFmtId="0" fontId="13" fillId="0" borderId="0" xfId="18" applyFont="1" applyFill="1" applyBorder="1" applyAlignment="1" applyProtection="1">
      <alignment horizontal="center" vertical="center"/>
      <protection locked="0"/>
    </xf>
    <xf numFmtId="0" fontId="13" fillId="0" borderId="66" xfId="18" applyFont="1" applyFill="1" applyBorder="1" applyAlignment="1" applyProtection="1">
      <alignment horizontal="center" vertical="center"/>
      <protection locked="0"/>
    </xf>
    <xf numFmtId="0" fontId="15" fillId="0" borderId="132" xfId="18" applyFont="1" applyFill="1" applyBorder="1" applyAlignment="1" applyProtection="1">
      <alignment horizontal="center" vertical="center"/>
      <protection locked="0"/>
    </xf>
    <xf numFmtId="0" fontId="15" fillId="0" borderId="0" xfId="18" applyFont="1" applyFill="1" applyBorder="1" applyAlignment="1" applyProtection="1">
      <alignment horizontal="center" vertical="center"/>
      <protection locked="0"/>
    </xf>
    <xf numFmtId="0" fontId="15" fillId="0" borderId="66" xfId="18" applyFont="1" applyFill="1" applyBorder="1" applyAlignment="1" applyProtection="1">
      <alignment horizontal="center" vertical="center"/>
      <protection locked="0"/>
    </xf>
    <xf numFmtId="14" fontId="45" fillId="0" borderId="6" xfId="18" applyNumberFormat="1" applyFont="1" applyFill="1" applyBorder="1" applyAlignment="1" applyProtection="1">
      <alignment horizontal="center" vertical="center"/>
      <protection locked="0"/>
    </xf>
    <xf numFmtId="14" fontId="45" fillId="0" borderId="0" xfId="18" applyNumberFormat="1" applyFont="1" applyFill="1" applyBorder="1" applyAlignment="1" applyProtection="1">
      <alignment horizontal="center" vertical="center"/>
      <protection locked="0"/>
    </xf>
    <xf numFmtId="14" fontId="45" fillId="0" borderId="66" xfId="18" applyNumberFormat="1" applyFont="1" applyFill="1" applyBorder="1" applyAlignment="1" applyProtection="1">
      <alignment horizontal="center" vertical="center"/>
      <protection locked="0"/>
    </xf>
    <xf numFmtId="3" fontId="1" fillId="0" borderId="0" xfId="18" applyNumberFormat="1" applyFont="1" applyFill="1" applyBorder="1" applyAlignment="1" applyProtection="1">
      <alignment horizontal="left" vertical="center" wrapText="1"/>
      <protection locked="0"/>
    </xf>
    <xf numFmtId="0" fontId="29" fillId="0" borderId="12" xfId="18" applyFont="1" applyFill="1" applyBorder="1" applyAlignment="1" applyProtection="1">
      <alignment horizontal="center" vertical="center"/>
      <protection locked="0"/>
    </xf>
    <xf numFmtId="0" fontId="29" fillId="0" borderId="11" xfId="18" applyFont="1" applyFill="1" applyBorder="1" applyAlignment="1" applyProtection="1">
      <alignment horizontal="center" vertical="center"/>
      <protection locked="0"/>
    </xf>
    <xf numFmtId="0" fontId="29" fillId="0" borderId="13" xfId="18" applyFont="1" applyFill="1" applyBorder="1" applyAlignment="1" applyProtection="1">
      <alignment horizontal="center" vertical="center"/>
      <protection locked="0"/>
    </xf>
    <xf numFmtId="3" fontId="15" fillId="0" borderId="6" xfId="1" applyNumberFormat="1" applyFont="1" applyFill="1" applyBorder="1" applyAlignment="1" applyProtection="1">
      <alignment horizontal="center" vertical="center"/>
    </xf>
    <xf numFmtId="3" fontId="15" fillId="0" borderId="0" xfId="1" quotePrefix="1" applyNumberFormat="1" applyFont="1" applyFill="1" applyBorder="1" applyAlignment="1" applyProtection="1">
      <alignment horizontal="center" vertical="center"/>
    </xf>
    <xf numFmtId="3" fontId="15" fillId="0" borderId="0" xfId="1" applyNumberFormat="1" applyFont="1" applyFill="1" applyBorder="1" applyAlignment="1" applyProtection="1">
      <alignment horizontal="center" vertical="center"/>
    </xf>
    <xf numFmtId="3" fontId="15" fillId="0" borderId="9" xfId="1" applyNumberFormat="1" applyFont="1" applyFill="1" applyBorder="1" applyAlignment="1" applyProtection="1">
      <alignment horizontal="center" vertical="center"/>
    </xf>
    <xf numFmtId="3" fontId="17" fillId="0" borderId="6" xfId="1" applyNumberFormat="1" applyFont="1" applyFill="1" applyBorder="1" applyAlignment="1" applyProtection="1">
      <alignment horizontal="center" vertical="center"/>
    </xf>
    <xf numFmtId="3" fontId="17" fillId="0" borderId="0" xfId="1" applyNumberFormat="1" applyFont="1" applyFill="1" applyBorder="1" applyAlignment="1" applyProtection="1">
      <alignment horizontal="center" vertical="center"/>
    </xf>
    <xf numFmtId="3" fontId="17" fillId="0" borderId="9" xfId="1" applyNumberFormat="1" applyFont="1" applyFill="1" applyBorder="1" applyAlignment="1" applyProtection="1">
      <alignment horizontal="center" vertical="center"/>
    </xf>
  </cellXfs>
  <cellStyles count="713"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Milliers" xfId="3" builtinId="3"/>
    <cellStyle name="Normal" xfId="0" builtinId="0"/>
    <cellStyle name="Normal 10 2" xfId="16"/>
    <cellStyle name="Normal 2" xfId="9"/>
    <cellStyle name="Normal 2 3" xfId="18"/>
    <cellStyle name="Normal 3" xfId="11"/>
    <cellStyle name="Normal 7" xfId="13"/>
    <cellStyle name="Normal_Autre Matériau -" xfId="14"/>
    <cellStyle name="Normal_ecartpp" xfId="15"/>
    <cellStyle name="Normal_Frais de Service 2 2" xfId="6"/>
    <cellStyle name="Normal_Frais de Service 3" xfId="17"/>
    <cellStyle name="Normal_MO Directe - 2 2" xfId="7"/>
    <cellStyle name="Normal_VENTE" xfId="1"/>
    <cellStyle name="Pourcentage" xfId="2" builtinId="5"/>
    <cellStyle name="Pourcentage 2" xfId="10"/>
    <cellStyle name="Pourcentage 3" xfId="8"/>
    <cellStyle name="Pourcentage 4" xfId="12"/>
    <cellStyle name="Protected" xfId="5"/>
    <cellStyle name="UnProtected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DU RESULTAT COURANT</a:t>
            </a:r>
          </a:p>
        </c:rich>
      </c:tx>
      <c:layout>
        <c:manualLayout>
          <c:xMode val="edge"/>
          <c:yMode val="edge"/>
          <c:x val="0.237322515212982"/>
          <c:y val="3.03643724696355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49492900608504E-2"/>
          <c:y val="0.25708502024291502"/>
          <c:w val="0.89249492900608496"/>
          <c:h val="0.48178137651821901"/>
        </c:manualLayout>
      </c:layout>
      <c:lineChart>
        <c:grouping val="standard"/>
        <c:varyColors val="0"/>
        <c:ser>
          <c:idx val="0"/>
          <c:order val="0"/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SYNTHESE!$D$51:$G$51</c:f>
              <c:strCache>
                <c:ptCount val="4"/>
                <c:pt idx="0">
                  <c:v>Transfert</c:v>
                </c:pt>
                <c:pt idx="1">
                  <c:v>Objectif</c:v>
                </c:pt>
                <c:pt idx="2">
                  <c:v>Point 20%</c:v>
                </c:pt>
                <c:pt idx="3">
                  <c:v>Point 50%</c:v>
                </c:pt>
              </c:strCache>
            </c:strRef>
          </c:cat>
          <c:val>
            <c:numRef>
              <c:f>SYNTHESE!$D$56:$G$56</c:f>
              <c:numCache>
                <c:formatCode>0.00%</c:formatCode>
                <c:ptCount val="4"/>
                <c:pt idx="0">
                  <c:v>3.5000000000000003E-2</c:v>
                </c:pt>
                <c:pt idx="1">
                  <c:v>0.04</c:v>
                </c:pt>
                <c:pt idx="2">
                  <c:v>7.0000000000000007E-2</c:v>
                </c:pt>
                <c:pt idx="3">
                  <c:v>7.0000000000000007E-2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440320"/>
        <c:axId val="268442240"/>
      </c:lineChart>
      <c:catAx>
        <c:axId val="268440320"/>
        <c:scaling>
          <c:orientation val="minMax"/>
        </c:scaling>
        <c:delete val="0"/>
        <c:axPos val="b"/>
        <c:numFmt formatCode="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844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8442240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ysDash"/>
            </a:ln>
          </c:spPr>
        </c:majorGridlines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68440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1009650</xdr:colOff>
      <xdr:row>49</xdr:row>
      <xdr:rowOff>766762</xdr:rowOff>
    </xdr:from>
    <xdr:to>
      <xdr:col>13</xdr:col>
      <xdr:colOff>738187</xdr:colOff>
      <xdr:row>59</xdr:row>
      <xdr:rowOff>109538</xdr:rowOff>
    </xdr:to>
    <xdr:graphicFrame macro="">
      <xdr:nvGraphicFramePr>
        <xdr:cNvPr id="5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104775</xdr:colOff>
      <xdr:row>0</xdr:row>
      <xdr:rowOff>76200</xdr:rowOff>
    </xdr:from>
    <xdr:to>
      <xdr:col>17</xdr:col>
      <xdr:colOff>693738</xdr:colOff>
      <xdr:row>1</xdr:row>
      <xdr:rowOff>157163</xdr:rowOff>
    </xdr:to>
    <xdr:sp macro="[0]!CopieDS" textlink="">
      <xdr:nvSpPr>
        <xdr:cNvPr id="4" name="MAJ"/>
        <xdr:cNvSpPr/>
      </xdr:nvSpPr>
      <xdr:spPr>
        <a:xfrm>
          <a:off x="10639425" y="76200"/>
          <a:ext cx="1350963" cy="271463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</a:t>
          </a:r>
          <a:r>
            <a:rPr lang="fr-FR" sz="1200" b="1" baseline="0"/>
            <a:t> DS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39</xdr:col>
      <xdr:colOff>230981</xdr:colOff>
      <xdr:row>0</xdr:row>
      <xdr:rowOff>57150</xdr:rowOff>
    </xdr:from>
    <xdr:to>
      <xdr:col>43</xdr:col>
      <xdr:colOff>484982</xdr:colOff>
      <xdr:row>0</xdr:row>
      <xdr:rowOff>320675</xdr:rowOff>
    </xdr:to>
    <xdr:sp macro="[0]!CopieMatrice" textlink="">
      <xdr:nvSpPr>
        <xdr:cNvPr id="2" name="Copie Matrice"/>
        <xdr:cNvSpPr/>
      </xdr:nvSpPr>
      <xdr:spPr>
        <a:xfrm>
          <a:off x="2094547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Copier Matrice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650875</xdr:colOff>
      <xdr:row>0</xdr:row>
      <xdr:rowOff>57150</xdr:rowOff>
    </xdr:from>
    <xdr:to>
      <xdr:col>10</xdr:col>
      <xdr:colOff>554038</xdr:colOff>
      <xdr:row>1</xdr:row>
      <xdr:rowOff>138113</xdr:rowOff>
    </xdr:to>
    <xdr:sp macro="[0]!maj_recap" textlink="">
      <xdr:nvSpPr>
        <xdr:cNvPr id="2" name="MAJ"/>
        <xdr:cNvSpPr/>
      </xdr:nvSpPr>
      <xdr:spPr>
        <a:xfrm>
          <a:off x="7572375" y="57150"/>
          <a:ext cx="1490663" cy="271463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3</xdr:row>
      <xdr:rowOff>0</xdr:rowOff>
    </xdr:from>
    <xdr:to>
      <xdr:col>12</xdr:col>
      <xdr:colOff>0</xdr:colOff>
      <xdr:row>3</xdr:row>
      <xdr:rowOff>647700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6238875" y="790575"/>
          <a:ext cx="295275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3</xdr:row>
      <xdr:rowOff>0</xdr:rowOff>
    </xdr:from>
    <xdr:to>
      <xdr:col>10</xdr:col>
      <xdr:colOff>304800</xdr:colOff>
      <xdr:row>3</xdr:row>
      <xdr:rowOff>647700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5934075" y="790575"/>
          <a:ext cx="276225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C1:N57"/>
  <sheetViews>
    <sheetView showGridLines="0" topLeftCell="A37" zoomScale="55" zoomScaleNormal="55" zoomScalePageLayoutView="55" workbookViewId="0">
      <selection activeCell="E22" sqref="E22"/>
    </sheetView>
  </sheetViews>
  <sheetFormatPr baseColWidth="10" defaultRowHeight="15"/>
  <cols>
    <col min="1" max="2" width="11.7109375" customWidth="1"/>
    <col min="3" max="4" width="40.42578125" style="450" customWidth="1"/>
    <col min="5" max="5" width="26.7109375" style="450" customWidth="1"/>
    <col min="6" max="6" width="30.7109375" style="450" customWidth="1"/>
    <col min="7" max="7" width="26.7109375" style="450" customWidth="1"/>
    <col min="8" max="8" width="30.7109375" style="450" customWidth="1"/>
    <col min="9" max="9" width="26.7109375" style="450" customWidth="1"/>
    <col min="10" max="10" width="30.7109375" style="450" customWidth="1"/>
    <col min="11" max="11" width="19.7109375" style="450" customWidth="1"/>
    <col min="12" max="12" width="6.7109375" style="450" customWidth="1"/>
    <col min="13" max="13" width="30.7109375" style="450" customWidth="1"/>
    <col min="14" max="14" width="20.7109375" style="450" customWidth="1"/>
    <col min="18" max="18" width="16.42578125" bestFit="1" customWidth="1"/>
    <col min="19" max="19" width="13.42578125" customWidth="1"/>
    <col min="20" max="20" width="16.42578125" bestFit="1" customWidth="1"/>
    <col min="21" max="21" width="13.7109375" customWidth="1"/>
    <col min="22" max="22" width="17.7109375" bestFit="1" customWidth="1"/>
    <col min="23" max="23" width="16" bestFit="1" customWidth="1"/>
  </cols>
  <sheetData>
    <row r="1" spans="3:14" ht="19.5" customHeight="1" thickBot="1"/>
    <row r="2" spans="3:14" ht="29.25" customHeight="1" thickTop="1">
      <c r="C2" s="471"/>
      <c r="D2" s="854"/>
      <c r="E2" s="473"/>
      <c r="F2" s="472"/>
      <c r="G2" s="474"/>
      <c r="H2" s="472"/>
      <c r="I2" s="475"/>
      <c r="J2" s="476"/>
      <c r="K2" s="401" t="s">
        <v>19</v>
      </c>
      <c r="L2" s="855"/>
      <c r="M2" s="477"/>
      <c r="N2" s="478">
        <v>42736</v>
      </c>
    </row>
    <row r="3" spans="3:14" ht="29.25" customHeight="1">
      <c r="C3" s="479"/>
      <c r="D3" s="856"/>
      <c r="E3" s="1923" t="s">
        <v>15</v>
      </c>
      <c r="F3" s="1924"/>
      <c r="G3" s="1924"/>
      <c r="H3" s="1924"/>
      <c r="I3" s="1924"/>
      <c r="J3" s="1925"/>
      <c r="K3" s="402" t="s">
        <v>20</v>
      </c>
      <c r="L3" s="857"/>
      <c r="M3" s="480"/>
      <c r="N3" s="403" t="s">
        <v>21</v>
      </c>
    </row>
    <row r="4" spans="3:14" ht="29.25" customHeight="1">
      <c r="C4" s="479"/>
      <c r="D4" s="858" t="s">
        <v>18</v>
      </c>
      <c r="E4" s="1923"/>
      <c r="F4" s="1924"/>
      <c r="G4" s="1924"/>
      <c r="H4" s="1924"/>
      <c r="I4" s="1924"/>
      <c r="J4" s="1925"/>
      <c r="K4" s="402" t="s">
        <v>22</v>
      </c>
      <c r="L4" s="857"/>
      <c r="M4" s="480"/>
      <c r="N4" s="403" t="s">
        <v>44</v>
      </c>
    </row>
    <row r="5" spans="3:14" ht="29.25" customHeight="1">
      <c r="C5" s="479"/>
      <c r="D5" s="481"/>
      <c r="E5" s="1923"/>
      <c r="F5" s="1924"/>
      <c r="G5" s="1924"/>
      <c r="H5" s="1924"/>
      <c r="I5" s="1924"/>
      <c r="J5" s="1925"/>
      <c r="K5" s="402" t="s">
        <v>23</v>
      </c>
      <c r="L5" s="857"/>
      <c r="M5" s="1926">
        <v>42289</v>
      </c>
      <c r="N5" s="1927"/>
    </row>
    <row r="6" spans="3:14" ht="29.25" customHeight="1">
      <c r="C6" s="479"/>
      <c r="D6" s="481"/>
      <c r="E6" s="1923" t="s">
        <v>17</v>
      </c>
      <c r="F6" s="1924"/>
      <c r="G6" s="1924"/>
      <c r="H6" s="1924"/>
      <c r="I6" s="1924"/>
      <c r="J6" s="1925"/>
      <c r="K6" s="402" t="s">
        <v>24</v>
      </c>
      <c r="L6" s="857"/>
      <c r="M6" s="480"/>
      <c r="N6" s="403" t="s">
        <v>25</v>
      </c>
    </row>
    <row r="7" spans="3:14" ht="29.25" customHeight="1">
      <c r="C7" s="479"/>
      <c r="D7" s="481">
        <v>42800</v>
      </c>
      <c r="E7" s="1923" t="s">
        <v>16</v>
      </c>
      <c r="F7" s="1924"/>
      <c r="G7" s="1924"/>
      <c r="H7" s="1924"/>
      <c r="I7" s="1924"/>
      <c r="J7" s="1925"/>
      <c r="K7" s="402" t="s">
        <v>26</v>
      </c>
      <c r="L7" s="857"/>
      <c r="M7" s="859"/>
      <c r="N7" s="403" t="s">
        <v>27</v>
      </c>
    </row>
    <row r="8" spans="3:14" ht="29.25" customHeight="1" thickBot="1">
      <c r="C8" s="482"/>
      <c r="D8" s="860"/>
      <c r="E8" s="861"/>
      <c r="F8" s="862"/>
      <c r="G8" s="863"/>
      <c r="H8" s="862"/>
      <c r="I8" s="864"/>
      <c r="J8" s="865"/>
      <c r="K8" s="866" t="s">
        <v>28</v>
      </c>
      <c r="L8" s="867"/>
      <c r="M8" s="868"/>
      <c r="N8" s="484"/>
    </row>
    <row r="9" spans="3:14" ht="58.5" customHeight="1" thickTop="1"/>
    <row r="10" spans="3:14" ht="63" customHeight="1">
      <c r="C10" s="489"/>
      <c r="D10" s="654"/>
      <c r="E10" s="1909" t="s">
        <v>0</v>
      </c>
      <c r="F10" s="1909"/>
      <c r="G10" s="1909"/>
      <c r="H10" s="1909"/>
      <c r="I10" s="1909"/>
      <c r="J10" s="1909"/>
      <c r="K10" s="869"/>
      <c r="L10" s="654"/>
      <c r="M10" s="491"/>
      <c r="N10" s="493"/>
    </row>
    <row r="11" spans="3:14" ht="145.5" customHeight="1">
      <c r="G11" s="1910" t="s">
        <v>1</v>
      </c>
      <c r="H11" s="1910"/>
    </row>
    <row r="12" spans="3:14" ht="37.5" customHeight="1">
      <c r="C12" s="1911" t="s">
        <v>29</v>
      </c>
      <c r="D12" s="1912"/>
      <c r="E12" s="698"/>
      <c r="F12" s="1915" t="s">
        <v>54</v>
      </c>
      <c r="G12" s="870"/>
      <c r="H12" s="1917" t="s">
        <v>510</v>
      </c>
      <c r="I12" s="871"/>
      <c r="J12" s="1919" t="str">
        <f>D4</f>
        <v>POINT 50%</v>
      </c>
      <c r="K12" s="872"/>
      <c r="L12" s="679"/>
      <c r="M12" s="1906" t="s">
        <v>41</v>
      </c>
      <c r="N12" s="1906"/>
    </row>
    <row r="13" spans="3:14" ht="37.5" customHeight="1">
      <c r="C13" s="1913"/>
      <c r="D13" s="1914"/>
      <c r="E13" s="873"/>
      <c r="F13" s="1916"/>
      <c r="G13" s="874"/>
      <c r="H13" s="1918"/>
      <c r="I13" s="875"/>
      <c r="J13" s="1920"/>
      <c r="K13" s="876"/>
      <c r="L13" s="690"/>
      <c r="M13" s="877" t="s">
        <v>42</v>
      </c>
      <c r="N13" s="877" t="s">
        <v>43</v>
      </c>
    </row>
    <row r="14" spans="3:14" ht="30" customHeight="1"/>
    <row r="15" spans="3:14" ht="30" customHeight="1"/>
    <row r="16" spans="3:14" ht="30" customHeight="1"/>
    <row r="17" spans="3:14" ht="39.75" customHeight="1">
      <c r="C17" s="1921" t="s">
        <v>30</v>
      </c>
      <c r="D17" s="1922"/>
      <c r="E17" s="878"/>
      <c r="F17" s="879">
        <f ca="1">RECETTES!F56</f>
        <v>303500010</v>
      </c>
      <c r="G17" s="880"/>
      <c r="H17" s="881">
        <f ca="1">RECETTES!H56</f>
        <v>305565607</v>
      </c>
      <c r="I17" s="882"/>
      <c r="J17" s="883">
        <f ca="1">RECETTES!J56</f>
        <v>305565607</v>
      </c>
      <c r="K17" s="884"/>
      <c r="L17" s="659"/>
      <c r="M17" s="885">
        <f ca="1">J17-H17</f>
        <v>0</v>
      </c>
      <c r="N17" s="886">
        <f ca="1">IF(H17=0,0,M17/H17)</f>
        <v>0</v>
      </c>
    </row>
    <row r="18" spans="3:14" ht="33" customHeight="1"/>
    <row r="19" spans="3:14" ht="33" customHeight="1"/>
    <row r="20" spans="3:14" ht="33" customHeight="1"/>
    <row r="21" spans="3:14" ht="39.75" customHeight="1">
      <c r="C21" s="887"/>
      <c r="D21" s="888"/>
      <c r="E21" s="889"/>
      <c r="F21" s="890"/>
      <c r="G21" s="882"/>
      <c r="H21" s="890"/>
      <c r="I21" s="882"/>
      <c r="J21" s="890"/>
      <c r="K21" s="884"/>
      <c r="L21" s="889"/>
      <c r="M21" s="890"/>
      <c r="N21" s="890"/>
    </row>
    <row r="22" spans="3:14" ht="39.75" customHeight="1">
      <c r="C22" s="891" t="s">
        <v>2</v>
      </c>
      <c r="D22" s="892"/>
      <c r="E22" s="670"/>
      <c r="F22" s="893">
        <f>DCH!F20</f>
        <v>131768187.12246411</v>
      </c>
      <c r="G22" s="882"/>
      <c r="H22" s="893">
        <f>DCH!K20</f>
        <v>131768187.12246411</v>
      </c>
      <c r="I22" s="882"/>
      <c r="J22" s="893">
        <f>DCH!M20</f>
        <v>168903430.07142112</v>
      </c>
      <c r="K22" s="884"/>
      <c r="L22" s="659"/>
      <c r="M22" s="894">
        <f t="shared" ref="M22:M28" si="0">H22-J22</f>
        <v>-37135242.948957011</v>
      </c>
      <c r="N22" s="895">
        <f>M22/H22</f>
        <v>-0.28182252302252492</v>
      </c>
    </row>
    <row r="23" spans="3:14" ht="39.75" customHeight="1">
      <c r="C23" s="1907" t="s">
        <v>3</v>
      </c>
      <c r="D23" s="1908"/>
      <c r="E23" s="670"/>
      <c r="F23" s="896">
        <f>DCH!F26</f>
        <v>129009357.68000001</v>
      </c>
      <c r="G23" s="882"/>
      <c r="H23" s="896">
        <f>DCH!K26</f>
        <v>129009357.68000001</v>
      </c>
      <c r="I23" s="882"/>
      <c r="J23" s="896">
        <f>DCH!M26</f>
        <v>97800689.150000006</v>
      </c>
      <c r="K23" s="884"/>
      <c r="L23" s="659"/>
      <c r="M23" s="894">
        <f t="shared" si="0"/>
        <v>31208668.530000001</v>
      </c>
      <c r="N23" s="895">
        <f t="shared" ref="N23:N26" si="1">M23/H23</f>
        <v>0.24191011482602087</v>
      </c>
    </row>
    <row r="24" spans="3:14" ht="39.75" customHeight="1">
      <c r="C24" s="1907" t="s">
        <v>4</v>
      </c>
      <c r="D24" s="1908"/>
      <c r="E24" s="670"/>
      <c r="F24" s="896">
        <f>DCH!F41</f>
        <v>51153188.450000003</v>
      </c>
      <c r="G24" s="882"/>
      <c r="H24" s="896">
        <f>DCH!K41</f>
        <v>51220858.620000005</v>
      </c>
      <c r="I24" s="884"/>
      <c r="J24" s="896">
        <f>DCH!M41</f>
        <v>195358882.28999999</v>
      </c>
      <c r="K24" s="884"/>
      <c r="L24" s="659"/>
      <c r="M24" s="894">
        <f t="shared" si="0"/>
        <v>-144138023.66999999</v>
      </c>
      <c r="N24" s="895">
        <f t="shared" si="1"/>
        <v>-2.814049345391469</v>
      </c>
    </row>
    <row r="25" spans="3:14" ht="39.75" customHeight="1">
      <c r="C25" s="1907" t="s">
        <v>5</v>
      </c>
      <c r="D25" s="1908"/>
      <c r="E25" s="670"/>
      <c r="F25" s="896">
        <f>DCH!F46</f>
        <v>386000</v>
      </c>
      <c r="G25" s="882"/>
      <c r="H25" s="896">
        <f>DCH!K46</f>
        <v>386000</v>
      </c>
      <c r="I25" s="884"/>
      <c r="J25" s="896">
        <f>DCH!M46</f>
        <v>-3457000</v>
      </c>
      <c r="K25" s="884"/>
      <c r="L25" s="659"/>
      <c r="M25" s="894">
        <f t="shared" si="0"/>
        <v>3843000</v>
      </c>
      <c r="N25" s="895">
        <f t="shared" si="1"/>
        <v>9.9559585492227978</v>
      </c>
    </row>
    <row r="26" spans="3:14" ht="39.75" customHeight="1">
      <c r="C26" s="897" t="s">
        <v>6</v>
      </c>
      <c r="D26" s="853"/>
      <c r="E26" s="670"/>
      <c r="F26" s="896">
        <f>DCH!F47</f>
        <v>1400000</v>
      </c>
      <c r="G26" s="882"/>
      <c r="H26" s="896">
        <f>DCH!K47</f>
        <v>1400000</v>
      </c>
      <c r="I26" s="884"/>
      <c r="J26" s="896">
        <f>DCH!M47</f>
        <v>0</v>
      </c>
      <c r="K26" s="884"/>
      <c r="L26" s="659"/>
      <c r="M26" s="894">
        <f t="shared" si="0"/>
        <v>1400000</v>
      </c>
      <c r="N26" s="895">
        <f t="shared" si="1"/>
        <v>1</v>
      </c>
    </row>
    <row r="27" spans="3:14" ht="39.75" customHeight="1">
      <c r="C27" s="898"/>
      <c r="D27" s="899"/>
      <c r="E27" s="670"/>
      <c r="F27" s="900"/>
      <c r="G27" s="882"/>
      <c r="H27" s="900"/>
      <c r="I27" s="882"/>
      <c r="J27" s="900"/>
      <c r="K27" s="884"/>
      <c r="L27" s="659"/>
      <c r="M27" s="901"/>
      <c r="N27" s="901"/>
    </row>
    <row r="28" spans="3:14" ht="40.5" customHeight="1">
      <c r="C28" s="902" t="s">
        <v>7</v>
      </c>
      <c r="D28" s="903"/>
      <c r="E28" s="670"/>
      <c r="F28" s="904">
        <f>SUM(F22:F26)</f>
        <v>313716733.25246412</v>
      </c>
      <c r="G28" s="882"/>
      <c r="H28" s="905">
        <f>SUM(H22:H26)</f>
        <v>313784403.42246413</v>
      </c>
      <c r="I28" s="882"/>
      <c r="J28" s="883">
        <f>SUM(J22:J26)</f>
        <v>458606001.51142108</v>
      </c>
      <c r="K28" s="884"/>
      <c r="L28" s="659"/>
      <c r="M28" s="906">
        <f t="shared" si="0"/>
        <v>-144821598.08895695</v>
      </c>
      <c r="N28" s="907">
        <f>IF(H28=0,0,M28/H28)</f>
        <v>-0.46153217466954904</v>
      </c>
    </row>
    <row r="29" spans="3:14" ht="76.5" customHeight="1"/>
    <row r="30" spans="3:14" ht="39.75" customHeight="1">
      <c r="C30" s="1928" t="s">
        <v>31</v>
      </c>
      <c r="D30" s="1929"/>
      <c r="E30" s="688"/>
      <c r="F30" s="908">
        <v>25342250.84</v>
      </c>
      <c r="G30" s="909"/>
      <c r="H30" s="908">
        <v>25514728.18</v>
      </c>
      <c r="I30" s="909"/>
      <c r="J30" s="908">
        <v>25514728.18</v>
      </c>
      <c r="K30" s="909"/>
      <c r="L30" s="679"/>
      <c r="M30" s="910">
        <f>J30-H30</f>
        <v>0</v>
      </c>
      <c r="N30" s="911">
        <f>M30/H30</f>
        <v>0</v>
      </c>
    </row>
    <row r="31" spans="3:14" ht="39.75" customHeight="1">
      <c r="C31" s="912" t="s">
        <v>981</v>
      </c>
      <c r="D31" s="913"/>
      <c r="E31" s="688"/>
      <c r="F31" s="914">
        <v>6070000.2000000002</v>
      </c>
      <c r="G31" s="909"/>
      <c r="H31" s="914">
        <v>6111312.1399999997</v>
      </c>
      <c r="I31" s="909"/>
      <c r="J31" s="914">
        <v>6111312.1399999997</v>
      </c>
      <c r="K31" s="909"/>
      <c r="L31" s="679"/>
      <c r="M31" s="910">
        <f>J31-H31</f>
        <v>0</v>
      </c>
      <c r="N31" s="911">
        <f>M31/H31</f>
        <v>0</v>
      </c>
    </row>
    <row r="32" spans="3:14" ht="39.75" customHeight="1">
      <c r="C32" s="1928" t="s">
        <v>32</v>
      </c>
      <c r="D32" s="1929"/>
      <c r="E32" s="688"/>
      <c r="F32" s="908">
        <v>1881700.06</v>
      </c>
      <c r="G32" s="909"/>
      <c r="H32" s="908">
        <v>1894506.76</v>
      </c>
      <c r="I32" s="909"/>
      <c r="J32" s="908">
        <v>1894506.76</v>
      </c>
      <c r="K32" s="909"/>
      <c r="L32" s="679"/>
      <c r="M32" s="910">
        <f>J32-H32</f>
        <v>0</v>
      </c>
      <c r="N32" s="911">
        <f>M32/H32</f>
        <v>0</v>
      </c>
    </row>
    <row r="33" spans="3:14" ht="39.75" customHeight="1">
      <c r="C33" s="915" t="s">
        <v>33</v>
      </c>
      <c r="D33" s="916"/>
      <c r="E33" s="667"/>
      <c r="F33" s="917">
        <f>SUM(F30:F32)</f>
        <v>33293951.099999998</v>
      </c>
      <c r="G33" s="918">
        <f ca="1">F33/F17</f>
        <v>0.10970000000988467</v>
      </c>
      <c r="H33" s="919">
        <f>SUM(H30:H32)</f>
        <v>33520547.080000002</v>
      </c>
      <c r="I33" s="918">
        <f ca="1">H33/H17</f>
        <v>0.10969999997414631</v>
      </c>
      <c r="J33" s="920">
        <f>SUM(J30:J32)</f>
        <v>33520547.080000002</v>
      </c>
      <c r="K33" s="918">
        <f ca="1">J33/J17</f>
        <v>0.10969999997414631</v>
      </c>
      <c r="L33" s="659"/>
      <c r="M33" s="921"/>
      <c r="N33" s="907"/>
    </row>
    <row r="34" spans="3:14" ht="57" customHeight="1"/>
    <row r="35" spans="3:14" ht="57" customHeight="1"/>
    <row r="36" spans="3:14" ht="39.75" customHeight="1">
      <c r="C36" s="727" t="s">
        <v>34</v>
      </c>
      <c r="D36" s="728"/>
      <c r="E36" s="688"/>
      <c r="F36" s="922">
        <f ca="1">F17-F33-F28</f>
        <v>-43510674.352464139</v>
      </c>
      <c r="G36" s="923">
        <f ca="1">F36/F17</f>
        <v>-0.1433630079697992</v>
      </c>
      <c r="H36" s="924">
        <f ca="1">H17-H33-H28</f>
        <v>-41739343.502464116</v>
      </c>
      <c r="I36" s="923">
        <f ca="1">H36/H17</f>
        <v>-0.13659699438119066</v>
      </c>
      <c r="J36" s="925">
        <f ca="1">J17-J33-J28</f>
        <v>-186560941.59142107</v>
      </c>
      <c r="K36" s="923">
        <f ca="1">J36/J17</f>
        <v>-0.61054299737149764</v>
      </c>
      <c r="L36" s="679"/>
      <c r="M36" s="926">
        <f ca="1">J36-H36</f>
        <v>-144821598.08895695</v>
      </c>
      <c r="N36" s="927">
        <f ca="1">M36/H36</f>
        <v>3.4696664091136769</v>
      </c>
    </row>
    <row r="37" spans="3:14" ht="39.75" customHeight="1"/>
    <row r="38" spans="3:14" ht="39.75" customHeight="1"/>
    <row r="39" spans="3:14" ht="39.75" customHeight="1">
      <c r="C39" s="1930" t="s">
        <v>35</v>
      </c>
      <c r="D39" s="1931"/>
      <c r="E39" s="667"/>
      <c r="F39" s="958"/>
      <c r="G39" s="918"/>
      <c r="H39" s="961"/>
      <c r="I39" s="918"/>
      <c r="J39" s="958">
        <v>670850</v>
      </c>
      <c r="K39" s="918"/>
      <c r="L39" s="659"/>
      <c r="M39" s="928">
        <f>J39-H39</f>
        <v>670850</v>
      </c>
      <c r="N39" s="929"/>
    </row>
    <row r="40" spans="3:14" ht="39.75" customHeight="1">
      <c r="C40" s="1935" t="s">
        <v>36</v>
      </c>
      <c r="D40" s="1936"/>
      <c r="E40" s="667"/>
      <c r="F40" s="959"/>
      <c r="G40" s="918"/>
      <c r="H40" s="959"/>
      <c r="I40" s="918"/>
      <c r="J40" s="959"/>
      <c r="K40" s="918"/>
      <c r="L40" s="659"/>
      <c r="M40" s="894"/>
      <c r="N40" s="895"/>
    </row>
    <row r="41" spans="3:14" ht="39.75" customHeight="1">
      <c r="C41" s="1937" t="s">
        <v>37</v>
      </c>
      <c r="D41" s="1938"/>
      <c r="E41" s="667"/>
      <c r="F41" s="960"/>
      <c r="G41" s="918"/>
      <c r="H41" s="960"/>
      <c r="I41" s="918"/>
      <c r="J41" s="960"/>
      <c r="K41" s="918"/>
      <c r="L41" s="659"/>
      <c r="M41" s="930"/>
      <c r="N41" s="931"/>
    </row>
    <row r="42" spans="3:14" ht="39.75" customHeight="1" thickBot="1"/>
    <row r="43" spans="3:14" ht="39.75" customHeight="1" thickBot="1">
      <c r="C43" s="932" t="s">
        <v>38</v>
      </c>
      <c r="D43" s="933"/>
      <c r="E43" s="688"/>
      <c r="F43" s="934">
        <f ca="1">F36+F39+F40+F41</f>
        <v>-43510674.352464139</v>
      </c>
      <c r="G43" s="923">
        <f ca="1">F43/F17</f>
        <v>-0.1433630079697992</v>
      </c>
      <c r="H43" s="935">
        <f ca="1">H36+H39+H40+H41</f>
        <v>-41739343.502464116</v>
      </c>
      <c r="I43" s="923">
        <f ca="1">H43/H17</f>
        <v>-0.13659699438119066</v>
      </c>
      <c r="J43" s="936">
        <f ca="1">J36+J39+J40+J41</f>
        <v>-185890091.59142107</v>
      </c>
      <c r="K43" s="923">
        <f ca="1">J43/J17</f>
        <v>-0.60834756050088146</v>
      </c>
      <c r="L43" s="679"/>
      <c r="M43" s="937">
        <f ca="1">J43-H43</f>
        <v>-144150748.08895695</v>
      </c>
      <c r="N43" s="938">
        <f ca="1">M43/H43</f>
        <v>3.4535940432423642</v>
      </c>
    </row>
    <row r="44" spans="3:14" ht="39.75" customHeight="1"/>
    <row r="45" spans="3:14" ht="39.75" customHeight="1"/>
    <row r="46" spans="3:14" ht="39.75" customHeight="1">
      <c r="C46" s="939" t="s">
        <v>39</v>
      </c>
      <c r="D46" s="940"/>
      <c r="E46" s="667"/>
      <c r="F46" s="962"/>
      <c r="G46" s="909"/>
      <c r="H46" s="962"/>
      <c r="I46" s="909"/>
      <c r="J46" s="962"/>
      <c r="K46" s="909"/>
      <c r="L46" s="659"/>
      <c r="M46" s="910">
        <f>J46-H46</f>
        <v>0</v>
      </c>
      <c r="N46" s="911">
        <f>IF(H46=0,0,M46/H46)</f>
        <v>0</v>
      </c>
    </row>
    <row r="47" spans="3:14" ht="39.75" customHeight="1"/>
    <row r="48" spans="3:14" ht="39.75" customHeight="1">
      <c r="C48" s="727" t="s">
        <v>40</v>
      </c>
      <c r="D48" s="728"/>
      <c r="E48" s="688"/>
      <c r="F48" s="922">
        <f ca="1">F43-F46</f>
        <v>-43510674.352464139</v>
      </c>
      <c r="G48" s="923">
        <f ca="1">F48/F17</f>
        <v>-0.1433630079697992</v>
      </c>
      <c r="H48" s="924">
        <f ca="1">H43-H46</f>
        <v>-41739343.502464116</v>
      </c>
      <c r="I48" s="923">
        <f ca="1">H48/H17</f>
        <v>-0.13659699438119066</v>
      </c>
      <c r="J48" s="925">
        <f ca="1">J43-J46</f>
        <v>-185890091.59142107</v>
      </c>
      <c r="K48" s="923">
        <f ca="1">J48/J17</f>
        <v>-0.60834756050088146</v>
      </c>
      <c r="L48" s="679"/>
      <c r="M48" s="926">
        <f ca="1">J48-H48</f>
        <v>-144150748.08895695</v>
      </c>
      <c r="N48" s="927">
        <f ca="1">M48/H48</f>
        <v>3.4535940432423642</v>
      </c>
    </row>
    <row r="49" spans="3:9" ht="39.75" customHeight="1"/>
    <row r="50" spans="3:9" ht="111.75" customHeight="1" thickBot="1"/>
    <row r="51" spans="3:9" ht="39.75" customHeight="1">
      <c r="C51" s="941"/>
      <c r="D51" s="1939" t="s">
        <v>8</v>
      </c>
      <c r="E51" s="1941" t="s">
        <v>9</v>
      </c>
      <c r="F51" s="1941" t="s">
        <v>10</v>
      </c>
      <c r="G51" s="1932" t="s">
        <v>11</v>
      </c>
      <c r="H51" s="1934"/>
      <c r="I51" s="1934"/>
    </row>
    <row r="52" spans="3:9" ht="39.75" customHeight="1" thickBot="1">
      <c r="C52" s="513"/>
      <c r="D52" s="1940"/>
      <c r="E52" s="1942"/>
      <c r="F52" s="1942"/>
      <c r="G52" s="1933"/>
      <c r="H52" s="1934"/>
      <c r="I52" s="1934"/>
    </row>
    <row r="53" spans="3:9" ht="39.75" customHeight="1">
      <c r="C53" s="942"/>
      <c r="D53" s="943"/>
      <c r="E53" s="944"/>
      <c r="F53" s="944"/>
      <c r="G53" s="945"/>
      <c r="H53" s="449"/>
      <c r="I53" s="449"/>
    </row>
    <row r="54" spans="3:9" ht="39.75" customHeight="1">
      <c r="C54" s="946" t="s">
        <v>12</v>
      </c>
      <c r="D54" s="947">
        <v>303500000</v>
      </c>
      <c r="E54" s="948">
        <v>303500000</v>
      </c>
      <c r="F54" s="948">
        <v>305547666.02999997</v>
      </c>
      <c r="G54" s="949">
        <v>305547666.02999997</v>
      </c>
      <c r="H54" s="950"/>
      <c r="I54" s="950"/>
    </row>
    <row r="55" spans="3:9" ht="39.75" customHeight="1">
      <c r="C55" s="946" t="s">
        <v>13</v>
      </c>
      <c r="D55" s="947">
        <v>6087424</v>
      </c>
      <c r="E55" s="948">
        <v>83464.962659537792</v>
      </c>
      <c r="F55" s="948">
        <v>5716973.1736590266</v>
      </c>
      <c r="G55" s="949">
        <v>5716973.1736590266</v>
      </c>
      <c r="H55" s="950"/>
      <c r="I55" s="950"/>
    </row>
    <row r="56" spans="3:9" ht="39.75" customHeight="1">
      <c r="C56" s="946" t="s">
        <v>14</v>
      </c>
      <c r="D56" s="951">
        <v>3.5000000000000003E-2</v>
      </c>
      <c r="E56" s="952">
        <v>0.04</v>
      </c>
      <c r="F56" s="952">
        <v>7.0000000000000007E-2</v>
      </c>
      <c r="G56" s="953">
        <v>7.0000000000000007E-2</v>
      </c>
      <c r="H56" s="950"/>
      <c r="I56" s="950"/>
    </row>
    <row r="57" spans="3:9" ht="39.75" customHeight="1" thickBot="1">
      <c r="C57" s="954"/>
      <c r="D57" s="955"/>
      <c r="E57" s="956"/>
      <c r="F57" s="956"/>
      <c r="G57" s="957"/>
      <c r="H57" s="449"/>
      <c r="I57" s="449"/>
    </row>
  </sheetData>
  <sheetProtection sheet="1" objects="1" scenarios="1"/>
  <mergeCells count="28">
    <mergeCell ref="G51:G52"/>
    <mergeCell ref="H51:H52"/>
    <mergeCell ref="I51:I52"/>
    <mergeCell ref="C40:D40"/>
    <mergeCell ref="C41:D41"/>
    <mergeCell ref="D51:D52"/>
    <mergeCell ref="E51:E52"/>
    <mergeCell ref="F51:F52"/>
    <mergeCell ref="E7:J7"/>
    <mergeCell ref="C30:D30"/>
    <mergeCell ref="C32:D32"/>
    <mergeCell ref="C39:D39"/>
    <mergeCell ref="C25:D25"/>
    <mergeCell ref="C24:D24"/>
    <mergeCell ref="E3:J3"/>
    <mergeCell ref="E5:J5"/>
    <mergeCell ref="M5:N5"/>
    <mergeCell ref="E6:J6"/>
    <mergeCell ref="E4:J4"/>
    <mergeCell ref="M12:N12"/>
    <mergeCell ref="C23:D23"/>
    <mergeCell ref="E10:J10"/>
    <mergeCell ref="G11:H11"/>
    <mergeCell ref="C12:D13"/>
    <mergeCell ref="F12:F13"/>
    <mergeCell ref="H12:H13"/>
    <mergeCell ref="J12:J13"/>
    <mergeCell ref="C17:D17"/>
  </mergeCells>
  <pageMargins left="0.7" right="0.7" top="0.75" bottom="0.75" header="0.3" footer="0.3"/>
  <pageSetup paperSize="9" scale="2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57"/>
  <sheetViews>
    <sheetView showGridLines="0" topLeftCell="A34" zoomScale="75" zoomScaleNormal="75" zoomScalePageLayoutView="75" workbookViewId="0">
      <selection activeCell="N34" sqref="N34"/>
    </sheetView>
  </sheetViews>
  <sheetFormatPr baseColWidth="10" defaultColWidth="10.85546875" defaultRowHeight="15"/>
  <cols>
    <col min="1" max="1" width="11.7109375" style="178" customWidth="1"/>
    <col min="2" max="2" width="14.7109375" style="178" customWidth="1"/>
    <col min="3" max="3" width="38.7109375" style="178" customWidth="1"/>
    <col min="4" max="4" width="34.7109375" style="178" customWidth="1"/>
    <col min="5" max="5" width="10.7109375" style="178" customWidth="1"/>
    <col min="6" max="6" width="30.7109375" style="178" customWidth="1"/>
    <col min="7" max="7" width="9.7109375" style="178" customWidth="1"/>
    <col min="8" max="8" width="30.7109375" style="178" customWidth="1"/>
    <col min="9" max="9" width="9.7109375" style="178" customWidth="1"/>
    <col min="10" max="10" width="30.7109375" style="178" customWidth="1"/>
    <col min="11" max="11" width="9.42578125" style="178" customWidth="1"/>
    <col min="12" max="12" width="15.7109375" style="178" customWidth="1"/>
    <col min="13" max="16384" width="10.85546875" style="178"/>
  </cols>
  <sheetData>
    <row r="1" spans="1:13" ht="13.5" customHeight="1" thickBot="1"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</row>
    <row r="2" spans="1:13" ht="30" customHeight="1" thickTop="1">
      <c r="B2" s="1185"/>
      <c r="C2" s="1186"/>
      <c r="D2" s="1187"/>
      <c r="E2" s="1188"/>
      <c r="F2" s="1189"/>
      <c r="G2" s="1188"/>
      <c r="H2" s="1190"/>
      <c r="I2" s="1191" t="s">
        <v>19</v>
      </c>
      <c r="J2" s="1191"/>
      <c r="K2" s="1192"/>
      <c r="L2" s="1193">
        <f>SYNTHESE!N2</f>
        <v>42736</v>
      </c>
    </row>
    <row r="3" spans="1:13" ht="30" customHeight="1">
      <c r="B3" s="1194"/>
      <c r="C3" s="1195"/>
      <c r="D3" s="1945" t="s">
        <v>15</v>
      </c>
      <c r="E3" s="1946"/>
      <c r="F3" s="1946"/>
      <c r="G3" s="1946"/>
      <c r="H3" s="1947"/>
      <c r="I3" s="1196" t="s">
        <v>20</v>
      </c>
      <c r="J3" s="1196"/>
      <c r="K3" s="1197"/>
      <c r="L3" s="1198" t="str">
        <f>SYNTHESE!N3</f>
        <v>Dirhams</v>
      </c>
    </row>
    <row r="4" spans="1:13" ht="30" customHeight="1">
      <c r="B4" s="1194"/>
      <c r="C4" s="1199" t="str">
        <f>SYNTHESE!D4</f>
        <v>POINT 50%</v>
      </c>
      <c r="D4" s="1200"/>
      <c r="E4" s="1201"/>
      <c r="F4" s="1201"/>
      <c r="G4" s="1201"/>
      <c r="H4" s="1202"/>
      <c r="I4" s="1196" t="s">
        <v>22</v>
      </c>
      <c r="J4" s="1196"/>
      <c r="K4" s="1197"/>
      <c r="L4" s="1198" t="str">
        <f>SYNTHESE!N4</f>
        <v>1 € = 10,85dh</v>
      </c>
    </row>
    <row r="5" spans="1:13" ht="30" customHeight="1">
      <c r="B5" s="1194"/>
      <c r="C5" s="1203"/>
      <c r="D5" s="1200"/>
      <c r="E5" s="1201"/>
      <c r="F5" s="1201"/>
      <c r="G5" s="1201"/>
      <c r="H5" s="1202"/>
      <c r="I5" s="1196" t="s">
        <v>23</v>
      </c>
      <c r="J5" s="1196"/>
      <c r="K5" s="1960">
        <f>SYNTHESE!M5</f>
        <v>42289</v>
      </c>
      <c r="L5" s="1961"/>
    </row>
    <row r="6" spans="1:13" ht="30" customHeight="1">
      <c r="B6" s="1194"/>
      <c r="C6" s="1203"/>
      <c r="D6" s="1948" t="str">
        <f>SYNTHESE!E6</f>
        <v xml:space="preserve">LES FAUBOURGS D'ANFA </v>
      </c>
      <c r="E6" s="1949"/>
      <c r="F6" s="1949"/>
      <c r="G6" s="1949"/>
      <c r="H6" s="1950"/>
      <c r="I6" s="1196" t="s">
        <v>24</v>
      </c>
      <c r="J6" s="1196"/>
      <c r="K6" s="1197"/>
      <c r="L6" s="1198" t="str">
        <f>SYNTHESE!N6</f>
        <v>26 mois</v>
      </c>
    </row>
    <row r="7" spans="1:13" ht="30" customHeight="1">
      <c r="B7" s="1194"/>
      <c r="C7" s="1204">
        <f>SYNTHESE!D7</f>
        <v>42800</v>
      </c>
      <c r="D7" s="1948" t="str">
        <f>SYNTHESE!E7</f>
        <v>CASABLANCA</v>
      </c>
      <c r="E7" s="1949"/>
      <c r="F7" s="1949"/>
      <c r="G7" s="1949"/>
      <c r="H7" s="1950"/>
      <c r="I7" s="1196" t="s">
        <v>26</v>
      </c>
      <c r="J7" s="1196"/>
      <c r="K7" s="1197"/>
      <c r="L7" s="1198" t="str">
        <f>SYNTHESE!N7</f>
        <v>4783m² SHO</v>
      </c>
    </row>
    <row r="8" spans="1:13" ht="30" customHeight="1" thickBot="1">
      <c r="B8" s="1205"/>
      <c r="C8" s="1206"/>
      <c r="D8" s="1207"/>
      <c r="E8" s="1208"/>
      <c r="F8" s="1209"/>
      <c r="G8" s="1208"/>
      <c r="H8" s="1210"/>
      <c r="I8" s="1211" t="s">
        <v>28</v>
      </c>
      <c r="J8" s="1211"/>
      <c r="K8" s="1211"/>
      <c r="L8" s="1212"/>
    </row>
    <row r="9" spans="1:13" ht="63" customHeight="1" thickTop="1">
      <c r="B9" s="426"/>
      <c r="C9" s="426"/>
      <c r="D9" s="426"/>
      <c r="E9" s="426"/>
      <c r="F9" s="426"/>
      <c r="G9" s="426"/>
      <c r="H9" s="426"/>
      <c r="I9" s="426"/>
      <c r="J9" s="426"/>
      <c r="K9" s="426"/>
      <c r="L9" s="426"/>
    </row>
    <row r="10" spans="1:13" ht="43.5" customHeight="1">
      <c r="A10" s="6"/>
      <c r="B10" s="1952" t="s">
        <v>45</v>
      </c>
      <c r="C10" s="1953"/>
      <c r="D10" s="1953"/>
      <c r="E10" s="1953"/>
      <c r="F10" s="1953"/>
      <c r="G10" s="1953"/>
      <c r="H10" s="1953"/>
      <c r="I10" s="1953"/>
      <c r="J10" s="1953"/>
      <c r="K10" s="1954"/>
      <c r="L10" s="1955"/>
    </row>
    <row r="11" spans="1:13" ht="56.25" customHeight="1">
      <c r="B11" s="426"/>
      <c r="C11" s="426"/>
      <c r="D11" s="426"/>
      <c r="E11" s="426"/>
      <c r="F11" s="1213" t="s">
        <v>1</v>
      </c>
      <c r="G11" s="426"/>
      <c r="H11" s="426"/>
      <c r="I11" s="426"/>
      <c r="J11" s="426"/>
      <c r="K11" s="426"/>
      <c r="L11" s="426"/>
    </row>
    <row r="12" spans="1:13" ht="87" customHeight="1">
      <c r="B12" s="1951" t="s">
        <v>46</v>
      </c>
      <c r="C12" s="1951"/>
      <c r="D12" s="1951"/>
      <c r="E12" s="1951"/>
      <c r="F12" s="1951"/>
      <c r="G12" s="1951"/>
      <c r="H12" s="1951"/>
      <c r="I12" s="1951"/>
      <c r="J12" s="1951"/>
      <c r="K12" s="1951"/>
      <c r="L12" s="1951"/>
    </row>
    <row r="13" spans="1:13" ht="27.75" customHeight="1">
      <c r="B13" s="407"/>
      <c r="C13" s="407"/>
      <c r="D13" s="407"/>
      <c r="E13" s="407"/>
      <c r="F13" s="1214"/>
      <c r="G13" s="407"/>
      <c r="H13" s="407"/>
      <c r="I13" s="407"/>
      <c r="J13" s="407"/>
      <c r="K13" s="407"/>
      <c r="L13" s="407"/>
      <c r="M13" s="1215"/>
    </row>
    <row r="14" spans="1:13" s="1248" customFormat="1" ht="61.5" customHeight="1">
      <c r="A14" s="7"/>
      <c r="B14" s="408"/>
      <c r="C14" s="409"/>
      <c r="D14" s="408"/>
      <c r="E14" s="408"/>
      <c r="F14" s="410" t="s">
        <v>47</v>
      </c>
      <c r="G14" s="411"/>
      <c r="H14" s="412" t="s">
        <v>512</v>
      </c>
      <c r="I14" s="411"/>
      <c r="J14" s="413" t="str">
        <f>CONCATENATE("Au ", SYNTHESE!D4)</f>
        <v>Au POINT 50%</v>
      </c>
      <c r="K14" s="414"/>
      <c r="L14" s="408"/>
      <c r="M14" s="1247"/>
    </row>
    <row r="15" spans="1:13" ht="22.5" customHeight="1">
      <c r="B15" s="407"/>
      <c r="C15" s="1216"/>
      <c r="D15" s="407"/>
      <c r="E15" s="407"/>
      <c r="F15" s="407"/>
      <c r="G15" s="407"/>
      <c r="H15" s="407"/>
      <c r="I15" s="407"/>
      <c r="J15" s="407"/>
      <c r="K15" s="407"/>
      <c r="L15" s="407"/>
      <c r="M15" s="1215"/>
    </row>
    <row r="16" spans="1:13" ht="22.5" customHeight="1">
      <c r="B16" s="407"/>
      <c r="C16" s="1217"/>
      <c r="D16" s="407"/>
      <c r="E16" s="407"/>
      <c r="F16" s="407"/>
      <c r="G16" s="407"/>
      <c r="H16" s="407"/>
      <c r="I16" s="407"/>
      <c r="J16" s="407"/>
      <c r="K16" s="407"/>
      <c r="L16" s="407"/>
      <c r="M16" s="1215"/>
    </row>
    <row r="17" spans="2:13" ht="22.5" customHeight="1">
      <c r="B17" s="407"/>
      <c r="C17" s="1217"/>
      <c r="D17" s="407"/>
      <c r="E17" s="407"/>
      <c r="F17" s="407"/>
      <c r="G17" s="407"/>
      <c r="H17" s="407"/>
      <c r="I17" s="407"/>
      <c r="J17" s="407"/>
      <c r="K17" s="407"/>
      <c r="L17" s="407"/>
      <c r="M17" s="1215"/>
    </row>
    <row r="18" spans="2:13" ht="24.75" customHeight="1">
      <c r="B18" s="407"/>
      <c r="C18" s="1218"/>
      <c r="D18" s="1219"/>
      <c r="E18" s="407"/>
      <c r="F18" s="1220"/>
      <c r="G18" s="415"/>
      <c r="H18" s="1220"/>
      <c r="I18" s="415"/>
      <c r="J18" s="1220"/>
      <c r="K18" s="415"/>
      <c r="L18" s="415"/>
      <c r="M18" s="1215"/>
    </row>
    <row r="19" spans="2:13" ht="24.75" customHeight="1">
      <c r="B19" s="407"/>
      <c r="C19" s="1221" t="s">
        <v>50</v>
      </c>
      <c r="D19" s="1222"/>
      <c r="E19" s="407"/>
      <c r="F19" s="1223">
        <v>303500000</v>
      </c>
      <c r="G19" s="415"/>
      <c r="H19" s="1223">
        <f>F19</f>
        <v>303500000</v>
      </c>
      <c r="I19" s="415"/>
      <c r="J19" s="1223">
        <f>H19</f>
        <v>303500000</v>
      </c>
      <c r="K19" s="415"/>
      <c r="L19" s="415"/>
      <c r="M19" s="1215"/>
    </row>
    <row r="20" spans="2:13" ht="24.75" customHeight="1">
      <c r="B20" s="407"/>
      <c r="C20" s="1221" t="s">
        <v>48</v>
      </c>
      <c r="D20" s="1222"/>
      <c r="E20" s="407"/>
      <c r="F20" s="1223"/>
      <c r="G20" s="415"/>
      <c r="H20" s="1223">
        <v>714643</v>
      </c>
      <c r="I20" s="415"/>
      <c r="J20" s="1223">
        <f ca="1">J44</f>
        <v>714643</v>
      </c>
      <c r="K20" s="415"/>
      <c r="L20" s="415"/>
      <c r="M20" s="1215"/>
    </row>
    <row r="21" spans="2:13" ht="24.75" customHeight="1">
      <c r="B21" s="407"/>
      <c r="C21" s="1221"/>
      <c r="D21" s="1222"/>
      <c r="E21" s="407"/>
      <c r="F21" s="1224"/>
      <c r="G21" s="415"/>
      <c r="H21" s="1224"/>
      <c r="I21" s="415"/>
      <c r="J21" s="1224"/>
      <c r="K21" s="415"/>
      <c r="L21" s="415"/>
      <c r="M21" s="1215"/>
    </row>
    <row r="22" spans="2:13" ht="24.75" customHeight="1">
      <c r="B22" s="407"/>
      <c r="C22" s="1221"/>
      <c r="D22" s="1222"/>
      <c r="E22" s="407"/>
      <c r="F22" s="1224"/>
      <c r="G22" s="415"/>
      <c r="H22" s="1224"/>
      <c r="I22" s="415"/>
      <c r="J22" s="1224"/>
      <c r="K22" s="415"/>
      <c r="L22" s="415"/>
      <c r="M22" s="1215"/>
    </row>
    <row r="23" spans="2:13" ht="24.95" customHeight="1">
      <c r="B23" s="407"/>
      <c r="C23" s="1221"/>
      <c r="D23" s="1222"/>
      <c r="E23" s="407"/>
      <c r="F23" s="1223"/>
      <c r="G23" s="415"/>
      <c r="H23" s="1223"/>
      <c r="I23" s="415"/>
      <c r="J23" s="1223"/>
      <c r="K23" s="415"/>
      <c r="L23" s="415"/>
      <c r="M23" s="1215"/>
    </row>
    <row r="24" spans="2:13" ht="24.95" customHeight="1">
      <c r="B24" s="407"/>
      <c r="C24" s="1221"/>
      <c r="D24" s="1222"/>
      <c r="E24" s="407"/>
      <c r="F24" s="1224"/>
      <c r="G24" s="415"/>
      <c r="H24" s="1224"/>
      <c r="I24" s="415"/>
      <c r="J24" s="1224"/>
      <c r="K24" s="415"/>
      <c r="L24" s="415"/>
      <c r="M24" s="1215"/>
    </row>
    <row r="25" spans="2:13" ht="24.95" customHeight="1">
      <c r="B25" s="407"/>
      <c r="C25" s="1221"/>
      <c r="D25" s="1222"/>
      <c r="E25" s="407"/>
      <c r="F25" s="1223"/>
      <c r="G25" s="415"/>
      <c r="H25" s="1223"/>
      <c r="I25" s="415"/>
      <c r="J25" s="1223"/>
      <c r="K25" s="415"/>
      <c r="L25" s="415"/>
      <c r="M25" s="1215"/>
    </row>
    <row r="26" spans="2:13" ht="24.95" customHeight="1">
      <c r="B26" s="407"/>
      <c r="C26" s="1221"/>
      <c r="D26" s="1222"/>
      <c r="E26" s="407"/>
      <c r="F26" s="1223"/>
      <c r="G26" s="415"/>
      <c r="H26" s="1223"/>
      <c r="I26" s="415"/>
      <c r="J26" s="1223"/>
      <c r="K26" s="415"/>
      <c r="L26" s="415"/>
      <c r="M26" s="1215"/>
    </row>
    <row r="27" spans="2:13" ht="24.95" customHeight="1">
      <c r="B27" s="407"/>
      <c r="C27" s="1221"/>
      <c r="D27" s="1222"/>
      <c r="E27" s="407"/>
      <c r="F27" s="1223"/>
      <c r="G27" s="415"/>
      <c r="H27" s="1223"/>
      <c r="I27" s="415"/>
      <c r="J27" s="1223"/>
      <c r="K27" s="415"/>
      <c r="L27" s="415"/>
      <c r="M27" s="1215"/>
    </row>
    <row r="28" spans="2:13" ht="24.95" customHeight="1">
      <c r="B28" s="407"/>
      <c r="C28" s="1225"/>
      <c r="D28" s="1226"/>
      <c r="E28" s="407"/>
      <c r="F28" s="1227"/>
      <c r="G28" s="415"/>
      <c r="H28" s="1227"/>
      <c r="I28" s="415"/>
      <c r="J28" s="1227"/>
      <c r="K28" s="415"/>
      <c r="L28" s="415"/>
      <c r="M28" s="1215"/>
    </row>
    <row r="29" spans="2:13" ht="24.75" customHeight="1">
      <c r="B29" s="407"/>
      <c r="C29" s="1216"/>
      <c r="D29" s="407"/>
      <c r="E29" s="407"/>
      <c r="F29" s="1228"/>
      <c r="G29" s="415"/>
      <c r="H29" s="1228"/>
      <c r="I29" s="415"/>
      <c r="J29" s="1228"/>
      <c r="K29" s="415"/>
      <c r="L29" s="415"/>
      <c r="M29" s="1215"/>
    </row>
    <row r="30" spans="2:13" ht="30" customHeight="1">
      <c r="B30" s="407"/>
      <c r="C30" s="1229" t="s">
        <v>49</v>
      </c>
      <c r="D30" s="1230"/>
      <c r="E30" s="407"/>
      <c r="F30" s="1231">
        <f ca="1">SUM(INDIRECT(ADDRESS(18,COLUMN(),)&amp;":"&amp;ADDRESS(ROW()-2,COLUMN(),)))</f>
        <v>303500000</v>
      </c>
      <c r="G30" s="415"/>
      <c r="H30" s="1231">
        <f ca="1">SUM(INDIRECT(ADDRESS(18,COLUMN(),)&amp;":"&amp;ADDRESS(ROW()-2,COLUMN(),)))</f>
        <v>304214643</v>
      </c>
      <c r="I30" s="415"/>
      <c r="J30" s="1231">
        <f ca="1">SUM(INDIRECT(ADDRESS(18,COLUMN(),)&amp;":"&amp;ADDRESS(ROW()-2,COLUMN(),)))</f>
        <v>304214643</v>
      </c>
      <c r="K30" s="415"/>
      <c r="L30" s="415"/>
      <c r="M30" s="1215"/>
    </row>
    <row r="31" spans="2:13" ht="24.95" customHeight="1">
      <c r="B31" s="407"/>
      <c r="C31" s="407"/>
      <c r="D31" s="407"/>
      <c r="E31" s="407"/>
      <c r="F31" s="415"/>
      <c r="G31" s="415"/>
      <c r="H31" s="415"/>
      <c r="I31" s="415"/>
      <c r="J31" s="415"/>
      <c r="K31" s="415"/>
      <c r="L31" s="415"/>
      <c r="M31" s="1215"/>
    </row>
    <row r="32" spans="2:13" ht="103.5" customHeight="1">
      <c r="B32" s="407"/>
      <c r="C32" s="1232"/>
      <c r="D32" s="1232"/>
      <c r="E32" s="1232"/>
      <c r="F32" s="1232"/>
      <c r="G32" s="1232"/>
      <c r="H32" s="1232"/>
      <c r="I32" s="1232"/>
      <c r="J32" s="1232"/>
      <c r="K32" s="407"/>
      <c r="L32" s="407"/>
      <c r="M32" s="1215"/>
    </row>
    <row r="33" spans="1:14" ht="75" customHeight="1">
      <c r="B33" s="407"/>
      <c r="C33" s="407"/>
      <c r="D33" s="407"/>
      <c r="E33" s="407"/>
      <c r="F33" s="1233" t="s">
        <v>51</v>
      </c>
      <c r="G33" s="407"/>
      <c r="H33" s="407"/>
      <c r="I33" s="407"/>
      <c r="J33" s="407"/>
      <c r="K33" s="407"/>
      <c r="L33" s="407"/>
      <c r="M33" s="1215"/>
    </row>
    <row r="34" spans="1:14" ht="61.5" customHeight="1">
      <c r="B34" s="407"/>
      <c r="C34" s="407"/>
      <c r="D34" s="407"/>
      <c r="E34" s="407"/>
      <c r="F34" s="407"/>
      <c r="G34" s="407"/>
      <c r="H34" s="407"/>
      <c r="I34" s="407"/>
      <c r="J34" s="407"/>
      <c r="K34" s="407"/>
      <c r="L34" s="407"/>
      <c r="M34" s="1215"/>
    </row>
    <row r="35" spans="1:14" ht="61.5" customHeight="1">
      <c r="A35" s="6"/>
      <c r="B35" s="405"/>
      <c r="C35" s="416"/>
      <c r="D35" s="405"/>
      <c r="E35" s="405"/>
      <c r="F35" s="417" t="s">
        <v>52</v>
      </c>
      <c r="G35" s="418"/>
      <c r="H35" s="419" t="s">
        <v>513</v>
      </c>
      <c r="I35" s="418"/>
      <c r="J35" s="420" t="str">
        <f>SYNTHESE!D4</f>
        <v>POINT 50%</v>
      </c>
      <c r="K35" s="421"/>
      <c r="L35" s="405"/>
      <c r="M35" s="1215"/>
    </row>
    <row r="36" spans="1:14" ht="24.75" customHeight="1"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1215"/>
    </row>
    <row r="37" spans="1:14" ht="24.75" customHeight="1">
      <c r="B37" s="407"/>
      <c r="C37" s="1216"/>
      <c r="D37" s="1216"/>
      <c r="E37" s="407"/>
      <c r="F37" s="407"/>
      <c r="G37" s="407"/>
      <c r="H37" s="407"/>
      <c r="I37" s="407"/>
      <c r="J37" s="407"/>
      <c r="K37" s="407"/>
      <c r="L37" s="407"/>
      <c r="M37" s="1215"/>
      <c r="N37" s="1215"/>
    </row>
    <row r="38" spans="1:14" s="1249" customFormat="1" ht="24.75" customHeight="1">
      <c r="A38" s="8"/>
      <c r="B38" s="422"/>
      <c r="C38" s="1943" t="s">
        <v>55</v>
      </c>
      <c r="D38" s="1944"/>
      <c r="E38" s="422"/>
      <c r="F38" s="398">
        <f ca="1">F30</f>
        <v>303500000</v>
      </c>
      <c r="G38" s="423"/>
      <c r="H38" s="399">
        <f ca="1">H30</f>
        <v>304214643</v>
      </c>
      <c r="I38" s="423"/>
      <c r="J38" s="400">
        <f ca="1">J30</f>
        <v>304214643</v>
      </c>
      <c r="K38" s="424"/>
      <c r="L38" s="422"/>
      <c r="M38" s="1236"/>
      <c r="N38" s="1236"/>
    </row>
    <row r="39" spans="1:14" ht="50.25" customHeight="1">
      <c r="B39" s="407"/>
      <c r="C39" s="1234"/>
      <c r="D39" s="1216"/>
      <c r="E39" s="407"/>
      <c r="F39" s="425"/>
      <c r="G39" s="1235"/>
      <c r="H39" s="425"/>
      <c r="I39" s="1235"/>
      <c r="J39" s="425"/>
      <c r="K39" s="425"/>
      <c r="L39" s="407"/>
      <c r="M39" s="1236"/>
      <c r="N39" s="1237"/>
    </row>
    <row r="40" spans="1:14" ht="24.75" customHeight="1">
      <c r="B40" s="407"/>
      <c r="C40" s="1238" t="s">
        <v>56</v>
      </c>
      <c r="D40" s="1219"/>
      <c r="E40" s="407"/>
      <c r="F40" s="1220">
        <v>10</v>
      </c>
      <c r="G40" s="415"/>
      <c r="H40" s="1220">
        <v>367000</v>
      </c>
      <c r="I40" s="415"/>
      <c r="J40" s="1220">
        <v>367000</v>
      </c>
      <c r="K40" s="415"/>
      <c r="L40" s="415"/>
      <c r="M40" s="1215"/>
    </row>
    <row r="41" spans="1:14" ht="24.95" customHeight="1">
      <c r="B41" s="407"/>
      <c r="C41" s="1221" t="s">
        <v>57</v>
      </c>
      <c r="D41" s="1239"/>
      <c r="E41" s="407"/>
      <c r="F41" s="1240"/>
      <c r="G41" s="1235"/>
      <c r="H41" s="1240">
        <v>316460</v>
      </c>
      <c r="I41" s="1235"/>
      <c r="J41" s="1240">
        <v>316460</v>
      </c>
      <c r="K41" s="425"/>
      <c r="L41" s="407"/>
      <c r="M41" s="1236"/>
      <c r="N41" s="1237"/>
    </row>
    <row r="42" spans="1:14" ht="24.95" customHeight="1">
      <c r="B42" s="407"/>
      <c r="C42" s="1221" t="s">
        <v>58</v>
      </c>
      <c r="D42" s="1239"/>
      <c r="E42" s="407"/>
      <c r="F42" s="1240"/>
      <c r="G42" s="1235"/>
      <c r="H42" s="1240">
        <v>31183</v>
      </c>
      <c r="I42" s="1235"/>
      <c r="J42" s="1240">
        <v>31183</v>
      </c>
      <c r="K42" s="425"/>
      <c r="L42" s="407"/>
      <c r="M42" s="1236"/>
      <c r="N42" s="1237"/>
    </row>
    <row r="43" spans="1:14" ht="24.95" customHeight="1">
      <c r="B43" s="407"/>
      <c r="C43" s="1221" t="s">
        <v>59</v>
      </c>
      <c r="D43" s="1239"/>
      <c r="E43" s="407"/>
      <c r="F43" s="1240"/>
      <c r="G43" s="1235"/>
      <c r="H43" s="1240"/>
      <c r="I43" s="1235"/>
      <c r="J43" s="1240"/>
      <c r="K43" s="425"/>
      <c r="L43" s="407"/>
      <c r="M43" s="1236"/>
      <c r="N43" s="1237"/>
    </row>
    <row r="44" spans="1:14" ht="24.75" customHeight="1">
      <c r="B44" s="407"/>
      <c r="C44" s="1956" t="s">
        <v>60</v>
      </c>
      <c r="D44" s="1957"/>
      <c r="E44" s="407"/>
      <c r="F44" s="1241">
        <f ca="1">SUM(F39:INDIRECT(ADDRESS(ROW()-1,COLUMN(),)))</f>
        <v>10</v>
      </c>
      <c r="G44" s="1235"/>
      <c r="H44" s="1241">
        <f ca="1">SUM(H39:INDIRECT(ADDRESS(ROW()-1,COLUMN(),)))</f>
        <v>714643</v>
      </c>
      <c r="I44" s="1235"/>
      <c r="J44" s="1241">
        <f ca="1">SUM(J39:INDIRECT(ADDRESS(ROW()-1,COLUMN(),)))</f>
        <v>714643</v>
      </c>
      <c r="K44" s="425"/>
      <c r="L44" s="407"/>
      <c r="M44" s="1236"/>
      <c r="N44" s="1237"/>
    </row>
    <row r="45" spans="1:14" s="1215" customFormat="1" ht="24.75" customHeight="1">
      <c r="B45" s="407"/>
      <c r="C45" s="1234"/>
      <c r="D45" s="1234"/>
      <c r="E45" s="407"/>
      <c r="F45" s="425"/>
      <c r="G45" s="1235"/>
      <c r="H45" s="425"/>
      <c r="I45" s="1235"/>
      <c r="J45" s="425"/>
      <c r="K45" s="425"/>
      <c r="L45" s="407"/>
      <c r="M45" s="1236"/>
      <c r="N45" s="1237"/>
    </row>
    <row r="46" spans="1:14" ht="24.75" customHeight="1">
      <c r="B46" s="407"/>
      <c r="C46" s="1958" t="s">
        <v>64</v>
      </c>
      <c r="D46" s="1959"/>
      <c r="E46" s="407"/>
      <c r="F46" s="1242"/>
      <c r="G46" s="1235"/>
      <c r="H46" s="1242"/>
      <c r="I46" s="1235"/>
      <c r="J46" s="1242"/>
      <c r="K46" s="425"/>
      <c r="L46" s="407"/>
      <c r="M46" s="1236"/>
      <c r="N46" s="1243"/>
    </row>
    <row r="47" spans="1:14" ht="28.5" customHeight="1">
      <c r="B47" s="407"/>
      <c r="C47" s="1234"/>
      <c r="D47" s="1216"/>
      <c r="E47" s="407"/>
      <c r="F47" s="425"/>
      <c r="G47" s="1235"/>
      <c r="H47" s="425"/>
      <c r="I47" s="1235"/>
      <c r="J47" s="425"/>
      <c r="K47" s="425"/>
      <c r="L47" s="407"/>
      <c r="M47" s="1236"/>
      <c r="N47" s="1244"/>
    </row>
    <row r="48" spans="1:14" s="1249" customFormat="1" ht="24.75" customHeight="1">
      <c r="A48" s="8"/>
      <c r="B48" s="422"/>
      <c r="C48" s="1943" t="s">
        <v>61</v>
      </c>
      <c r="D48" s="1944"/>
      <c r="E48" s="405"/>
      <c r="F48" s="398">
        <f ca="1">F38+F44+F46</f>
        <v>303500010</v>
      </c>
      <c r="G48" s="423"/>
      <c r="H48" s="399">
        <f ca="1">H38+H44+H46</f>
        <v>304929286</v>
      </c>
      <c r="I48" s="423"/>
      <c r="J48" s="400">
        <f ca="1">J38+J44+J46</f>
        <v>304929286</v>
      </c>
      <c r="K48" s="424"/>
      <c r="L48" s="422"/>
      <c r="M48" s="1236"/>
      <c r="N48" s="1244"/>
    </row>
    <row r="49" spans="1:14" ht="24.75" customHeight="1">
      <c r="B49" s="407"/>
      <c r="C49" s="1234"/>
      <c r="D49" s="1216"/>
      <c r="E49" s="407"/>
      <c r="F49" s="425"/>
      <c r="G49" s="1235"/>
      <c r="H49" s="425"/>
      <c r="I49" s="1235"/>
      <c r="J49" s="425"/>
      <c r="K49" s="425"/>
      <c r="L49" s="407"/>
      <c r="M49" s="1236"/>
      <c r="N49" s="1244"/>
    </row>
    <row r="50" spans="1:14" ht="24.75" customHeight="1">
      <c r="B50" s="407"/>
      <c r="C50" s="1234"/>
      <c r="D50" s="1216"/>
      <c r="E50" s="407"/>
      <c r="F50" s="425"/>
      <c r="G50" s="1235"/>
      <c r="H50" s="425"/>
      <c r="I50" s="1235"/>
      <c r="J50" s="425"/>
      <c r="K50" s="425"/>
      <c r="L50" s="407"/>
      <c r="M50" s="1236"/>
      <c r="N50" s="1244"/>
    </row>
    <row r="51" spans="1:14" ht="24.95" customHeight="1">
      <c r="B51" s="407"/>
      <c r="C51" s="1234"/>
      <c r="D51" s="1216"/>
      <c r="E51" s="407"/>
      <c r="F51" s="425"/>
      <c r="G51" s="1235"/>
      <c r="H51" s="425"/>
      <c r="I51" s="1235"/>
      <c r="J51" s="425"/>
      <c r="K51" s="425"/>
      <c r="L51" s="407"/>
      <c r="M51" s="1236"/>
      <c r="N51" s="1243"/>
    </row>
    <row r="52" spans="1:14" ht="24.75" customHeight="1">
      <c r="B52" s="407"/>
      <c r="C52" s="1238" t="s">
        <v>66</v>
      </c>
      <c r="D52" s="1245"/>
      <c r="E52" s="407"/>
      <c r="F52" s="1246"/>
      <c r="G52" s="1235"/>
      <c r="H52" s="1246">
        <v>636321</v>
      </c>
      <c r="I52" s="1235"/>
      <c r="J52" s="1246">
        <f>H52</f>
        <v>636321</v>
      </c>
      <c r="K52" s="425"/>
      <c r="L52" s="407"/>
      <c r="M52" s="1236"/>
      <c r="N52" s="1237"/>
    </row>
    <row r="53" spans="1:14" ht="24.75" customHeight="1">
      <c r="B53" s="407"/>
      <c r="C53" s="1221" t="s">
        <v>65</v>
      </c>
      <c r="D53" s="1239"/>
      <c r="E53" s="407"/>
      <c r="F53" s="1240"/>
      <c r="G53" s="1235"/>
      <c r="H53" s="1240"/>
      <c r="I53" s="1235"/>
      <c r="J53" s="1240"/>
      <c r="K53" s="425"/>
      <c r="L53" s="407"/>
      <c r="M53" s="1236"/>
      <c r="N53" s="1237"/>
    </row>
    <row r="54" spans="1:14" ht="24.75" customHeight="1">
      <c r="B54" s="407"/>
      <c r="C54" s="1956" t="s">
        <v>62</v>
      </c>
      <c r="D54" s="1957"/>
      <c r="E54" s="407"/>
      <c r="F54" s="1241">
        <f ca="1">SUM(F52:INDIRECT(ADDRESS(ROW()-1,COLUMN(),)))</f>
        <v>0</v>
      </c>
      <c r="G54" s="1235"/>
      <c r="H54" s="1241">
        <f ca="1">SUM(H52:INDIRECT(ADDRESS(ROW()-1,COLUMN(),)))</f>
        <v>636321</v>
      </c>
      <c r="I54" s="1235"/>
      <c r="J54" s="1241">
        <f ca="1">SUM(J52:INDIRECT(ADDRESS(ROW()-1,COLUMN(),)))</f>
        <v>636321</v>
      </c>
      <c r="K54" s="425"/>
      <c r="L54" s="407"/>
      <c r="M54" s="1236"/>
      <c r="N54" s="1237"/>
    </row>
    <row r="55" spans="1:14" ht="28.5" customHeight="1">
      <c r="B55" s="407"/>
      <c r="C55" s="1234"/>
      <c r="D55" s="1234"/>
      <c r="E55" s="407"/>
      <c r="F55" s="425"/>
      <c r="G55" s="1235"/>
      <c r="H55" s="425"/>
      <c r="I55" s="1235"/>
      <c r="J55" s="425"/>
      <c r="K55" s="425"/>
      <c r="L55" s="407"/>
      <c r="M55" s="1236"/>
      <c r="N55" s="1243"/>
    </row>
    <row r="56" spans="1:14" s="1249" customFormat="1" ht="24.75" customHeight="1">
      <c r="A56" s="8"/>
      <c r="B56" s="422"/>
      <c r="C56" s="1943" t="s">
        <v>63</v>
      </c>
      <c r="D56" s="1944"/>
      <c r="E56" s="405"/>
      <c r="F56" s="398">
        <f ca="1">SUM(F48,F54)</f>
        <v>303500010</v>
      </c>
      <c r="G56" s="423"/>
      <c r="H56" s="399">
        <f ca="1">SUM(H48,H54)</f>
        <v>305565607</v>
      </c>
      <c r="I56" s="423"/>
      <c r="J56" s="400">
        <f ca="1">SUM(J48,J54)</f>
        <v>305565607</v>
      </c>
      <c r="K56" s="424"/>
      <c r="L56" s="422"/>
      <c r="M56" s="1236"/>
      <c r="N56" s="1244"/>
    </row>
    <row r="57" spans="1:14">
      <c r="B57" s="426"/>
      <c r="C57" s="426"/>
      <c r="D57" s="426"/>
      <c r="E57" s="426"/>
      <c r="F57" s="426"/>
      <c r="G57" s="426"/>
      <c r="H57" s="426"/>
      <c r="I57" s="426"/>
      <c r="J57" s="426"/>
      <c r="K57" s="426"/>
      <c r="L57" s="426"/>
    </row>
  </sheetData>
  <sheetProtection sheet="1" objects="1" scenarios="1" insertRows="0"/>
  <mergeCells count="12">
    <mergeCell ref="C56:D56"/>
    <mergeCell ref="D3:H3"/>
    <mergeCell ref="D6:H6"/>
    <mergeCell ref="D7:H7"/>
    <mergeCell ref="B12:L12"/>
    <mergeCell ref="B10:L10"/>
    <mergeCell ref="C38:D38"/>
    <mergeCell ref="C44:D44"/>
    <mergeCell ref="C46:D46"/>
    <mergeCell ref="C48:D48"/>
    <mergeCell ref="C54:D54"/>
    <mergeCell ref="K5:L5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1:R51"/>
  <sheetViews>
    <sheetView showGridLines="0" topLeftCell="A24" zoomScale="40" zoomScaleNormal="40" zoomScalePageLayoutView="70" workbookViewId="0">
      <selection activeCell="B28" sqref="B28"/>
    </sheetView>
  </sheetViews>
  <sheetFormatPr baseColWidth="10" defaultColWidth="10.85546875" defaultRowHeight="15"/>
  <cols>
    <col min="1" max="1" width="10.7109375" style="178" customWidth="1"/>
    <col min="2" max="2" width="39.85546875" style="1322" customWidth="1"/>
    <col min="3" max="3" width="39.140625" style="1322" customWidth="1"/>
    <col min="4" max="5" width="10.140625" style="1322" customWidth="1"/>
    <col min="6" max="6" width="27.7109375" style="1322" customWidth="1"/>
    <col min="7" max="7" width="12.7109375" style="1322" customWidth="1"/>
    <col min="8" max="10" width="23.7109375" style="1322" customWidth="1"/>
    <col min="11" max="11" width="26.7109375" style="1322" customWidth="1"/>
    <col min="12" max="12" width="12.7109375" style="1322" customWidth="1"/>
    <col min="13" max="13" width="27.7109375" style="1322" customWidth="1"/>
    <col min="14" max="14" width="12.85546875" style="1322" customWidth="1"/>
    <col min="15" max="15" width="7.7109375" style="1322" customWidth="1"/>
    <col min="16" max="16" width="26.42578125" style="1322" customWidth="1"/>
    <col min="17" max="17" width="39.7109375" style="1322" customWidth="1"/>
    <col min="18" max="16384" width="10.85546875" style="178"/>
  </cols>
  <sheetData>
    <row r="1" spans="2:18" s="1250" customFormat="1" ht="19.5" customHeight="1" thickBot="1">
      <c r="B1" s="1257"/>
      <c r="C1" s="1257"/>
      <c r="D1" s="1257"/>
      <c r="E1" s="1258"/>
      <c r="F1" s="1259"/>
      <c r="G1" s="1257"/>
      <c r="H1" s="1260"/>
      <c r="I1" s="1257"/>
      <c r="J1" s="1261"/>
      <c r="K1" s="1262"/>
      <c r="L1" s="1263"/>
      <c r="M1" s="1262"/>
      <c r="N1" s="1264"/>
      <c r="O1" s="1264"/>
      <c r="P1" s="1264"/>
      <c r="Q1" s="1264"/>
    </row>
    <row r="2" spans="2:18" s="1250" customFormat="1" ht="35.1" customHeight="1" thickTop="1">
      <c r="B2" s="1265"/>
      <c r="C2" s="1266"/>
      <c r="D2" s="1266"/>
      <c r="E2" s="1267"/>
      <c r="F2" s="1268"/>
      <c r="G2" s="1266"/>
      <c r="H2" s="1269"/>
      <c r="I2" s="1266"/>
      <c r="J2" s="1266"/>
      <c r="K2" s="1266"/>
      <c r="L2" s="1270"/>
      <c r="M2" s="1271" t="s">
        <v>19</v>
      </c>
      <c r="N2" s="1266"/>
      <c r="O2" s="1266"/>
      <c r="P2" s="1272"/>
      <c r="Q2" s="1273">
        <f>SYNTHESE!N2</f>
        <v>42736</v>
      </c>
    </row>
    <row r="3" spans="2:18" s="1250" customFormat="1" ht="35.1" customHeight="1">
      <c r="B3" s="1274"/>
      <c r="C3" s="1257"/>
      <c r="D3" s="1257"/>
      <c r="E3" s="1966" t="s">
        <v>15</v>
      </c>
      <c r="F3" s="1967"/>
      <c r="G3" s="1967"/>
      <c r="H3" s="1967"/>
      <c r="I3" s="1967"/>
      <c r="J3" s="1967"/>
      <c r="K3" s="1967"/>
      <c r="L3" s="1968"/>
      <c r="M3" s="1275" t="s">
        <v>20</v>
      </c>
      <c r="N3" s="1257"/>
      <c r="O3" s="1257"/>
      <c r="P3" s="1276"/>
      <c r="Q3" s="1198" t="str">
        <f>SYNTHESE!N3</f>
        <v>Dirhams</v>
      </c>
    </row>
    <row r="4" spans="2:18" s="1250" customFormat="1" ht="35.1" customHeight="1">
      <c r="B4" s="1274"/>
      <c r="C4" s="1199" t="str">
        <f>SYNTHESE!D4</f>
        <v>POINT 50%</v>
      </c>
      <c r="D4" s="1199"/>
      <c r="E4" s="1966"/>
      <c r="F4" s="1967"/>
      <c r="G4" s="1967"/>
      <c r="H4" s="1967"/>
      <c r="I4" s="1967"/>
      <c r="J4" s="1967"/>
      <c r="K4" s="1967"/>
      <c r="L4" s="1968"/>
      <c r="M4" s="1275" t="s">
        <v>22</v>
      </c>
      <c r="N4" s="1257"/>
      <c r="O4" s="1257"/>
      <c r="P4" s="1276"/>
      <c r="Q4" s="1198" t="str">
        <f>SYNTHESE!N4</f>
        <v>1 € = 10,85dh</v>
      </c>
    </row>
    <row r="5" spans="2:18" s="1250" customFormat="1" ht="35.1" customHeight="1">
      <c r="B5" s="1274"/>
      <c r="C5" s="1277"/>
      <c r="D5" s="1277"/>
      <c r="E5" s="1966"/>
      <c r="F5" s="1967"/>
      <c r="G5" s="1967"/>
      <c r="H5" s="1967"/>
      <c r="I5" s="1967"/>
      <c r="J5" s="1967"/>
      <c r="K5" s="1967"/>
      <c r="L5" s="1968"/>
      <c r="M5" s="1275" t="s">
        <v>23</v>
      </c>
      <c r="N5" s="1257"/>
      <c r="O5" s="1257"/>
      <c r="P5" s="1278"/>
      <c r="Q5" s="1279">
        <f>SYNTHESE!M5</f>
        <v>42289</v>
      </c>
    </row>
    <row r="6" spans="2:18" s="1250" customFormat="1" ht="35.1" customHeight="1">
      <c r="B6" s="1274"/>
      <c r="C6" s="1204">
        <f>SYNTHESE!D7</f>
        <v>42800</v>
      </c>
      <c r="D6" s="1204"/>
      <c r="E6" s="1966" t="str">
        <f>SYNTHESE!E6</f>
        <v xml:space="preserve">LES FAUBOURGS D'ANFA </v>
      </c>
      <c r="F6" s="1967"/>
      <c r="G6" s="1967"/>
      <c r="H6" s="1967"/>
      <c r="I6" s="1967"/>
      <c r="J6" s="1967"/>
      <c r="K6" s="1967"/>
      <c r="L6" s="1968"/>
      <c r="M6" s="1275" t="s">
        <v>24</v>
      </c>
      <c r="N6" s="1257"/>
      <c r="O6" s="1257"/>
      <c r="P6" s="1276"/>
      <c r="Q6" s="1198" t="str">
        <f>SYNTHESE!N6</f>
        <v>26 mois</v>
      </c>
    </row>
    <row r="7" spans="2:18" s="1250" customFormat="1" ht="35.1" customHeight="1">
      <c r="B7" s="1274"/>
      <c r="C7" s="1257"/>
      <c r="D7" s="1257"/>
      <c r="E7" s="1966" t="str">
        <f>SYNTHESE!E7</f>
        <v>CASABLANCA</v>
      </c>
      <c r="F7" s="1967"/>
      <c r="G7" s="1967"/>
      <c r="H7" s="1967"/>
      <c r="I7" s="1967"/>
      <c r="J7" s="1967"/>
      <c r="K7" s="1967"/>
      <c r="L7" s="1968"/>
      <c r="M7" s="1275" t="s">
        <v>26</v>
      </c>
      <c r="N7" s="1257"/>
      <c r="O7" s="1257"/>
      <c r="P7" s="1280"/>
      <c r="Q7" s="1198" t="str">
        <f>SYNTHESE!N7</f>
        <v>4783m² SHO</v>
      </c>
    </row>
    <row r="8" spans="2:18" s="1251" customFormat="1" ht="35.1" customHeight="1" thickBot="1">
      <c r="B8" s="1281"/>
      <c r="C8" s="1282"/>
      <c r="D8" s="1282"/>
      <c r="E8" s="1970"/>
      <c r="F8" s="1971"/>
      <c r="G8" s="1971"/>
      <c r="H8" s="1971"/>
      <c r="I8" s="1971"/>
      <c r="J8" s="1971"/>
      <c r="K8" s="1971"/>
      <c r="L8" s="1972"/>
      <c r="M8" s="1283" t="s">
        <v>28</v>
      </c>
      <c r="N8" s="1282"/>
      <c r="O8" s="1282"/>
      <c r="P8" s="1284"/>
      <c r="Q8" s="1285"/>
    </row>
    <row r="9" spans="2:18" s="1251" customFormat="1" ht="75.75" customHeight="1" thickTop="1">
      <c r="B9" s="1286"/>
      <c r="C9" s="1286"/>
      <c r="D9" s="1286"/>
      <c r="E9" s="1287"/>
      <c r="F9" s="1288"/>
      <c r="G9" s="1286"/>
      <c r="H9" s="1289"/>
      <c r="I9" s="1286"/>
      <c r="J9" s="1257"/>
      <c r="K9" s="1257"/>
      <c r="L9" s="1257"/>
      <c r="M9" s="1257"/>
      <c r="N9" s="1290"/>
      <c r="O9" s="1290"/>
      <c r="P9" s="1291"/>
      <c r="Q9" s="1292"/>
    </row>
    <row r="10" spans="2:18" s="1251" customFormat="1" ht="63" customHeight="1">
      <c r="B10" s="489"/>
      <c r="C10" s="490"/>
      <c r="D10" s="490"/>
      <c r="E10" s="1973" t="s">
        <v>68</v>
      </c>
      <c r="F10" s="1973"/>
      <c r="G10" s="1973"/>
      <c r="H10" s="1973"/>
      <c r="I10" s="1973"/>
      <c r="J10" s="1973"/>
      <c r="K10" s="1973"/>
      <c r="L10" s="1973"/>
      <c r="M10" s="491"/>
      <c r="N10" s="491"/>
      <c r="O10" s="492"/>
      <c r="P10" s="491"/>
      <c r="Q10" s="493"/>
    </row>
    <row r="11" spans="2:18" s="1252" customFormat="1" ht="72" customHeight="1">
      <c r="B11" s="1293"/>
      <c r="C11" s="1293"/>
      <c r="D11" s="1293"/>
      <c r="E11" s="1293"/>
      <c r="F11" s="1294"/>
      <c r="G11" s="1294"/>
      <c r="H11" s="1974" t="s">
        <v>84</v>
      </c>
      <c r="I11" s="1974"/>
      <c r="J11" s="1294"/>
      <c r="K11" s="1295"/>
      <c r="L11" s="1294"/>
      <c r="M11" s="1294"/>
      <c r="N11" s="1294"/>
      <c r="O11" s="1294"/>
      <c r="P11" s="1294"/>
      <c r="Q11" s="1294"/>
    </row>
    <row r="12" spans="2:18" s="1252" customFormat="1" ht="94.5" customHeight="1">
      <c r="B12" s="1293"/>
      <c r="C12" s="1293"/>
      <c r="D12" s="1293"/>
      <c r="E12" s="1293"/>
      <c r="F12" s="1294"/>
      <c r="G12" s="1294"/>
      <c r="H12" s="1296"/>
      <c r="I12" s="1296"/>
      <c r="J12" s="1294"/>
      <c r="K12" s="1295"/>
      <c r="L12" s="1294"/>
      <c r="M12" s="1294"/>
      <c r="N12" s="1294"/>
      <c r="O12" s="1294"/>
      <c r="P12" s="1294"/>
      <c r="Q12" s="1294"/>
    </row>
    <row r="13" spans="2:18" s="1253" customFormat="1" ht="68.25" customHeight="1">
      <c r="B13" s="495"/>
      <c r="C13" s="495"/>
      <c r="D13" s="495"/>
      <c r="E13" s="496"/>
      <c r="F13" s="497" t="s">
        <v>54</v>
      </c>
      <c r="G13" s="498"/>
      <c r="H13" s="1975" t="s">
        <v>510</v>
      </c>
      <c r="I13" s="1976"/>
      <c r="J13" s="1976"/>
      <c r="K13" s="1977"/>
      <c r="L13" s="496"/>
      <c r="M13" s="499" t="str">
        <f>SYNTHESE!D4</f>
        <v>POINT 50%</v>
      </c>
      <c r="N13" s="498"/>
      <c r="O13" s="498"/>
      <c r="P13" s="1969" t="s">
        <v>41</v>
      </c>
      <c r="Q13" s="1969"/>
    </row>
    <row r="14" spans="2:18" s="1254" customFormat="1" ht="75" customHeight="1">
      <c r="B14" s="500"/>
      <c r="C14" s="500"/>
      <c r="D14" s="500"/>
      <c r="E14" s="496"/>
      <c r="F14" s="501" t="s">
        <v>69</v>
      </c>
      <c r="G14" s="498"/>
      <c r="H14" s="501" t="s">
        <v>70</v>
      </c>
      <c r="I14" s="501" t="s">
        <v>71</v>
      </c>
      <c r="J14" s="501" t="s">
        <v>72</v>
      </c>
      <c r="K14" s="501" t="s">
        <v>429</v>
      </c>
      <c r="L14" s="502"/>
      <c r="M14" s="503" t="s">
        <v>73</v>
      </c>
      <c r="N14" s="498"/>
      <c r="O14" s="498"/>
      <c r="P14" s="504" t="s">
        <v>42</v>
      </c>
      <c r="Q14" s="504" t="s">
        <v>43</v>
      </c>
    </row>
    <row r="15" spans="2:18" s="1255" customFormat="1" ht="109.5" customHeight="1">
      <c r="B15" s="1297"/>
      <c r="C15" s="1297"/>
      <c r="D15" s="1297"/>
      <c r="E15" s="1297"/>
      <c r="F15" s="1298"/>
      <c r="G15" s="1299"/>
      <c r="H15" s="1294"/>
      <c r="I15" s="1294"/>
      <c r="J15" s="1294"/>
      <c r="K15" s="1294"/>
      <c r="L15" s="1294"/>
      <c r="M15" s="1298"/>
      <c r="N15" s="1299"/>
      <c r="O15" s="1299"/>
      <c r="P15" s="1294"/>
      <c r="Q15" s="1294"/>
    </row>
    <row r="16" spans="2:18" s="1256" customFormat="1" ht="50.1" customHeight="1">
      <c r="B16" s="1965" t="s">
        <v>74</v>
      </c>
      <c r="C16" s="1965"/>
      <c r="D16" s="1300"/>
      <c r="E16" s="1297"/>
      <c r="F16" s="1301">
        <v>75178182.225549996</v>
      </c>
      <c r="G16" s="1299"/>
      <c r="H16" s="1302">
        <v>0</v>
      </c>
      <c r="I16" s="1302">
        <v>0</v>
      </c>
      <c r="J16" s="1302"/>
      <c r="K16" s="1302">
        <f>F16+H16+I16+J16</f>
        <v>75178182.225549996</v>
      </c>
      <c r="L16" s="1303"/>
      <c r="M16" s="1301">
        <v>28363010.760499999</v>
      </c>
      <c r="N16" s="1299"/>
      <c r="O16" s="1299"/>
      <c r="P16" s="1304">
        <f>K16-M16</f>
        <v>46815171.465049997</v>
      </c>
      <c r="Q16" s="1305">
        <f>IF(K16=0,0,P16/K16)</f>
        <v>0.62272284430334934</v>
      </c>
      <c r="R16" s="1255"/>
    </row>
    <row r="17" spans="2:18" s="1256" customFormat="1" ht="50.1" customHeight="1">
      <c r="B17" s="1965" t="s">
        <v>85</v>
      </c>
      <c r="C17" s="1965"/>
      <c r="D17" s="1300"/>
      <c r="E17" s="1297"/>
      <c r="F17" s="1301">
        <v>18719141.815000001</v>
      </c>
      <c r="G17" s="1299"/>
      <c r="H17" s="1302">
        <v>0</v>
      </c>
      <c r="I17" s="1302">
        <v>0</v>
      </c>
      <c r="J17" s="1302"/>
      <c r="K17" s="1302">
        <f>F17+H17+I17+J17</f>
        <v>18719141.815000001</v>
      </c>
      <c r="L17" s="1303"/>
      <c r="M17" s="1301">
        <v>99094896.481890053</v>
      </c>
      <c r="N17" s="1299"/>
      <c r="O17" s="1299"/>
      <c r="P17" s="1304">
        <f>K17-M17</f>
        <v>-80375754.666890055</v>
      </c>
      <c r="Q17" s="1305">
        <f>IF(K17=0,0,P17/K17)</f>
        <v>-4.2937734785727972</v>
      </c>
      <c r="R17" s="1255"/>
    </row>
    <row r="18" spans="2:18" s="1256" customFormat="1" ht="50.1" customHeight="1">
      <c r="B18" s="1965" t="s">
        <v>86</v>
      </c>
      <c r="C18" s="1965"/>
      <c r="D18" s="1300"/>
      <c r="E18" s="1297"/>
      <c r="F18" s="1301">
        <v>22502671.491914112</v>
      </c>
      <c r="G18" s="1299"/>
      <c r="H18" s="1302">
        <v>0</v>
      </c>
      <c r="I18" s="1302">
        <v>0</v>
      </c>
      <c r="J18" s="1302"/>
      <c r="K18" s="1302">
        <f>F18+H18+I18+J18</f>
        <v>22502671.491914112</v>
      </c>
      <c r="L18" s="1303"/>
      <c r="M18" s="1301">
        <v>28864707.789031062</v>
      </c>
      <c r="N18" s="1299"/>
      <c r="O18" s="1299"/>
      <c r="P18" s="1304">
        <f>K18-M18</f>
        <v>-6362036.2971169502</v>
      </c>
      <c r="Q18" s="1305">
        <f>IF(K18=0,0,P18/K18)</f>
        <v>-0.28272360014689907</v>
      </c>
      <c r="R18" s="1255"/>
    </row>
    <row r="19" spans="2:18" s="1256" customFormat="1" ht="50.1" customHeight="1">
      <c r="B19" s="1965" t="s">
        <v>87</v>
      </c>
      <c r="C19" s="1965"/>
      <c r="D19" s="1300"/>
      <c r="E19" s="1297"/>
      <c r="F19" s="1301">
        <v>15368191.59</v>
      </c>
      <c r="G19" s="1299"/>
      <c r="H19" s="1302">
        <v>-5208230.38</v>
      </c>
      <c r="I19" s="1302">
        <v>5208230.38</v>
      </c>
      <c r="J19" s="1302"/>
      <c r="K19" s="1302">
        <f>F19+H19+I19+J19</f>
        <v>15368191.59</v>
      </c>
      <c r="L19" s="1303"/>
      <c r="M19" s="1301">
        <v>12580815.040000001</v>
      </c>
      <c r="N19" s="1299"/>
      <c r="O19" s="1299"/>
      <c r="P19" s="1304">
        <f>K19-M19</f>
        <v>2787376.5499999989</v>
      </c>
      <c r="Q19" s="1305">
        <f>IF(K19=0,0,P19/K19)</f>
        <v>0.18137309999530002</v>
      </c>
      <c r="R19" s="1255"/>
    </row>
    <row r="20" spans="2:18" s="1252" customFormat="1" ht="50.1" customHeight="1">
      <c r="B20" s="1962" t="s">
        <v>75</v>
      </c>
      <c r="C20" s="1962"/>
      <c r="D20" s="505"/>
      <c r="E20" s="494"/>
      <c r="F20" s="506">
        <f>SUM(F16:F19)</f>
        <v>131768187.12246411</v>
      </c>
      <c r="G20" s="507"/>
      <c r="H20" s="508">
        <f>SUM(H16:H19)</f>
        <v>-5208230.38</v>
      </c>
      <c r="I20" s="508">
        <f>SUM(I16:I19)</f>
        <v>5208230.38</v>
      </c>
      <c r="J20" s="508">
        <f>SUM(J16:J19)</f>
        <v>0</v>
      </c>
      <c r="K20" s="508">
        <f>F20+H20+I20+J20</f>
        <v>131768187.12246411</v>
      </c>
      <c r="L20" s="509"/>
      <c r="M20" s="510">
        <f>SUM(M16:M19)</f>
        <v>168903430.07142112</v>
      </c>
      <c r="N20" s="507"/>
      <c r="O20" s="507"/>
      <c r="P20" s="511">
        <f>K20-M20</f>
        <v>-37135242.948957011</v>
      </c>
      <c r="Q20" s="512">
        <f>IF(K20=0,0,P20/K20)</f>
        <v>-0.28182252302252492</v>
      </c>
    </row>
    <row r="21" spans="2:18" s="1255" customFormat="1" ht="50.1" customHeight="1">
      <c r="B21" s="1306"/>
      <c r="C21" s="1306"/>
      <c r="D21" s="1300"/>
      <c r="E21" s="1297"/>
      <c r="F21" s="1303"/>
      <c r="G21" s="1299"/>
      <c r="H21" s="1297"/>
      <c r="I21" s="1297"/>
      <c r="J21" s="1297"/>
      <c r="K21" s="1297"/>
      <c r="L21" s="1297"/>
      <c r="M21" s="1303"/>
      <c r="N21" s="1299"/>
      <c r="O21" s="1299"/>
      <c r="P21" s="1307"/>
      <c r="Q21" s="1307"/>
    </row>
    <row r="22" spans="2:18" s="1255" customFormat="1" ht="50.1" customHeight="1">
      <c r="B22" s="1306"/>
      <c r="C22" s="1306"/>
      <c r="D22" s="1300"/>
      <c r="E22" s="1297"/>
      <c r="F22" s="1303"/>
      <c r="G22" s="1299"/>
      <c r="H22" s="1297"/>
      <c r="I22" s="1297"/>
      <c r="J22" s="1297"/>
      <c r="K22" s="1297"/>
      <c r="L22" s="1297"/>
      <c r="M22" s="1303"/>
      <c r="N22" s="1299"/>
      <c r="O22" s="1299"/>
      <c r="P22" s="1308"/>
      <c r="Q22" s="1309"/>
    </row>
    <row r="23" spans="2:18" s="1256" customFormat="1" ht="50.1" customHeight="1">
      <c r="B23" s="1963" t="s">
        <v>980</v>
      </c>
      <c r="C23" s="1964"/>
      <c r="D23" s="1300"/>
      <c r="E23" s="1297"/>
      <c r="F23" s="1301">
        <v>9247357.6799999997</v>
      </c>
      <c r="G23" s="1299"/>
      <c r="H23" s="1302">
        <v>5982303.6799999997</v>
      </c>
      <c r="I23" s="1302">
        <v>-5982303.6799999997</v>
      </c>
      <c r="J23" s="1310"/>
      <c r="K23" s="1302">
        <f t="shared" ref="K23:K25" si="0">F23+H23+I23+J23</f>
        <v>9247357.6799999997</v>
      </c>
      <c r="L23" s="1303"/>
      <c r="M23" s="1301">
        <v>12088689.15</v>
      </c>
      <c r="N23" s="1299"/>
      <c r="O23" s="1299"/>
      <c r="P23" s="1304">
        <f>K23-M23</f>
        <v>-2841331.4700000007</v>
      </c>
      <c r="Q23" s="1311">
        <f>IF(K23=0,0,P23/K23)</f>
        <v>-0.30725874009882581</v>
      </c>
      <c r="R23" s="1255"/>
    </row>
    <row r="24" spans="2:18" s="1256" customFormat="1" ht="50.1" customHeight="1">
      <c r="B24" s="1965" t="s">
        <v>77</v>
      </c>
      <c r="C24" s="1965"/>
      <c r="D24" s="1300"/>
      <c r="E24" s="1297"/>
      <c r="F24" s="1301">
        <v>84248000</v>
      </c>
      <c r="G24" s="1299"/>
      <c r="H24" s="1302">
        <v>0</v>
      </c>
      <c r="I24" s="1302">
        <v>0</v>
      </c>
      <c r="J24" s="1310"/>
      <c r="K24" s="1302">
        <f t="shared" si="0"/>
        <v>84248000</v>
      </c>
      <c r="L24" s="1303"/>
      <c r="M24" s="1301">
        <v>60482000</v>
      </c>
      <c r="N24" s="1299"/>
      <c r="O24" s="1299"/>
      <c r="P24" s="1304">
        <f>K24-M24</f>
        <v>23766000</v>
      </c>
      <c r="Q24" s="1311">
        <f>IF(K24=0,0,P24/K24)</f>
        <v>0.28209571740575445</v>
      </c>
      <c r="R24" s="1255"/>
    </row>
    <row r="25" spans="2:18" s="1256" customFormat="1" ht="50.1" customHeight="1">
      <c r="B25" s="1965" t="s">
        <v>78</v>
      </c>
      <c r="C25" s="1965"/>
      <c r="D25" s="1300"/>
      <c r="E25" s="1297"/>
      <c r="F25" s="1301">
        <v>35514000</v>
      </c>
      <c r="G25" s="1299"/>
      <c r="H25" s="1302">
        <v>0</v>
      </c>
      <c r="I25" s="1302">
        <v>0</v>
      </c>
      <c r="J25" s="1310"/>
      <c r="K25" s="1302">
        <f t="shared" si="0"/>
        <v>35514000</v>
      </c>
      <c r="L25" s="1303"/>
      <c r="M25" s="1301">
        <v>25230000</v>
      </c>
      <c r="N25" s="1299"/>
      <c r="O25" s="1299"/>
      <c r="P25" s="1304">
        <f>K25-M25</f>
        <v>10284000</v>
      </c>
      <c r="Q25" s="1311">
        <f>IF(K25=0,0,P25/K25)</f>
        <v>0.28957594188207469</v>
      </c>
      <c r="R25" s="1255"/>
    </row>
    <row r="26" spans="2:18" s="1252" customFormat="1" ht="50.1" customHeight="1">
      <c r="B26" s="1962" t="s">
        <v>79</v>
      </c>
      <c r="C26" s="1962"/>
      <c r="D26" s="505"/>
      <c r="E26" s="494"/>
      <c r="F26" s="506">
        <f>SUM(F23:F25)</f>
        <v>129009357.68000001</v>
      </c>
      <c r="G26" s="507"/>
      <c r="H26" s="508">
        <f>SUM(H23:H25)</f>
        <v>5982303.6799999997</v>
      </c>
      <c r="I26" s="508">
        <f>SUM(I23:I25)</f>
        <v>-5982303.6799999997</v>
      </c>
      <c r="J26" s="508">
        <f>SUM(J23:J25)</f>
        <v>0</v>
      </c>
      <c r="K26" s="508">
        <f>F26+H26+I26+J26</f>
        <v>129009357.68000001</v>
      </c>
      <c r="L26" s="509"/>
      <c r="M26" s="510">
        <f>SUM(M23:M25)</f>
        <v>97800689.150000006</v>
      </c>
      <c r="N26" s="507"/>
      <c r="O26" s="507"/>
      <c r="P26" s="511">
        <f>K26-M26</f>
        <v>31208668.530000001</v>
      </c>
      <c r="Q26" s="512">
        <f>IF(K26=0,0,P26/K26)</f>
        <v>0.24191011482602087</v>
      </c>
    </row>
    <row r="27" spans="2:18" s="1255" customFormat="1" ht="50.1" customHeight="1">
      <c r="B27" s="1306"/>
      <c r="C27" s="1306"/>
      <c r="D27" s="1300"/>
      <c r="E27" s="1297"/>
      <c r="F27" s="1303"/>
      <c r="G27" s="1299"/>
      <c r="H27" s="1297"/>
      <c r="I27" s="1297"/>
      <c r="J27" s="1297"/>
      <c r="K27" s="1297"/>
      <c r="L27" s="1297"/>
      <c r="M27" s="1303"/>
      <c r="N27" s="1299"/>
      <c r="O27" s="1299"/>
      <c r="P27" s="1308"/>
      <c r="Q27" s="1309"/>
    </row>
    <row r="28" spans="2:18" s="1255" customFormat="1" ht="50.1" customHeight="1">
      <c r="B28" s="1306"/>
      <c r="C28" s="1306"/>
      <c r="D28" s="1300"/>
      <c r="E28" s="1297"/>
      <c r="F28" s="1303"/>
      <c r="G28" s="1299"/>
      <c r="H28" s="1297"/>
      <c r="I28" s="1297"/>
      <c r="J28" s="1297"/>
      <c r="K28" s="1297"/>
      <c r="L28" s="1297"/>
      <c r="M28" s="1303"/>
      <c r="N28" s="1299"/>
      <c r="O28" s="1299"/>
      <c r="P28" s="1307"/>
      <c r="Q28" s="1307"/>
    </row>
    <row r="29" spans="2:18" s="1256" customFormat="1" ht="50.1" customHeight="1">
      <c r="B29" s="1963" t="s">
        <v>362</v>
      </c>
      <c r="C29" s="1964"/>
      <c r="D29" s="1300"/>
      <c r="E29" s="1297"/>
      <c r="F29" s="1301">
        <v>2377968</v>
      </c>
      <c r="G29" s="1299"/>
      <c r="H29" s="1302">
        <v>0</v>
      </c>
      <c r="I29" s="1312">
        <v>0</v>
      </c>
      <c r="J29" s="1313">
        <v>0</v>
      </c>
      <c r="K29" s="1302">
        <f>F29+H29+I29+J29</f>
        <v>2377968</v>
      </c>
      <c r="L29" s="1314"/>
      <c r="M29" s="1301">
        <v>3987013.1500000004</v>
      </c>
      <c r="N29" s="1299"/>
      <c r="O29" s="1299"/>
      <c r="P29" s="1304">
        <f>K29-M29</f>
        <v>-1609045.1500000004</v>
      </c>
      <c r="Q29" s="1311">
        <f t="shared" ref="Q29:Q41" si="1">IF(K29=0,0,P29/K29)</f>
        <v>-0.6766470995404481</v>
      </c>
      <c r="R29" s="1255"/>
    </row>
    <row r="30" spans="2:18" s="1256" customFormat="1" ht="50.1" customHeight="1">
      <c r="B30" s="1315" t="s">
        <v>90</v>
      </c>
      <c r="C30" s="1316"/>
      <c r="D30" s="1300"/>
      <c r="E30" s="1297"/>
      <c r="F30" s="1301">
        <v>4451136.2699999996</v>
      </c>
      <c r="G30" s="1299"/>
      <c r="H30" s="1302">
        <v>0</v>
      </c>
      <c r="I30" s="1312">
        <v>0</v>
      </c>
      <c r="J30" s="1313">
        <v>0</v>
      </c>
      <c r="K30" s="1302">
        <f t="shared" ref="K30:K38" si="2">F30+H30+I30+J30</f>
        <v>4451136.2699999996</v>
      </c>
      <c r="L30" s="1314"/>
      <c r="M30" s="1301">
        <v>102251617.55000001</v>
      </c>
      <c r="N30" s="1299"/>
      <c r="O30" s="1299"/>
      <c r="P30" s="1304">
        <f t="shared" ref="P30:P41" si="3">K30-M30</f>
        <v>-97800481.280000016</v>
      </c>
      <c r="Q30" s="1311">
        <f t="shared" si="1"/>
        <v>-21.972025871047983</v>
      </c>
      <c r="R30" s="1255"/>
    </row>
    <row r="31" spans="2:18" s="1256" customFormat="1" ht="50.1" customHeight="1">
      <c r="B31" s="1963" t="s">
        <v>372</v>
      </c>
      <c r="C31" s="1964"/>
      <c r="D31" s="1300"/>
      <c r="E31" s="1297"/>
      <c r="F31" s="1301">
        <v>2553105</v>
      </c>
      <c r="G31" s="1299"/>
      <c r="H31" s="1302">
        <v>0</v>
      </c>
      <c r="I31" s="1312">
        <v>0</v>
      </c>
      <c r="J31" s="1313">
        <v>0</v>
      </c>
      <c r="K31" s="1302">
        <f t="shared" si="2"/>
        <v>2553105</v>
      </c>
      <c r="L31" s="1314"/>
      <c r="M31" s="1301">
        <v>7333291.1600000001</v>
      </c>
      <c r="N31" s="1299"/>
      <c r="O31" s="1299"/>
      <c r="P31" s="1304">
        <f t="shared" si="3"/>
        <v>-4780186.16</v>
      </c>
      <c r="Q31" s="1311">
        <f t="shared" si="1"/>
        <v>-1.8723030035975803</v>
      </c>
      <c r="R31" s="1255"/>
    </row>
    <row r="32" spans="2:18" s="1256" customFormat="1" ht="50.1" customHeight="1">
      <c r="B32" s="1963" t="s">
        <v>80</v>
      </c>
      <c r="C32" s="1964"/>
      <c r="D32" s="1300"/>
      <c r="E32" s="1297"/>
      <c r="F32" s="1301">
        <v>4974500</v>
      </c>
      <c r="G32" s="1299"/>
      <c r="H32" s="1302">
        <v>0</v>
      </c>
      <c r="I32" s="1312">
        <v>0</v>
      </c>
      <c r="J32" s="1313">
        <v>0</v>
      </c>
      <c r="K32" s="1302">
        <f t="shared" si="2"/>
        <v>4974500</v>
      </c>
      <c r="L32" s="1314"/>
      <c r="M32" s="1301">
        <v>43720200.229999989</v>
      </c>
      <c r="N32" s="1299"/>
      <c r="O32" s="1299"/>
      <c r="P32" s="1304">
        <f t="shared" si="3"/>
        <v>-38745700.229999989</v>
      </c>
      <c r="Q32" s="1311">
        <f t="shared" si="1"/>
        <v>-7.7888632485676927</v>
      </c>
      <c r="R32" s="1255"/>
    </row>
    <row r="33" spans="2:18" s="1256" customFormat="1" ht="50.1" customHeight="1">
      <c r="B33" s="1965" t="s">
        <v>1014</v>
      </c>
      <c r="C33" s="1965"/>
      <c r="D33" s="1300"/>
      <c r="E33" s="1297"/>
      <c r="F33" s="1301">
        <v>3365795.5</v>
      </c>
      <c r="G33" s="1299"/>
      <c r="H33" s="1302">
        <v>0</v>
      </c>
      <c r="I33" s="1312">
        <v>0</v>
      </c>
      <c r="J33" s="1313">
        <v>0</v>
      </c>
      <c r="K33" s="1302">
        <f t="shared" si="2"/>
        <v>3365795.5</v>
      </c>
      <c r="L33" s="1314"/>
      <c r="M33" s="1301">
        <v>34163814</v>
      </c>
      <c r="N33" s="1299"/>
      <c r="O33" s="1299"/>
      <c r="P33" s="1304">
        <f t="shared" si="3"/>
        <v>-30798018.5</v>
      </c>
      <c r="Q33" s="1311">
        <f t="shared" si="1"/>
        <v>-9.1502940389575063</v>
      </c>
      <c r="R33" s="1255"/>
    </row>
    <row r="34" spans="2:18" s="1256" customFormat="1" ht="50.1" customHeight="1">
      <c r="B34" s="1965" t="s">
        <v>91</v>
      </c>
      <c r="C34" s="1965"/>
      <c r="D34" s="1300"/>
      <c r="E34" s="1297"/>
      <c r="F34" s="1301">
        <v>3876530</v>
      </c>
      <c r="G34" s="1299"/>
      <c r="H34" s="1302">
        <v>0</v>
      </c>
      <c r="I34" s="1312">
        <v>0</v>
      </c>
      <c r="J34" s="1313">
        <v>0</v>
      </c>
      <c r="K34" s="1302">
        <f t="shared" si="2"/>
        <v>3876530</v>
      </c>
      <c r="L34" s="1314"/>
      <c r="M34" s="1301">
        <v>998790.50000000023</v>
      </c>
      <c r="N34" s="1299"/>
      <c r="O34" s="1299"/>
      <c r="P34" s="1304">
        <f t="shared" si="3"/>
        <v>2877739.5</v>
      </c>
      <c r="Q34" s="1311">
        <f t="shared" si="1"/>
        <v>0.74234934335604263</v>
      </c>
      <c r="R34" s="1255"/>
    </row>
    <row r="35" spans="2:18" s="1256" customFormat="1" ht="50.1" customHeight="1">
      <c r="B35" s="1965" t="s">
        <v>88</v>
      </c>
      <c r="C35" s="1965"/>
      <c r="D35" s="1300"/>
      <c r="E35" s="1297"/>
      <c r="F35" s="1301">
        <v>12964870.76</v>
      </c>
      <c r="G35" s="1299"/>
      <c r="H35" s="1302">
        <v>0</v>
      </c>
      <c r="I35" s="1312">
        <v>0</v>
      </c>
      <c r="J35" s="1313">
        <v>0</v>
      </c>
      <c r="K35" s="1302">
        <f t="shared" si="2"/>
        <v>12964870.76</v>
      </c>
      <c r="L35" s="1314"/>
      <c r="M35" s="1301">
        <v>860748.76</v>
      </c>
      <c r="N35" s="1299"/>
      <c r="O35" s="1299"/>
      <c r="P35" s="1304">
        <f t="shared" si="3"/>
        <v>12104122</v>
      </c>
      <c r="Q35" s="1311">
        <f t="shared" si="1"/>
        <v>0.93360915230596564</v>
      </c>
      <c r="R35" s="1255"/>
    </row>
    <row r="36" spans="2:18" s="1256" customFormat="1" ht="50.1" customHeight="1">
      <c r="B36" s="1965" t="s">
        <v>1015</v>
      </c>
      <c r="C36" s="1965"/>
      <c r="D36" s="1300"/>
      <c r="E36" s="1297"/>
      <c r="F36" s="1301">
        <v>10126417.5</v>
      </c>
      <c r="G36" s="1299"/>
      <c r="H36" s="1302">
        <v>0</v>
      </c>
      <c r="I36" s="1312">
        <v>0</v>
      </c>
      <c r="J36" s="1313">
        <v>0</v>
      </c>
      <c r="K36" s="1302">
        <f t="shared" si="2"/>
        <v>10126417.5</v>
      </c>
      <c r="L36" s="1314"/>
      <c r="M36" s="1301">
        <v>1231308.4300000002</v>
      </c>
      <c r="N36" s="1299"/>
      <c r="O36" s="1299"/>
      <c r="P36" s="1304">
        <f t="shared" si="3"/>
        <v>8895109.0700000003</v>
      </c>
      <c r="Q36" s="1311">
        <f t="shared" si="1"/>
        <v>0.87840631398024027</v>
      </c>
      <c r="R36" s="1255"/>
    </row>
    <row r="37" spans="2:18" s="1256" customFormat="1" ht="50.1" customHeight="1">
      <c r="B37" s="1965" t="s">
        <v>92</v>
      </c>
      <c r="C37" s="1965"/>
      <c r="D37" s="1300"/>
      <c r="E37" s="1297"/>
      <c r="F37" s="1301">
        <v>290000</v>
      </c>
      <c r="G37" s="1299"/>
      <c r="H37" s="1302">
        <v>0</v>
      </c>
      <c r="I37" s="1312">
        <v>0</v>
      </c>
      <c r="J37" s="1313">
        <v>0</v>
      </c>
      <c r="K37" s="1302">
        <f t="shared" si="2"/>
        <v>290000</v>
      </c>
      <c r="L37" s="1314"/>
      <c r="M37" s="1301">
        <v>524000</v>
      </c>
      <c r="N37" s="1299"/>
      <c r="O37" s="1299"/>
      <c r="P37" s="1304">
        <f t="shared" si="3"/>
        <v>-234000</v>
      </c>
      <c r="Q37" s="1311">
        <f t="shared" si="1"/>
        <v>-0.80689655172413788</v>
      </c>
      <c r="R37" s="1255"/>
    </row>
    <row r="38" spans="2:18" s="1256" customFormat="1" ht="50.1" customHeight="1">
      <c r="B38" s="1965" t="s">
        <v>1016</v>
      </c>
      <c r="C38" s="1965"/>
      <c r="D38" s="1300"/>
      <c r="E38" s="1297"/>
      <c r="F38" s="1301">
        <v>762300</v>
      </c>
      <c r="G38" s="1299"/>
      <c r="H38" s="1302">
        <v>0</v>
      </c>
      <c r="I38" s="1312">
        <v>0</v>
      </c>
      <c r="J38" s="1313">
        <v>0</v>
      </c>
      <c r="K38" s="1302">
        <f t="shared" si="2"/>
        <v>762300</v>
      </c>
      <c r="L38" s="1314"/>
      <c r="M38" s="1301">
        <v>56828</v>
      </c>
      <c r="N38" s="1299"/>
      <c r="O38" s="1299"/>
      <c r="P38" s="1304">
        <f t="shared" si="3"/>
        <v>705472</v>
      </c>
      <c r="Q38" s="1311">
        <f t="shared" si="1"/>
        <v>0.92545192181555813</v>
      </c>
      <c r="R38" s="1255"/>
    </row>
    <row r="39" spans="2:18" s="1256" customFormat="1" ht="50.1" customHeight="1">
      <c r="B39" s="1965" t="s">
        <v>93</v>
      </c>
      <c r="C39" s="1965"/>
      <c r="D39" s="1300"/>
      <c r="E39" s="1297"/>
      <c r="F39" s="1301">
        <v>5000000</v>
      </c>
      <c r="G39" s="1299"/>
      <c r="H39" s="1302">
        <v>0</v>
      </c>
      <c r="I39" s="1312">
        <v>0</v>
      </c>
      <c r="J39" s="1313">
        <v>0</v>
      </c>
      <c r="K39" s="1302">
        <f t="shared" ref="K39" si="4">F39+H39+I39+J39</f>
        <v>5000000</v>
      </c>
      <c r="L39" s="1314"/>
      <c r="M39" s="1301">
        <v>231270.51</v>
      </c>
      <c r="N39" s="1299"/>
      <c r="O39" s="1299"/>
      <c r="P39" s="1304">
        <f t="shared" ref="P39" si="5">K39-M39</f>
        <v>4768729.49</v>
      </c>
      <c r="Q39" s="1311">
        <f t="shared" ref="Q39" si="6">IF(K39=0,0,P39/K39)</f>
        <v>0.95374589800000009</v>
      </c>
      <c r="R39" s="1255"/>
    </row>
    <row r="40" spans="2:18" s="1256" customFormat="1" ht="50.1" customHeight="1">
      <c r="B40" s="1965" t="s">
        <v>978</v>
      </c>
      <c r="C40" s="1965"/>
      <c r="D40" s="1300"/>
      <c r="E40" s="1297"/>
      <c r="F40" s="1301">
        <v>410565.42</v>
      </c>
      <c r="G40" s="1299"/>
      <c r="H40" s="1302">
        <v>0</v>
      </c>
      <c r="I40" s="1312">
        <v>0</v>
      </c>
      <c r="J40" s="1313">
        <v>67670.17</v>
      </c>
      <c r="K40" s="1302">
        <f t="shared" ref="K40" si="7">F40+H40+I40+J40</f>
        <v>478235.58999999997</v>
      </c>
      <c r="L40" s="1314"/>
      <c r="M40" s="1301">
        <v>0</v>
      </c>
      <c r="N40" s="1299"/>
      <c r="O40" s="1299"/>
      <c r="P40" s="1304">
        <f t="shared" ref="P40" si="8">K40-M40</f>
        <v>478235.58999999997</v>
      </c>
      <c r="Q40" s="1311">
        <f t="shared" ref="Q40" si="9">IF(K40=0,0,P40/K40)</f>
        <v>1</v>
      </c>
      <c r="R40" s="1255"/>
    </row>
    <row r="41" spans="2:18" s="1252" customFormat="1" ht="50.1" customHeight="1">
      <c r="B41" s="1962" t="s">
        <v>81</v>
      </c>
      <c r="C41" s="1962"/>
      <c r="D41" s="505"/>
      <c r="E41" s="494"/>
      <c r="F41" s="506">
        <f>SUM(F$29:F40)</f>
        <v>51153188.450000003</v>
      </c>
      <c r="G41" s="507"/>
      <c r="H41" s="508">
        <f>SUM(H$29:H40)</f>
        <v>0</v>
      </c>
      <c r="I41" s="508">
        <f>SUM(I$29:I40)</f>
        <v>0</v>
      </c>
      <c r="J41" s="508">
        <f>SUM(J$29:J40)</f>
        <v>67670.17</v>
      </c>
      <c r="K41" s="508">
        <f>SUM(K$29:K40)</f>
        <v>51220858.620000005</v>
      </c>
      <c r="L41" s="509"/>
      <c r="M41" s="510">
        <f>SUM(M$29:M40)</f>
        <v>195358882.28999999</v>
      </c>
      <c r="N41" s="507"/>
      <c r="O41" s="507"/>
      <c r="P41" s="511">
        <f t="shared" si="3"/>
        <v>-144138023.66999999</v>
      </c>
      <c r="Q41" s="512">
        <f t="shared" si="1"/>
        <v>-2.814049345391469</v>
      </c>
    </row>
    <row r="42" spans="2:18" s="1255" customFormat="1" ht="50.1" customHeight="1">
      <c r="B42" s="1306"/>
      <c r="C42" s="1306"/>
      <c r="D42" s="1300"/>
      <c r="E42" s="1297"/>
      <c r="F42" s="1303"/>
      <c r="G42" s="1299"/>
      <c r="H42" s="1297"/>
      <c r="I42" s="1297"/>
      <c r="J42" s="1297"/>
      <c r="K42" s="1297"/>
      <c r="L42" s="1297"/>
      <c r="M42" s="1303"/>
      <c r="N42" s="1299"/>
      <c r="O42" s="1299"/>
      <c r="P42" s="1308"/>
      <c r="Q42" s="1309"/>
    </row>
    <row r="43" spans="2:18" s="1255" customFormat="1" ht="50.1" customHeight="1">
      <c r="B43" s="1306"/>
      <c r="C43" s="1306"/>
      <c r="D43" s="1300"/>
      <c r="E43" s="1297"/>
      <c r="F43" s="1303"/>
      <c r="G43" s="1299"/>
      <c r="H43" s="1317"/>
      <c r="I43" s="1297"/>
      <c r="J43" s="1297"/>
      <c r="K43" s="1297"/>
      <c r="L43" s="1297"/>
      <c r="M43" s="1303"/>
      <c r="N43" s="1299"/>
      <c r="O43" s="1299"/>
      <c r="P43" s="1308"/>
      <c r="Q43" s="1309"/>
    </row>
    <row r="44" spans="2:18" s="1252" customFormat="1" ht="50.1" customHeight="1">
      <c r="B44" s="1962" t="s">
        <v>82</v>
      </c>
      <c r="C44" s="1962"/>
      <c r="D44" s="505"/>
      <c r="E44" s="494"/>
      <c r="F44" s="506">
        <f>SUM(F26,F41,F20)</f>
        <v>311930733.25246412</v>
      </c>
      <c r="G44" s="507"/>
      <c r="H44" s="508">
        <f>SUM(H26,H41,H20)</f>
        <v>774073.29999999981</v>
      </c>
      <c r="I44" s="508">
        <f>SUM(I26,I41,I20)</f>
        <v>-774073.29999999981</v>
      </c>
      <c r="J44" s="508">
        <f>SUM(J26,J41,J20)</f>
        <v>67670.17</v>
      </c>
      <c r="K44" s="508">
        <f>SUM(K26,K41,K20)</f>
        <v>311998403.42246413</v>
      </c>
      <c r="L44" s="509"/>
      <c r="M44" s="510">
        <f>SUM(M26,M41,M20)</f>
        <v>462063001.51142108</v>
      </c>
      <c r="N44" s="507"/>
      <c r="O44" s="507"/>
      <c r="P44" s="511">
        <f>K44-M44</f>
        <v>-150064598.08895695</v>
      </c>
      <c r="Q44" s="512">
        <f>IF(K44=0,0,P44/K44)</f>
        <v>-0.48097873720770518</v>
      </c>
    </row>
    <row r="45" spans="2:18" s="1255" customFormat="1" ht="50.1" customHeight="1">
      <c r="B45" s="1318"/>
      <c r="C45" s="1318"/>
      <c r="D45" s="1300"/>
      <c r="E45" s="1299"/>
      <c r="F45" s="1314"/>
      <c r="G45" s="1299"/>
      <c r="H45" s="1299"/>
      <c r="I45" s="1314"/>
      <c r="J45" s="1314"/>
      <c r="K45" s="1314"/>
      <c r="L45" s="1314"/>
      <c r="M45" s="1314"/>
      <c r="N45" s="1299"/>
      <c r="O45" s="1299"/>
      <c r="P45" s="1308"/>
      <c r="Q45" s="1309"/>
    </row>
    <row r="46" spans="2:18" s="1256" customFormat="1" ht="50.1" customHeight="1">
      <c r="B46" s="1965" t="s">
        <v>94</v>
      </c>
      <c r="C46" s="1965"/>
      <c r="D46" s="1300"/>
      <c r="E46" s="1297"/>
      <c r="F46" s="1301">
        <v>386000</v>
      </c>
      <c r="G46" s="1299"/>
      <c r="H46" s="1319">
        <v>0</v>
      </c>
      <c r="I46" s="1319">
        <v>0</v>
      </c>
      <c r="J46" s="1319"/>
      <c r="K46" s="1320">
        <f>F46+H46+I46+J46</f>
        <v>386000</v>
      </c>
      <c r="L46" s="1303"/>
      <c r="M46" s="1301">
        <f>(Risques!P15-OPP!P15)*1000</f>
        <v>-3457000</v>
      </c>
      <c r="N46" s="1299"/>
      <c r="O46" s="1299"/>
      <c r="P46" s="1304">
        <f>K46-M46</f>
        <v>3843000</v>
      </c>
      <c r="Q46" s="1311">
        <f>IF(K46=0,0,P46/K46)</f>
        <v>9.9559585492227978</v>
      </c>
      <c r="R46" s="1255"/>
    </row>
    <row r="47" spans="2:18" s="1256" customFormat="1" ht="50.1" customHeight="1">
      <c r="B47" s="1965" t="s">
        <v>95</v>
      </c>
      <c r="C47" s="1965"/>
      <c r="D47" s="1300"/>
      <c r="E47" s="1297"/>
      <c r="F47" s="1301">
        <v>1400000</v>
      </c>
      <c r="G47" s="1299"/>
      <c r="H47" s="1319">
        <v>0</v>
      </c>
      <c r="I47" s="1319">
        <v>0</v>
      </c>
      <c r="J47" s="1319"/>
      <c r="K47" s="1320">
        <f>F47+H47+I47+J47</f>
        <v>1400000</v>
      </c>
      <c r="L47" s="1303"/>
      <c r="M47" s="1301">
        <v>0</v>
      </c>
      <c r="N47" s="1299"/>
      <c r="O47" s="1299"/>
      <c r="P47" s="1304">
        <f>K47-M47</f>
        <v>1400000</v>
      </c>
      <c r="Q47" s="1311">
        <f>IF(K47=0,0,P47/K47)</f>
        <v>1</v>
      </c>
      <c r="R47" s="1255"/>
    </row>
    <row r="48" spans="2:18" s="1255" customFormat="1" ht="50.1" customHeight="1">
      <c r="B48" s="1306"/>
      <c r="C48" s="1306"/>
      <c r="D48" s="1300"/>
      <c r="E48" s="1297"/>
      <c r="F48" s="1303"/>
      <c r="G48" s="1299"/>
      <c r="H48" s="1297"/>
      <c r="I48" s="1297"/>
      <c r="J48" s="1297"/>
      <c r="K48" s="1297"/>
      <c r="L48" s="1297"/>
      <c r="M48" s="1303"/>
      <c r="N48" s="1299"/>
      <c r="O48" s="1299"/>
      <c r="P48" s="1307"/>
      <c r="Q48" s="1321"/>
    </row>
    <row r="49" spans="2:17" s="1252" customFormat="1" ht="50.1" customHeight="1">
      <c r="B49" s="1962" t="s">
        <v>83</v>
      </c>
      <c r="C49" s="1962"/>
      <c r="D49" s="505"/>
      <c r="E49" s="494"/>
      <c r="F49" s="506">
        <f>F44+SUM(F46:F47)</f>
        <v>313716733.25246412</v>
      </c>
      <c r="G49" s="507"/>
      <c r="H49" s="508">
        <f>SUM(H44:H47)</f>
        <v>774073.29999999981</v>
      </c>
      <c r="I49" s="508">
        <f>I44+SUM(I46:I47)</f>
        <v>-774073.29999999981</v>
      </c>
      <c r="J49" s="508">
        <f>J44+SUM(J46:J47)</f>
        <v>67670.17</v>
      </c>
      <c r="K49" s="508">
        <f>F49+H49+I49+J49</f>
        <v>313784403.42246413</v>
      </c>
      <c r="L49" s="509"/>
      <c r="M49" s="510">
        <f>M44+SUM(M46:M47)</f>
        <v>458606001.51142108</v>
      </c>
      <c r="N49" s="507"/>
      <c r="O49" s="507"/>
      <c r="P49" s="514">
        <f>K49-M49</f>
        <v>-144821598.08895695</v>
      </c>
      <c r="Q49" s="512">
        <f>IF(K49=0,0,P49/K49)</f>
        <v>-0.46153217466954904</v>
      </c>
    </row>
    <row r="50" spans="2:17" ht="27">
      <c r="D50" s="1300"/>
    </row>
    <row r="51" spans="2:17" ht="27">
      <c r="D51" s="1300"/>
    </row>
  </sheetData>
  <mergeCells count="35">
    <mergeCell ref="B40:C40"/>
    <mergeCell ref="P13:Q13"/>
    <mergeCell ref="E8:L8"/>
    <mergeCell ref="B31:C31"/>
    <mergeCell ref="B32:C32"/>
    <mergeCell ref="B33:C33"/>
    <mergeCell ref="E10:L10"/>
    <mergeCell ref="H11:I11"/>
    <mergeCell ref="H13:K13"/>
    <mergeCell ref="B20:C20"/>
    <mergeCell ref="B19:C19"/>
    <mergeCell ref="B18:C18"/>
    <mergeCell ref="B17:C17"/>
    <mergeCell ref="B16:C16"/>
    <mergeCell ref="E3:L3"/>
    <mergeCell ref="E4:L4"/>
    <mergeCell ref="E5:L5"/>
    <mergeCell ref="E6:L6"/>
    <mergeCell ref="E7:L7"/>
    <mergeCell ref="B49:C49"/>
    <mergeCell ref="B23:C23"/>
    <mergeCell ref="B24:C24"/>
    <mergeCell ref="B25:C25"/>
    <mergeCell ref="B26:C26"/>
    <mergeCell ref="B41:C41"/>
    <mergeCell ref="B44:C44"/>
    <mergeCell ref="B46:C46"/>
    <mergeCell ref="B47:C47"/>
    <mergeCell ref="B35:C35"/>
    <mergeCell ref="B36:C36"/>
    <mergeCell ref="B37:C37"/>
    <mergeCell ref="B38:C38"/>
    <mergeCell ref="B29:C29"/>
    <mergeCell ref="B39:C39"/>
    <mergeCell ref="B34:C34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53"/>
  <sheetViews>
    <sheetView showGridLines="0" topLeftCell="A19" zoomScale="50" zoomScaleNormal="50" zoomScalePageLayoutView="50" workbookViewId="0">
      <selection activeCell="C22" sqref="C22"/>
    </sheetView>
  </sheetViews>
  <sheetFormatPr baseColWidth="10" defaultColWidth="10.85546875" defaultRowHeight="15"/>
  <cols>
    <col min="1" max="1" width="6.7109375" style="178" customWidth="1"/>
    <col min="2" max="2" width="2.7109375" style="178" customWidth="1"/>
    <col min="3" max="3" width="24.7109375" style="1322" customWidth="1"/>
    <col min="4" max="4" width="33.7109375" style="1322" customWidth="1"/>
    <col min="5" max="5" width="14.7109375" style="1322" customWidth="1"/>
    <col min="6" max="6" width="27.7109375" style="1322" customWidth="1"/>
    <col min="7" max="7" width="10.85546875" style="1322"/>
    <col min="8" max="8" width="24.7109375" style="1322" customWidth="1"/>
    <col min="9" max="9" width="12.85546875" style="1322" customWidth="1"/>
    <col min="10" max="10" width="7.42578125" style="1322" customWidth="1"/>
    <col min="11" max="11" width="24.7109375" style="1322" customWidth="1"/>
    <col min="12" max="12" width="12.7109375" style="1322" customWidth="1"/>
    <col min="13" max="13" width="4.7109375" style="1322" customWidth="1"/>
    <col min="14" max="14" width="24.7109375" style="1322" customWidth="1"/>
    <col min="15" max="15" width="12.7109375" style="1322" customWidth="1"/>
    <col min="16" max="16" width="4.7109375" style="1322" customWidth="1"/>
    <col min="17" max="18" width="23.7109375" style="1322" customWidth="1"/>
    <col min="19" max="16384" width="10.85546875" style="178"/>
  </cols>
  <sheetData>
    <row r="1" spans="1:18" ht="19.5" customHeight="1" thickBot="1">
      <c r="A1"/>
      <c r="B1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</row>
    <row r="2" spans="1:18" s="1250" customFormat="1" ht="30" customHeight="1" thickTop="1">
      <c r="A2" s="9"/>
      <c r="B2" s="1"/>
      <c r="C2" s="618"/>
      <c r="D2" s="619"/>
      <c r="E2" s="620"/>
      <c r="F2" s="621"/>
      <c r="G2" s="622"/>
      <c r="H2" s="623"/>
      <c r="I2" s="622"/>
      <c r="J2" s="622"/>
      <c r="K2" s="622"/>
      <c r="L2" s="622"/>
      <c r="M2" s="624"/>
      <c r="N2" s="625" t="s">
        <v>19</v>
      </c>
      <c r="O2" s="622"/>
      <c r="P2" s="626"/>
      <c r="Q2" s="626"/>
      <c r="R2" s="627">
        <f>SYNTHESE!N2</f>
        <v>42736</v>
      </c>
    </row>
    <row r="3" spans="1:18" s="1250" customFormat="1" ht="30" customHeight="1">
      <c r="A3" s="9"/>
      <c r="B3" s="2"/>
      <c r="C3" s="628"/>
      <c r="D3" s="629"/>
      <c r="E3" s="630"/>
      <c r="F3" s="1982" t="s">
        <v>15</v>
      </c>
      <c r="G3" s="1983"/>
      <c r="H3" s="1983"/>
      <c r="I3" s="1983"/>
      <c r="J3" s="1983"/>
      <c r="K3" s="1983"/>
      <c r="L3" s="1983"/>
      <c r="M3" s="1984"/>
      <c r="N3" s="631" t="s">
        <v>20</v>
      </c>
      <c r="O3" s="632"/>
      <c r="P3" s="633"/>
      <c r="Q3" s="633"/>
      <c r="R3" s="634" t="str">
        <f>SYNTHESE!N3</f>
        <v>Dirhams</v>
      </c>
    </row>
    <row r="4" spans="1:18" s="1250" customFormat="1" ht="30" customHeight="1">
      <c r="A4" s="9"/>
      <c r="B4" s="2"/>
      <c r="C4" s="635"/>
      <c r="D4" s="1978" t="str">
        <f>SYNTHESE!D4</f>
        <v>POINT 50%</v>
      </c>
      <c r="E4" s="1979"/>
      <c r="F4" s="629"/>
      <c r="G4" s="629"/>
      <c r="H4" s="629"/>
      <c r="I4" s="629"/>
      <c r="J4" s="629"/>
      <c r="K4" s="629"/>
      <c r="L4" s="629"/>
      <c r="M4" s="636"/>
      <c r="N4" s="631" t="s">
        <v>22</v>
      </c>
      <c r="O4" s="632"/>
      <c r="P4" s="633"/>
      <c r="Q4" s="633"/>
      <c r="R4" s="634" t="str">
        <f>SYNTHESE!N4</f>
        <v>1 € = 10,85dh</v>
      </c>
    </row>
    <row r="5" spans="1:18" s="1250" customFormat="1" ht="30" customHeight="1">
      <c r="A5" s="9"/>
      <c r="B5" s="2"/>
      <c r="C5" s="637"/>
      <c r="D5" s="629"/>
      <c r="E5" s="630"/>
      <c r="F5" s="629"/>
      <c r="G5" s="629"/>
      <c r="H5" s="629"/>
      <c r="I5" s="629"/>
      <c r="J5" s="629"/>
      <c r="K5" s="629"/>
      <c r="L5" s="629"/>
      <c r="M5" s="636"/>
      <c r="N5" s="631" t="s">
        <v>23</v>
      </c>
      <c r="O5" s="632"/>
      <c r="P5" s="638"/>
      <c r="Q5" s="638"/>
      <c r="R5" s="639">
        <f>SYNTHESE!M5</f>
        <v>42289</v>
      </c>
    </row>
    <row r="6" spans="1:18" s="1250" customFormat="1" ht="30" customHeight="1">
      <c r="A6" s="9"/>
      <c r="B6" s="2"/>
      <c r="C6" s="640"/>
      <c r="D6" s="1980">
        <f>SYNTHESE!D7</f>
        <v>42800</v>
      </c>
      <c r="E6" s="1981"/>
      <c r="F6" s="1982" t="str">
        <f>SYNTHESE!E6</f>
        <v xml:space="preserve">LES FAUBOURGS D'ANFA </v>
      </c>
      <c r="G6" s="1983"/>
      <c r="H6" s="1983"/>
      <c r="I6" s="1983"/>
      <c r="J6" s="1983"/>
      <c r="K6" s="1983"/>
      <c r="L6" s="1983"/>
      <c r="M6" s="1984"/>
      <c r="N6" s="631" t="s">
        <v>24</v>
      </c>
      <c r="O6" s="632"/>
      <c r="P6" s="633"/>
      <c r="Q6" s="633"/>
      <c r="R6" s="634" t="str">
        <f>SYNTHESE!N6</f>
        <v>26 mois</v>
      </c>
    </row>
    <row r="7" spans="1:18" s="1250" customFormat="1" ht="30" customHeight="1">
      <c r="A7" s="9"/>
      <c r="B7" s="2"/>
      <c r="C7" s="637"/>
      <c r="D7" s="629"/>
      <c r="E7" s="630"/>
      <c r="F7" s="1982" t="str">
        <f>SYNTHESE!E7</f>
        <v>CASABLANCA</v>
      </c>
      <c r="G7" s="1983"/>
      <c r="H7" s="1983"/>
      <c r="I7" s="1983"/>
      <c r="J7" s="1983"/>
      <c r="K7" s="1983"/>
      <c r="L7" s="1983"/>
      <c r="M7" s="1984"/>
      <c r="N7" s="631" t="s">
        <v>26</v>
      </c>
      <c r="O7" s="632"/>
      <c r="P7" s="641"/>
      <c r="Q7" s="641"/>
      <c r="R7" s="634" t="str">
        <f>SYNTHESE!N7</f>
        <v>4783m² SHO</v>
      </c>
    </row>
    <row r="8" spans="1:18" s="1251" customFormat="1" ht="30" customHeight="1" thickBot="1">
      <c r="A8" s="11"/>
      <c r="B8" s="3"/>
      <c r="C8" s="642"/>
      <c r="D8" s="643"/>
      <c r="E8" s="644"/>
      <c r="F8" s="643"/>
      <c r="G8" s="643"/>
      <c r="H8" s="643"/>
      <c r="I8" s="643"/>
      <c r="J8" s="643"/>
      <c r="K8" s="643"/>
      <c r="L8" s="643"/>
      <c r="M8" s="645"/>
      <c r="N8" s="646" t="s">
        <v>28</v>
      </c>
      <c r="O8" s="483"/>
      <c r="P8" s="647"/>
      <c r="Q8" s="647"/>
      <c r="R8" s="648"/>
    </row>
    <row r="9" spans="1:18" s="1251" customFormat="1" ht="61.5" customHeight="1" thickTop="1">
      <c r="A9" s="12" t="s">
        <v>67</v>
      </c>
      <c r="B9" s="10"/>
      <c r="C9" s="485"/>
      <c r="D9" s="485"/>
      <c r="E9" s="649"/>
      <c r="F9" s="650"/>
      <c r="G9" s="651"/>
      <c r="H9" s="650"/>
      <c r="I9" s="652"/>
      <c r="J9" s="650"/>
      <c r="K9" s="653"/>
      <c r="L9" s="653"/>
      <c r="M9" s="653"/>
      <c r="N9" s="470"/>
      <c r="O9" s="486"/>
      <c r="P9" s="485"/>
      <c r="Q9" s="487"/>
      <c r="R9" s="488"/>
    </row>
    <row r="10" spans="1:18" s="1251" customFormat="1" ht="60" customHeight="1">
      <c r="A10" s="12"/>
      <c r="B10" s="10"/>
      <c r="C10" s="489"/>
      <c r="D10" s="654"/>
      <c r="E10" s="1973" t="s">
        <v>96</v>
      </c>
      <c r="F10" s="1973"/>
      <c r="G10" s="1973"/>
      <c r="H10" s="1973"/>
      <c r="I10" s="1973"/>
      <c r="J10" s="1973"/>
      <c r="K10" s="1973"/>
      <c r="L10" s="1973"/>
      <c r="M10" s="1973"/>
      <c r="N10" s="491"/>
      <c r="O10" s="491"/>
      <c r="P10" s="491"/>
      <c r="Q10" s="491"/>
      <c r="R10" s="493"/>
    </row>
    <row r="11" spans="1:18" s="1251" customFormat="1" ht="60" customHeight="1">
      <c r="A11" s="12"/>
      <c r="B11" s="10"/>
      <c r="C11" s="485"/>
      <c r="D11" s="485"/>
      <c r="E11" s="655"/>
      <c r="F11" s="655"/>
      <c r="G11" s="655"/>
      <c r="H11" s="1988" t="s">
        <v>1</v>
      </c>
      <c r="I11" s="1988"/>
      <c r="J11" s="655"/>
      <c r="K11" s="655"/>
      <c r="L11" s="655"/>
      <c r="M11" s="655"/>
      <c r="N11" s="487"/>
      <c r="O11" s="487"/>
      <c r="P11" s="487"/>
      <c r="Q11" s="656"/>
      <c r="R11" s="657"/>
    </row>
    <row r="12" spans="1:18" s="1323" customFormat="1" ht="75.75" customHeight="1">
      <c r="A12" s="13"/>
      <c r="B12" s="5"/>
      <c r="C12" s="658"/>
      <c r="D12" s="658"/>
      <c r="E12" s="658"/>
      <c r="F12" s="658"/>
      <c r="G12" s="659"/>
      <c r="H12" s="659"/>
      <c r="I12" s="659"/>
      <c r="J12" s="658"/>
      <c r="K12" s="658"/>
      <c r="L12" s="660"/>
      <c r="M12" s="658"/>
      <c r="N12" s="661"/>
      <c r="O12" s="658"/>
      <c r="P12" s="662"/>
      <c r="Q12" s="663"/>
      <c r="R12" s="663"/>
    </row>
    <row r="13" spans="1:18" s="1323" customFormat="1" ht="35.1" customHeight="1">
      <c r="A13" s="13"/>
      <c r="B13" s="14">
        <v>1</v>
      </c>
      <c r="C13" s="664" t="s">
        <v>45</v>
      </c>
      <c r="D13" s="665"/>
      <c r="E13" s="666"/>
      <c r="F13" s="659"/>
      <c r="G13" s="667"/>
      <c r="H13" s="668">
        <f ca="1">RECETTES!F56</f>
        <v>303500010</v>
      </c>
      <c r="I13" s="669"/>
      <c r="J13" s="669"/>
      <c r="K13" s="668">
        <f ca="1">RECETTES!H56</f>
        <v>305565607</v>
      </c>
      <c r="L13" s="670"/>
      <c r="M13" s="667"/>
      <c r="N13" s="668">
        <f ca="1">RECETTES!J56</f>
        <v>305565607</v>
      </c>
      <c r="O13" s="671"/>
      <c r="P13" s="672"/>
      <c r="Q13" s="673">
        <f ca="1">N13-K13</f>
        <v>0</v>
      </c>
      <c r="R13" s="674">
        <f ca="1">IF(K13=0,0,Q13/K13)</f>
        <v>0</v>
      </c>
    </row>
    <row r="14" spans="1:18" s="1324" customFormat="1" ht="15.75" customHeight="1">
      <c r="A14" s="14"/>
      <c r="B14" s="14"/>
      <c r="C14" s="666"/>
      <c r="D14" s="666"/>
      <c r="E14" s="666"/>
      <c r="F14" s="659"/>
      <c r="G14" s="675"/>
      <c r="H14" s="676"/>
      <c r="I14" s="669"/>
      <c r="J14" s="675"/>
      <c r="K14" s="676"/>
      <c r="L14" s="670"/>
      <c r="M14" s="675"/>
      <c r="N14" s="676"/>
      <c r="O14" s="676"/>
      <c r="P14" s="672"/>
      <c r="Q14" s="677"/>
      <c r="R14" s="678"/>
    </row>
    <row r="15" spans="1:18" s="1325" customFormat="1" ht="35.1" customHeight="1">
      <c r="A15" s="15"/>
      <c r="B15" s="16">
        <v>1</v>
      </c>
      <c r="C15" s="664" t="s">
        <v>97</v>
      </c>
      <c r="D15" s="665"/>
      <c r="E15" s="679"/>
      <c r="F15" s="680"/>
      <c r="G15" s="671"/>
      <c r="H15" s="668">
        <f>DCH!F44</f>
        <v>311930733.25246412</v>
      </c>
      <c r="I15" s="681"/>
      <c r="J15" s="681"/>
      <c r="K15" s="668">
        <f>DCH!K44</f>
        <v>311998403.42246413</v>
      </c>
      <c r="L15" s="666"/>
      <c r="M15" s="671"/>
      <c r="N15" s="668">
        <f>DCH!M44</f>
        <v>462063001.51142108</v>
      </c>
      <c r="O15" s="671"/>
      <c r="P15" s="679"/>
      <c r="Q15" s="673">
        <f>K15-N15</f>
        <v>-150064598.08895695</v>
      </c>
      <c r="R15" s="674">
        <f>IF(K15=0,0,Q15/K15)</f>
        <v>-0.48097873720770518</v>
      </c>
    </row>
    <row r="16" spans="1:18" s="1325" customFormat="1" ht="151.5" customHeight="1">
      <c r="A16" s="15"/>
      <c r="B16" s="16"/>
      <c r="C16" s="666"/>
      <c r="D16" s="666"/>
      <c r="E16" s="679"/>
      <c r="F16" s="669"/>
      <c r="G16" s="671"/>
      <c r="H16" s="682"/>
      <c r="I16" s="681"/>
      <c r="J16" s="681"/>
      <c r="K16" s="682"/>
      <c r="L16" s="666"/>
      <c r="M16" s="671"/>
      <c r="N16" s="682"/>
      <c r="O16" s="671"/>
      <c r="P16" s="679"/>
      <c r="Q16" s="683"/>
      <c r="R16" s="684"/>
    </row>
    <row r="17" spans="1:18" s="1326" customFormat="1" ht="71.25" customHeight="1">
      <c r="A17" s="15"/>
      <c r="B17" s="4"/>
      <c r="C17" s="679"/>
      <c r="D17" s="685"/>
      <c r="E17" s="685"/>
      <c r="F17" s="685"/>
      <c r="G17" s="686"/>
      <c r="H17" s="687" t="s">
        <v>54</v>
      </c>
      <c r="I17" s="688"/>
      <c r="J17" s="686"/>
      <c r="K17" s="689" t="s">
        <v>131</v>
      </c>
      <c r="L17" s="690"/>
      <c r="M17" s="691"/>
      <c r="N17" s="692" t="str">
        <f>SYNTHESE!D4</f>
        <v>POINT 50%</v>
      </c>
      <c r="O17" s="693"/>
      <c r="P17" s="690"/>
      <c r="Q17" s="1989" t="s">
        <v>41</v>
      </c>
      <c r="R17" s="1990"/>
    </row>
    <row r="18" spans="1:18" s="1324" customFormat="1" ht="15" customHeight="1">
      <c r="A18" s="14"/>
      <c r="B18" s="17"/>
      <c r="C18" s="659"/>
      <c r="D18" s="659"/>
      <c r="E18" s="659"/>
      <c r="F18" s="659"/>
      <c r="G18" s="694"/>
      <c r="H18" s="695"/>
      <c r="I18" s="669"/>
      <c r="J18" s="695"/>
      <c r="K18" s="695"/>
      <c r="L18" s="670"/>
      <c r="M18" s="694"/>
      <c r="N18" s="695"/>
      <c r="O18" s="695"/>
      <c r="P18" s="679"/>
      <c r="Q18" s="696"/>
      <c r="R18" s="697"/>
    </row>
    <row r="19" spans="1:18" s="1326" customFormat="1" ht="15" customHeight="1">
      <c r="A19" s="18"/>
      <c r="B19" s="14"/>
      <c r="C19" s="666"/>
      <c r="D19" s="666"/>
      <c r="E19" s="679"/>
      <c r="F19" s="698"/>
      <c r="G19" s="693"/>
      <c r="H19" s="699"/>
      <c r="I19" s="681"/>
      <c r="J19" s="693"/>
      <c r="K19" s="699"/>
      <c r="L19" s="666"/>
      <c r="M19" s="693"/>
      <c r="N19" s="699"/>
      <c r="O19" s="666"/>
      <c r="P19" s="679"/>
      <c r="Q19" s="700"/>
      <c r="R19" s="678"/>
    </row>
    <row r="20" spans="1:18" s="1326" customFormat="1" ht="35.1" customHeight="1">
      <c r="A20" s="18"/>
      <c r="B20" s="14"/>
      <c r="C20" s="1985" t="s">
        <v>98</v>
      </c>
      <c r="D20" s="1985"/>
      <c r="E20" s="701" t="s">
        <v>99</v>
      </c>
      <c r="F20" s="701" t="s">
        <v>100</v>
      </c>
      <c r="G20" s="666"/>
      <c r="H20" s="702"/>
      <c r="I20" s="681"/>
      <c r="J20" s="666"/>
      <c r="K20" s="702"/>
      <c r="L20" s="703"/>
      <c r="M20" s="666"/>
      <c r="N20" s="702"/>
      <c r="O20" s="702"/>
      <c r="P20" s="685"/>
      <c r="Q20" s="700"/>
      <c r="R20" s="678"/>
    </row>
    <row r="21" spans="1:18" s="1326" customFormat="1" ht="35.1" customHeight="1">
      <c r="A21" s="18"/>
      <c r="B21" s="14"/>
      <c r="C21" s="704"/>
      <c r="D21" s="704"/>
      <c r="E21" s="701"/>
      <c r="F21" s="701"/>
      <c r="G21" s="666"/>
      <c r="H21" s="702"/>
      <c r="I21" s="681"/>
      <c r="J21" s="666"/>
      <c r="K21" s="702"/>
      <c r="L21" s="703"/>
      <c r="M21" s="666"/>
      <c r="N21" s="702"/>
      <c r="O21" s="702"/>
      <c r="P21" s="685"/>
      <c r="Q21" s="700"/>
      <c r="R21" s="678"/>
    </row>
    <row r="22" spans="1:18" s="1323" customFormat="1" ht="35.1" customHeight="1">
      <c r="A22" s="13"/>
      <c r="B22" s="19"/>
      <c r="C22" s="705" t="s">
        <v>101</v>
      </c>
      <c r="D22" s="706"/>
      <c r="E22" s="707">
        <v>2.5999999999999999E-2</v>
      </c>
      <c r="F22" s="708" t="s">
        <v>102</v>
      </c>
      <c r="G22" s="670"/>
      <c r="H22" s="709">
        <v>7891000.2599999998</v>
      </c>
      <c r="I22" s="669"/>
      <c r="J22" s="670"/>
      <c r="K22" s="709">
        <f t="shared" ref="K22:K27" ca="1" si="0">IF(E22=0,"",E22*$K$13)</f>
        <v>7944705.7819999997</v>
      </c>
      <c r="L22" s="660"/>
      <c r="M22" s="670"/>
      <c r="N22" s="710">
        <f t="shared" ref="N22:N27" ca="1" si="1">IF(E22=0,"",E22*$N$13)</f>
        <v>7944705.7819999997</v>
      </c>
      <c r="O22" s="711"/>
      <c r="P22" s="712"/>
      <c r="Q22" s="713">
        <f t="shared" ref="Q22:Q27" ca="1" si="2">IFERROR(K22-N22,"")</f>
        <v>0</v>
      </c>
      <c r="R22" s="714">
        <f t="shared" ref="R22:R27" ca="1" si="3">IFERROR(IF(K22=0,"",Q22/K22),"")</f>
        <v>0</v>
      </c>
    </row>
    <row r="23" spans="1:18" s="1323" customFormat="1" ht="35.1" customHeight="1">
      <c r="A23" s="13"/>
      <c r="B23" s="20"/>
      <c r="C23" s="715" t="s">
        <v>103</v>
      </c>
      <c r="D23" s="716"/>
      <c r="E23" s="707">
        <v>5.7500000000000002E-2</v>
      </c>
      <c r="F23" s="708" t="s">
        <v>102</v>
      </c>
      <c r="G23" s="670"/>
      <c r="H23" s="709">
        <v>17451250.574999999</v>
      </c>
      <c r="I23" s="717"/>
      <c r="J23" s="670"/>
      <c r="K23" s="709">
        <f t="shared" ca="1" si="0"/>
        <v>17570022.4025</v>
      </c>
      <c r="L23" s="660"/>
      <c r="M23" s="670"/>
      <c r="N23" s="710">
        <f t="shared" ca="1" si="1"/>
        <v>17570022.4025</v>
      </c>
      <c r="O23" s="711"/>
      <c r="P23" s="712"/>
      <c r="Q23" s="713">
        <f t="shared" ca="1" si="2"/>
        <v>0</v>
      </c>
      <c r="R23" s="714">
        <f t="shared" ca="1" si="3"/>
        <v>0</v>
      </c>
    </row>
    <row r="24" spans="1:18" s="1323" customFormat="1" ht="35.1" customHeight="1">
      <c r="A24" s="13"/>
      <c r="B24" s="20"/>
      <c r="C24" s="718" t="s">
        <v>982</v>
      </c>
      <c r="D24" s="719"/>
      <c r="E24" s="707">
        <v>0.02</v>
      </c>
      <c r="F24" s="708" t="s">
        <v>102</v>
      </c>
      <c r="G24" s="670"/>
      <c r="H24" s="709">
        <v>6070000.2000000002</v>
      </c>
      <c r="I24" s="669"/>
      <c r="J24" s="670"/>
      <c r="K24" s="709">
        <f t="shared" ca="1" si="0"/>
        <v>6111312.1399999997</v>
      </c>
      <c r="L24" s="660"/>
      <c r="M24" s="670"/>
      <c r="N24" s="710">
        <f t="shared" ca="1" si="1"/>
        <v>6111312.1399999997</v>
      </c>
      <c r="O24" s="711"/>
      <c r="P24" s="712"/>
      <c r="Q24" s="713">
        <f t="shared" ca="1" si="2"/>
        <v>0</v>
      </c>
      <c r="R24" s="714">
        <f t="shared" ca="1" si="3"/>
        <v>0</v>
      </c>
    </row>
    <row r="25" spans="1:18" s="1323" customFormat="1" ht="35.1" customHeight="1">
      <c r="A25" s="13"/>
      <c r="B25" s="20"/>
      <c r="C25" s="718" t="s">
        <v>104</v>
      </c>
      <c r="D25" s="719"/>
      <c r="E25" s="707">
        <v>2.5000000000000001E-3</v>
      </c>
      <c r="F25" s="708" t="s">
        <v>102</v>
      </c>
      <c r="G25" s="670"/>
      <c r="H25" s="709">
        <f t="shared" ref="H25:H27" ca="1" si="4">IF(E25=0,"",E25*$H$13)</f>
        <v>758750.02500000002</v>
      </c>
      <c r="I25" s="669"/>
      <c r="J25" s="670"/>
      <c r="K25" s="709">
        <f t="shared" ca="1" si="0"/>
        <v>763914.01749999996</v>
      </c>
      <c r="L25" s="660"/>
      <c r="M25" s="720"/>
      <c r="N25" s="710">
        <f t="shared" ca="1" si="1"/>
        <v>763914.01749999996</v>
      </c>
      <c r="O25" s="711"/>
      <c r="P25" s="712"/>
      <c r="Q25" s="713">
        <f t="shared" ca="1" si="2"/>
        <v>0</v>
      </c>
      <c r="R25" s="714">
        <f t="shared" ca="1" si="3"/>
        <v>0</v>
      </c>
    </row>
    <row r="26" spans="1:18" s="1323" customFormat="1" ht="35.1" customHeight="1">
      <c r="A26" s="13"/>
      <c r="B26" s="20"/>
      <c r="C26" s="715" t="s">
        <v>105</v>
      </c>
      <c r="D26" s="719"/>
      <c r="E26" s="707">
        <v>1E-3</v>
      </c>
      <c r="F26" s="708" t="s">
        <v>102</v>
      </c>
      <c r="G26" s="670"/>
      <c r="H26" s="721">
        <f t="shared" ca="1" si="4"/>
        <v>303500.01</v>
      </c>
      <c r="I26" s="669"/>
      <c r="J26" s="670"/>
      <c r="K26" s="709">
        <f t="shared" ca="1" si="0"/>
        <v>305565.60700000002</v>
      </c>
      <c r="L26" s="660"/>
      <c r="M26" s="670"/>
      <c r="N26" s="710">
        <f t="shared" ca="1" si="1"/>
        <v>305565.60700000002</v>
      </c>
      <c r="O26" s="711"/>
      <c r="P26" s="712"/>
      <c r="Q26" s="713">
        <f t="shared" ca="1" si="2"/>
        <v>0</v>
      </c>
      <c r="R26" s="714">
        <f t="shared" ca="1" si="3"/>
        <v>0</v>
      </c>
    </row>
    <row r="27" spans="1:18" s="1323" customFormat="1" ht="35.1" customHeight="1">
      <c r="A27" s="13"/>
      <c r="B27" s="20"/>
      <c r="C27" s="715" t="s">
        <v>106</v>
      </c>
      <c r="D27" s="716"/>
      <c r="E27" s="707">
        <v>1.6999999999999999E-3</v>
      </c>
      <c r="F27" s="708" t="s">
        <v>102</v>
      </c>
      <c r="G27" s="670"/>
      <c r="H27" s="721">
        <f t="shared" ca="1" si="4"/>
        <v>515950.01699999999</v>
      </c>
      <c r="I27" s="669"/>
      <c r="J27" s="670"/>
      <c r="K27" s="709">
        <f t="shared" ca="1" si="0"/>
        <v>519461.53189999994</v>
      </c>
      <c r="L27" s="660"/>
      <c r="M27" s="670"/>
      <c r="N27" s="710">
        <f t="shared" ca="1" si="1"/>
        <v>519461.53189999994</v>
      </c>
      <c r="O27" s="711"/>
      <c r="P27" s="712"/>
      <c r="Q27" s="713">
        <f t="shared" ca="1" si="2"/>
        <v>0</v>
      </c>
      <c r="R27" s="714">
        <f t="shared" ca="1" si="3"/>
        <v>0</v>
      </c>
    </row>
    <row r="28" spans="1:18" s="1323" customFormat="1" ht="35.1" customHeight="1">
      <c r="A28" s="13"/>
      <c r="B28" s="20"/>
      <c r="C28" s="715" t="s">
        <v>107</v>
      </c>
      <c r="D28" s="716"/>
      <c r="E28" s="708">
        <v>1E-3</v>
      </c>
      <c r="F28" s="708" t="s">
        <v>102</v>
      </c>
      <c r="G28" s="670"/>
      <c r="H28" s="721">
        <f ca="1">IF(E28=0,"",E28*$H$13)</f>
        <v>303500.01</v>
      </c>
      <c r="I28" s="669"/>
      <c r="J28" s="670"/>
      <c r="K28" s="709">
        <f ca="1">IF(E28=0,"",E28*$K$13)</f>
        <v>305565.60700000002</v>
      </c>
      <c r="L28" s="660"/>
      <c r="M28" s="670"/>
      <c r="N28" s="710">
        <f ca="1">IF(E28=0,"",E28*$N$13)</f>
        <v>305565.60700000002</v>
      </c>
      <c r="O28" s="711"/>
      <c r="P28" s="712"/>
      <c r="Q28" s="713">
        <f ca="1">IFERROR(K28-N28,"")</f>
        <v>0</v>
      </c>
      <c r="R28" s="714">
        <f ca="1">IFERROR(IF(K28=0,"",Q28/K28),"")</f>
        <v>0</v>
      </c>
    </row>
    <row r="29" spans="1:18" s="1323" customFormat="1" ht="35.1" customHeight="1">
      <c r="A29" s="13"/>
      <c r="B29" s="20"/>
      <c r="C29" s="715"/>
      <c r="D29" s="716"/>
      <c r="E29" s="708"/>
      <c r="F29" s="708"/>
      <c r="G29" s="670"/>
      <c r="H29" s="721" t="str">
        <f t="shared" ref="H29:H30" si="5">IF(E29=0,"",E29*$H$13)</f>
        <v/>
      </c>
      <c r="I29" s="669"/>
      <c r="J29" s="670"/>
      <c r="K29" s="709" t="str">
        <f t="shared" ref="K29:K30" si="6">IF(E29=0,"",E29*$K$13)</f>
        <v/>
      </c>
      <c r="L29" s="660"/>
      <c r="M29" s="670"/>
      <c r="N29" s="710" t="str">
        <f t="shared" ref="N29:N30" si="7">IF(E29=0,"",E29*$N$13)</f>
        <v/>
      </c>
      <c r="O29" s="711"/>
      <c r="P29" s="712"/>
      <c r="Q29" s="713" t="str">
        <f t="shared" ref="Q29:Q30" si="8">IFERROR(K29-N29,"")</f>
        <v/>
      </c>
      <c r="R29" s="714" t="str">
        <f t="shared" ref="R29:R30" si="9">IFERROR(IF(K29=0,"",Q29/K29),"")</f>
        <v/>
      </c>
    </row>
    <row r="30" spans="1:18" s="1323" customFormat="1" ht="35.1" customHeight="1">
      <c r="A30" s="13"/>
      <c r="B30" s="20"/>
      <c r="C30" s="715"/>
      <c r="D30" s="716"/>
      <c r="E30" s="708"/>
      <c r="F30" s="708"/>
      <c r="G30" s="670"/>
      <c r="H30" s="721" t="str">
        <f t="shared" si="5"/>
        <v/>
      </c>
      <c r="I30" s="669"/>
      <c r="J30" s="670"/>
      <c r="K30" s="709" t="str">
        <f t="shared" si="6"/>
        <v/>
      </c>
      <c r="L30" s="660"/>
      <c r="M30" s="670"/>
      <c r="N30" s="710" t="str">
        <f t="shared" si="7"/>
        <v/>
      </c>
      <c r="O30" s="711"/>
      <c r="P30" s="712"/>
      <c r="Q30" s="713" t="str">
        <f t="shared" si="8"/>
        <v/>
      </c>
      <c r="R30" s="714" t="str">
        <f t="shared" si="9"/>
        <v/>
      </c>
    </row>
    <row r="31" spans="1:18" s="1324" customFormat="1" ht="35.1" customHeight="1">
      <c r="A31" s="14">
        <v>1</v>
      </c>
      <c r="B31" s="17"/>
      <c r="C31" s="722"/>
      <c r="D31" s="722"/>
      <c r="E31" s="723"/>
      <c r="F31" s="723"/>
      <c r="G31" s="670"/>
      <c r="H31" s="711"/>
      <c r="I31" s="669"/>
      <c r="J31" s="670"/>
      <c r="K31" s="711"/>
      <c r="L31" s="670"/>
      <c r="M31" s="670"/>
      <c r="N31" s="711"/>
      <c r="O31" s="711"/>
      <c r="P31" s="724"/>
      <c r="Q31" s="725"/>
      <c r="R31" s="726"/>
    </row>
    <row r="32" spans="1:18" s="1326" customFormat="1" ht="35.1" customHeight="1">
      <c r="A32" s="18">
        <v>28</v>
      </c>
      <c r="B32" s="14">
        <v>2</v>
      </c>
      <c r="C32" s="727" t="s">
        <v>33</v>
      </c>
      <c r="D32" s="728"/>
      <c r="E32" s="679"/>
      <c r="F32" s="698"/>
      <c r="G32" s="729"/>
      <c r="H32" s="730">
        <f ca="1">SUM(INDIRECT(ADDRESS(22,COLUMN(),)&amp;":"&amp;ADDRESS(ROW()-2,COLUMN(),)))</f>
        <v>33293951.097000003</v>
      </c>
      <c r="I32" s="731">
        <f ca="1">H32/H13</f>
        <v>0.10970000000000001</v>
      </c>
      <c r="J32" s="729"/>
      <c r="K32" s="732">
        <f ca="1">SUM(INDIRECT(ADDRESS(22,COLUMN(),)&amp;":"&amp;ADDRESS(ROW()-2,COLUMN(),)))</f>
        <v>33520547.087900002</v>
      </c>
      <c r="L32" s="731">
        <f ca="1">K32/K13</f>
        <v>0.10970000000000001</v>
      </c>
      <c r="M32" s="729"/>
      <c r="N32" s="733">
        <f ca="1">SUM(INDIRECT(ADDRESS(22,COLUMN(),)&amp;":"&amp;ADDRESS(ROW()-2,COLUMN(),)))</f>
        <v>33520547.087900002</v>
      </c>
      <c r="O32" s="731">
        <f ca="1">N32/N13</f>
        <v>0.10970000000000001</v>
      </c>
      <c r="P32" s="679"/>
      <c r="Q32" s="734">
        <f t="shared" ref="Q32" ca="1" si="10">K32-N32</f>
        <v>0</v>
      </c>
      <c r="R32" s="735">
        <f ca="1">IF(K32=0,0,Q32/K32)</f>
        <v>0</v>
      </c>
    </row>
    <row r="33" spans="1:18" s="1323" customFormat="1" ht="119.25" customHeight="1">
      <c r="A33" s="1327"/>
      <c r="B33" s="1328"/>
      <c r="C33" s="1329"/>
      <c r="D33" s="1330"/>
      <c r="E33" s="1331"/>
      <c r="F33" s="1332"/>
      <c r="G33" s="1333"/>
      <c r="H33" s="1334"/>
      <c r="I33" s="1335"/>
      <c r="J33" s="1333"/>
      <c r="K33" s="1334"/>
      <c r="L33" s="1336"/>
      <c r="M33" s="1333"/>
      <c r="N33" s="1334"/>
      <c r="O33" s="1335"/>
      <c r="P33" s="1331"/>
      <c r="Q33" s="1337"/>
      <c r="R33" s="1338"/>
    </row>
    <row r="34" spans="1:18" s="1326" customFormat="1" ht="35.1" customHeight="1">
      <c r="A34" s="1339"/>
      <c r="B34" s="1340">
        <v>1</v>
      </c>
      <c r="C34" s="1341" t="s">
        <v>34</v>
      </c>
      <c r="D34" s="1342"/>
      <c r="E34" s="699"/>
      <c r="F34" s="1343"/>
      <c r="G34" s="1344"/>
      <c r="H34" s="1345">
        <f ca="1">H$13-INDIRECT(ADDRESS(ROW()-2,COLUMN(),))-H$15</f>
        <v>-41724674.349464118</v>
      </c>
      <c r="I34" s="1346">
        <f ca="1">H34/H13</f>
        <v>-0.13747832940586763</v>
      </c>
      <c r="J34" s="1344"/>
      <c r="K34" s="1345">
        <f ca="1">H$13-INDIRECT(ADDRESS(ROW()-2,COLUMN(),))-H$15</f>
        <v>-41951270.340364099</v>
      </c>
      <c r="L34" s="1346">
        <f ca="1">K34/K13</f>
        <v>-0.13729055030844523</v>
      </c>
      <c r="M34" s="1344"/>
      <c r="N34" s="1345">
        <f ca="1">H$13-INDIRECT(ADDRESS(ROW()-2,COLUMN(),))-H$15</f>
        <v>-41951270.340364099</v>
      </c>
      <c r="O34" s="1347">
        <f ca="1">N34/N13</f>
        <v>-0.13729055030844523</v>
      </c>
      <c r="P34" s="1330"/>
      <c r="Q34" s="1348">
        <f ca="1">N34-K34</f>
        <v>0</v>
      </c>
      <c r="R34" s="1349">
        <f ca="1">IF(K34=0,0,Q34/K34)</f>
        <v>0</v>
      </c>
    </row>
    <row r="35" spans="1:18" s="1323" customFormat="1" ht="24.95" customHeight="1">
      <c r="A35" s="1327"/>
      <c r="B35" s="1328"/>
      <c r="C35" s="1329"/>
      <c r="D35" s="1330"/>
      <c r="E35" s="1331"/>
      <c r="F35" s="1332"/>
      <c r="G35" s="1333"/>
      <c r="H35" s="1350"/>
      <c r="I35" s="1351"/>
      <c r="J35" s="1333"/>
      <c r="K35" s="1334"/>
      <c r="L35" s="1336"/>
      <c r="M35" s="1352"/>
      <c r="N35" s="1334"/>
      <c r="O35" s="1335"/>
      <c r="P35" s="1331"/>
      <c r="Q35" s="1337"/>
      <c r="R35" s="1338"/>
    </row>
    <row r="36" spans="1:18" s="1323" customFormat="1" ht="39.75" customHeight="1">
      <c r="A36" s="1327"/>
      <c r="B36" s="1328"/>
      <c r="C36" s="1353"/>
      <c r="D36" s="1354"/>
      <c r="E36" s="1331"/>
      <c r="F36" s="1331"/>
      <c r="G36" s="1333"/>
      <c r="H36" s="1351"/>
      <c r="I36" s="1333"/>
      <c r="J36" s="1352"/>
      <c r="K36" s="1355"/>
      <c r="L36" s="1334"/>
      <c r="M36" s="1355"/>
      <c r="N36" s="1356"/>
      <c r="O36" s="1333"/>
      <c r="P36" s="1353"/>
      <c r="Q36" s="1357"/>
      <c r="R36" s="1357"/>
    </row>
    <row r="37" spans="1:18" s="1323" customFormat="1" ht="134.25" customHeight="1">
      <c r="A37" s="1327"/>
      <c r="B37" s="1328"/>
      <c r="C37" s="1353"/>
      <c r="D37" s="1353"/>
      <c r="E37" s="1353"/>
      <c r="F37" s="1353"/>
      <c r="G37" s="1353"/>
      <c r="H37" s="1334"/>
      <c r="I37" s="1334"/>
      <c r="J37" s="1334"/>
      <c r="K37" s="1334"/>
      <c r="L37" s="1334"/>
      <c r="M37" s="1334"/>
      <c r="N37" s="1358"/>
      <c r="O37" s="1334"/>
      <c r="P37" s="1353"/>
      <c r="Q37" s="1353"/>
      <c r="R37" s="1353"/>
    </row>
    <row r="38" spans="1:18" s="1323" customFormat="1" ht="37.5" customHeight="1">
      <c r="A38" s="1327"/>
      <c r="B38" s="1359"/>
      <c r="C38" s="1353"/>
      <c r="D38" s="1360"/>
      <c r="E38" s="1361"/>
      <c r="F38" s="1362"/>
      <c r="G38" s="1361"/>
      <c r="H38" s="1361"/>
      <c r="I38" s="1363" t="s">
        <v>108</v>
      </c>
      <c r="J38" s="1361"/>
      <c r="K38" s="1361"/>
      <c r="L38" s="1364"/>
      <c r="M38" s="1365"/>
      <c r="N38" s="1366"/>
      <c r="O38" s="1364"/>
      <c r="P38" s="1364"/>
      <c r="Q38" s="1367"/>
      <c r="R38" s="1353"/>
    </row>
    <row r="39" spans="1:18" s="1323" customFormat="1" ht="25.5" customHeight="1">
      <c r="A39" s="1327"/>
      <c r="B39" s="1368"/>
      <c r="C39" s="1353"/>
      <c r="D39" s="1369"/>
      <c r="E39" s="1370"/>
      <c r="F39" s="1370"/>
      <c r="G39" s="1370"/>
      <c r="H39" s="1370"/>
      <c r="I39" s="1370"/>
      <c r="J39" s="1370"/>
      <c r="K39" s="1370"/>
      <c r="L39" s="1371"/>
      <c r="M39" s="1351"/>
      <c r="N39" s="1372"/>
      <c r="O39" s="1371"/>
      <c r="P39" s="1371"/>
      <c r="Q39" s="1373"/>
      <c r="R39" s="1353"/>
    </row>
    <row r="40" spans="1:18" s="1323" customFormat="1" ht="25.5" customHeight="1">
      <c r="A40" s="1327"/>
      <c r="B40" s="1368"/>
      <c r="C40" s="1353"/>
      <c r="D40" s="1374" t="s">
        <v>109</v>
      </c>
      <c r="E40" s="1371"/>
      <c r="F40" s="1371"/>
      <c r="G40" s="1375" t="s">
        <v>110</v>
      </c>
      <c r="H40" s="1376">
        <v>29690000</v>
      </c>
      <c r="I40" s="1377"/>
      <c r="J40" s="1378" t="s">
        <v>111</v>
      </c>
      <c r="K40" s="1379" t="s">
        <v>112</v>
      </c>
      <c r="L40" s="1380"/>
      <c r="M40" s="1381"/>
      <c r="N40" s="1382"/>
      <c r="O40" s="1383"/>
      <c r="P40" s="1377"/>
      <c r="Q40" s="1373"/>
      <c r="R40" s="1353"/>
    </row>
    <row r="41" spans="1:18" s="1323" customFormat="1" ht="25.5" customHeight="1">
      <c r="A41" s="1327"/>
      <c r="B41" s="1368"/>
      <c r="C41" s="1353"/>
      <c r="D41" s="1384"/>
      <c r="E41" s="1371"/>
      <c r="F41" s="1371"/>
      <c r="G41" s="1385" t="s">
        <v>113</v>
      </c>
      <c r="H41" s="1386"/>
      <c r="I41" s="1377"/>
      <c r="J41" s="1378" t="s">
        <v>114</v>
      </c>
      <c r="K41" s="1387"/>
      <c r="L41" s="1388"/>
      <c r="M41" s="1389"/>
      <c r="N41" s="1390"/>
      <c r="O41" s="1377"/>
      <c r="P41" s="1377"/>
      <c r="Q41" s="1373"/>
      <c r="R41" s="1353"/>
    </row>
    <row r="42" spans="1:18" s="1323" customFormat="1" ht="25.5" customHeight="1">
      <c r="A42" s="1327"/>
      <c r="B42" s="1368"/>
      <c r="C42" s="1353"/>
      <c r="D42" s="1384"/>
      <c r="E42" s="1391"/>
      <c r="F42" s="1392"/>
      <c r="G42" s="1393"/>
      <c r="H42" s="1394"/>
      <c r="I42" s="1394"/>
      <c r="J42" s="1393"/>
      <c r="K42" s="1393"/>
      <c r="L42" s="1377"/>
      <c r="M42" s="1389"/>
      <c r="N42" s="1395"/>
      <c r="O42" s="1377"/>
      <c r="P42" s="1377"/>
      <c r="Q42" s="1373"/>
      <c r="R42" s="1353"/>
    </row>
    <row r="43" spans="1:18" s="1323" customFormat="1" ht="25.5" customHeight="1">
      <c r="A43" s="1327"/>
      <c r="B43" s="1328"/>
      <c r="C43" s="1353"/>
      <c r="D43" s="1374" t="s">
        <v>115</v>
      </c>
      <c r="E43" s="1371"/>
      <c r="F43" s="1396"/>
      <c r="G43" s="1397">
        <v>0.05</v>
      </c>
      <c r="H43" s="1378" t="s">
        <v>116</v>
      </c>
      <c r="I43" s="1375"/>
      <c r="J43" s="1378" t="s">
        <v>117</v>
      </c>
      <c r="K43" s="1398"/>
      <c r="L43" s="1378" t="s">
        <v>118</v>
      </c>
      <c r="M43" s="1371"/>
      <c r="N43" s="1395"/>
      <c r="O43" s="1377"/>
      <c r="P43" s="1377"/>
      <c r="Q43" s="1373"/>
      <c r="R43" s="1353"/>
    </row>
    <row r="44" spans="1:18" s="1323" customFormat="1" ht="25.5" customHeight="1">
      <c r="A44" s="1327"/>
      <c r="B44" s="1359"/>
      <c r="C44" s="1353"/>
      <c r="D44" s="1384"/>
      <c r="E44" s="1371"/>
      <c r="F44" s="1399"/>
      <c r="G44" s="1375"/>
      <c r="H44" s="1378"/>
      <c r="I44" s="1393"/>
      <c r="J44" s="1377"/>
      <c r="K44" s="1400"/>
      <c r="L44" s="1378" t="s">
        <v>119</v>
      </c>
      <c r="M44" s="1371"/>
      <c r="N44" s="1395"/>
      <c r="O44" s="1383"/>
      <c r="P44" s="1377"/>
      <c r="Q44" s="1373"/>
      <c r="R44" s="1353"/>
    </row>
    <row r="45" spans="1:18" s="1323" customFormat="1" ht="25.5" customHeight="1">
      <c r="A45" s="1327"/>
      <c r="B45" s="1368"/>
      <c r="C45" s="1353"/>
      <c r="D45" s="1384"/>
      <c r="E45" s="1370"/>
      <c r="F45" s="1370"/>
      <c r="G45" s="1375"/>
      <c r="H45" s="1393"/>
      <c r="I45" s="1393"/>
      <c r="J45" s="1393"/>
      <c r="K45" s="1393"/>
      <c r="L45" s="1377"/>
      <c r="M45" s="1383"/>
      <c r="N45" s="1395"/>
      <c r="O45" s="1383"/>
      <c r="P45" s="1377"/>
      <c r="Q45" s="1373"/>
      <c r="R45" s="1353"/>
    </row>
    <row r="46" spans="1:18" s="1323" customFormat="1" ht="25.5" customHeight="1">
      <c r="A46" s="1327"/>
      <c r="B46" s="1324"/>
      <c r="C46" s="1353"/>
      <c r="D46" s="1374" t="s">
        <v>120</v>
      </c>
      <c r="E46" s="1371"/>
      <c r="F46" s="1401"/>
      <c r="G46" s="1402">
        <v>45</v>
      </c>
      <c r="H46" s="1393" t="s">
        <v>121</v>
      </c>
      <c r="I46" s="1377"/>
      <c r="J46" s="1378" t="s">
        <v>122</v>
      </c>
      <c r="K46" s="1377"/>
      <c r="L46" s="1403" t="s">
        <v>123</v>
      </c>
      <c r="M46" s="1383"/>
      <c r="N46" s="1395"/>
      <c r="O46" s="1383"/>
      <c r="P46" s="1377"/>
      <c r="Q46" s="1373"/>
      <c r="R46" s="1353"/>
    </row>
    <row r="47" spans="1:18" s="1323" customFormat="1" ht="25.5" customHeight="1">
      <c r="A47" s="1327"/>
      <c r="B47" s="1324"/>
      <c r="C47" s="1353"/>
      <c r="D47" s="1374"/>
      <c r="E47" s="1371"/>
      <c r="F47" s="1399"/>
      <c r="G47" s="1393"/>
      <c r="H47" s="1393"/>
      <c r="I47" s="1377"/>
      <c r="J47" s="1378" t="s">
        <v>124</v>
      </c>
      <c r="K47" s="1377"/>
      <c r="L47" s="1403" t="s">
        <v>125</v>
      </c>
      <c r="M47" s="1389"/>
      <c r="N47" s="1395"/>
      <c r="O47" s="1383"/>
      <c r="P47" s="1377"/>
      <c r="Q47" s="1373"/>
      <c r="R47" s="1353"/>
    </row>
    <row r="48" spans="1:18" s="1323" customFormat="1" ht="25.5" customHeight="1">
      <c r="A48" s="1327"/>
      <c r="B48" s="1324"/>
      <c r="C48" s="1353"/>
      <c r="D48" s="1384"/>
      <c r="E48" s="1370"/>
      <c r="F48" s="1370"/>
      <c r="G48" s="1393"/>
      <c r="H48" s="1393"/>
      <c r="I48" s="1393"/>
      <c r="J48" s="1393"/>
      <c r="K48" s="1393"/>
      <c r="L48" s="1377"/>
      <c r="M48" s="1389"/>
      <c r="N48" s="1395"/>
      <c r="O48" s="1383"/>
      <c r="P48" s="1377"/>
      <c r="Q48" s="1373"/>
      <c r="R48" s="1353"/>
    </row>
    <row r="49" spans="1:18" s="1323" customFormat="1" ht="25.5" customHeight="1">
      <c r="A49" s="1327"/>
      <c r="B49" s="1324"/>
      <c r="C49" s="1353"/>
      <c r="D49" s="1374" t="s">
        <v>126</v>
      </c>
      <c r="E49" s="1371"/>
      <c r="F49" s="1404"/>
      <c r="G49" s="1405" t="s">
        <v>127</v>
      </c>
      <c r="H49" s="1406"/>
      <c r="I49" s="1393"/>
      <c r="J49" s="1393"/>
      <c r="K49" s="1393"/>
      <c r="L49" s="1393"/>
      <c r="M49" s="1389"/>
      <c r="N49" s="1395"/>
      <c r="O49" s="1383"/>
      <c r="P49" s="1377"/>
      <c r="Q49" s="1373"/>
      <c r="R49" s="1353"/>
    </row>
    <row r="50" spans="1:18" s="1323" customFormat="1" ht="25.5" customHeight="1">
      <c r="A50" s="1327"/>
      <c r="B50" s="1324"/>
      <c r="C50" s="1353"/>
      <c r="D50" s="1374"/>
      <c r="E50" s="1371"/>
      <c r="F50" s="1391"/>
      <c r="G50" s="1393"/>
      <c r="H50" s="1375"/>
      <c r="I50" s="1393"/>
      <c r="J50" s="1393"/>
      <c r="K50" s="1393"/>
      <c r="L50" s="1393"/>
      <c r="M50" s="1389"/>
      <c r="N50" s="1395"/>
      <c r="O50" s="1383"/>
      <c r="P50" s="1377"/>
      <c r="Q50" s="1373"/>
      <c r="R50" s="1353"/>
    </row>
    <row r="51" spans="1:18" s="1323" customFormat="1" ht="25.5" customHeight="1">
      <c r="A51" s="1327"/>
      <c r="B51" s="1324"/>
      <c r="C51" s="1353"/>
      <c r="D51" s="1407" t="s">
        <v>128</v>
      </c>
      <c r="E51" s="1986" t="s">
        <v>129</v>
      </c>
      <c r="F51" s="1986"/>
      <c r="G51" s="1986"/>
      <c r="H51" s="1986"/>
      <c r="I51" s="1986"/>
      <c r="J51" s="1986"/>
      <c r="K51" s="1986"/>
      <c r="L51" s="1986"/>
      <c r="M51" s="1986"/>
      <c r="N51" s="1986"/>
      <c r="O51" s="1986"/>
      <c r="P51" s="1986"/>
      <c r="Q51" s="1987"/>
      <c r="R51" s="1353"/>
    </row>
    <row r="52" spans="1:18" s="1323" customFormat="1" ht="25.5" customHeight="1">
      <c r="A52" s="1327"/>
      <c r="B52" s="1324"/>
      <c r="C52" s="1353"/>
      <c r="D52" s="1384"/>
      <c r="E52" s="1371" t="s">
        <v>130</v>
      </c>
      <c r="F52" s="1408"/>
      <c r="G52" s="1377"/>
      <c r="H52" s="1409"/>
      <c r="I52" s="1410"/>
      <c r="J52" s="1377"/>
      <c r="K52" s="1411"/>
      <c r="L52" s="1393"/>
      <c r="M52" s="1412"/>
      <c r="N52" s="1389"/>
      <c r="O52" s="1383"/>
      <c r="P52" s="1377"/>
      <c r="Q52" s="1373"/>
      <c r="R52" s="1353"/>
    </row>
    <row r="53" spans="1:18" s="1323" customFormat="1" ht="25.5" customHeight="1">
      <c r="A53" s="1327"/>
      <c r="B53" s="1324"/>
      <c r="C53" s="1353"/>
      <c r="D53" s="1413"/>
      <c r="E53" s="1414"/>
      <c r="F53" s="1415"/>
      <c r="G53" s="1416"/>
      <c r="H53" s="1416"/>
      <c r="I53" s="1416"/>
      <c r="J53" s="1416"/>
      <c r="K53" s="1416"/>
      <c r="L53" s="1417"/>
      <c r="M53" s="1418"/>
      <c r="N53" s="1419"/>
      <c r="O53" s="1420"/>
      <c r="P53" s="1417"/>
      <c r="Q53" s="1421"/>
      <c r="R53" s="1353"/>
    </row>
  </sheetData>
  <sheetProtection insertRows="0"/>
  <mergeCells count="10">
    <mergeCell ref="D4:E4"/>
    <mergeCell ref="D6:E6"/>
    <mergeCell ref="F3:M3"/>
    <mergeCell ref="C20:D20"/>
    <mergeCell ref="E51:Q51"/>
    <mergeCell ref="F6:M6"/>
    <mergeCell ref="F7:M7"/>
    <mergeCell ref="E10:M10"/>
    <mergeCell ref="H11:I11"/>
    <mergeCell ref="Q17:R1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R51"/>
  <sheetViews>
    <sheetView showGridLines="0" topLeftCell="A19" zoomScale="50" zoomScaleNormal="50" zoomScalePageLayoutView="50" workbookViewId="0">
      <selection activeCell="B32" sqref="B32"/>
    </sheetView>
  </sheetViews>
  <sheetFormatPr baseColWidth="10" defaultColWidth="10.85546875" defaultRowHeight="15"/>
  <cols>
    <col min="1" max="1" width="10.7109375" style="178" customWidth="1"/>
    <col min="2" max="2" width="26.7109375" style="1322" customWidth="1"/>
    <col min="3" max="3" width="30.7109375" style="1322" customWidth="1"/>
    <col min="4" max="4" width="4.7109375" style="1322" customWidth="1"/>
    <col min="5" max="5" width="22.7109375" style="1322" customWidth="1"/>
    <col min="6" max="6" width="6.7109375" style="1322" customWidth="1"/>
    <col min="7" max="15" width="25.7109375" style="1322" customWidth="1"/>
    <col min="16" max="16384" width="10.85546875" style="178"/>
  </cols>
  <sheetData>
    <row r="1" spans="1:16" ht="18.75" customHeight="1" thickBot="1"/>
    <row r="2" spans="1:16" ht="30" customHeight="1" thickTop="1">
      <c r="B2" s="1422"/>
      <c r="C2" s="1423"/>
      <c r="D2" s="1424"/>
      <c r="E2" s="1424"/>
      <c r="F2" s="1424"/>
      <c r="G2" s="1424"/>
      <c r="H2" s="1424"/>
      <c r="I2" s="1424"/>
      <c r="J2" s="1424"/>
      <c r="K2" s="1424"/>
      <c r="L2" s="1425" t="s">
        <v>19</v>
      </c>
      <c r="M2" s="1424"/>
      <c r="N2" s="1424"/>
      <c r="O2" s="1273">
        <f>SYNTHESE!N2</f>
        <v>42736</v>
      </c>
    </row>
    <row r="3" spans="1:16" ht="30" customHeight="1">
      <c r="B3" s="1426"/>
      <c r="C3" s="1427"/>
      <c r="D3" s="1991" t="s">
        <v>15</v>
      </c>
      <c r="E3" s="1992"/>
      <c r="F3" s="1992"/>
      <c r="G3" s="1992"/>
      <c r="H3" s="1992"/>
      <c r="I3" s="1992"/>
      <c r="J3" s="1992"/>
      <c r="K3" s="1992"/>
      <c r="L3" s="1428" t="s">
        <v>20</v>
      </c>
      <c r="M3" s="1429"/>
      <c r="N3" s="1429"/>
      <c r="O3" s="1430" t="str">
        <f>SYNTHESE!N3</f>
        <v>Dirhams</v>
      </c>
    </row>
    <row r="4" spans="1:16" ht="30" customHeight="1">
      <c r="B4" s="1426"/>
      <c r="C4" s="1431" t="str">
        <f>SYNTHESE!D4</f>
        <v>POINT 50%</v>
      </c>
      <c r="D4" s="1429"/>
      <c r="E4" s="1429"/>
      <c r="F4" s="1429"/>
      <c r="G4" s="1429"/>
      <c r="H4" s="1429"/>
      <c r="I4" s="1429"/>
      <c r="J4" s="1429"/>
      <c r="K4" s="1429"/>
      <c r="L4" s="1428" t="s">
        <v>22</v>
      </c>
      <c r="M4" s="1429"/>
      <c r="N4" s="1429"/>
      <c r="O4" s="1430" t="str">
        <f>SYNTHESE!N4</f>
        <v>1 € = 10,85dh</v>
      </c>
    </row>
    <row r="5" spans="1:16" ht="30" customHeight="1">
      <c r="B5" s="1426"/>
      <c r="C5" s="1427"/>
      <c r="D5" s="1429"/>
      <c r="E5" s="1429"/>
      <c r="F5" s="1429"/>
      <c r="G5" s="1429"/>
      <c r="H5" s="1429"/>
      <c r="I5" s="1429"/>
      <c r="J5" s="1429"/>
      <c r="K5" s="1429"/>
      <c r="L5" s="1428" t="s">
        <v>23</v>
      </c>
      <c r="M5" s="1429"/>
      <c r="N5" s="1429"/>
      <c r="O5" s="1432">
        <f>SYNTHESE!M5</f>
        <v>42289</v>
      </c>
    </row>
    <row r="6" spans="1:16" ht="30" customHeight="1">
      <c r="B6" s="1426"/>
      <c r="C6" s="1433">
        <f>SYNTHESE!D7</f>
        <v>42800</v>
      </c>
      <c r="D6" s="1993" t="str">
        <f>SYNTHESE!E6</f>
        <v xml:space="preserve">LES FAUBOURGS D'ANFA </v>
      </c>
      <c r="E6" s="1994"/>
      <c r="F6" s="1994"/>
      <c r="G6" s="1994"/>
      <c r="H6" s="1994"/>
      <c r="I6" s="1994"/>
      <c r="J6" s="1994"/>
      <c r="K6" s="1994"/>
      <c r="L6" s="1428" t="s">
        <v>24</v>
      </c>
      <c r="M6" s="1429"/>
      <c r="N6" s="1429"/>
      <c r="O6" s="1430" t="str">
        <f>SYNTHESE!N6</f>
        <v>26 mois</v>
      </c>
    </row>
    <row r="7" spans="1:16" ht="30" customHeight="1">
      <c r="B7" s="1426"/>
      <c r="C7" s="1427"/>
      <c r="D7" s="1993" t="str">
        <f>SYNTHESE!E7</f>
        <v>CASABLANCA</v>
      </c>
      <c r="E7" s="1994"/>
      <c r="F7" s="1994"/>
      <c r="G7" s="1994"/>
      <c r="H7" s="1994"/>
      <c r="I7" s="1994"/>
      <c r="J7" s="1994"/>
      <c r="K7" s="1994"/>
      <c r="L7" s="1428" t="s">
        <v>26</v>
      </c>
      <c r="M7" s="1429"/>
      <c r="N7" s="1429"/>
      <c r="O7" s="1430" t="str">
        <f>SYNTHESE!N7</f>
        <v>4783m² SHO</v>
      </c>
    </row>
    <row r="8" spans="1:16" ht="30" customHeight="1" thickBot="1">
      <c r="B8" s="1434"/>
      <c r="C8" s="1435"/>
      <c r="D8" s="1436"/>
      <c r="E8" s="1436"/>
      <c r="F8" s="1436"/>
      <c r="G8" s="1436"/>
      <c r="H8" s="1436"/>
      <c r="I8" s="1436"/>
      <c r="J8" s="1436"/>
      <c r="K8" s="1436"/>
      <c r="L8" s="1437" t="s">
        <v>28</v>
      </c>
      <c r="M8" s="1436"/>
      <c r="N8" s="1436"/>
      <c r="O8" s="1438"/>
    </row>
    <row r="9" spans="1:16" ht="85.5" customHeight="1" thickTop="1"/>
    <row r="10" spans="1:16" s="1251" customFormat="1" ht="40.5" customHeight="1">
      <c r="A10" s="12"/>
      <c r="B10" s="1995" t="str">
        <f>CONCATENATE("TRAVAUX SUPPLEMENTAIRES ACQUIS  AU ",SYNTHESE!D4)</f>
        <v>TRAVAUX SUPPLEMENTAIRES ACQUIS  AU POINT 50%</v>
      </c>
      <c r="C10" s="1996"/>
      <c r="D10" s="1996"/>
      <c r="E10" s="1996"/>
      <c r="F10" s="1996"/>
      <c r="G10" s="1996"/>
      <c r="H10" s="1996"/>
      <c r="I10" s="1996"/>
      <c r="J10" s="1996"/>
      <c r="K10" s="1996"/>
      <c r="L10" s="1996"/>
      <c r="M10" s="1996"/>
      <c r="N10" s="1996"/>
      <c r="O10" s="1997"/>
    </row>
    <row r="11" spans="1:16" s="1439" customFormat="1" ht="39" customHeight="1">
      <c r="B11" s="1998" t="s">
        <v>1</v>
      </c>
      <c r="C11" s="1998"/>
      <c r="D11" s="1998"/>
      <c r="E11" s="1998"/>
      <c r="F11" s="1998"/>
      <c r="G11" s="1998"/>
      <c r="H11" s="1998"/>
      <c r="I11" s="1998"/>
      <c r="J11" s="1998"/>
      <c r="K11" s="1998"/>
      <c r="L11" s="1998"/>
      <c r="M11" s="1998"/>
      <c r="N11" s="1998"/>
      <c r="O11" s="1998"/>
      <c r="P11" s="1250"/>
    </row>
    <row r="12" spans="1:16" s="1439" customFormat="1" ht="85.5" customHeight="1">
      <c r="B12" s="1264"/>
      <c r="C12" s="1264"/>
      <c r="D12" s="1264"/>
      <c r="E12" s="1264"/>
      <c r="F12" s="1257"/>
      <c r="G12" s="1263"/>
      <c r="H12" s="1264"/>
      <c r="I12" s="1452"/>
      <c r="J12" s="1264"/>
      <c r="K12" s="1452"/>
      <c r="L12" s="1262"/>
      <c r="M12" s="1263"/>
      <c r="N12" s="1262"/>
      <c r="O12" s="1264"/>
      <c r="P12" s="1250"/>
    </row>
    <row r="13" spans="1:16" s="1441" customFormat="1" ht="27" customHeight="1">
      <c r="A13" s="21"/>
      <c r="B13" s="993"/>
      <c r="C13" s="993"/>
      <c r="D13" s="993"/>
      <c r="E13" s="994" t="s">
        <v>71</v>
      </c>
      <c r="F13" s="995"/>
      <c r="G13" s="994" t="s">
        <v>138</v>
      </c>
      <c r="H13" s="994" t="s">
        <v>139</v>
      </c>
      <c r="I13" s="994" t="s">
        <v>140</v>
      </c>
      <c r="J13" s="994" t="s">
        <v>141</v>
      </c>
      <c r="K13" s="994" t="s">
        <v>142</v>
      </c>
      <c r="L13" s="994" t="s">
        <v>143</v>
      </c>
      <c r="M13" s="994" t="s">
        <v>144</v>
      </c>
      <c r="N13" s="994" t="s">
        <v>145</v>
      </c>
      <c r="O13" s="994" t="s">
        <v>146</v>
      </c>
      <c r="P13" s="1440"/>
    </row>
    <row r="14" spans="1:16" s="1443" customFormat="1" ht="48" customHeight="1">
      <c r="B14" s="1453"/>
      <c r="C14" s="1454" t="s">
        <v>132</v>
      </c>
      <c r="D14" s="1455"/>
      <c r="E14" s="1456"/>
      <c r="F14" s="1457"/>
      <c r="G14" s="1458"/>
      <c r="H14" s="1458"/>
      <c r="I14" s="1459"/>
      <c r="J14" s="1459"/>
      <c r="K14" s="1459"/>
      <c r="L14" s="1459"/>
      <c r="M14" s="1459"/>
      <c r="N14" s="1459"/>
      <c r="O14" s="1459"/>
      <c r="P14" s="1442"/>
    </row>
    <row r="15" spans="1:16" s="1445" customFormat="1" ht="100.5" customHeight="1">
      <c r="B15" s="1460"/>
      <c r="C15" s="1461" t="str">
        <f>SYNTHESE!D4</f>
        <v>POINT 50%</v>
      </c>
      <c r="D15" s="1462"/>
      <c r="E15" s="1463" t="s">
        <v>49</v>
      </c>
      <c r="F15" s="1464"/>
      <c r="G15" s="1465">
        <v>367000</v>
      </c>
      <c r="H15" s="1465">
        <v>316460</v>
      </c>
      <c r="I15" s="1465">
        <v>31183</v>
      </c>
      <c r="J15" s="1466">
        <v>105657.51</v>
      </c>
      <c r="K15" s="1466">
        <v>67222</v>
      </c>
      <c r="L15" s="1466">
        <v>44807</v>
      </c>
      <c r="M15" s="1466">
        <v>479015.52</v>
      </c>
      <c r="N15" s="1458"/>
      <c r="O15" s="1458"/>
      <c r="P15" s="1444"/>
    </row>
    <row r="16" spans="1:16" s="1443" customFormat="1" ht="27" customHeight="1">
      <c r="B16" s="1455"/>
      <c r="C16" s="1467" t="s">
        <v>133</v>
      </c>
      <c r="D16" s="1455"/>
      <c r="E16" s="1456"/>
      <c r="F16" s="1457"/>
      <c r="G16" s="1468">
        <v>42370</v>
      </c>
      <c r="H16" s="1468">
        <v>42491</v>
      </c>
      <c r="I16" s="1468"/>
      <c r="J16" s="1459"/>
      <c r="K16" s="1459"/>
      <c r="L16" s="1459"/>
      <c r="M16" s="1459"/>
      <c r="N16" s="1459"/>
      <c r="O16" s="1459"/>
      <c r="P16" s="1442"/>
    </row>
    <row r="17" spans="1:16" s="1441" customFormat="1" ht="33" customHeight="1">
      <c r="A17" s="21"/>
      <c r="B17" s="993"/>
      <c r="C17" s="996" t="s">
        <v>45</v>
      </c>
      <c r="D17" s="993"/>
      <c r="E17" s="997">
        <f>SUM(G17:O17)</f>
        <v>1411345.03</v>
      </c>
      <c r="F17" s="998"/>
      <c r="G17" s="999">
        <f>+G15</f>
        <v>367000</v>
      </c>
      <c r="H17" s="999">
        <f>+H15</f>
        <v>316460</v>
      </c>
      <c r="I17" s="999">
        <f>+I15</f>
        <v>31183</v>
      </c>
      <c r="J17" s="999">
        <f t="shared" ref="J17:M17" si="0">+J15</f>
        <v>105657.51</v>
      </c>
      <c r="K17" s="999">
        <f t="shared" si="0"/>
        <v>67222</v>
      </c>
      <c r="L17" s="999">
        <f t="shared" si="0"/>
        <v>44807</v>
      </c>
      <c r="M17" s="999">
        <f t="shared" si="0"/>
        <v>479015.52</v>
      </c>
      <c r="N17" s="999"/>
      <c r="O17" s="999"/>
      <c r="P17" s="1440"/>
    </row>
    <row r="18" spans="1:16" s="1447" customFormat="1" ht="20.100000000000001" customHeight="1">
      <c r="A18" s="22"/>
      <c r="B18" s="485"/>
      <c r="C18" s="485"/>
      <c r="D18" s="1000"/>
      <c r="E18" s="1001"/>
      <c r="F18" s="1001"/>
      <c r="G18" s="1000"/>
      <c r="H18" s="1000"/>
      <c r="I18" s="1000"/>
      <c r="J18" s="1000"/>
      <c r="K18" s="1000"/>
      <c r="L18" s="1000"/>
      <c r="M18" s="1000"/>
      <c r="N18" s="1000"/>
      <c r="O18" s="1000"/>
      <c r="P18" s="1446"/>
    </row>
    <row r="19" spans="1:16" s="1441" customFormat="1" ht="63" customHeight="1">
      <c r="B19" s="1286"/>
      <c r="C19" s="1286"/>
      <c r="D19" s="1469"/>
      <c r="E19" s="1470"/>
      <c r="F19" s="1470"/>
      <c r="G19" s="1286"/>
      <c r="H19" s="1286"/>
      <c r="I19" s="1286"/>
      <c r="J19" s="1286"/>
      <c r="K19" s="1286"/>
      <c r="L19" s="1286"/>
      <c r="M19" s="1286"/>
      <c r="N19" s="1286"/>
      <c r="O19" s="1286"/>
      <c r="P19" s="1440"/>
    </row>
    <row r="20" spans="1:16" s="1441" customFormat="1" ht="35.1" customHeight="1">
      <c r="B20" s="1471" t="s">
        <v>74</v>
      </c>
      <c r="C20" s="1472"/>
      <c r="D20" s="1469"/>
      <c r="E20" s="1466"/>
      <c r="F20" s="1473"/>
      <c r="G20" s="1466"/>
      <c r="H20" s="1466"/>
      <c r="I20" s="1466"/>
      <c r="J20" s="1466"/>
      <c r="K20" s="1466"/>
      <c r="L20" s="1466"/>
      <c r="M20" s="1466"/>
      <c r="N20" s="1466"/>
      <c r="O20" s="1466"/>
      <c r="P20" s="1440"/>
    </row>
    <row r="21" spans="1:16" s="1441" customFormat="1" ht="35.1" customHeight="1">
      <c r="B21" s="1471" t="s">
        <v>85</v>
      </c>
      <c r="C21" s="1472"/>
      <c r="D21" s="1469"/>
      <c r="E21" s="1466"/>
      <c r="F21" s="1473"/>
      <c r="G21" s="1466">
        <v>45944.32</v>
      </c>
      <c r="H21" s="1466">
        <v>40797.42</v>
      </c>
      <c r="I21" s="1466"/>
      <c r="J21" s="1466"/>
      <c r="K21" s="1466"/>
      <c r="L21" s="1466"/>
      <c r="M21" s="1466"/>
      <c r="N21" s="1466"/>
      <c r="O21" s="1466"/>
      <c r="P21" s="1440"/>
    </row>
    <row r="22" spans="1:16" s="1441" customFormat="1" ht="35.1" customHeight="1">
      <c r="B22" s="1471" t="s">
        <v>86</v>
      </c>
      <c r="C22" s="1472"/>
      <c r="D22" s="1469"/>
      <c r="E22" s="1466"/>
      <c r="F22" s="1473"/>
      <c r="G22" s="1466"/>
      <c r="H22" s="1466"/>
      <c r="I22" s="1466"/>
      <c r="J22" s="1466"/>
      <c r="K22" s="1466"/>
      <c r="L22" s="1466"/>
      <c r="M22" s="1466"/>
      <c r="N22" s="1466"/>
      <c r="O22" s="1466"/>
      <c r="P22" s="1440"/>
    </row>
    <row r="23" spans="1:16" s="1441" customFormat="1" ht="35.1" customHeight="1">
      <c r="B23" s="1471" t="s">
        <v>87</v>
      </c>
      <c r="C23" s="1472"/>
      <c r="D23" s="1469"/>
      <c r="E23" s="1466"/>
      <c r="F23" s="1473"/>
      <c r="G23" s="1466"/>
      <c r="H23" s="1466"/>
      <c r="I23" s="1466"/>
      <c r="J23" s="1466"/>
      <c r="K23" s="1466"/>
      <c r="L23" s="1466"/>
      <c r="M23" s="1466"/>
      <c r="N23" s="1466"/>
      <c r="O23" s="1466"/>
      <c r="P23" s="1440"/>
    </row>
    <row r="24" spans="1:16" s="1449" customFormat="1" ht="35.1" customHeight="1">
      <c r="B24" s="1474" t="s">
        <v>75</v>
      </c>
      <c r="C24" s="1475"/>
      <c r="D24" s="1476"/>
      <c r="E24" s="1477"/>
      <c r="F24" s="1473"/>
      <c r="G24" s="1477">
        <f>SUM(G20:G23)</f>
        <v>45944.32</v>
      </c>
      <c r="H24" s="1477">
        <f>SUM(H20:H23)</f>
        <v>40797.42</v>
      </c>
      <c r="I24" s="1477">
        <f>SUM(I20:I23)</f>
        <v>0</v>
      </c>
      <c r="J24" s="1477"/>
      <c r="K24" s="1477"/>
      <c r="L24" s="1477"/>
      <c r="M24" s="1477"/>
      <c r="N24" s="1477"/>
      <c r="O24" s="1477"/>
      <c r="P24" s="1448"/>
    </row>
    <row r="25" spans="1:16" s="1441" customFormat="1" ht="73.5" customHeight="1">
      <c r="B25" s="1478"/>
      <c r="C25" s="1286"/>
      <c r="D25" s="1469"/>
      <c r="E25" s="1479"/>
      <c r="F25" s="1479"/>
      <c r="G25" s="1478"/>
      <c r="H25" s="1478"/>
      <c r="I25" s="1478"/>
      <c r="J25" s="1478"/>
      <c r="K25" s="1478"/>
      <c r="L25" s="1478"/>
      <c r="M25" s="1478"/>
      <c r="N25" s="1478"/>
      <c r="O25" s="1478"/>
      <c r="P25" s="1440"/>
    </row>
    <row r="26" spans="1:16" s="1441" customFormat="1" ht="35.1" customHeight="1">
      <c r="B26" s="1471" t="s">
        <v>76</v>
      </c>
      <c r="C26" s="1472"/>
      <c r="D26" s="1469"/>
      <c r="E26" s="1458"/>
      <c r="F26" s="1464"/>
      <c r="G26" s="1458"/>
      <c r="H26" s="1458"/>
      <c r="I26" s="1458"/>
      <c r="J26" s="1458"/>
      <c r="K26" s="1458"/>
      <c r="L26" s="1458"/>
      <c r="M26" s="1458"/>
      <c r="N26" s="1458"/>
      <c r="O26" s="1458"/>
      <c r="P26" s="1440"/>
    </row>
    <row r="27" spans="1:16" s="1441" customFormat="1" ht="35.1" customHeight="1">
      <c r="B27" s="1471" t="s">
        <v>134</v>
      </c>
      <c r="C27" s="1472"/>
      <c r="D27" s="1469"/>
      <c r="E27" s="1458"/>
      <c r="F27" s="1464"/>
      <c r="G27" s="1458">
        <v>48894.400000000001</v>
      </c>
      <c r="H27" s="1480">
        <f>263796.7+86422.61</f>
        <v>350219.31</v>
      </c>
      <c r="I27" s="1480">
        <v>28386</v>
      </c>
      <c r="J27" s="1458"/>
      <c r="K27" s="1458"/>
      <c r="L27" s="1458"/>
      <c r="M27" s="1458"/>
      <c r="N27" s="1458"/>
      <c r="O27" s="1458"/>
      <c r="P27" s="1440"/>
    </row>
    <row r="28" spans="1:16" s="1441" customFormat="1" ht="35.1" customHeight="1">
      <c r="B28" s="1471" t="s">
        <v>78</v>
      </c>
      <c r="C28" s="1472"/>
      <c r="D28" s="1469"/>
      <c r="E28" s="1458"/>
      <c r="F28" s="1464"/>
      <c r="G28" s="1458">
        <v>239241.38</v>
      </c>
      <c r="H28" s="1480">
        <v>-102943.19</v>
      </c>
      <c r="I28" s="1480"/>
      <c r="J28" s="1458"/>
      <c r="K28" s="1458"/>
      <c r="L28" s="1458"/>
      <c r="M28" s="1458"/>
      <c r="N28" s="1458"/>
      <c r="O28" s="1458"/>
      <c r="P28" s="1440"/>
    </row>
    <row r="29" spans="1:16" s="1449" customFormat="1" ht="35.1" customHeight="1">
      <c r="B29" s="1474" t="s">
        <v>79</v>
      </c>
      <c r="C29" s="1475"/>
      <c r="D29" s="1476"/>
      <c r="E29" s="1477"/>
      <c r="F29" s="1473"/>
      <c r="G29" s="1477">
        <f>SUM(G26:G28)</f>
        <v>288135.78000000003</v>
      </c>
      <c r="H29" s="1477">
        <f>SUM(H26:H28)</f>
        <v>247276.12</v>
      </c>
      <c r="I29" s="1477">
        <f>SUM(I26:I28)</f>
        <v>28386</v>
      </c>
      <c r="J29" s="1477"/>
      <c r="K29" s="1477"/>
      <c r="L29" s="1477"/>
      <c r="M29" s="1477"/>
      <c r="N29" s="1477"/>
      <c r="O29" s="1477"/>
      <c r="P29" s="1448"/>
    </row>
    <row r="30" spans="1:16" s="1441" customFormat="1" ht="73.5" customHeight="1">
      <c r="B30" s="1478"/>
      <c r="C30" s="1286"/>
      <c r="D30" s="1469"/>
      <c r="E30" s="1479"/>
      <c r="F30" s="1479"/>
      <c r="G30" s="1478"/>
      <c r="H30" s="1478"/>
      <c r="I30" s="1478"/>
      <c r="J30" s="1478"/>
      <c r="K30" s="1478"/>
      <c r="L30" s="1478"/>
      <c r="M30" s="1478"/>
      <c r="N30" s="1478"/>
      <c r="O30" s="1478"/>
      <c r="P30" s="1440"/>
    </row>
    <row r="31" spans="1:16" s="1441" customFormat="1" ht="35.1" customHeight="1">
      <c r="B31" s="1471" t="s">
        <v>362</v>
      </c>
      <c r="C31" s="1472"/>
      <c r="D31" s="1469"/>
      <c r="E31" s="1481"/>
      <c r="F31" s="1482"/>
      <c r="G31" s="1481"/>
      <c r="H31" s="1481"/>
      <c r="I31" s="1481"/>
      <c r="J31" s="1481"/>
      <c r="K31" s="1481"/>
      <c r="L31" s="1481"/>
      <c r="M31" s="1481"/>
      <c r="N31" s="1481"/>
      <c r="O31" s="1481"/>
      <c r="P31" s="1440"/>
    </row>
    <row r="32" spans="1:16" s="1441" customFormat="1" ht="35.1" customHeight="1">
      <c r="B32" s="1471" t="s">
        <v>90</v>
      </c>
      <c r="C32" s="1472"/>
      <c r="D32" s="1469"/>
      <c r="E32" s="1481"/>
      <c r="F32" s="1482"/>
      <c r="G32" s="1481"/>
      <c r="H32" s="1481"/>
      <c r="I32" s="1481"/>
      <c r="J32" s="1481"/>
      <c r="K32" s="1481"/>
      <c r="L32" s="1481"/>
      <c r="M32" s="1481"/>
      <c r="N32" s="1481"/>
      <c r="O32" s="1481"/>
      <c r="P32" s="1440"/>
    </row>
    <row r="33" spans="1:18" s="1441" customFormat="1" ht="35.1" customHeight="1">
      <c r="B33" s="1471" t="s">
        <v>372</v>
      </c>
      <c r="C33" s="1472"/>
      <c r="D33" s="1469"/>
      <c r="E33" s="1481"/>
      <c r="F33" s="1482"/>
      <c r="G33" s="1481"/>
      <c r="H33" s="1481"/>
      <c r="I33" s="1481"/>
      <c r="J33" s="1481"/>
      <c r="K33" s="1481"/>
      <c r="L33" s="1481"/>
      <c r="M33" s="1481"/>
      <c r="N33" s="1481"/>
      <c r="O33" s="1481"/>
      <c r="P33" s="1440"/>
    </row>
    <row r="34" spans="1:18" s="1441" customFormat="1" ht="35.1" customHeight="1">
      <c r="B34" s="1471" t="s">
        <v>80</v>
      </c>
      <c r="C34" s="1472"/>
      <c r="D34" s="1469"/>
      <c r="E34" s="1481"/>
      <c r="F34" s="1482"/>
      <c r="G34" s="1481"/>
      <c r="H34" s="1481"/>
      <c r="I34" s="1481"/>
      <c r="J34" s="1481"/>
      <c r="K34" s="1481"/>
      <c r="L34" s="1481"/>
      <c r="M34" s="1481"/>
      <c r="N34" s="1481"/>
      <c r="O34" s="1481"/>
      <c r="P34" s="1440"/>
    </row>
    <row r="35" spans="1:18" s="1441" customFormat="1" ht="35.1" customHeight="1">
      <c r="B35" s="1471" t="s">
        <v>1014</v>
      </c>
      <c r="C35" s="1472"/>
      <c r="D35" s="1469"/>
      <c r="E35" s="1481"/>
      <c r="F35" s="1482"/>
      <c r="G35" s="1481"/>
      <c r="H35" s="1481"/>
      <c r="I35" s="1481"/>
      <c r="J35" s="1481"/>
      <c r="K35" s="1481"/>
      <c r="L35" s="1481"/>
      <c r="M35" s="1481"/>
      <c r="N35" s="1481"/>
      <c r="O35" s="1481"/>
      <c r="P35" s="1440"/>
    </row>
    <row r="36" spans="1:18" s="1441" customFormat="1" ht="35.1" customHeight="1">
      <c r="B36" s="1471" t="s">
        <v>91</v>
      </c>
      <c r="C36" s="1472"/>
      <c r="D36" s="1469"/>
      <c r="E36" s="1481"/>
      <c r="F36" s="1482"/>
      <c r="G36" s="1481"/>
      <c r="H36" s="1481"/>
      <c r="I36" s="1481"/>
      <c r="J36" s="1481"/>
      <c r="K36" s="1481"/>
      <c r="L36" s="1481"/>
      <c r="M36" s="1481"/>
      <c r="N36" s="1481"/>
      <c r="O36" s="1481"/>
      <c r="P36" s="1440"/>
    </row>
    <row r="37" spans="1:18" s="1441" customFormat="1" ht="35.1" customHeight="1">
      <c r="B37" s="1471" t="s">
        <v>88</v>
      </c>
      <c r="C37" s="1472"/>
      <c r="D37" s="1469"/>
      <c r="E37" s="1481"/>
      <c r="F37" s="1482"/>
      <c r="G37" s="1481"/>
      <c r="H37" s="1481"/>
      <c r="I37" s="1481"/>
      <c r="J37" s="1481"/>
      <c r="K37" s="1481"/>
      <c r="L37" s="1481"/>
      <c r="M37" s="1481"/>
      <c r="N37" s="1481"/>
      <c r="O37" s="1481"/>
      <c r="P37" s="1440"/>
    </row>
    <row r="38" spans="1:18" s="1441" customFormat="1" ht="35.1" customHeight="1">
      <c r="B38" s="1471" t="s">
        <v>1015</v>
      </c>
      <c r="C38" s="1472"/>
      <c r="D38" s="1469"/>
      <c r="E38" s="1481"/>
      <c r="F38" s="1482"/>
      <c r="G38" s="1481"/>
      <c r="H38" s="1481"/>
      <c r="I38" s="1481"/>
      <c r="J38" s="1481"/>
      <c r="K38" s="1481"/>
      <c r="L38" s="1481"/>
      <c r="M38" s="1481"/>
      <c r="N38" s="1481"/>
      <c r="O38" s="1481"/>
      <c r="P38" s="1440"/>
    </row>
    <row r="39" spans="1:18" s="1441" customFormat="1" ht="35.1" customHeight="1">
      <c r="B39" s="1471" t="s">
        <v>92</v>
      </c>
      <c r="C39" s="1472"/>
      <c r="D39" s="1469"/>
      <c r="E39" s="1481"/>
      <c r="F39" s="1482"/>
      <c r="G39" s="1481"/>
      <c r="H39" s="1481"/>
      <c r="I39" s="1481"/>
      <c r="J39" s="1481"/>
      <c r="K39" s="1481"/>
      <c r="L39" s="1481"/>
      <c r="M39" s="1481"/>
      <c r="N39" s="1481"/>
      <c r="O39" s="1481"/>
      <c r="P39" s="1440"/>
    </row>
    <row r="40" spans="1:18" s="1441" customFormat="1" ht="35.1" customHeight="1">
      <c r="B40" s="1471" t="s">
        <v>1016</v>
      </c>
      <c r="C40" s="1472"/>
      <c r="D40" s="1469"/>
      <c r="E40" s="1481"/>
      <c r="F40" s="1482"/>
      <c r="G40" s="1481"/>
      <c r="H40" s="1481"/>
      <c r="I40" s="1481"/>
      <c r="J40" s="1481"/>
      <c r="K40" s="1481"/>
      <c r="L40" s="1481"/>
      <c r="M40" s="1481"/>
      <c r="N40" s="1481"/>
      <c r="O40" s="1481"/>
      <c r="P40" s="1440"/>
    </row>
    <row r="41" spans="1:18" s="1441" customFormat="1" ht="35.1" customHeight="1">
      <c r="B41" s="1471" t="s">
        <v>93</v>
      </c>
      <c r="C41" s="1472"/>
      <c r="D41" s="1469"/>
      <c r="E41" s="1481"/>
      <c r="F41" s="1482"/>
      <c r="G41" s="1481"/>
      <c r="H41" s="1481"/>
      <c r="I41" s="1481"/>
      <c r="J41" s="1481"/>
      <c r="K41" s="1481"/>
      <c r="L41" s="1481"/>
      <c r="M41" s="1481"/>
      <c r="N41" s="1481"/>
      <c r="O41" s="1481"/>
      <c r="P41" s="1440"/>
    </row>
    <row r="42" spans="1:18" s="1441" customFormat="1" ht="35.1" customHeight="1">
      <c r="B42" s="1471" t="s">
        <v>978</v>
      </c>
      <c r="C42" s="1472"/>
      <c r="D42" s="1469"/>
      <c r="E42" s="1481"/>
      <c r="F42" s="1482"/>
      <c r="G42" s="1481"/>
      <c r="H42" s="1481"/>
      <c r="I42" s="1481"/>
      <c r="J42" s="1481"/>
      <c r="K42" s="1481"/>
      <c r="L42" s="1481"/>
      <c r="M42" s="1481"/>
      <c r="N42" s="1481"/>
      <c r="O42" s="1481"/>
      <c r="P42" s="1440"/>
    </row>
    <row r="43" spans="1:18" s="1449" customFormat="1" ht="35.1" customHeight="1">
      <c r="B43" s="1474" t="s">
        <v>325</v>
      </c>
      <c r="C43" s="1475"/>
      <c r="D43" s="1476"/>
      <c r="E43" s="1477"/>
      <c r="F43" s="1473"/>
      <c r="G43" s="1477">
        <f ca="1">SUM(INDIRECT(ADDRESS(31,COLUMN())):INDIRECT(ADDRESS(ROW()-1,COLUMN(),)))</f>
        <v>0</v>
      </c>
      <c r="H43" s="1477">
        <f ca="1">SUM(INDIRECT(ADDRESS(31,COLUMN())):INDIRECT(ADDRESS(ROW()-1,COLUMN(),)))</f>
        <v>0</v>
      </c>
      <c r="I43" s="1477">
        <f ca="1">SUM(INDIRECT(ADDRESS(31,COLUMN())):INDIRECT(ADDRESS(ROW()-1,COLUMN(),)))</f>
        <v>0</v>
      </c>
      <c r="J43" s="1477">
        <f ca="1">SUM(INDIRECT(ADDRESS(31,COLUMN())):INDIRECT(ADDRESS(ROW()-1,COLUMN(),)))</f>
        <v>0</v>
      </c>
      <c r="K43" s="1477">
        <f ca="1">SUM(INDIRECT(ADDRESS(31,COLUMN())):INDIRECT(ADDRESS(ROW()-1,COLUMN(),)))</f>
        <v>0</v>
      </c>
      <c r="L43" s="1477">
        <f ca="1">SUM(INDIRECT(ADDRESS(31,COLUMN())):INDIRECT(ADDRESS(ROW()-1,COLUMN(),)))</f>
        <v>0</v>
      </c>
      <c r="M43" s="1477">
        <f ca="1">SUM(INDIRECT(ADDRESS(31,COLUMN())):INDIRECT(ADDRESS(ROW()-1,COLUMN(),)))</f>
        <v>0</v>
      </c>
      <c r="N43" s="1477">
        <f ca="1">SUM(INDIRECT(ADDRESS(31,COLUMN())):INDIRECT(ADDRESS(ROW()-1,COLUMN(),)))</f>
        <v>0</v>
      </c>
      <c r="O43" s="1477">
        <f ca="1">SUM(INDIRECT(ADDRESS(31,COLUMN())):INDIRECT(ADDRESS(ROW()-1,COLUMN(),)))</f>
        <v>0</v>
      </c>
      <c r="P43" s="1448"/>
      <c r="R43" s="1441"/>
    </row>
    <row r="44" spans="1:18" s="1451" customFormat="1" ht="34.5" customHeight="1">
      <c r="B44" s="1483"/>
      <c r="C44" s="1483"/>
      <c r="D44" s="1484"/>
      <c r="E44" s="1485"/>
      <c r="F44" s="1485"/>
      <c r="G44" s="1484"/>
      <c r="H44" s="1484"/>
      <c r="I44" s="1484"/>
      <c r="J44" s="1484"/>
      <c r="K44" s="1484"/>
      <c r="L44" s="1484"/>
      <c r="M44" s="1484"/>
      <c r="N44" s="1484"/>
      <c r="O44" s="1484"/>
      <c r="P44" s="1450"/>
    </row>
    <row r="45" spans="1:18" s="1449" customFormat="1" ht="35.1" customHeight="1">
      <c r="A45" s="23"/>
      <c r="B45" s="1003" t="s">
        <v>68</v>
      </c>
      <c r="C45" s="1004"/>
      <c r="D45" s="1002"/>
      <c r="E45" s="997"/>
      <c r="F45" s="998"/>
      <c r="G45" s="997">
        <f t="shared" ref="G45:O45" ca="1" si="1">G43+G29+G24</f>
        <v>334080.10000000003</v>
      </c>
      <c r="H45" s="997">
        <f t="shared" ca="1" si="1"/>
        <v>288073.53999999998</v>
      </c>
      <c r="I45" s="997">
        <f t="shared" ca="1" si="1"/>
        <v>28386</v>
      </c>
      <c r="J45" s="997">
        <f t="shared" ca="1" si="1"/>
        <v>0</v>
      </c>
      <c r="K45" s="997">
        <f t="shared" ca="1" si="1"/>
        <v>0</v>
      </c>
      <c r="L45" s="997">
        <f t="shared" ca="1" si="1"/>
        <v>0</v>
      </c>
      <c r="M45" s="997">
        <f t="shared" ca="1" si="1"/>
        <v>0</v>
      </c>
      <c r="N45" s="997">
        <f t="shared" ca="1" si="1"/>
        <v>0</v>
      </c>
      <c r="O45" s="997">
        <f t="shared" ca="1" si="1"/>
        <v>0</v>
      </c>
      <c r="P45" s="1448"/>
    </row>
    <row r="46" spans="1:18" s="1441" customFormat="1" ht="49.5" customHeight="1">
      <c r="B46" s="1478"/>
      <c r="C46" s="1286"/>
      <c r="D46" s="1469"/>
      <c r="E46" s="1479"/>
      <c r="F46" s="1479"/>
      <c r="G46" s="1478"/>
      <c r="H46" s="1478"/>
      <c r="I46" s="1478"/>
      <c r="J46" s="1478"/>
      <c r="K46" s="1478"/>
      <c r="L46" s="1478"/>
      <c r="M46" s="1478"/>
      <c r="N46" s="1478"/>
      <c r="O46" s="1478"/>
      <c r="P46" s="1440"/>
    </row>
    <row r="47" spans="1:18" s="1449" customFormat="1" ht="35.1" customHeight="1">
      <c r="A47" s="23"/>
      <c r="B47" s="1003" t="s">
        <v>96</v>
      </c>
      <c r="C47" s="1004"/>
      <c r="D47" s="1002"/>
      <c r="E47" s="997"/>
      <c r="F47" s="998"/>
      <c r="G47" s="997">
        <f>G17*SUM(CHAPEAU!$E$22:$E$27)</f>
        <v>39892.9</v>
      </c>
      <c r="H47" s="997">
        <f>H17*SUM(CHAPEAU!$E$22:$E$27)</f>
        <v>34399.202000000005</v>
      </c>
      <c r="I47" s="997">
        <f>I17*SUM(CHAPEAU!$E$22:$E$27)</f>
        <v>3389.5921000000003</v>
      </c>
      <c r="J47" s="997">
        <f>J17*SUM(CHAPEAU!$E$22:$E$27)</f>
        <v>11484.971337000001</v>
      </c>
      <c r="K47" s="997">
        <f>K17*SUM(CHAPEAU!$E$22:$E$27)</f>
        <v>7307.0314000000008</v>
      </c>
      <c r="L47" s="997">
        <f>L17*SUM(CHAPEAU!$E$22:$E$27)</f>
        <v>4870.5209000000004</v>
      </c>
      <c r="M47" s="997">
        <f>M17*SUM(CHAPEAU!$E$22:$E$27)</f>
        <v>52068.987024000002</v>
      </c>
      <c r="N47" s="997">
        <f>N17*SUM(CHAPEAU!$E$22:$E$27)</f>
        <v>0</v>
      </c>
      <c r="O47" s="997">
        <f>O17*SUM(CHAPEAU!$E$22:$E$27)</f>
        <v>0</v>
      </c>
      <c r="P47" s="1448"/>
    </row>
    <row r="48" spans="1:18" s="1441" customFormat="1" ht="69" customHeight="1">
      <c r="B48" s="1478"/>
      <c r="C48" s="1286"/>
      <c r="D48" s="1469"/>
      <c r="E48" s="1479"/>
      <c r="F48" s="1479"/>
      <c r="G48" s="1478"/>
      <c r="H48" s="1478"/>
      <c r="I48" s="1478"/>
      <c r="J48" s="1478"/>
      <c r="K48" s="1478"/>
      <c r="L48" s="1478"/>
      <c r="M48" s="1478"/>
      <c r="N48" s="1478"/>
      <c r="O48" s="1478"/>
      <c r="P48" s="1440"/>
    </row>
    <row r="49" spans="1:16" s="1449" customFormat="1" ht="34.5" customHeight="1">
      <c r="A49" s="23"/>
      <c r="B49" s="1003" t="s">
        <v>135</v>
      </c>
      <c r="C49" s="1004"/>
      <c r="D49" s="1002"/>
      <c r="E49" s="997">
        <f ca="1">SUM(G49:O49)</f>
        <v>607392.18523900001</v>
      </c>
      <c r="F49" s="998"/>
      <c r="G49" s="997">
        <f t="shared" ref="G49:O49" ca="1" si="2">G17-G45-G47</f>
        <v>-6973.0000000000364</v>
      </c>
      <c r="H49" s="997">
        <f t="shared" ca="1" si="2"/>
        <v>-6012.7419999999838</v>
      </c>
      <c r="I49" s="997">
        <f t="shared" ca="1" si="2"/>
        <v>-592.5921000000003</v>
      </c>
      <c r="J49" s="997">
        <f t="shared" ca="1" si="2"/>
        <v>94172.538662999999</v>
      </c>
      <c r="K49" s="997">
        <f t="shared" ca="1" si="2"/>
        <v>59914.9686</v>
      </c>
      <c r="L49" s="997">
        <f t="shared" ca="1" si="2"/>
        <v>39936.479099999997</v>
      </c>
      <c r="M49" s="997">
        <f t="shared" ca="1" si="2"/>
        <v>426946.53297599999</v>
      </c>
      <c r="N49" s="997">
        <f t="shared" ca="1" si="2"/>
        <v>0</v>
      </c>
      <c r="O49" s="997">
        <f t="shared" ca="1" si="2"/>
        <v>0</v>
      </c>
      <c r="P49" s="1448"/>
    </row>
    <row r="50" spans="1:16" s="1449" customFormat="1" ht="35.1" customHeight="1">
      <c r="B50" s="1474" t="s">
        <v>136</v>
      </c>
      <c r="C50" s="1475"/>
      <c r="D50" s="1476"/>
      <c r="E50" s="1486">
        <f ca="1">IF(E17=0,0,E49/E17)</f>
        <v>0.43036406571609209</v>
      </c>
      <c r="F50" s="1487"/>
      <c r="G50" s="1486">
        <f t="shared" ref="G50:O50" ca="1" si="3">IF(G17=0,0,G49/G17)</f>
        <v>-1.90000000000001E-2</v>
      </c>
      <c r="H50" s="1486">
        <f t="shared" ca="1" si="3"/>
        <v>-1.9000006319913998E-2</v>
      </c>
      <c r="I50" s="1486">
        <f t="shared" ca="1" si="3"/>
        <v>-1.9003691113747886E-2</v>
      </c>
      <c r="J50" s="1488">
        <f t="shared" ca="1" si="3"/>
        <v>0.89130000000000009</v>
      </c>
      <c r="K50" s="1488">
        <f t="shared" ca="1" si="3"/>
        <v>0.89129999999999998</v>
      </c>
      <c r="L50" s="1488">
        <f t="shared" ca="1" si="3"/>
        <v>0.89129999999999998</v>
      </c>
      <c r="M50" s="1488">
        <f t="shared" ca="1" si="3"/>
        <v>0.89129999999999998</v>
      </c>
      <c r="N50" s="1488">
        <f t="shared" si="3"/>
        <v>0</v>
      </c>
      <c r="O50" s="1488">
        <f t="shared" si="3"/>
        <v>0</v>
      </c>
      <c r="P50" s="1448"/>
    </row>
    <row r="51" spans="1:16" s="1449" customFormat="1" ht="35.1" customHeight="1">
      <c r="B51" s="1474" t="s">
        <v>137</v>
      </c>
      <c r="C51" s="1475"/>
      <c r="D51" s="1476"/>
      <c r="E51" s="1477">
        <f>SUM(G51:O51)</f>
        <v>0</v>
      </c>
      <c r="F51" s="1473"/>
      <c r="G51" s="1477">
        <v>0</v>
      </c>
      <c r="H51" s="1477"/>
      <c r="I51" s="1477">
        <v>0</v>
      </c>
      <c r="J51" s="1477">
        <v>0</v>
      </c>
      <c r="K51" s="1477">
        <v>0</v>
      </c>
      <c r="L51" s="1477">
        <v>0</v>
      </c>
      <c r="M51" s="1477">
        <v>0</v>
      </c>
      <c r="N51" s="1477">
        <v>0</v>
      </c>
      <c r="O51" s="1477">
        <v>0</v>
      </c>
      <c r="P51" s="1448"/>
    </row>
  </sheetData>
  <sheetProtection sheet="1" objects="1" scenarios="1"/>
  <mergeCells count="5">
    <mergeCell ref="D3:K3"/>
    <mergeCell ref="D6:K6"/>
    <mergeCell ref="D7:K7"/>
    <mergeCell ref="B10:O10"/>
    <mergeCell ref="B11:O1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N49"/>
  <sheetViews>
    <sheetView showGridLines="0" topLeftCell="A19" zoomScale="70" zoomScaleNormal="70" zoomScalePageLayoutView="70" workbookViewId="0">
      <selection activeCell="E31" sqref="E31:N31"/>
    </sheetView>
  </sheetViews>
  <sheetFormatPr baseColWidth="10" defaultColWidth="10.85546875" defaultRowHeight="15"/>
  <cols>
    <col min="1" max="1" width="10.7109375" style="178" customWidth="1"/>
    <col min="2" max="2" width="21.7109375" style="1322" customWidth="1"/>
    <col min="3" max="3" width="34.85546875" style="1322" customWidth="1"/>
    <col min="4" max="4" width="20.7109375" style="1322" customWidth="1"/>
    <col min="5" max="10" width="11.42578125" style="1322" customWidth="1"/>
    <col min="11" max="11" width="25.7109375" style="1322" customWidth="1"/>
    <col min="12" max="12" width="5.7109375" style="1322" customWidth="1"/>
    <col min="13" max="13" width="22.85546875" style="1322" customWidth="1"/>
    <col min="14" max="14" width="2.7109375" style="1322" customWidth="1"/>
    <col min="15" max="16384" width="10.85546875" style="178"/>
  </cols>
  <sheetData>
    <row r="1" spans="1:14" ht="19.5" customHeight="1" thickBot="1"/>
    <row r="2" spans="1:14" ht="29.25" customHeight="1" thickTop="1">
      <c r="B2" s="1422"/>
      <c r="C2" s="1495"/>
      <c r="D2" s="1424"/>
      <c r="E2" s="1424"/>
      <c r="F2" s="1424"/>
      <c r="G2" s="1424"/>
      <c r="H2" s="1424"/>
      <c r="I2" s="1424"/>
      <c r="J2" s="1424"/>
      <c r="K2" s="1496" t="s">
        <v>19</v>
      </c>
      <c r="L2" s="1424"/>
      <c r="M2" s="1497">
        <f>SYNTHESE!N2</f>
        <v>42736</v>
      </c>
      <c r="N2" s="1498"/>
    </row>
    <row r="3" spans="1:14" ht="29.25" customHeight="1">
      <c r="B3" s="1426"/>
      <c r="C3" s="1499"/>
      <c r="D3" s="1999" t="s">
        <v>15</v>
      </c>
      <c r="E3" s="2000"/>
      <c r="F3" s="2000"/>
      <c r="G3" s="2000"/>
      <c r="H3" s="2000"/>
      <c r="I3" s="2000"/>
      <c r="J3" s="2001"/>
      <c r="K3" s="1500" t="s">
        <v>20</v>
      </c>
      <c r="L3" s="1429"/>
      <c r="M3" s="1501" t="str">
        <f>SYNTHESE!N3</f>
        <v>Dirhams</v>
      </c>
      <c r="N3" s="1502"/>
    </row>
    <row r="4" spans="1:14" ht="29.25" customHeight="1">
      <c r="B4" s="1426"/>
      <c r="C4" s="1503" t="str">
        <f>SYNTHESE!D4</f>
        <v>POINT 50%</v>
      </c>
      <c r="D4" s="1429"/>
      <c r="E4" s="1429"/>
      <c r="F4" s="1429"/>
      <c r="G4" s="1429"/>
      <c r="H4" s="1429"/>
      <c r="I4" s="1429"/>
      <c r="J4" s="1429"/>
      <c r="K4" s="1500" t="s">
        <v>22</v>
      </c>
      <c r="L4" s="1429"/>
      <c r="M4" s="1501" t="str">
        <f>SYNTHESE!N4</f>
        <v>1 € = 10,85dh</v>
      </c>
      <c r="N4" s="1502"/>
    </row>
    <row r="5" spans="1:14" ht="29.25" customHeight="1">
      <c r="B5" s="1426"/>
      <c r="C5" s="1499"/>
      <c r="D5" s="1429"/>
      <c r="E5" s="1429"/>
      <c r="F5" s="1429"/>
      <c r="G5" s="1429"/>
      <c r="H5" s="1429"/>
      <c r="I5" s="1429"/>
      <c r="J5" s="1429"/>
      <c r="K5" s="1500" t="s">
        <v>23</v>
      </c>
      <c r="L5" s="1429"/>
      <c r="M5" s="1504">
        <f>SYNTHESE!M5</f>
        <v>42289</v>
      </c>
      <c r="N5" s="1502"/>
    </row>
    <row r="6" spans="1:14" ht="29.25" customHeight="1">
      <c r="B6" s="1426"/>
      <c r="C6" s="1499"/>
      <c r="D6" s="1999" t="str">
        <f>SYNTHESE!E6</f>
        <v xml:space="preserve">LES FAUBOURGS D'ANFA </v>
      </c>
      <c r="E6" s="2000"/>
      <c r="F6" s="2000"/>
      <c r="G6" s="2000"/>
      <c r="H6" s="2000"/>
      <c r="I6" s="2000"/>
      <c r="J6" s="2001"/>
      <c r="K6" s="1500" t="s">
        <v>24</v>
      </c>
      <c r="L6" s="1429"/>
      <c r="M6" s="1501" t="str">
        <f>SYNTHESE!N6</f>
        <v>26 mois</v>
      </c>
      <c r="N6" s="1502"/>
    </row>
    <row r="7" spans="1:14" ht="29.25" customHeight="1">
      <c r="B7" s="1426"/>
      <c r="C7" s="1505">
        <f>SYNTHESE!D7</f>
        <v>42800</v>
      </c>
      <c r="D7" s="1999" t="str">
        <f>SYNTHESE!E7</f>
        <v>CASABLANCA</v>
      </c>
      <c r="E7" s="2000"/>
      <c r="F7" s="2000"/>
      <c r="G7" s="2000"/>
      <c r="H7" s="2000"/>
      <c r="I7" s="2000"/>
      <c r="J7" s="2001"/>
      <c r="K7" s="1500" t="s">
        <v>26</v>
      </c>
      <c r="L7" s="1429"/>
      <c r="M7" s="1501" t="str">
        <f>SYNTHESE!N7</f>
        <v>4783m² SHO</v>
      </c>
      <c r="N7" s="1502"/>
    </row>
    <row r="8" spans="1:14" ht="29.25" customHeight="1" thickBot="1">
      <c r="B8" s="1434"/>
      <c r="C8" s="1506"/>
      <c r="D8" s="1436"/>
      <c r="E8" s="1436"/>
      <c r="F8" s="1436"/>
      <c r="G8" s="1436"/>
      <c r="H8" s="1436"/>
      <c r="I8" s="1436"/>
      <c r="J8" s="1436"/>
      <c r="K8" s="1507" t="s">
        <v>28</v>
      </c>
      <c r="L8" s="1436"/>
      <c r="M8" s="1508"/>
      <c r="N8" s="1509"/>
    </row>
    <row r="9" spans="1:14" s="1439" customFormat="1" ht="43.5" customHeight="1" thickTop="1">
      <c r="B9" s="1510"/>
      <c r="C9" s="1510"/>
      <c r="D9" s="1511"/>
      <c r="E9" s="1510"/>
      <c r="F9" s="1510"/>
      <c r="G9" s="1510"/>
      <c r="H9" s="1512"/>
      <c r="I9" s="1510"/>
      <c r="J9" s="1512"/>
      <c r="K9" s="1513"/>
      <c r="L9" s="1514"/>
      <c r="M9" s="1513"/>
      <c r="N9" s="1510"/>
    </row>
    <row r="10" spans="1:14" s="1251" customFormat="1" ht="40.5" customHeight="1">
      <c r="A10" s="12"/>
      <c r="B10" s="2002" t="s">
        <v>147</v>
      </c>
      <c r="C10" s="2003"/>
      <c r="D10" s="2003"/>
      <c r="E10" s="2003"/>
      <c r="F10" s="2003"/>
      <c r="G10" s="2003"/>
      <c r="H10" s="2003"/>
      <c r="I10" s="2003"/>
      <c r="J10" s="2003"/>
      <c r="K10" s="2003"/>
      <c r="L10" s="2003"/>
      <c r="M10" s="2003"/>
      <c r="N10" s="2004"/>
    </row>
    <row r="11" spans="1:14" s="1439" customFormat="1" ht="38.25" customHeight="1">
      <c r="A11" s="1515"/>
      <c r="B11" s="2005" t="s">
        <v>1</v>
      </c>
      <c r="C11" s="2005"/>
      <c r="D11" s="2005"/>
      <c r="E11" s="2005"/>
      <c r="F11" s="2005"/>
      <c r="G11" s="2005"/>
      <c r="H11" s="2005"/>
      <c r="I11" s="2005"/>
      <c r="J11" s="2005"/>
      <c r="K11" s="2005"/>
      <c r="L11" s="2005"/>
      <c r="M11" s="2005"/>
      <c r="N11" s="2005"/>
    </row>
    <row r="12" spans="1:14" s="1489" customFormat="1" ht="39" customHeight="1">
      <c r="A12" s="1439"/>
      <c r="B12" s="1516"/>
      <c r="C12" s="1516"/>
      <c r="D12" s="1517"/>
      <c r="E12" s="1510"/>
      <c r="F12" s="1510"/>
      <c r="G12" s="1510"/>
      <c r="H12" s="1512"/>
      <c r="I12" s="1510"/>
      <c r="J12" s="1512"/>
      <c r="K12" s="1513"/>
      <c r="L12" s="1514"/>
      <c r="M12" s="1513"/>
      <c r="N12" s="1510"/>
    </row>
    <row r="13" spans="1:14" s="1439" customFormat="1" ht="37.5" customHeight="1">
      <c r="A13" s="24"/>
      <c r="B13" s="2006" t="s">
        <v>148</v>
      </c>
      <c r="C13" s="2007"/>
      <c r="D13" s="1095" t="s">
        <v>41</v>
      </c>
      <c r="E13" s="2008" t="s">
        <v>149</v>
      </c>
      <c r="F13" s="2009"/>
      <c r="G13" s="2009"/>
      <c r="H13" s="2009"/>
      <c r="I13" s="2009"/>
      <c r="J13" s="2009"/>
      <c r="K13" s="2009"/>
      <c r="L13" s="2009"/>
      <c r="M13" s="2009"/>
      <c r="N13" s="2010"/>
    </row>
    <row r="14" spans="1:14" s="1439" customFormat="1" ht="16.5">
      <c r="B14" s="1518"/>
      <c r="C14" s="1518"/>
      <c r="D14" s="1519"/>
      <c r="E14" s="1520"/>
      <c r="F14" s="1520"/>
      <c r="G14" s="1520"/>
      <c r="H14" s="1520"/>
      <c r="I14" s="1520"/>
      <c r="J14" s="1520"/>
      <c r="K14" s="1520"/>
      <c r="L14" s="1520"/>
      <c r="M14" s="1520"/>
      <c r="N14" s="1520"/>
    </row>
    <row r="15" spans="1:14" s="1489" customFormat="1" ht="24.75" customHeight="1">
      <c r="A15" s="1439"/>
      <c r="B15" s="1510"/>
      <c r="C15" s="1510"/>
      <c r="D15" s="1511"/>
      <c r="E15" s="1510"/>
      <c r="F15" s="1510"/>
      <c r="G15" s="1510"/>
      <c r="H15" s="1512"/>
      <c r="I15" s="1510"/>
      <c r="J15" s="1512"/>
      <c r="K15" s="1513"/>
      <c r="L15" s="1514"/>
      <c r="M15" s="1513"/>
      <c r="N15" s="1510"/>
    </row>
    <row r="16" spans="1:14" s="1489" customFormat="1" ht="39.75" customHeight="1">
      <c r="B16" s="1521" t="s">
        <v>74</v>
      </c>
      <c r="C16" s="1522"/>
      <c r="D16" s="1523">
        <f>DCH!P16</f>
        <v>46815171.465049997</v>
      </c>
      <c r="E16" s="2011"/>
      <c r="F16" s="2012"/>
      <c r="G16" s="2012"/>
      <c r="H16" s="2012"/>
      <c r="I16" s="2012"/>
      <c r="J16" s="2012"/>
      <c r="K16" s="2012"/>
      <c r="L16" s="2012"/>
      <c r="M16" s="2012"/>
      <c r="N16" s="2013"/>
    </row>
    <row r="17" spans="1:14" s="1489" customFormat="1" ht="39.75" customHeight="1">
      <c r="B17" s="1521" t="s">
        <v>85</v>
      </c>
      <c r="C17" s="1522"/>
      <c r="D17" s="1523">
        <f>DCH!P17</f>
        <v>-80375754.666890055</v>
      </c>
      <c r="E17" s="2011"/>
      <c r="F17" s="2012"/>
      <c r="G17" s="2012"/>
      <c r="H17" s="2012"/>
      <c r="I17" s="2012"/>
      <c r="J17" s="2012"/>
      <c r="K17" s="2012"/>
      <c r="L17" s="2012"/>
      <c r="M17" s="2012"/>
      <c r="N17" s="2013"/>
    </row>
    <row r="18" spans="1:14" s="1489" customFormat="1" ht="39.75" customHeight="1">
      <c r="B18" s="1521" t="s">
        <v>86</v>
      </c>
      <c r="C18" s="1522"/>
      <c r="D18" s="1523">
        <f>DCH!P18</f>
        <v>-6362036.2971169502</v>
      </c>
      <c r="E18" s="2011"/>
      <c r="F18" s="2012"/>
      <c r="G18" s="2012"/>
      <c r="H18" s="2012"/>
      <c r="I18" s="2012"/>
      <c r="J18" s="2012"/>
      <c r="K18" s="2012"/>
      <c r="L18" s="2012"/>
      <c r="M18" s="2012"/>
      <c r="N18" s="2013"/>
    </row>
    <row r="19" spans="1:14" s="1490" customFormat="1" ht="39.75" customHeight="1">
      <c r="A19" s="1489"/>
      <c r="B19" s="1521" t="s">
        <v>87</v>
      </c>
      <c r="C19" s="1522"/>
      <c r="D19" s="1523">
        <f>DCH!P19</f>
        <v>2787376.5499999989</v>
      </c>
      <c r="E19" s="2011"/>
      <c r="F19" s="2012"/>
      <c r="G19" s="2012"/>
      <c r="H19" s="2012"/>
      <c r="I19" s="2012"/>
      <c r="J19" s="2012"/>
      <c r="K19" s="2012"/>
      <c r="L19" s="2012"/>
      <c r="M19" s="2012"/>
      <c r="N19" s="2013"/>
    </row>
    <row r="20" spans="1:14" s="1491" customFormat="1" ht="39.75" customHeight="1">
      <c r="A20" s="1490"/>
      <c r="B20" s="1524" t="s">
        <v>75</v>
      </c>
      <c r="C20" s="1525"/>
      <c r="D20" s="1526">
        <f>SUM(D16:D19)</f>
        <v>-37135242.948957011</v>
      </c>
      <c r="E20" s="2012"/>
      <c r="F20" s="2012"/>
      <c r="G20" s="2012"/>
      <c r="H20" s="2012"/>
      <c r="I20" s="2012"/>
      <c r="J20" s="2012"/>
      <c r="K20" s="2012"/>
      <c r="L20" s="2012"/>
      <c r="M20" s="2012"/>
      <c r="N20" s="2013"/>
    </row>
    <row r="21" spans="1:14" s="1491" customFormat="1" ht="21.75" customHeight="1">
      <c r="A21" s="1490"/>
      <c r="B21" s="1527"/>
      <c r="C21" s="1528"/>
      <c r="D21" s="1528"/>
      <c r="E21" s="1529"/>
      <c r="F21" s="1529"/>
      <c r="G21" s="1529"/>
      <c r="H21" s="1529"/>
      <c r="I21" s="1529"/>
      <c r="J21" s="1529"/>
      <c r="K21" s="1529"/>
      <c r="L21" s="1529"/>
      <c r="M21" s="1529"/>
      <c r="N21" s="1529"/>
    </row>
    <row r="22" spans="1:14" s="1491" customFormat="1" ht="21.75" customHeight="1">
      <c r="B22" s="1530"/>
      <c r="C22" s="1531"/>
      <c r="D22" s="1532"/>
      <c r="E22" s="1529"/>
      <c r="F22" s="1529"/>
      <c r="G22" s="1529"/>
      <c r="H22" s="1529"/>
      <c r="I22" s="1529"/>
      <c r="J22" s="1529"/>
      <c r="K22" s="1529"/>
      <c r="L22" s="1529"/>
      <c r="M22" s="1529"/>
      <c r="N22" s="1529"/>
    </row>
    <row r="23" spans="1:14" s="1489" customFormat="1" ht="40.5" customHeight="1">
      <c r="B23" s="1521" t="s">
        <v>76</v>
      </c>
      <c r="C23" s="1522"/>
      <c r="D23" s="1523">
        <f>DCH!P23</f>
        <v>-2841331.4700000007</v>
      </c>
      <c r="E23" s="2011" t="s">
        <v>150</v>
      </c>
      <c r="F23" s="2012"/>
      <c r="G23" s="2012"/>
      <c r="H23" s="2012"/>
      <c r="I23" s="2012"/>
      <c r="J23" s="2012"/>
      <c r="K23" s="2012"/>
      <c r="L23" s="2012"/>
      <c r="M23" s="2012"/>
      <c r="N23" s="2013"/>
    </row>
    <row r="24" spans="1:14" s="1489" customFormat="1" ht="40.5" customHeight="1">
      <c r="B24" s="1521" t="s">
        <v>77</v>
      </c>
      <c r="C24" s="1522"/>
      <c r="D24" s="1523">
        <f>DCH!P24</f>
        <v>23766000</v>
      </c>
      <c r="E24" s="2011" t="s">
        <v>151</v>
      </c>
      <c r="F24" s="2012"/>
      <c r="G24" s="2012"/>
      <c r="H24" s="2012"/>
      <c r="I24" s="2012"/>
      <c r="J24" s="2012"/>
      <c r="K24" s="2012"/>
      <c r="L24" s="2012"/>
      <c r="M24" s="2012"/>
      <c r="N24" s="2013"/>
    </row>
    <row r="25" spans="1:14" s="1490" customFormat="1" ht="40.5" customHeight="1">
      <c r="A25" s="1489"/>
      <c r="B25" s="1521" t="s">
        <v>78</v>
      </c>
      <c r="C25" s="1522"/>
      <c r="D25" s="1523">
        <f>DCH!P25</f>
        <v>10284000</v>
      </c>
      <c r="E25" s="2011" t="s">
        <v>152</v>
      </c>
      <c r="F25" s="2012"/>
      <c r="G25" s="2012"/>
      <c r="H25" s="2012"/>
      <c r="I25" s="2012"/>
      <c r="J25" s="2012"/>
      <c r="K25" s="2012"/>
      <c r="L25" s="2012"/>
      <c r="M25" s="2012"/>
      <c r="N25" s="2013"/>
    </row>
    <row r="26" spans="1:14" s="1491" customFormat="1" ht="40.5" customHeight="1">
      <c r="A26" s="1490"/>
      <c r="B26" s="1524" t="s">
        <v>79</v>
      </c>
      <c r="C26" s="1525"/>
      <c r="D26" s="1526">
        <f>SUM(D23:D25)</f>
        <v>31208668.530000001</v>
      </c>
      <c r="E26" s="2012"/>
      <c r="F26" s="2012"/>
      <c r="G26" s="2012"/>
      <c r="H26" s="2012"/>
      <c r="I26" s="2012"/>
      <c r="J26" s="2012"/>
      <c r="K26" s="2012"/>
      <c r="L26" s="2012"/>
      <c r="M26" s="2012"/>
      <c r="N26" s="2013"/>
    </row>
    <row r="27" spans="1:14" s="1491" customFormat="1" ht="22.5" customHeight="1">
      <c r="A27" s="1490"/>
      <c r="B27" s="1527"/>
      <c r="C27" s="1528"/>
      <c r="D27" s="1528"/>
      <c r="E27" s="1529"/>
      <c r="F27" s="1529"/>
      <c r="G27" s="1529"/>
      <c r="H27" s="1529"/>
      <c r="I27" s="1529"/>
      <c r="J27" s="1529"/>
      <c r="K27" s="1529"/>
      <c r="L27" s="1529"/>
      <c r="M27" s="1529"/>
      <c r="N27" s="1529"/>
    </row>
    <row r="28" spans="1:14" s="1491" customFormat="1" ht="22.5" customHeight="1">
      <c r="B28" s="1530"/>
      <c r="C28" s="1531"/>
      <c r="D28" s="1532"/>
      <c r="E28" s="1529"/>
      <c r="F28" s="1529"/>
      <c r="G28" s="1529"/>
      <c r="H28" s="1529"/>
      <c r="I28" s="1529"/>
      <c r="J28" s="1529"/>
      <c r="K28" s="1529"/>
      <c r="L28" s="1529"/>
      <c r="M28" s="1529"/>
      <c r="N28" s="1529"/>
    </row>
    <row r="29" spans="1:14" s="1489" customFormat="1" ht="39" customHeight="1">
      <c r="B29" s="1521" t="s">
        <v>362</v>
      </c>
      <c r="C29" s="1522"/>
      <c r="D29" s="1523">
        <v>-1609045.1500000004</v>
      </c>
      <c r="E29" s="2011"/>
      <c r="F29" s="2012"/>
      <c r="G29" s="2012"/>
      <c r="H29" s="2012"/>
      <c r="I29" s="2012"/>
      <c r="J29" s="2012"/>
      <c r="K29" s="2012"/>
      <c r="L29" s="2012"/>
      <c r="M29" s="2012"/>
      <c r="N29" s="2013"/>
    </row>
    <row r="30" spans="1:14" s="1489" customFormat="1" ht="39" customHeight="1">
      <c r="B30" s="1521" t="s">
        <v>90</v>
      </c>
      <c r="C30" s="1522"/>
      <c r="D30" s="1523">
        <v>-97800481.280000016</v>
      </c>
      <c r="E30" s="2011"/>
      <c r="F30" s="2012"/>
      <c r="G30" s="2012"/>
      <c r="H30" s="2012"/>
      <c r="I30" s="2012"/>
      <c r="J30" s="2012"/>
      <c r="K30" s="2012"/>
      <c r="L30" s="2012"/>
      <c r="M30" s="2012"/>
      <c r="N30" s="2013"/>
    </row>
    <row r="31" spans="1:14" s="1489" customFormat="1" ht="39" customHeight="1">
      <c r="B31" s="1521" t="s">
        <v>372</v>
      </c>
      <c r="C31" s="1522"/>
      <c r="D31" s="1523">
        <v>-4780186.16</v>
      </c>
      <c r="E31" s="2011"/>
      <c r="F31" s="2012"/>
      <c r="G31" s="2012"/>
      <c r="H31" s="2012"/>
      <c r="I31" s="2012"/>
      <c r="J31" s="2012"/>
      <c r="K31" s="2012"/>
      <c r="L31" s="2012"/>
      <c r="M31" s="2012"/>
      <c r="N31" s="2013"/>
    </row>
    <row r="32" spans="1:14" s="1489" customFormat="1" ht="39" customHeight="1">
      <c r="B32" s="1521" t="s">
        <v>80</v>
      </c>
      <c r="C32" s="1522"/>
      <c r="D32" s="1523">
        <v>-38745700.229999989</v>
      </c>
      <c r="E32" s="1533"/>
      <c r="F32" s="1534"/>
      <c r="G32" s="1534"/>
      <c r="H32" s="1534"/>
      <c r="I32" s="1534"/>
      <c r="J32" s="1534"/>
      <c r="K32" s="1534"/>
      <c r="L32" s="1534"/>
      <c r="M32" s="1534"/>
      <c r="N32" s="1535"/>
    </row>
    <row r="33" spans="1:14" s="1489" customFormat="1" ht="39" customHeight="1">
      <c r="B33" s="1521" t="s">
        <v>1014</v>
      </c>
      <c r="C33" s="1522"/>
      <c r="D33" s="1523">
        <v>-30798018.5</v>
      </c>
      <c r="E33" s="2011"/>
      <c r="F33" s="2012"/>
      <c r="G33" s="2012"/>
      <c r="H33" s="2012"/>
      <c r="I33" s="2012"/>
      <c r="J33" s="2012"/>
      <c r="K33" s="2012"/>
      <c r="L33" s="2012"/>
      <c r="M33" s="2012"/>
      <c r="N33" s="2013"/>
    </row>
    <row r="34" spans="1:14" s="1489" customFormat="1" ht="39" customHeight="1">
      <c r="B34" s="1521" t="s">
        <v>91</v>
      </c>
      <c r="C34" s="1522"/>
      <c r="D34" s="1523">
        <v>2877739.5</v>
      </c>
      <c r="E34" s="2011"/>
      <c r="F34" s="2012"/>
      <c r="G34" s="2012"/>
      <c r="H34" s="2012"/>
      <c r="I34" s="2012"/>
      <c r="J34" s="2012"/>
      <c r="K34" s="2012"/>
      <c r="L34" s="2012"/>
      <c r="M34" s="2012"/>
      <c r="N34" s="2013"/>
    </row>
    <row r="35" spans="1:14" s="1489" customFormat="1" ht="39" customHeight="1">
      <c r="B35" s="1521" t="s">
        <v>88</v>
      </c>
      <c r="C35" s="1522"/>
      <c r="D35" s="1523">
        <v>12104122</v>
      </c>
      <c r="E35" s="2011"/>
      <c r="F35" s="2012"/>
      <c r="G35" s="2012"/>
      <c r="H35" s="2012"/>
      <c r="I35" s="2012"/>
      <c r="J35" s="2012"/>
      <c r="K35" s="2012"/>
      <c r="L35" s="2012"/>
      <c r="M35" s="2012"/>
      <c r="N35" s="2013"/>
    </row>
    <row r="36" spans="1:14" s="1489" customFormat="1" ht="39" customHeight="1">
      <c r="B36" s="1521" t="s">
        <v>1015</v>
      </c>
      <c r="C36" s="1522"/>
      <c r="D36" s="1523">
        <v>8895109.0700000003</v>
      </c>
      <c r="E36" s="2011"/>
      <c r="F36" s="2012"/>
      <c r="G36" s="2012"/>
      <c r="H36" s="2012"/>
      <c r="I36" s="2012"/>
      <c r="J36" s="2012"/>
      <c r="K36" s="2012"/>
      <c r="L36" s="2012"/>
      <c r="M36" s="2012"/>
      <c r="N36" s="2013"/>
    </row>
    <row r="37" spans="1:14" s="1489" customFormat="1" ht="39" customHeight="1">
      <c r="B37" s="1521" t="s">
        <v>92</v>
      </c>
      <c r="C37" s="1522"/>
      <c r="D37" s="1523">
        <v>-234000</v>
      </c>
      <c r="E37" s="2011"/>
      <c r="F37" s="2012"/>
      <c r="G37" s="2012"/>
      <c r="H37" s="2012"/>
      <c r="I37" s="2012"/>
      <c r="J37" s="2012"/>
      <c r="K37" s="2012"/>
      <c r="L37" s="2012"/>
      <c r="M37" s="2012"/>
      <c r="N37" s="2013"/>
    </row>
    <row r="38" spans="1:14" s="1489" customFormat="1" ht="39" customHeight="1">
      <c r="B38" s="1521" t="s">
        <v>1016</v>
      </c>
      <c r="C38" s="1522"/>
      <c r="D38" s="1523">
        <v>705472</v>
      </c>
      <c r="E38" s="2011"/>
      <c r="F38" s="2012"/>
      <c r="G38" s="2012"/>
      <c r="H38" s="2012"/>
      <c r="I38" s="2012"/>
      <c r="J38" s="2012"/>
      <c r="K38" s="2012"/>
      <c r="L38" s="2012"/>
      <c r="M38" s="2012"/>
      <c r="N38" s="2013"/>
    </row>
    <row r="39" spans="1:14" s="1489" customFormat="1" ht="39" customHeight="1">
      <c r="B39" s="1521" t="s">
        <v>93</v>
      </c>
      <c r="C39" s="1522"/>
      <c r="D39" s="1523">
        <v>4768729.49</v>
      </c>
      <c r="E39" s="2011"/>
      <c r="F39" s="2012"/>
      <c r="G39" s="2012"/>
      <c r="H39" s="2012"/>
      <c r="I39" s="2012"/>
      <c r="J39" s="2012"/>
      <c r="K39" s="2012"/>
      <c r="L39" s="2012"/>
      <c r="M39" s="2012"/>
      <c r="N39" s="2013"/>
    </row>
    <row r="40" spans="1:14" s="1489" customFormat="1" ht="39" customHeight="1">
      <c r="B40" s="1521" t="s">
        <v>978</v>
      </c>
      <c r="C40" s="1522"/>
      <c r="D40" s="1536">
        <v>478235.58999999997</v>
      </c>
      <c r="E40" s="1537"/>
      <c r="F40" s="1538"/>
      <c r="G40" s="1538"/>
      <c r="H40" s="1538"/>
      <c r="I40" s="1538"/>
      <c r="J40" s="1538"/>
      <c r="K40" s="1538"/>
      <c r="L40" s="1538"/>
      <c r="M40" s="1538"/>
      <c r="N40" s="1539"/>
    </row>
    <row r="41" spans="1:14" s="1492" customFormat="1" ht="39" customHeight="1">
      <c r="A41" s="1490"/>
      <c r="B41" s="1524" t="s">
        <v>81</v>
      </c>
      <c r="C41" s="1540"/>
      <c r="D41" s="1526">
        <f>SUM(D$29:D40)</f>
        <v>-144138023.66999999</v>
      </c>
      <c r="E41" s="2012"/>
      <c r="F41" s="2012"/>
      <c r="G41" s="2012"/>
      <c r="H41" s="2012"/>
      <c r="I41" s="2012"/>
      <c r="J41" s="2012"/>
      <c r="K41" s="2012"/>
      <c r="L41" s="2012"/>
      <c r="M41" s="2012"/>
      <c r="N41" s="2013"/>
    </row>
    <row r="42" spans="1:14" s="1492" customFormat="1" ht="40.5" customHeight="1">
      <c r="B42" s="1541"/>
      <c r="C42" s="1542"/>
      <c r="D42" s="1543"/>
      <c r="E42" s="1544"/>
      <c r="F42" s="1544"/>
      <c r="G42" s="1544"/>
      <c r="H42" s="1544"/>
      <c r="I42" s="1544"/>
      <c r="J42" s="1544"/>
      <c r="K42" s="1544"/>
      <c r="L42" s="1544"/>
      <c r="M42" s="1544"/>
      <c r="N42" s="1544"/>
    </row>
    <row r="43" spans="1:14" s="1492" customFormat="1" ht="40.5" customHeight="1">
      <c r="B43" s="1541"/>
      <c r="C43" s="1542"/>
      <c r="D43" s="1543"/>
      <c r="E43" s="1544"/>
      <c r="F43" s="1544"/>
      <c r="G43" s="1544"/>
      <c r="H43" s="1544"/>
      <c r="I43" s="1544"/>
      <c r="J43" s="1544"/>
      <c r="K43" s="1544"/>
      <c r="L43" s="1544"/>
      <c r="M43" s="1544"/>
      <c r="N43" s="1544"/>
    </row>
    <row r="44" spans="1:14" s="1492" customFormat="1" ht="39.75" customHeight="1">
      <c r="A44" s="1494"/>
      <c r="B44" s="1524" t="s">
        <v>153</v>
      </c>
      <c r="C44" s="1545"/>
      <c r="D44" s="1546">
        <f>D20+D26+D41</f>
        <v>-150064598.08895701</v>
      </c>
      <c r="E44" s="2014"/>
      <c r="F44" s="2015"/>
      <c r="G44" s="2015"/>
      <c r="H44" s="2015"/>
      <c r="I44" s="2015"/>
      <c r="J44" s="2015"/>
      <c r="K44" s="2015"/>
      <c r="L44" s="2015"/>
      <c r="M44" s="2015"/>
      <c r="N44" s="2016"/>
    </row>
    <row r="45" spans="1:14" s="1493" customFormat="1" ht="42" customHeight="1">
      <c r="A45" s="1492"/>
      <c r="B45" s="1541"/>
      <c r="C45" s="1542"/>
      <c r="D45" s="1543"/>
      <c r="E45" s="1544"/>
      <c r="F45" s="1544"/>
      <c r="G45" s="1544"/>
      <c r="H45" s="1544"/>
      <c r="I45" s="1544"/>
      <c r="J45" s="1544"/>
      <c r="K45" s="1544"/>
      <c r="L45" s="1544"/>
      <c r="M45" s="1544"/>
      <c r="N45" s="1544"/>
    </row>
    <row r="46" spans="1:14" s="1493" customFormat="1" ht="39.75" customHeight="1">
      <c r="B46" s="1547" t="str">
        <f>DCH!B46</f>
        <v>RISQUES TECHNIQUES IDENTIFIES</v>
      </c>
      <c r="C46" s="1548"/>
      <c r="D46" s="1549">
        <v>386000</v>
      </c>
      <c r="E46" s="2014"/>
      <c r="F46" s="2015"/>
      <c r="G46" s="2015"/>
      <c r="H46" s="2015"/>
      <c r="I46" s="2015"/>
      <c r="J46" s="2015"/>
      <c r="K46" s="2015"/>
      <c r="L46" s="2015"/>
      <c r="M46" s="2015"/>
      <c r="N46" s="2016"/>
    </row>
    <row r="47" spans="1:14" s="1492" customFormat="1" ht="39.950000000000003" customHeight="1">
      <c r="A47" s="1493"/>
      <c r="B47" s="1547" t="str">
        <f>DCH!B47</f>
        <v>REVISION</v>
      </c>
      <c r="C47" s="1548"/>
      <c r="D47" s="1549">
        <v>1400000</v>
      </c>
      <c r="E47" s="2014"/>
      <c r="F47" s="2015"/>
      <c r="G47" s="2015"/>
      <c r="H47" s="2015"/>
      <c r="I47" s="2015"/>
      <c r="J47" s="2015"/>
      <c r="K47" s="2015"/>
      <c r="L47" s="2015"/>
      <c r="M47" s="2015"/>
      <c r="N47" s="2016"/>
    </row>
    <row r="48" spans="1:14" s="1494" customFormat="1" ht="40.5" customHeight="1">
      <c r="A48" s="1492"/>
      <c r="B48" s="1541"/>
      <c r="C48" s="1542"/>
      <c r="D48" s="1543"/>
      <c r="E48" s="1544"/>
      <c r="F48" s="1544"/>
      <c r="G48" s="1544"/>
      <c r="H48" s="1544"/>
      <c r="I48" s="1544"/>
      <c r="J48" s="1544"/>
      <c r="K48" s="1544"/>
      <c r="L48" s="1544"/>
      <c r="M48" s="1544"/>
      <c r="N48" s="1544"/>
    </row>
    <row r="49" spans="1:14" s="1439" customFormat="1" ht="40.5" customHeight="1">
      <c r="A49" s="1494"/>
      <c r="B49" s="1524" t="s">
        <v>154</v>
      </c>
      <c r="C49" s="1545"/>
      <c r="D49" s="1546">
        <f>D44+D46+D47</f>
        <v>-148278598.08895701</v>
      </c>
      <c r="E49" s="2015"/>
      <c r="F49" s="2015"/>
      <c r="G49" s="2015"/>
      <c r="H49" s="2015"/>
      <c r="I49" s="2015"/>
      <c r="J49" s="2015"/>
      <c r="K49" s="2015"/>
      <c r="L49" s="2015"/>
      <c r="M49" s="2015"/>
      <c r="N49" s="2016"/>
    </row>
  </sheetData>
  <sheetProtection sheet="1" objects="1" scenarios="1"/>
  <mergeCells count="31">
    <mergeCell ref="E47:N47"/>
    <mergeCell ref="E49:N49"/>
    <mergeCell ref="E31:N31"/>
    <mergeCell ref="E33:N33"/>
    <mergeCell ref="E34:N34"/>
    <mergeCell ref="E41:N41"/>
    <mergeCell ref="E44:N44"/>
    <mergeCell ref="E35:N35"/>
    <mergeCell ref="E26:N26"/>
    <mergeCell ref="E29:N29"/>
    <mergeCell ref="E30:N30"/>
    <mergeCell ref="E46:N46"/>
    <mergeCell ref="E19:N19"/>
    <mergeCell ref="E20:N20"/>
    <mergeCell ref="E23:N23"/>
    <mergeCell ref="E24:N24"/>
    <mergeCell ref="E25:N25"/>
    <mergeCell ref="E36:N36"/>
    <mergeCell ref="E37:N37"/>
    <mergeCell ref="E38:N38"/>
    <mergeCell ref="E39:N39"/>
    <mergeCell ref="B13:C13"/>
    <mergeCell ref="E13:N13"/>
    <mergeCell ref="E16:N16"/>
    <mergeCell ref="E17:N17"/>
    <mergeCell ref="E18:N18"/>
    <mergeCell ref="D3:J3"/>
    <mergeCell ref="D6:J6"/>
    <mergeCell ref="D7:J7"/>
    <mergeCell ref="B10:N10"/>
    <mergeCell ref="B11:N11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rgb="FFFFFF00"/>
  </sheetPr>
  <dimension ref="A1:V38"/>
  <sheetViews>
    <sheetView showGridLines="0" workbookViewId="0">
      <selection activeCell="Q5" sqref="Q5"/>
    </sheetView>
  </sheetViews>
  <sheetFormatPr baseColWidth="10" defaultRowHeight="15"/>
  <cols>
    <col min="1" max="1" width="25.85546875" style="450" customWidth="1"/>
    <col min="2" max="2" width="3.42578125" style="450" customWidth="1"/>
    <col min="3" max="3" width="8.7109375" style="450" customWidth="1"/>
    <col min="4" max="4" width="10.7109375" style="450" customWidth="1"/>
    <col min="5" max="5" width="8.7109375" style="450" customWidth="1"/>
    <col min="6" max="6" width="10.85546875" style="450" customWidth="1"/>
    <col min="7" max="7" width="8.7109375" style="450" customWidth="1"/>
    <col min="8" max="8" width="10.42578125" style="450" customWidth="1"/>
    <col min="9" max="9" width="8.7109375" style="450" customWidth="1"/>
    <col min="10" max="10" width="10.42578125" style="450" customWidth="1"/>
    <col min="11" max="11" width="8.7109375" style="450" customWidth="1"/>
    <col min="12" max="12" width="11.85546875" style="450" customWidth="1"/>
    <col min="13" max="13" width="8.7109375" style="450" customWidth="1"/>
    <col min="14" max="14" width="10.7109375" style="450" customWidth="1"/>
    <col min="15" max="15" width="7.7109375" style="450" customWidth="1"/>
    <col min="16" max="16" width="3.7109375" customWidth="1"/>
  </cols>
  <sheetData>
    <row r="1" spans="1:16" s="26" customFormat="1">
      <c r="A1" s="736" t="s">
        <v>15</v>
      </c>
      <c r="B1" s="737"/>
      <c r="C1" s="737"/>
      <c r="D1" s="738"/>
      <c r="E1" s="738"/>
      <c r="F1" s="738"/>
      <c r="G1" s="738"/>
      <c r="H1" s="738"/>
      <c r="I1" s="738"/>
      <c r="J1" s="738"/>
      <c r="K1" s="739"/>
      <c r="L1" s="740"/>
      <c r="M1" s="738"/>
      <c r="N1" s="738"/>
      <c r="O1" s="741"/>
      <c r="P1" s="25"/>
    </row>
    <row r="2" spans="1:16" s="26" customFormat="1">
      <c r="A2" s="742"/>
      <c r="B2" s="743"/>
      <c r="C2" s="743"/>
      <c r="D2" s="744"/>
      <c r="E2" s="744"/>
      <c r="F2" s="744"/>
      <c r="G2" s="744"/>
      <c r="H2" s="744"/>
      <c r="I2" s="744"/>
      <c r="J2" s="744"/>
      <c r="K2" s="745"/>
      <c r="L2" s="746"/>
      <c r="M2" s="744"/>
      <c r="N2" s="744"/>
      <c r="O2" s="747"/>
      <c r="P2" s="25"/>
    </row>
    <row r="3" spans="1:16" s="26" customFormat="1" ht="21">
      <c r="A3" s="748" t="s">
        <v>155</v>
      </c>
      <c r="B3" s="749"/>
      <c r="C3" s="749"/>
      <c r="D3" s="750"/>
      <c r="E3" s="750"/>
      <c r="F3" s="750"/>
      <c r="G3" s="750"/>
      <c r="H3" s="750"/>
      <c r="I3" s="750"/>
      <c r="J3" s="750"/>
      <c r="K3" s="751"/>
      <c r="L3" s="2017" t="str">
        <f>SYNTHESE!D4</f>
        <v>POINT 50%</v>
      </c>
      <c r="M3" s="2018"/>
      <c r="N3" s="2018"/>
      <c r="O3" s="752"/>
      <c r="P3" s="25"/>
    </row>
    <row r="4" spans="1:16" s="26" customFormat="1" ht="13.5">
      <c r="A4" s="753"/>
      <c r="B4" s="754"/>
      <c r="C4" s="754"/>
      <c r="D4" s="755"/>
      <c r="E4" s="755"/>
      <c r="F4" s="755"/>
      <c r="G4" s="755"/>
      <c r="H4" s="755"/>
      <c r="I4" s="755"/>
      <c r="J4" s="755"/>
      <c r="K4" s="756"/>
      <c r="L4" s="757"/>
      <c r="M4" s="755"/>
      <c r="N4" s="755"/>
      <c r="O4" s="747"/>
      <c r="P4" s="25"/>
    </row>
    <row r="5" spans="1:16" s="26" customFormat="1" ht="13.5">
      <c r="A5" s="758"/>
      <c r="B5" s="759"/>
      <c r="C5" s="759"/>
      <c r="D5" s="760"/>
      <c r="E5" s="760"/>
      <c r="F5" s="760"/>
      <c r="G5" s="760"/>
      <c r="H5" s="760"/>
      <c r="I5" s="760"/>
      <c r="J5" s="760"/>
      <c r="K5" s="761"/>
      <c r="L5" s="762"/>
      <c r="M5" s="763"/>
      <c r="N5" s="763"/>
      <c r="O5" s="764"/>
      <c r="P5" s="25"/>
    </row>
    <row r="6" spans="1:16" s="26" customFormat="1">
      <c r="A6" s="765" t="s">
        <v>515</v>
      </c>
      <c r="B6" s="2040">
        <v>400223</v>
      </c>
      <c r="C6" s="2040"/>
      <c r="D6" s="755"/>
      <c r="E6" s="755"/>
      <c r="F6" s="755"/>
      <c r="G6" s="755"/>
      <c r="H6" s="755"/>
      <c r="I6" s="755"/>
      <c r="J6" s="755"/>
      <c r="K6" s="755"/>
      <c r="L6" s="766"/>
      <c r="M6" s="766" t="s">
        <v>157</v>
      </c>
      <c r="N6" s="767">
        <f>SYNTHESE!D7</f>
        <v>42800</v>
      </c>
      <c r="O6" s="768"/>
      <c r="P6" s="25"/>
    </row>
    <row r="7" spans="1:16" s="26" customFormat="1">
      <c r="A7" s="769" t="s">
        <v>514</v>
      </c>
      <c r="B7" s="770" t="str">
        <f>SYNTHESE!E6</f>
        <v xml:space="preserve">LES FAUBOURGS D'ANFA </v>
      </c>
      <c r="C7" s="771"/>
      <c r="D7" s="755"/>
      <c r="E7" s="755"/>
      <c r="F7" s="755"/>
      <c r="G7" s="755"/>
      <c r="H7" s="755"/>
      <c r="I7" s="755"/>
      <c r="J7" s="755"/>
      <c r="K7" s="755"/>
      <c r="L7" s="772"/>
      <c r="M7" s="772" t="s">
        <v>159</v>
      </c>
      <c r="N7" s="773" t="s">
        <v>160</v>
      </c>
      <c r="O7" s="774"/>
      <c r="P7" s="25"/>
    </row>
    <row r="8" spans="1:16" s="26" customFormat="1">
      <c r="A8" s="775" t="s">
        <v>161</v>
      </c>
      <c r="B8" s="776" t="str">
        <f>SYNTHESE!N4</f>
        <v>1 € = 10,85dh</v>
      </c>
      <c r="C8" s="771"/>
      <c r="D8" s="755"/>
      <c r="E8" s="755"/>
      <c r="F8" s="755"/>
      <c r="G8" s="755"/>
      <c r="H8" s="755"/>
      <c r="I8" s="755"/>
      <c r="J8" s="755"/>
      <c r="K8" s="755"/>
      <c r="L8" s="755"/>
      <c r="M8" s="763"/>
      <c r="N8" s="763"/>
      <c r="O8" s="764"/>
      <c r="P8" s="25"/>
    </row>
    <row r="9" spans="1:16" s="26" customFormat="1" ht="15" customHeight="1">
      <c r="A9" s="777"/>
      <c r="B9" s="778"/>
      <c r="C9" s="779"/>
      <c r="D9" s="780"/>
      <c r="E9" s="781"/>
      <c r="F9" s="780"/>
      <c r="G9" s="781"/>
      <c r="H9" s="780"/>
      <c r="I9" s="782"/>
      <c r="J9" s="782"/>
      <c r="K9" s="2019" t="s">
        <v>18</v>
      </c>
      <c r="L9" s="2020"/>
      <c r="M9" s="2025" t="s">
        <v>162</v>
      </c>
      <c r="N9" s="2026"/>
      <c r="O9" s="2027"/>
      <c r="P9" s="25"/>
    </row>
    <row r="10" spans="1:16" s="28" customFormat="1" ht="15" customHeight="1">
      <c r="A10" s="783"/>
      <c r="B10" s="784"/>
      <c r="C10" s="2034" t="s">
        <v>73</v>
      </c>
      <c r="D10" s="2035"/>
      <c r="E10" s="2036" t="s">
        <v>53</v>
      </c>
      <c r="F10" s="2037"/>
      <c r="G10" s="2036" t="s">
        <v>511</v>
      </c>
      <c r="H10" s="2037"/>
      <c r="I10" s="785" t="s">
        <v>163</v>
      </c>
      <c r="J10" s="785"/>
      <c r="K10" s="2021"/>
      <c r="L10" s="2022"/>
      <c r="M10" s="2028"/>
      <c r="N10" s="2029"/>
      <c r="O10" s="2030"/>
      <c r="P10" s="27"/>
    </row>
    <row r="11" spans="1:16" s="28" customFormat="1" ht="15" customHeight="1">
      <c r="A11" s="783"/>
      <c r="B11" s="784"/>
      <c r="C11" s="786"/>
      <c r="D11" s="787"/>
      <c r="E11" s="2038" t="s">
        <v>164</v>
      </c>
      <c r="F11" s="2039"/>
      <c r="G11" s="2038" t="s">
        <v>164</v>
      </c>
      <c r="H11" s="2039"/>
      <c r="I11" s="788"/>
      <c r="J11" s="788"/>
      <c r="K11" s="2023"/>
      <c r="L11" s="2024"/>
      <c r="M11" s="2031"/>
      <c r="N11" s="2032"/>
      <c r="O11" s="2033"/>
      <c r="P11" s="27"/>
    </row>
    <row r="12" spans="1:16" s="28" customFormat="1" ht="15" customHeight="1">
      <c r="A12" s="789" t="s">
        <v>165</v>
      </c>
      <c r="B12" s="790" t="s">
        <v>166</v>
      </c>
      <c r="C12" s="790" t="s">
        <v>167</v>
      </c>
      <c r="D12" s="791" t="s">
        <v>168</v>
      </c>
      <c r="E12" s="792" t="s">
        <v>169</v>
      </c>
      <c r="F12" s="791" t="s">
        <v>168</v>
      </c>
      <c r="G12" s="793" t="s">
        <v>169</v>
      </c>
      <c r="H12" s="791" t="s">
        <v>168</v>
      </c>
      <c r="I12" s="791" t="s">
        <v>167</v>
      </c>
      <c r="J12" s="794" t="s">
        <v>168</v>
      </c>
      <c r="K12" s="795" t="s">
        <v>167</v>
      </c>
      <c r="L12" s="796" t="s">
        <v>168</v>
      </c>
      <c r="M12" s="797" t="s">
        <v>167</v>
      </c>
      <c r="N12" s="798" t="s">
        <v>171</v>
      </c>
      <c r="O12" s="799" t="s">
        <v>43</v>
      </c>
      <c r="P12" s="27"/>
    </row>
    <row r="13" spans="1:16" s="26" customFormat="1" ht="9" customHeight="1">
      <c r="A13" s="800"/>
      <c r="B13" s="801"/>
      <c r="C13" s="801"/>
      <c r="D13" s="802"/>
      <c r="E13" s="803"/>
      <c r="F13" s="804"/>
      <c r="G13" s="804"/>
      <c r="H13" s="805"/>
      <c r="I13" s="802"/>
      <c r="J13" s="806"/>
      <c r="K13" s="807"/>
      <c r="L13" s="808"/>
      <c r="M13" s="805"/>
      <c r="N13" s="809"/>
      <c r="O13" s="810"/>
      <c r="P13" s="25"/>
    </row>
    <row r="14" spans="1:16" s="28" customFormat="1" ht="21.75" customHeight="1">
      <c r="A14" s="811" t="s">
        <v>172</v>
      </c>
      <c r="B14" s="812" t="s">
        <v>173</v>
      </c>
      <c r="C14" s="813">
        <f ca="1">INDIRECT("'" &amp; LEFT(INDIRECT("A" &amp; ROW()),2) &amp;" Qte'!" &amp; "E11")</f>
        <v>2928935.8180720927</v>
      </c>
      <c r="D14" s="813">
        <f ca="1">INDIRECT("'" &amp; LEFT(INDIRECT("A" &amp; ROW()),2) &amp;" Qte'!" &amp; "E6")</f>
        <v>75178182.225549996</v>
      </c>
      <c r="E14" s="814">
        <f ca="1">INDIRECT("'" &amp; LEFT(INDIRECT("A" &amp; ROW()),2) &amp;" Qte'!" &amp; "F11")</f>
        <v>0</v>
      </c>
      <c r="F14" s="815">
        <f ca="1">INDIRECT("'" &amp; LEFT(INDIRECT("A" &amp; ROW()),2) &amp;" Qte'!" &amp; "F6")</f>
        <v>0</v>
      </c>
      <c r="G14" s="815">
        <f ca="1">INDIRECT("'" &amp; LEFT(INDIRECT("A" &amp; ROW()),2) &amp;" Qte'!" &amp; "G11")</f>
        <v>0</v>
      </c>
      <c r="H14" s="816">
        <f ca="1">INDIRECT("'" &amp; LEFT(INDIRECT("A" &amp; ROW()),2) &amp;" Qte'!" &amp; "G6")</f>
        <v>0</v>
      </c>
      <c r="I14" s="813">
        <f ca="1">INDIRECT("'" &amp; LEFT(INDIRECT("A" &amp; ROW()),2) &amp;" Qte'!" &amp; "H11")</f>
        <v>2928935.8180720927</v>
      </c>
      <c r="J14" s="813">
        <f ca="1">INDIRECT("'" &amp; LEFT(INDIRECT("A" &amp; ROW()),2) &amp;" Qte'!" &amp; "H6")</f>
        <v>75178182.225549996</v>
      </c>
      <c r="K14" s="817">
        <f ca="1">INDIRECT("'" &amp; LEFT(INDIRECT("A" &amp; ROW()),2) &amp;" Qte'!" &amp; "V11")</f>
        <v>268808.78037209297</v>
      </c>
      <c r="L14" s="818">
        <f ca="1">INDIRECT("'" &amp; LEFT(INDIRECT("A" &amp; ROW()),2) &amp;" Qte'!" &amp; "V6")</f>
        <v>28363010.760499999</v>
      </c>
      <c r="M14" s="819">
        <f ca="1">I14-K14</f>
        <v>2660127.0376999998</v>
      </c>
      <c r="N14" s="820">
        <f ca="1">J14-L14</f>
        <v>46815171.465049997</v>
      </c>
      <c r="O14" s="821">
        <f ca="1">N14/J14</f>
        <v>0.62272284430334934</v>
      </c>
      <c r="P14" s="29"/>
    </row>
    <row r="15" spans="1:16" s="28" customFormat="1" ht="21.75" customHeight="1">
      <c r="A15" s="822"/>
      <c r="B15" s="823"/>
      <c r="C15" s="824"/>
      <c r="D15" s="825"/>
      <c r="E15" s="826"/>
      <c r="F15" s="827"/>
      <c r="G15" s="827"/>
      <c r="H15" s="828"/>
      <c r="I15" s="829"/>
      <c r="J15" s="830"/>
      <c r="K15" s="831"/>
      <c r="L15" s="832"/>
      <c r="M15" s="819"/>
      <c r="N15" s="820"/>
      <c r="O15" s="821"/>
      <c r="P15" s="27"/>
    </row>
    <row r="16" spans="1:16" s="28" customFormat="1" ht="21.75" customHeight="1">
      <c r="A16" s="833" t="s">
        <v>85</v>
      </c>
      <c r="B16" s="823" t="s">
        <v>174</v>
      </c>
      <c r="C16" s="813">
        <f ca="1">INDIRECT("'" &amp; INDIRECT("A" &amp; ROW()) &amp;" Qte'!" &amp; "E11")</f>
        <v>13751.581</v>
      </c>
      <c r="D16" s="813">
        <f ca="1">INDIRECT("'" &amp; INDIRECT("A" &amp; ROW()) &amp;" Qte'!" &amp; "E6")</f>
        <v>18719141.815000001</v>
      </c>
      <c r="E16" s="814">
        <f ca="1">INDIRECT("'" &amp; INDIRECT("A" &amp; ROW()) &amp;" Qte'!" &amp; "F11")</f>
        <v>0</v>
      </c>
      <c r="F16" s="815">
        <f ca="1">INDIRECT("'" &amp; INDIRECT("A" &amp; ROW()) &amp;" Qte'!" &amp; "F6")</f>
        <v>0</v>
      </c>
      <c r="G16" s="815">
        <f ca="1">INDIRECT("'" &amp; INDIRECT("A" &amp; ROW()) &amp;" Qte'!" &amp; "G11")</f>
        <v>0</v>
      </c>
      <c r="H16" s="816">
        <f ca="1">INDIRECT("'" &amp; INDIRECT("A" &amp; ROW()) &amp;" Qte'!" &amp; "G6")</f>
        <v>0</v>
      </c>
      <c r="I16" s="813">
        <f ca="1">INDIRECT("'" &amp; INDIRECT("A" &amp; ROW()) &amp;" Qte'!" &amp; "H11")</f>
        <v>13751.581</v>
      </c>
      <c r="J16" s="813">
        <f ca="1">INDIRECT("'" &amp; INDIRECT("A" &amp; ROW()) &amp;" Qte'!" &amp; "H6")</f>
        <v>18719141.815000001</v>
      </c>
      <c r="K16" s="817">
        <f ca="1">INDIRECT("'" &amp; INDIRECT("A" &amp; ROW()) &amp;" Qte'!" &amp; "V11")</f>
        <v>13521.561775235459</v>
      </c>
      <c r="L16" s="818">
        <f ca="1">INDIRECT("'" &amp; INDIRECT("A" &amp; ROW()) &amp;" Qte'!" &amp; "V6")</f>
        <v>99094896.481890053</v>
      </c>
      <c r="M16" s="819">
        <f ca="1">I16-K16</f>
        <v>230.01922476454092</v>
      </c>
      <c r="N16" s="820">
        <f ca="1">J16-L16</f>
        <v>-80375754.666890055</v>
      </c>
      <c r="O16" s="821">
        <f ca="1">N16/J16</f>
        <v>-4.2937734785727972</v>
      </c>
      <c r="P16" s="27"/>
    </row>
    <row r="17" spans="1:17" s="28" customFormat="1" ht="21.75" customHeight="1">
      <c r="A17" s="822"/>
      <c r="B17" s="823"/>
      <c r="C17" s="824"/>
      <c r="D17" s="824"/>
      <c r="E17" s="826"/>
      <c r="F17" s="827"/>
      <c r="G17" s="827"/>
      <c r="H17" s="828"/>
      <c r="I17" s="829"/>
      <c r="J17" s="830"/>
      <c r="K17" s="831"/>
      <c r="L17" s="832"/>
      <c r="M17" s="819"/>
      <c r="N17" s="820"/>
      <c r="O17" s="821"/>
      <c r="P17" s="27"/>
      <c r="Q17" s="30"/>
    </row>
    <row r="18" spans="1:17" s="28" customFormat="1" ht="21.75" customHeight="1">
      <c r="A18" s="833" t="s">
        <v>86</v>
      </c>
      <c r="B18" s="823" t="s">
        <v>175</v>
      </c>
      <c r="C18" s="813">
        <f ca="1">INDIRECT("'" &amp; INDIRECT("A" &amp; ROW()) &amp;" Qte'!" &amp; "E11")</f>
        <v>1756.2611488343557</v>
      </c>
      <c r="D18" s="813">
        <f ca="1">INDIRECT("'" &amp; INDIRECT("A" &amp; ROW()) &amp;" Qte'!" &amp; "E6")</f>
        <v>22502671.491914112</v>
      </c>
      <c r="E18" s="814">
        <f ca="1">INDIRECT("'" &amp; INDIRECT("A" &amp; ROW()) &amp;" Qte'!" &amp; "F11")</f>
        <v>0</v>
      </c>
      <c r="F18" s="815">
        <f ca="1">INDIRECT("'" &amp; INDIRECT("A" &amp; ROW()) &amp;" Qte'!" &amp; "F6")</f>
        <v>0</v>
      </c>
      <c r="G18" s="815">
        <f ca="1">INDIRECT("'" &amp; INDIRECT("A" &amp; ROW()) &amp;" Qte'!" &amp; "G11")</f>
        <v>0</v>
      </c>
      <c r="H18" s="816">
        <f ca="1">INDIRECT("'" &amp; INDIRECT("A" &amp; ROW()) &amp;" Qte'!" &amp; "G6")</f>
        <v>0</v>
      </c>
      <c r="I18" s="813">
        <f ca="1">INDIRECT("'" &amp; INDIRECT("A" &amp; ROW()) &amp;" Qte'!" &amp; "H11")</f>
        <v>1756.2611488343557</v>
      </c>
      <c r="J18" s="813">
        <f ca="1">INDIRECT("'" &amp; INDIRECT("A" &amp; ROW()) &amp;" Qte'!" &amp; "H6")</f>
        <v>22502671.491914112</v>
      </c>
      <c r="K18" s="817">
        <f ca="1">INDIRECT("'" &amp; INDIRECT("A" &amp; ROW()) &amp;" Qte'!" &amp; "V11")</f>
        <v>1541.6670418408544</v>
      </c>
      <c r="L18" s="818">
        <f ca="1">INDIRECT("'" &amp; INDIRECT("A" &amp; ROW()) &amp;" Qte'!" &amp; "V6")</f>
        <v>28864707.789031062</v>
      </c>
      <c r="M18" s="819">
        <f ca="1">I18-K18</f>
        <v>214.59410699350133</v>
      </c>
      <c r="N18" s="820">
        <f ca="1">J18-L18</f>
        <v>-6362036.2971169502</v>
      </c>
      <c r="O18" s="821">
        <f ca="1">N18/J18</f>
        <v>-0.28272360014689907</v>
      </c>
      <c r="P18" s="27"/>
    </row>
    <row r="19" spans="1:17" s="28" customFormat="1" ht="21.75" customHeight="1">
      <c r="A19" s="833"/>
      <c r="B19" s="823"/>
      <c r="C19" s="824"/>
      <c r="D19" s="824"/>
      <c r="E19" s="814"/>
      <c r="F19" s="815"/>
      <c r="G19" s="815"/>
      <c r="H19" s="816"/>
      <c r="I19" s="829"/>
      <c r="J19" s="830"/>
      <c r="K19" s="817"/>
      <c r="L19" s="818"/>
      <c r="M19" s="819"/>
      <c r="N19" s="820"/>
      <c r="O19" s="834"/>
      <c r="P19" s="27"/>
    </row>
    <row r="20" spans="1:17" s="28" customFormat="1" ht="21.75" customHeight="1">
      <c r="A20" s="833" t="s">
        <v>87</v>
      </c>
      <c r="B20" s="823" t="s">
        <v>176</v>
      </c>
      <c r="C20" s="824"/>
      <c r="D20" s="824">
        <f ca="1">J20-H20-F20</f>
        <v>15368191.59</v>
      </c>
      <c r="E20" s="814"/>
      <c r="F20" s="815">
        <f ca="1">INDIRECT("'DETAILS'!D8")</f>
        <v>-5208230.38</v>
      </c>
      <c r="G20" s="815"/>
      <c r="H20" s="815">
        <f ca="1">INDIRECT("'DETAILS'!E8")</f>
        <v>5208230.38</v>
      </c>
      <c r="I20" s="829"/>
      <c r="J20" s="830">
        <f ca="1">INDIRECT("'DETAILS'!C8")</f>
        <v>15368191.59</v>
      </c>
      <c r="K20" s="817"/>
      <c r="L20" s="818">
        <f ca="1">OFFSET(INDIRECT("'DETAILS'!"&amp;ADDRESS(8,MATCH(9^9,DETAILS!8:8))),,-1,,)</f>
        <v>12580815.040000001</v>
      </c>
      <c r="M20" s="819"/>
      <c r="N20" s="820">
        <f ca="1">J20-L20</f>
        <v>2787376.5499999989</v>
      </c>
      <c r="O20" s="821">
        <f ca="1">N20/J20</f>
        <v>0.18137309999530002</v>
      </c>
      <c r="P20" s="27"/>
    </row>
    <row r="21" spans="1:17" s="28" customFormat="1" ht="21.75" customHeight="1">
      <c r="A21" s="833"/>
      <c r="B21" s="823"/>
      <c r="C21" s="824"/>
      <c r="D21" s="824"/>
      <c r="E21" s="814"/>
      <c r="F21" s="815"/>
      <c r="G21" s="815"/>
      <c r="H21" s="816"/>
      <c r="I21" s="829"/>
      <c r="J21" s="830"/>
      <c r="K21" s="817"/>
      <c r="L21" s="818"/>
      <c r="M21" s="819"/>
      <c r="N21" s="820"/>
      <c r="O21" s="821"/>
      <c r="P21" s="27"/>
    </row>
    <row r="22" spans="1:17" s="28" customFormat="1" ht="21.75" customHeight="1">
      <c r="A22" s="833"/>
      <c r="B22" s="823"/>
      <c r="C22" s="824"/>
      <c r="D22" s="824"/>
      <c r="E22" s="814"/>
      <c r="F22" s="815"/>
      <c r="G22" s="815"/>
      <c r="H22" s="816"/>
      <c r="I22" s="829"/>
      <c r="J22" s="830"/>
      <c r="K22" s="817"/>
      <c r="L22" s="818"/>
      <c r="M22" s="819"/>
      <c r="N22" s="820"/>
      <c r="O22" s="821"/>
      <c r="P22" s="27"/>
    </row>
    <row r="23" spans="1:17" s="28" customFormat="1" ht="21.75" customHeight="1">
      <c r="A23" s="833"/>
      <c r="B23" s="823"/>
      <c r="C23" s="824"/>
      <c r="D23" s="824"/>
      <c r="E23" s="814"/>
      <c r="F23" s="815"/>
      <c r="G23" s="815"/>
      <c r="H23" s="816"/>
      <c r="I23" s="829"/>
      <c r="J23" s="830"/>
      <c r="K23" s="817"/>
      <c r="L23" s="818"/>
      <c r="M23" s="819"/>
      <c r="N23" s="820"/>
      <c r="O23" s="821"/>
      <c r="P23" s="27"/>
    </row>
    <row r="24" spans="1:17" s="28" customFormat="1" ht="21.75" customHeight="1">
      <c r="A24" s="833"/>
      <c r="B24" s="823"/>
      <c r="C24" s="824"/>
      <c r="D24" s="824"/>
      <c r="E24" s="814"/>
      <c r="F24" s="815"/>
      <c r="G24" s="815"/>
      <c r="H24" s="816"/>
      <c r="I24" s="829"/>
      <c r="J24" s="830"/>
      <c r="K24" s="817"/>
      <c r="L24" s="818"/>
      <c r="M24" s="819"/>
      <c r="N24" s="820"/>
      <c r="O24" s="821"/>
      <c r="P24" s="27"/>
    </row>
    <row r="25" spans="1:17" s="28" customFormat="1" ht="21.75" customHeight="1">
      <c r="A25" s="833"/>
      <c r="B25" s="823"/>
      <c r="C25" s="824"/>
      <c r="D25" s="824"/>
      <c r="E25" s="814"/>
      <c r="F25" s="815"/>
      <c r="G25" s="815"/>
      <c r="H25" s="816"/>
      <c r="I25" s="829"/>
      <c r="J25" s="830"/>
      <c r="K25" s="817"/>
      <c r="L25" s="818"/>
      <c r="M25" s="819"/>
      <c r="N25" s="820"/>
      <c r="O25" s="821"/>
      <c r="P25" s="27"/>
    </row>
    <row r="26" spans="1:17" s="28" customFormat="1" ht="21.75" customHeight="1">
      <c r="A26" s="833"/>
      <c r="B26" s="823"/>
      <c r="C26" s="824"/>
      <c r="D26" s="824"/>
      <c r="E26" s="814"/>
      <c r="F26" s="815"/>
      <c r="G26" s="815"/>
      <c r="H26" s="816"/>
      <c r="I26" s="829"/>
      <c r="J26" s="830"/>
      <c r="K26" s="817"/>
      <c r="L26" s="818"/>
      <c r="M26" s="819"/>
      <c r="N26" s="820"/>
      <c r="O26" s="821"/>
      <c r="P26" s="27"/>
    </row>
    <row r="27" spans="1:17" s="28" customFormat="1" ht="21.75" customHeight="1">
      <c r="A27" s="833"/>
      <c r="B27" s="823"/>
      <c r="C27" s="824"/>
      <c r="D27" s="824"/>
      <c r="E27" s="814"/>
      <c r="F27" s="815"/>
      <c r="G27" s="815"/>
      <c r="H27" s="816"/>
      <c r="I27" s="829"/>
      <c r="J27" s="830"/>
      <c r="K27" s="817"/>
      <c r="L27" s="818"/>
      <c r="M27" s="819"/>
      <c r="N27" s="820"/>
      <c r="O27" s="821"/>
      <c r="P27" s="27"/>
    </row>
    <row r="28" spans="1:17" s="28" customFormat="1" ht="21.75" customHeight="1">
      <c r="A28" s="833"/>
      <c r="B28" s="823"/>
      <c r="C28" s="824"/>
      <c r="D28" s="824"/>
      <c r="E28" s="814"/>
      <c r="F28" s="815"/>
      <c r="G28" s="815"/>
      <c r="H28" s="816"/>
      <c r="I28" s="829"/>
      <c r="J28" s="830"/>
      <c r="K28" s="817"/>
      <c r="L28" s="818"/>
      <c r="M28" s="819"/>
      <c r="N28" s="820"/>
      <c r="O28" s="821"/>
      <c r="P28" s="27"/>
    </row>
    <row r="29" spans="1:17" s="28" customFormat="1" ht="21.75" customHeight="1">
      <c r="A29" s="833"/>
      <c r="B29" s="823"/>
      <c r="C29" s="824"/>
      <c r="D29" s="824"/>
      <c r="E29" s="814"/>
      <c r="F29" s="815"/>
      <c r="G29" s="815"/>
      <c r="H29" s="816"/>
      <c r="I29" s="829"/>
      <c r="J29" s="830"/>
      <c r="K29" s="817"/>
      <c r="L29" s="818"/>
      <c r="M29" s="819"/>
      <c r="N29" s="820"/>
      <c r="O29" s="821"/>
      <c r="P29" s="27"/>
    </row>
    <row r="30" spans="1:17" s="28" customFormat="1" ht="21.75" customHeight="1">
      <c r="A30" s="833"/>
      <c r="B30" s="823"/>
      <c r="C30" s="824"/>
      <c r="D30" s="824"/>
      <c r="E30" s="814"/>
      <c r="F30" s="815"/>
      <c r="G30" s="815"/>
      <c r="H30" s="816"/>
      <c r="I30" s="829"/>
      <c r="J30" s="830"/>
      <c r="K30" s="817"/>
      <c r="L30" s="818"/>
      <c r="M30" s="819"/>
      <c r="N30" s="820"/>
      <c r="O30" s="821"/>
      <c r="P30" s="27"/>
    </row>
    <row r="31" spans="1:17" s="28" customFormat="1" ht="21.75" customHeight="1">
      <c r="A31" s="833"/>
      <c r="B31" s="823"/>
      <c r="C31" s="824"/>
      <c r="D31" s="824"/>
      <c r="E31" s="814"/>
      <c r="F31" s="815"/>
      <c r="G31" s="815"/>
      <c r="H31" s="816"/>
      <c r="I31" s="829"/>
      <c r="J31" s="830"/>
      <c r="K31" s="817"/>
      <c r="L31" s="818"/>
      <c r="M31" s="819"/>
      <c r="N31" s="820"/>
      <c r="O31" s="821"/>
      <c r="P31" s="27"/>
    </row>
    <row r="32" spans="1:17" s="28" customFormat="1" ht="21.75" customHeight="1">
      <c r="A32" s="833"/>
      <c r="B32" s="823"/>
      <c r="C32" s="824"/>
      <c r="D32" s="824"/>
      <c r="E32" s="835"/>
      <c r="F32" s="836"/>
      <c r="G32" s="836"/>
      <c r="H32" s="819"/>
      <c r="I32" s="829"/>
      <c r="J32" s="830"/>
      <c r="K32" s="817"/>
      <c r="L32" s="818"/>
      <c r="M32" s="819"/>
      <c r="N32" s="820"/>
      <c r="O32" s="821"/>
      <c r="P32" s="27"/>
    </row>
    <row r="33" spans="1:22" s="26" customFormat="1" ht="21.75" customHeight="1">
      <c r="A33" s="800"/>
      <c r="B33" s="801"/>
      <c r="C33" s="801"/>
      <c r="D33" s="802"/>
      <c r="E33" s="803"/>
      <c r="F33" s="804"/>
      <c r="G33" s="804"/>
      <c r="H33" s="805"/>
      <c r="I33" s="829"/>
      <c r="J33" s="830"/>
      <c r="K33" s="817"/>
      <c r="L33" s="818"/>
      <c r="M33" s="819"/>
      <c r="N33" s="809"/>
      <c r="O33" s="810"/>
      <c r="P33" s="25"/>
    </row>
    <row r="34" spans="1:22" s="26" customFormat="1" ht="21.75" customHeight="1">
      <c r="A34" s="800"/>
      <c r="B34" s="801"/>
      <c r="C34" s="801"/>
      <c r="D34" s="802"/>
      <c r="E34" s="803"/>
      <c r="F34" s="804"/>
      <c r="G34" s="804"/>
      <c r="H34" s="805"/>
      <c r="I34" s="837"/>
      <c r="J34" s="838"/>
      <c r="K34" s="807"/>
      <c r="L34" s="839"/>
      <c r="M34" s="805"/>
      <c r="N34" s="809"/>
      <c r="O34" s="810"/>
      <c r="P34" s="25"/>
    </row>
    <row r="35" spans="1:22" s="26" customFormat="1" ht="21.75" customHeight="1">
      <c r="A35" s="800"/>
      <c r="B35" s="801"/>
      <c r="C35" s="801"/>
      <c r="D35" s="802"/>
      <c r="E35" s="803"/>
      <c r="F35" s="804"/>
      <c r="G35" s="804"/>
      <c r="H35" s="805"/>
      <c r="I35" s="802"/>
      <c r="J35" s="838"/>
      <c r="K35" s="807"/>
      <c r="L35" s="839"/>
      <c r="M35" s="805"/>
      <c r="N35" s="809"/>
      <c r="O35" s="810"/>
      <c r="P35" s="25"/>
    </row>
    <row r="36" spans="1:22" s="26" customFormat="1" ht="21.75" customHeight="1">
      <c r="A36" s="800"/>
      <c r="B36" s="801"/>
      <c r="C36" s="801"/>
      <c r="D36" s="802"/>
      <c r="E36" s="803"/>
      <c r="F36" s="804"/>
      <c r="G36" s="804"/>
      <c r="H36" s="805"/>
      <c r="I36" s="802"/>
      <c r="J36" s="838"/>
      <c r="K36" s="807"/>
      <c r="L36" s="808"/>
      <c r="M36" s="805"/>
      <c r="N36" s="809"/>
      <c r="O36" s="810"/>
      <c r="P36" s="25"/>
    </row>
    <row r="37" spans="1:22" s="26" customFormat="1" ht="21.75" customHeight="1">
      <c r="A37" s="800"/>
      <c r="B37" s="801"/>
      <c r="C37" s="801"/>
      <c r="D37" s="802"/>
      <c r="E37" s="803"/>
      <c r="F37" s="804"/>
      <c r="G37" s="804"/>
      <c r="H37" s="805"/>
      <c r="I37" s="802"/>
      <c r="J37" s="838"/>
      <c r="K37" s="807"/>
      <c r="L37" s="808"/>
      <c r="M37" s="840"/>
      <c r="N37" s="809"/>
      <c r="O37" s="810"/>
      <c r="P37" s="25"/>
    </row>
    <row r="38" spans="1:22" s="26" customFormat="1" ht="25.5" customHeight="1" thickBot="1">
      <c r="A38" s="841" t="s">
        <v>177</v>
      </c>
      <c r="B38" s="842"/>
      <c r="C38" s="843"/>
      <c r="D38" s="843">
        <f ca="1">SUM(INDIRECT(ADDRESS(13,COLUMN())):INDIRECT(ADDRESS(ROW()-1,COLUMN(),)))</f>
        <v>131768187.12246411</v>
      </c>
      <c r="E38" s="844"/>
      <c r="F38" s="845">
        <f ca="1">SUM(INDIRECT(ADDRESS(13,COLUMN())):INDIRECT(ADDRESS(ROW()-1,COLUMN(),)))</f>
        <v>-5208230.38</v>
      </c>
      <c r="G38" s="845"/>
      <c r="H38" s="846">
        <f ca="1">SUM(INDIRECT(ADDRESS(13,COLUMN())):INDIRECT(ADDRESS(ROW()-1,COLUMN(),)))</f>
        <v>5208230.38</v>
      </c>
      <c r="I38" s="847"/>
      <c r="J38" s="848">
        <f ca="1">SUM(INDIRECT(ADDRESS(13,COLUMN())):INDIRECT(ADDRESS(ROW()-1,COLUMN(),)))</f>
        <v>131768187.12246411</v>
      </c>
      <c r="K38" s="849"/>
      <c r="L38" s="850">
        <f ca="1">SUM(INDIRECT(ADDRESS(13,COLUMN())):INDIRECT(ADDRESS(ROW()-1,COLUMN(),)))</f>
        <v>168903430.07142112</v>
      </c>
      <c r="M38" s="846"/>
      <c r="N38" s="851">
        <f ca="1">L38-J38</f>
        <v>37135242.948957011</v>
      </c>
      <c r="O38" s="852">
        <f ca="1">N38/J38</f>
        <v>0.28182252302252492</v>
      </c>
      <c r="P38" s="25"/>
      <c r="Q38" s="25"/>
      <c r="R38" s="25"/>
      <c r="S38" s="25"/>
      <c r="U38" s="25"/>
      <c r="V38" s="25"/>
    </row>
  </sheetData>
  <mergeCells count="9">
    <mergeCell ref="L3:N3"/>
    <mergeCell ref="K9:L11"/>
    <mergeCell ref="M9:O11"/>
    <mergeCell ref="C10:D10"/>
    <mergeCell ref="E10:F10"/>
    <mergeCell ref="G10:H10"/>
    <mergeCell ref="E11:F11"/>
    <mergeCell ref="G11:H11"/>
    <mergeCell ref="B6:C6"/>
  </mergeCells>
  <pageMargins left="0.7" right="0.7" top="0.75" bottom="0.75" header="0.3" footer="0.3"/>
  <pageSetup paperSize="9" scale="57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rgb="FFFF0000"/>
  </sheetPr>
  <dimension ref="A1:AG154"/>
  <sheetViews>
    <sheetView showGridLines="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F18" sqref="F18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>
      <c r="A1" s="31"/>
    </row>
    <row r="2" spans="1:33" ht="15" customHeight="1" thickBot="1">
      <c r="B2" s="36"/>
      <c r="G2" s="37"/>
    </row>
    <row r="3" spans="1:33" ht="23.25" customHeight="1" thickBot="1">
      <c r="A3" s="2049" t="s">
        <v>178</v>
      </c>
      <c r="B3" s="2050"/>
      <c r="C3" s="2050"/>
      <c r="D3" s="2050"/>
      <c r="E3" s="2050"/>
      <c r="F3" s="2050"/>
      <c r="G3" s="2050"/>
      <c r="H3" s="2050"/>
      <c r="I3" s="2050"/>
      <c r="J3" s="2050"/>
      <c r="K3" s="2050"/>
      <c r="L3" s="2050"/>
      <c r="M3" s="2050"/>
      <c r="N3" s="2050"/>
      <c r="O3" s="2050"/>
      <c r="P3" s="2050"/>
      <c r="Q3" s="2050"/>
      <c r="R3" s="2050"/>
      <c r="S3" s="2050"/>
      <c r="T3" s="2050"/>
      <c r="U3" s="2050"/>
      <c r="V3" s="2050"/>
      <c r="W3" s="2051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81">
        <v>21.5</v>
      </c>
      <c r="F5" s="181">
        <v>21.5</v>
      </c>
      <c r="G5" s="181">
        <v>21.5</v>
      </c>
      <c r="H5" s="181">
        <v>21.5</v>
      </c>
      <c r="I5" s="41"/>
      <c r="J5" s="181">
        <f>H5</f>
        <v>21.5</v>
      </c>
      <c r="K5" s="42"/>
      <c r="L5" s="181">
        <f>IFERROR(L6/(L11+L67+L119),"")</f>
        <v>226.0445571423945</v>
      </c>
      <c r="M5" s="181">
        <f>IFERROR(J5-L5,"")</f>
        <v>-204.5445571423945</v>
      </c>
      <c r="N5" s="41"/>
      <c r="O5" s="181">
        <f>H5</f>
        <v>21.5</v>
      </c>
      <c r="P5" s="42"/>
      <c r="Q5" s="181" t="str">
        <f>IFERROR(Q6/(Q11+Q67+Q119),"")</f>
        <v/>
      </c>
      <c r="R5" s="181" t="str">
        <f>IFERROR(O5-Q5,"")</f>
        <v/>
      </c>
      <c r="S5" s="41"/>
      <c r="T5" s="181">
        <f>H5</f>
        <v>21.5</v>
      </c>
      <c r="U5" s="43"/>
      <c r="V5" s="181">
        <f>IFERROR(V6/(V11+V67+V119),"")</f>
        <v>39.60967503501351</v>
      </c>
      <c r="W5" s="181">
        <f>IFERROR(H5-V5,"")</f>
        <v>-18.10967503501351</v>
      </c>
      <c r="X5" s="44"/>
      <c r="AD5" s="181">
        <v>21.5</v>
      </c>
      <c r="AE5" s="42"/>
      <c r="AF5" s="181">
        <v>226.0445571423945</v>
      </c>
      <c r="AG5" s="181">
        <v>-204.5445571423945</v>
      </c>
    </row>
    <row r="6" spans="1:33" s="37" customFormat="1" ht="13.5" customHeight="1" thickBot="1">
      <c r="B6" s="45" t="s">
        <v>170</v>
      </c>
      <c r="C6" s="46"/>
      <c r="E6" s="182">
        <f>IFERROR(E5*(E11+E67),"")</f>
        <v>75178182.225549996</v>
      </c>
      <c r="F6" s="182">
        <f>IFERROR(F5*(F11+F67),"")</f>
        <v>0</v>
      </c>
      <c r="G6" s="182">
        <f>IFERROR(G5*(G11+G67),"")</f>
        <v>0</v>
      </c>
      <c r="H6" s="182">
        <f>IFERROR(H5*(H11+H67),"")</f>
        <v>75178182.225549996</v>
      </c>
      <c r="I6" s="46"/>
      <c r="J6" s="182">
        <f>IFERROR(J5*(J11+J67),"")</f>
        <v>774205.84934199997</v>
      </c>
      <c r="L6" s="182">
        <f>IFERROR(Q6+AF6,"")</f>
        <v>13960059.76</v>
      </c>
      <c r="M6" s="182">
        <f>IFERROR(J6-L6,"")</f>
        <v>-13185853.910658</v>
      </c>
      <c r="N6" s="46"/>
      <c r="O6" s="182">
        <f>IFERROR(O5*(O11+O67),"")</f>
        <v>0</v>
      </c>
      <c r="Q6" s="183"/>
      <c r="R6" s="182">
        <f>IFERROR(O6-Q6,"")</f>
        <v>0</v>
      </c>
      <c r="S6" s="46"/>
      <c r="T6" s="182">
        <f>IFERROR(T5*(T11+T67),"")</f>
        <v>14402951.000499999</v>
      </c>
      <c r="U6" s="47"/>
      <c r="V6" s="182">
        <f>IFERROR(L6+T6,"")</f>
        <v>28363010.760499999</v>
      </c>
      <c r="W6" s="182">
        <f>IFERROR(H6-V6,"")</f>
        <v>46815171.465049997</v>
      </c>
      <c r="X6" s="48"/>
      <c r="AD6" s="182">
        <v>774205.84934199997</v>
      </c>
      <c r="AF6" s="182">
        <v>13960059.76</v>
      </c>
      <c r="AG6" s="182">
        <v>-13185853.910658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 t="s">
        <v>180</v>
      </c>
      <c r="L7" s="49"/>
      <c r="M7" s="49"/>
      <c r="N7" s="50"/>
      <c r="O7" s="49"/>
      <c r="P7" s="53" t="s">
        <v>180</v>
      </c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 t="s">
        <v>180</v>
      </c>
      <c r="AF7" s="49"/>
      <c r="AG7" s="49"/>
    </row>
    <row r="8" spans="1:33" ht="18" customHeight="1" thickBot="1">
      <c r="A8" s="49"/>
      <c r="B8" s="56"/>
      <c r="C8" s="57"/>
      <c r="E8" s="339" t="s">
        <v>181</v>
      </c>
      <c r="F8" s="340" t="s">
        <v>182</v>
      </c>
      <c r="G8" s="340" t="s">
        <v>71</v>
      </c>
      <c r="H8" s="341" t="s">
        <v>181</v>
      </c>
      <c r="I8" s="58"/>
      <c r="J8" s="2052" t="s">
        <v>183</v>
      </c>
      <c r="K8" s="2053"/>
      <c r="L8" s="2053"/>
      <c r="M8" s="2054"/>
      <c r="N8" s="57"/>
      <c r="O8" s="2055" t="s">
        <v>184</v>
      </c>
      <c r="P8" s="2056"/>
      <c r="Q8" s="2056"/>
      <c r="R8" s="2057"/>
      <c r="S8" s="57"/>
      <c r="T8" s="342" t="s">
        <v>185</v>
      </c>
      <c r="U8" s="59"/>
      <c r="V8" s="2058" t="s">
        <v>186</v>
      </c>
      <c r="W8" s="2059"/>
      <c r="X8" s="60"/>
      <c r="AD8" s="2060" t="s">
        <v>187</v>
      </c>
      <c r="AE8" s="2061"/>
      <c r="AF8" s="2061"/>
      <c r="AG8" s="2062"/>
    </row>
    <row r="9" spans="1:33">
      <c r="A9" s="2063" t="s">
        <v>188</v>
      </c>
      <c r="B9" s="2065" t="s">
        <v>189</v>
      </c>
      <c r="C9" s="57" t="s">
        <v>190</v>
      </c>
      <c r="D9" s="343" t="s">
        <v>191</v>
      </c>
      <c r="E9" s="2067" t="s">
        <v>167</v>
      </c>
      <c r="F9" s="2068" t="s">
        <v>167</v>
      </c>
      <c r="G9" s="2068" t="s">
        <v>167</v>
      </c>
      <c r="H9" s="2041" t="s">
        <v>167</v>
      </c>
      <c r="I9" s="57" t="s">
        <v>190</v>
      </c>
      <c r="J9" s="2043" t="s">
        <v>192</v>
      </c>
      <c r="K9" s="2044"/>
      <c r="L9" s="344" t="s">
        <v>193</v>
      </c>
      <c r="M9" s="345" t="s">
        <v>194</v>
      </c>
      <c r="N9" s="57" t="s">
        <v>190</v>
      </c>
      <c r="O9" s="2045" t="s">
        <v>192</v>
      </c>
      <c r="P9" s="2046"/>
      <c r="Q9" s="346" t="s">
        <v>193</v>
      </c>
      <c r="R9" s="347" t="s">
        <v>194</v>
      </c>
      <c r="S9" s="57" t="s">
        <v>190</v>
      </c>
      <c r="T9" s="2047" t="s">
        <v>195</v>
      </c>
      <c r="U9" s="59" t="s">
        <v>190</v>
      </c>
      <c r="V9" s="1768" t="s">
        <v>193</v>
      </c>
      <c r="W9" s="345" t="s">
        <v>196</v>
      </c>
      <c r="X9" s="60"/>
      <c r="AD9" s="2045" t="s">
        <v>192</v>
      </c>
      <c r="AE9" s="2044"/>
      <c r="AF9" s="344" t="s">
        <v>193</v>
      </c>
      <c r="AG9" s="348" t="s">
        <v>194</v>
      </c>
    </row>
    <row r="10" spans="1:33" ht="13.5" customHeight="1" thickBot="1">
      <c r="A10" s="2064"/>
      <c r="B10" s="2066"/>
      <c r="C10" s="50"/>
      <c r="D10" s="184" t="s">
        <v>197</v>
      </c>
      <c r="E10" s="2064"/>
      <c r="F10" s="2069"/>
      <c r="G10" s="2069"/>
      <c r="H10" s="2042"/>
      <c r="I10" s="50"/>
      <c r="J10" s="185" t="s">
        <v>167</v>
      </c>
      <c r="K10" s="61" t="s">
        <v>43</v>
      </c>
      <c r="L10" s="62" t="s">
        <v>167</v>
      </c>
      <c r="M10" s="349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48"/>
      <c r="U10" s="54"/>
      <c r="V10" s="185" t="s">
        <v>167</v>
      </c>
      <c r="W10" s="349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278"/>
      <c r="B11" s="279" t="s">
        <v>198</v>
      </c>
      <c r="C11" s="69"/>
      <c r="D11" s="280" t="s">
        <v>199</v>
      </c>
      <c r="E11" s="281">
        <f>E12+E24+E35+E38+E41+E57</f>
        <v>2928935.8180720927</v>
      </c>
      <c r="F11" s="282">
        <f>F12+F24+F35+F38+F41+F57</f>
        <v>0</v>
      </c>
      <c r="G11" s="282">
        <f>G12+G24+G35+G38+G41+G57</f>
        <v>0</v>
      </c>
      <c r="H11" s="283">
        <f>H12+H24+H35+H38+H41+H57</f>
        <v>2928935.8180720927</v>
      </c>
      <c r="I11" s="70"/>
      <c r="J11" s="186">
        <f>J12+J24+J35+J38+J41+J57</f>
        <v>6478.7948880000004</v>
      </c>
      <c r="K11" s="187">
        <f>IFERROR(J11/H11,"")</f>
        <v>2.2119961960329073E-3</v>
      </c>
      <c r="L11" s="188">
        <f>L12+L24+L35+L38+L41+L57</f>
        <v>6927</v>
      </c>
      <c r="M11" s="189">
        <f>M12+M24+M35+M38+M41+M57</f>
        <v>-448.20511199999976</v>
      </c>
      <c r="N11" s="70"/>
      <c r="O11" s="190">
        <f>O12+O24+O35+O38+O41+O57</f>
        <v>0</v>
      </c>
      <c r="P11" s="191">
        <f>IFERROR(O11/H11,"")</f>
        <v>0</v>
      </c>
      <c r="Q11" s="192">
        <f>Q12+Q24+Q35+Q38+Q41+Q57</f>
        <v>0</v>
      </c>
      <c r="R11" s="193">
        <f>R12+R24+R35+R38+R41+R57</f>
        <v>0</v>
      </c>
      <c r="S11" s="70"/>
      <c r="T11" s="194">
        <f>T12+T24+T35+T38+T41+T57</f>
        <v>261881.780372093</v>
      </c>
      <c r="U11" s="71"/>
      <c r="V11" s="195">
        <f>V12+V24+V35+V38+V41+V57</f>
        <v>268808.78037209297</v>
      </c>
      <c r="W11" s="196">
        <f>W12+W24+W35+W38+W41+W57</f>
        <v>2660127.0376999998</v>
      </c>
      <c r="X11" s="72"/>
      <c r="AD11" s="197">
        <v>6478.7948880000004</v>
      </c>
      <c r="AE11" s="198">
        <v>1.9696228054373936E-2</v>
      </c>
      <c r="AF11" s="199">
        <v>6927</v>
      </c>
      <c r="AG11" s="200">
        <v>-448.20511199999976</v>
      </c>
    </row>
    <row r="12" spans="1:33" s="76" customFormat="1" ht="19.5" customHeight="1" thickBot="1">
      <c r="A12" s="256" t="s">
        <v>200</v>
      </c>
      <c r="B12" s="257" t="s">
        <v>201</v>
      </c>
      <c r="C12" s="74"/>
      <c r="D12" s="258" t="s">
        <v>199</v>
      </c>
      <c r="E12" s="259">
        <f>SUM(E13:E23)</f>
        <v>2608883.7826999999</v>
      </c>
      <c r="F12" s="201">
        <f>SUM(F13:F23)</f>
        <v>0</v>
      </c>
      <c r="G12" s="201">
        <f>SUM(G13:G23)</f>
        <v>0</v>
      </c>
      <c r="H12" s="246">
        <f>SUM(H13:H23)</f>
        <v>2608883.7826999999</v>
      </c>
      <c r="I12" s="75"/>
      <c r="J12" s="202">
        <f>SUM(J13:J23)</f>
        <v>5631.6965380000001</v>
      </c>
      <c r="K12" s="203">
        <f>IFERROR(J12/H12,"")</f>
        <v>2.1586613306981482E-3</v>
      </c>
      <c r="L12" s="204">
        <f>SUM(L13:L23)</f>
        <v>6081</v>
      </c>
      <c r="M12" s="205">
        <f>SUM(M13:M23)</f>
        <v>-449.30346199999963</v>
      </c>
      <c r="N12" s="75"/>
      <c r="O12" s="206">
        <f>SUM(O13:O23)</f>
        <v>0</v>
      </c>
      <c r="P12" s="207">
        <f>IFERROR(O12/H12,"")</f>
        <v>0</v>
      </c>
      <c r="Q12" s="208">
        <f>SUM(Q13:Q23)</f>
        <v>0</v>
      </c>
      <c r="R12" s="209">
        <f>SUM(R13:R23)</f>
        <v>0</v>
      </c>
      <c r="S12" s="75"/>
      <c r="T12" s="210">
        <f>SUM(T13:T23)</f>
        <v>0</v>
      </c>
      <c r="U12" s="75"/>
      <c r="V12" s="202">
        <f>SUM(V13:V23)</f>
        <v>6081</v>
      </c>
      <c r="W12" s="205">
        <f>SUM(W13:W23)</f>
        <v>2602802.7826999999</v>
      </c>
      <c r="X12" s="72"/>
      <c r="AD12" s="211">
        <v>5631.6965380000001</v>
      </c>
      <c r="AE12" s="212">
        <v>0.63393001924731895</v>
      </c>
      <c r="AF12" s="213">
        <v>6081</v>
      </c>
      <c r="AG12" s="214">
        <v>-449.30346199999963</v>
      </c>
    </row>
    <row r="13" spans="1:33" s="80" customFormat="1" ht="15" customHeight="1">
      <c r="A13" s="215"/>
      <c r="B13" s="216" t="s">
        <v>202</v>
      </c>
      <c r="C13" s="50"/>
      <c r="D13" s="217" t="s">
        <v>199</v>
      </c>
      <c r="E13" s="218">
        <v>410.8</v>
      </c>
      <c r="F13" s="219"/>
      <c r="G13" s="219"/>
      <c r="H13" s="220">
        <f>SUM(E13:G13)</f>
        <v>410.8</v>
      </c>
      <c r="I13" s="77"/>
      <c r="J13" s="221">
        <f>H13*K13/100</f>
        <v>291.66800000000001</v>
      </c>
      <c r="K13" s="222">
        <f>'BETON Qte'!K13</f>
        <v>71</v>
      </c>
      <c r="L13" s="219">
        <f>Q13+AF13</f>
        <v>375</v>
      </c>
      <c r="M13" s="220">
        <f>J13-L13</f>
        <v>-83.331999999999994</v>
      </c>
      <c r="N13" s="77"/>
      <c r="O13" s="223">
        <f>J13-AD13</f>
        <v>0</v>
      </c>
      <c r="P13" s="224">
        <f>IFERROR(O13/H13,0)</f>
        <v>0</v>
      </c>
      <c r="Q13" s="225"/>
      <c r="R13" s="226">
        <f>O13-Q13</f>
        <v>0</v>
      </c>
      <c r="S13" s="77"/>
      <c r="T13" s="227">
        <v>0</v>
      </c>
      <c r="U13" s="78"/>
      <c r="V13" s="221">
        <f>L13+T13</f>
        <v>375</v>
      </c>
      <c r="W13" s="220">
        <f>H13-V13</f>
        <v>35.800000000000011</v>
      </c>
      <c r="X13" s="79"/>
      <c r="AD13" s="228">
        <v>291.66800000000001</v>
      </c>
      <c r="AE13" s="229">
        <v>71</v>
      </c>
      <c r="AF13" s="230">
        <v>375</v>
      </c>
      <c r="AG13" s="231">
        <v>-83.331999999999994</v>
      </c>
    </row>
    <row r="14" spans="1:33" s="80" customFormat="1" ht="15" customHeight="1">
      <c r="A14" s="215"/>
      <c r="B14" s="216" t="s">
        <v>203</v>
      </c>
      <c r="C14" s="50"/>
      <c r="D14" s="217" t="s">
        <v>199</v>
      </c>
      <c r="E14" s="218">
        <v>304.20000000000005</v>
      </c>
      <c r="F14" s="219"/>
      <c r="G14" s="219"/>
      <c r="H14" s="220">
        <f t="shared" ref="H14:H23" si="0">SUM(E14:G14)</f>
        <v>304.20000000000005</v>
      </c>
      <c r="I14" s="77"/>
      <c r="J14" s="221">
        <f t="shared" ref="J14:J23" si="1">H14*K14/100</f>
        <v>203.81400000000002</v>
      </c>
      <c r="K14" s="222">
        <f>'BETON Qte'!K14</f>
        <v>67</v>
      </c>
      <c r="L14" s="219">
        <f t="shared" ref="L14:L23" si="2">Q14+AF14</f>
        <v>1</v>
      </c>
      <c r="M14" s="220">
        <f t="shared" ref="M14:M23" si="3">J14-L14</f>
        <v>202.81400000000002</v>
      </c>
      <c r="N14" s="77"/>
      <c r="O14" s="223">
        <f t="shared" ref="O14:O23" si="4">J14-AD14</f>
        <v>0</v>
      </c>
      <c r="P14" s="224">
        <f t="shared" ref="P14:P60" si="5">IFERROR(O14/H14,0)</f>
        <v>0</v>
      </c>
      <c r="Q14" s="225"/>
      <c r="R14" s="226">
        <f t="shared" ref="R14:R23" si="6">O14-Q14</f>
        <v>0</v>
      </c>
      <c r="S14" s="77"/>
      <c r="T14" s="227">
        <v>0</v>
      </c>
      <c r="U14" s="78"/>
      <c r="V14" s="221">
        <f t="shared" ref="V14:V23" si="7">L14+T14</f>
        <v>1</v>
      </c>
      <c r="W14" s="220">
        <f t="shared" ref="W14:W23" si="8">H14-V14</f>
        <v>303.20000000000005</v>
      </c>
      <c r="X14" s="79"/>
      <c r="AD14" s="228">
        <v>203.81400000000002</v>
      </c>
      <c r="AE14" s="229">
        <v>67</v>
      </c>
      <c r="AF14" s="230">
        <v>1</v>
      </c>
      <c r="AG14" s="231">
        <v>202.81400000000002</v>
      </c>
    </row>
    <row r="15" spans="1:33" s="80" customFormat="1" ht="15" customHeight="1">
      <c r="A15" s="215"/>
      <c r="B15" s="216" t="s">
        <v>204</v>
      </c>
      <c r="C15" s="50"/>
      <c r="D15" s="217" t="s">
        <v>199</v>
      </c>
      <c r="E15" s="218">
        <v>2600000</v>
      </c>
      <c r="F15" s="219"/>
      <c r="G15" s="219"/>
      <c r="H15" s="220">
        <f t="shared" si="0"/>
        <v>2600000</v>
      </c>
      <c r="I15" s="77"/>
      <c r="J15" s="221">
        <f t="shared" si="1"/>
        <v>0</v>
      </c>
      <c r="K15" s="222">
        <f>'BETON Qte'!K15</f>
        <v>0</v>
      </c>
      <c r="L15" s="219">
        <f t="shared" si="2"/>
        <v>252</v>
      </c>
      <c r="M15" s="220">
        <f t="shared" si="3"/>
        <v>-252</v>
      </c>
      <c r="N15" s="77"/>
      <c r="O15" s="223">
        <f t="shared" si="4"/>
        <v>0</v>
      </c>
      <c r="P15" s="224">
        <f t="shared" si="5"/>
        <v>0</v>
      </c>
      <c r="Q15" s="225"/>
      <c r="R15" s="226">
        <f t="shared" si="6"/>
        <v>0</v>
      </c>
      <c r="S15" s="77"/>
      <c r="T15" s="227">
        <v>0</v>
      </c>
      <c r="U15" s="78"/>
      <c r="V15" s="221">
        <f t="shared" si="7"/>
        <v>252</v>
      </c>
      <c r="W15" s="220">
        <f t="shared" si="8"/>
        <v>2599748</v>
      </c>
      <c r="X15" s="79"/>
      <c r="AD15" s="228">
        <v>0</v>
      </c>
      <c r="AE15" s="229">
        <v>0</v>
      </c>
      <c r="AF15" s="230">
        <v>252</v>
      </c>
      <c r="AG15" s="231">
        <v>-252</v>
      </c>
    </row>
    <row r="16" spans="1:33" s="80" customFormat="1" ht="15" customHeight="1">
      <c r="A16" s="215"/>
      <c r="B16" s="216" t="s">
        <v>205</v>
      </c>
      <c r="C16" s="50"/>
      <c r="D16" s="217" t="s">
        <v>199</v>
      </c>
      <c r="E16" s="218">
        <v>674.18000000000006</v>
      </c>
      <c r="F16" s="219"/>
      <c r="G16" s="219"/>
      <c r="H16" s="220">
        <f t="shared" si="0"/>
        <v>674.18000000000006</v>
      </c>
      <c r="I16" s="77"/>
      <c r="J16" s="221">
        <f t="shared" si="1"/>
        <v>330.34820000000002</v>
      </c>
      <c r="K16" s="222">
        <f>'BETON Qte'!K16</f>
        <v>49</v>
      </c>
      <c r="L16" s="219">
        <f t="shared" si="2"/>
        <v>54</v>
      </c>
      <c r="M16" s="220">
        <f t="shared" si="3"/>
        <v>276.34820000000002</v>
      </c>
      <c r="N16" s="77"/>
      <c r="O16" s="223">
        <f t="shared" si="4"/>
        <v>0</v>
      </c>
      <c r="P16" s="224">
        <f t="shared" si="5"/>
        <v>0</v>
      </c>
      <c r="Q16" s="225"/>
      <c r="R16" s="226">
        <f t="shared" si="6"/>
        <v>0</v>
      </c>
      <c r="S16" s="77"/>
      <c r="T16" s="227">
        <v>0</v>
      </c>
      <c r="U16" s="78"/>
      <c r="V16" s="221">
        <f t="shared" si="7"/>
        <v>54</v>
      </c>
      <c r="W16" s="220">
        <f t="shared" si="8"/>
        <v>620.18000000000006</v>
      </c>
      <c r="X16" s="79"/>
      <c r="AD16" s="228">
        <v>330.34820000000002</v>
      </c>
      <c r="AE16" s="229">
        <v>49</v>
      </c>
      <c r="AF16" s="230">
        <v>54</v>
      </c>
      <c r="AG16" s="231">
        <v>276.34820000000002</v>
      </c>
    </row>
    <row r="17" spans="1:33" s="80" customFormat="1" ht="15" customHeight="1">
      <c r="A17" s="215"/>
      <c r="B17" s="216" t="s">
        <v>206</v>
      </c>
      <c r="C17" s="50"/>
      <c r="D17" s="217" t="s">
        <v>199</v>
      </c>
      <c r="E17" s="218">
        <v>2488.9332000000004</v>
      </c>
      <c r="F17" s="219"/>
      <c r="G17" s="219"/>
      <c r="H17" s="220">
        <f t="shared" si="0"/>
        <v>2488.9332000000004</v>
      </c>
      <c r="I17" s="77"/>
      <c r="J17" s="221">
        <f t="shared" si="1"/>
        <v>1966.2572280000002</v>
      </c>
      <c r="K17" s="222">
        <f>'BETON Qte'!K17</f>
        <v>79</v>
      </c>
      <c r="L17" s="219">
        <f t="shared" si="2"/>
        <v>956</v>
      </c>
      <c r="M17" s="220">
        <f t="shared" si="3"/>
        <v>1010.2572280000002</v>
      </c>
      <c r="N17" s="77"/>
      <c r="O17" s="223">
        <f t="shared" si="4"/>
        <v>0</v>
      </c>
      <c r="P17" s="224">
        <f t="shared" si="5"/>
        <v>0</v>
      </c>
      <c r="Q17" s="225"/>
      <c r="R17" s="226">
        <f t="shared" si="6"/>
        <v>0</v>
      </c>
      <c r="S17" s="77"/>
      <c r="T17" s="227">
        <v>0</v>
      </c>
      <c r="U17" s="78"/>
      <c r="V17" s="221">
        <f t="shared" si="7"/>
        <v>956</v>
      </c>
      <c r="W17" s="220">
        <f t="shared" si="8"/>
        <v>1532.9332000000004</v>
      </c>
      <c r="X17" s="79"/>
      <c r="AD17" s="228">
        <v>1966.2572280000002</v>
      </c>
      <c r="AE17" s="229">
        <v>79</v>
      </c>
      <c r="AF17" s="230">
        <v>956</v>
      </c>
      <c r="AG17" s="231">
        <v>1010.2572280000002</v>
      </c>
    </row>
    <row r="18" spans="1:33" s="80" customFormat="1" ht="15" customHeight="1">
      <c r="A18" s="215"/>
      <c r="B18" s="216" t="s">
        <v>207</v>
      </c>
      <c r="C18" s="50"/>
      <c r="D18" s="217" t="s">
        <v>199</v>
      </c>
      <c r="E18" s="218">
        <v>1389.9599999999998</v>
      </c>
      <c r="F18" s="219"/>
      <c r="G18" s="219"/>
      <c r="H18" s="220">
        <f t="shared" si="0"/>
        <v>1389.9599999999998</v>
      </c>
      <c r="I18" s="77"/>
      <c r="J18" s="221">
        <f t="shared" si="1"/>
        <v>861.77519999999993</v>
      </c>
      <c r="K18" s="222">
        <f>'BETON Qte'!K18</f>
        <v>62</v>
      </c>
      <c r="L18" s="219">
        <f t="shared" si="2"/>
        <v>1307</v>
      </c>
      <c r="M18" s="220">
        <f t="shared" si="3"/>
        <v>-445.22480000000007</v>
      </c>
      <c r="N18" s="77"/>
      <c r="O18" s="223">
        <f t="shared" si="4"/>
        <v>0</v>
      </c>
      <c r="P18" s="224">
        <f t="shared" si="5"/>
        <v>0</v>
      </c>
      <c r="Q18" s="225"/>
      <c r="R18" s="226">
        <f t="shared" si="6"/>
        <v>0</v>
      </c>
      <c r="S18" s="77"/>
      <c r="T18" s="227">
        <v>0</v>
      </c>
      <c r="U18" s="78"/>
      <c r="V18" s="221">
        <f t="shared" si="7"/>
        <v>1307</v>
      </c>
      <c r="W18" s="220">
        <f t="shared" si="8"/>
        <v>82.959999999999809</v>
      </c>
      <c r="X18" s="79"/>
      <c r="AD18" s="228">
        <v>861.77519999999993</v>
      </c>
      <c r="AE18" s="229">
        <v>62</v>
      </c>
      <c r="AF18" s="230">
        <v>1307</v>
      </c>
      <c r="AG18" s="231">
        <v>-445.22480000000007</v>
      </c>
    </row>
    <row r="19" spans="1:33" s="80" customFormat="1" ht="15" customHeight="1">
      <c r="A19" s="215"/>
      <c r="B19" s="216" t="s">
        <v>208</v>
      </c>
      <c r="C19" s="50"/>
      <c r="D19" s="217" t="s">
        <v>199</v>
      </c>
      <c r="E19" s="218">
        <v>480.48</v>
      </c>
      <c r="F19" s="219"/>
      <c r="G19" s="219"/>
      <c r="H19" s="220">
        <f t="shared" si="0"/>
        <v>480.48</v>
      </c>
      <c r="I19" s="77"/>
      <c r="J19" s="221">
        <f t="shared" si="1"/>
        <v>384.38400000000001</v>
      </c>
      <c r="K19" s="222">
        <f>'BETON Qte'!K19</f>
        <v>80</v>
      </c>
      <c r="L19" s="219">
        <f t="shared" si="2"/>
        <v>506</v>
      </c>
      <c r="M19" s="220">
        <f t="shared" si="3"/>
        <v>-121.61599999999999</v>
      </c>
      <c r="N19" s="77"/>
      <c r="O19" s="223">
        <f t="shared" si="4"/>
        <v>0</v>
      </c>
      <c r="P19" s="224">
        <f t="shared" si="5"/>
        <v>0</v>
      </c>
      <c r="Q19" s="225"/>
      <c r="R19" s="226">
        <f t="shared" si="6"/>
        <v>0</v>
      </c>
      <c r="S19" s="77"/>
      <c r="T19" s="227">
        <v>0</v>
      </c>
      <c r="U19" s="78"/>
      <c r="V19" s="221">
        <f t="shared" si="7"/>
        <v>506</v>
      </c>
      <c r="W19" s="220">
        <f t="shared" si="8"/>
        <v>-25.519999999999982</v>
      </c>
      <c r="X19" s="79"/>
      <c r="AD19" s="228">
        <v>384.38400000000001</v>
      </c>
      <c r="AE19" s="229">
        <v>80</v>
      </c>
      <c r="AF19" s="230">
        <v>506</v>
      </c>
      <c r="AG19" s="231">
        <v>-121.61599999999999</v>
      </c>
    </row>
    <row r="20" spans="1:33" s="80" customFormat="1" ht="15" customHeight="1">
      <c r="A20" s="215"/>
      <c r="B20" s="216" t="s">
        <v>209</v>
      </c>
      <c r="C20" s="50"/>
      <c r="D20" s="217" t="s">
        <v>199</v>
      </c>
      <c r="E20" s="218">
        <v>2255.3895000000002</v>
      </c>
      <c r="F20" s="219"/>
      <c r="G20" s="219"/>
      <c r="H20" s="220">
        <f t="shared" si="0"/>
        <v>2255.3895000000002</v>
      </c>
      <c r="I20" s="77"/>
      <c r="J20" s="221">
        <f t="shared" si="1"/>
        <v>1308.1259100000002</v>
      </c>
      <c r="K20" s="222">
        <f>'BETON Qte'!K20</f>
        <v>58</v>
      </c>
      <c r="L20" s="219">
        <f t="shared" si="2"/>
        <v>904</v>
      </c>
      <c r="M20" s="220">
        <f t="shared" si="3"/>
        <v>404.1259100000002</v>
      </c>
      <c r="N20" s="77"/>
      <c r="O20" s="223">
        <f t="shared" si="4"/>
        <v>0</v>
      </c>
      <c r="P20" s="224">
        <f t="shared" si="5"/>
        <v>0</v>
      </c>
      <c r="Q20" s="225"/>
      <c r="R20" s="226">
        <f t="shared" si="6"/>
        <v>0</v>
      </c>
      <c r="S20" s="77"/>
      <c r="T20" s="227">
        <v>0</v>
      </c>
      <c r="U20" s="78"/>
      <c r="V20" s="221">
        <f t="shared" si="7"/>
        <v>904</v>
      </c>
      <c r="W20" s="220">
        <f t="shared" si="8"/>
        <v>1351.3895000000002</v>
      </c>
      <c r="X20" s="79"/>
      <c r="AD20" s="228">
        <v>1308.1259100000002</v>
      </c>
      <c r="AE20" s="229">
        <v>58</v>
      </c>
      <c r="AF20" s="230">
        <v>904</v>
      </c>
      <c r="AG20" s="231">
        <v>404.1259100000002</v>
      </c>
    </row>
    <row r="21" spans="1:33" s="80" customFormat="1" ht="15" customHeight="1">
      <c r="A21" s="215"/>
      <c r="B21" s="216" t="s">
        <v>210</v>
      </c>
      <c r="C21" s="50"/>
      <c r="D21" s="217" t="s">
        <v>199</v>
      </c>
      <c r="E21" s="218">
        <v>764.4</v>
      </c>
      <c r="F21" s="219"/>
      <c r="G21" s="219"/>
      <c r="H21" s="220">
        <f t="shared" si="0"/>
        <v>764.4</v>
      </c>
      <c r="I21" s="77"/>
      <c r="J21" s="221">
        <f t="shared" si="1"/>
        <v>198.74399999999997</v>
      </c>
      <c r="K21" s="222">
        <f>'BETON Qte'!K21</f>
        <v>26</v>
      </c>
      <c r="L21" s="219">
        <f t="shared" si="2"/>
        <v>575</v>
      </c>
      <c r="M21" s="220">
        <f t="shared" si="3"/>
        <v>-376.25600000000003</v>
      </c>
      <c r="N21" s="77"/>
      <c r="O21" s="223">
        <f t="shared" si="4"/>
        <v>0</v>
      </c>
      <c r="P21" s="224">
        <f t="shared" si="5"/>
        <v>0</v>
      </c>
      <c r="Q21" s="225"/>
      <c r="R21" s="226">
        <f t="shared" si="6"/>
        <v>0</v>
      </c>
      <c r="S21" s="77"/>
      <c r="T21" s="227">
        <v>0</v>
      </c>
      <c r="U21" s="78"/>
      <c r="V21" s="221">
        <f t="shared" si="7"/>
        <v>575</v>
      </c>
      <c r="W21" s="220">
        <f t="shared" si="8"/>
        <v>189.39999999999998</v>
      </c>
      <c r="X21" s="79"/>
      <c r="AD21" s="228">
        <v>198.74399999999997</v>
      </c>
      <c r="AE21" s="229">
        <v>26</v>
      </c>
      <c r="AF21" s="230">
        <v>575</v>
      </c>
      <c r="AG21" s="231">
        <v>-376.25600000000003</v>
      </c>
    </row>
    <row r="22" spans="1:33" s="80" customFormat="1" ht="15" customHeight="1">
      <c r="A22" s="215"/>
      <c r="B22" s="216" t="s">
        <v>211</v>
      </c>
      <c r="C22" s="50"/>
      <c r="D22" s="217" t="s">
        <v>199</v>
      </c>
      <c r="E22" s="218">
        <v>115.44</v>
      </c>
      <c r="F22" s="219"/>
      <c r="G22" s="219"/>
      <c r="H22" s="220">
        <f t="shared" si="0"/>
        <v>115.44</v>
      </c>
      <c r="I22" s="77"/>
      <c r="J22" s="221">
        <f t="shared" si="1"/>
        <v>86.58</v>
      </c>
      <c r="K22" s="222">
        <f>'BETON Qte'!K22</f>
        <v>75</v>
      </c>
      <c r="L22" s="219">
        <f t="shared" si="2"/>
        <v>1151</v>
      </c>
      <c r="M22" s="220">
        <f t="shared" si="3"/>
        <v>-1064.42</v>
      </c>
      <c r="N22" s="81"/>
      <c r="O22" s="223">
        <f t="shared" si="4"/>
        <v>0</v>
      </c>
      <c r="P22" s="224">
        <f t="shared" si="5"/>
        <v>0</v>
      </c>
      <c r="Q22" s="225"/>
      <c r="R22" s="232">
        <f t="shared" si="6"/>
        <v>0</v>
      </c>
      <c r="S22" s="77"/>
      <c r="T22" s="227">
        <v>0</v>
      </c>
      <c r="U22" s="78"/>
      <c r="V22" s="221">
        <f t="shared" si="7"/>
        <v>1151</v>
      </c>
      <c r="W22" s="220">
        <f t="shared" si="8"/>
        <v>-1035.56</v>
      </c>
      <c r="X22" s="79"/>
      <c r="AD22" s="228">
        <v>86.58</v>
      </c>
      <c r="AE22" s="229">
        <v>75</v>
      </c>
      <c r="AF22" s="230">
        <v>1151</v>
      </c>
      <c r="AG22" s="231">
        <v>-1064.42</v>
      </c>
    </row>
    <row r="23" spans="1:33" s="80" customFormat="1" ht="15" customHeight="1" thickBot="1">
      <c r="A23" s="215"/>
      <c r="B23" s="216" t="s">
        <v>212</v>
      </c>
      <c r="C23" s="50"/>
      <c r="D23" s="217" t="s">
        <v>199</v>
      </c>
      <c r="E23" s="218">
        <v>0</v>
      </c>
      <c r="F23" s="219"/>
      <c r="G23" s="219"/>
      <c r="H23" s="220">
        <f t="shared" si="0"/>
        <v>0</v>
      </c>
      <c r="I23" s="77"/>
      <c r="J23" s="233">
        <f t="shared" si="1"/>
        <v>0</v>
      </c>
      <c r="K23" s="234">
        <f>'BETON Qte'!K23</f>
        <v>0</v>
      </c>
      <c r="L23" s="235">
        <f t="shared" si="2"/>
        <v>0</v>
      </c>
      <c r="M23" s="236">
        <f t="shared" si="3"/>
        <v>0</v>
      </c>
      <c r="N23" s="77"/>
      <c r="O23" s="237">
        <f t="shared" si="4"/>
        <v>0</v>
      </c>
      <c r="P23" s="238">
        <f t="shared" si="5"/>
        <v>0</v>
      </c>
      <c r="Q23" s="239"/>
      <c r="R23" s="240">
        <f t="shared" si="6"/>
        <v>0</v>
      </c>
      <c r="S23" s="77"/>
      <c r="T23" s="227">
        <v>0</v>
      </c>
      <c r="U23" s="78"/>
      <c r="V23" s="233">
        <f t="shared" si="7"/>
        <v>0</v>
      </c>
      <c r="W23" s="236">
        <f t="shared" si="8"/>
        <v>0</v>
      </c>
      <c r="X23" s="79"/>
      <c r="AD23" s="241">
        <v>0</v>
      </c>
      <c r="AE23" s="242">
        <v>0</v>
      </c>
      <c r="AF23" s="243">
        <v>0</v>
      </c>
      <c r="AG23" s="244">
        <v>0</v>
      </c>
    </row>
    <row r="24" spans="1:33" s="76" customFormat="1" ht="19.5" customHeight="1" thickBot="1">
      <c r="A24" s="256" t="s">
        <v>213</v>
      </c>
      <c r="B24" s="257" t="s">
        <v>214</v>
      </c>
      <c r="C24" s="74"/>
      <c r="D24" s="258" t="s">
        <v>199</v>
      </c>
      <c r="E24" s="259">
        <f>SUM(E25:E34)</f>
        <v>151912.91700000002</v>
      </c>
      <c r="F24" s="201">
        <f>SUM(F25:F34)</f>
        <v>0</v>
      </c>
      <c r="G24" s="201">
        <f>SUM(G25:G34)</f>
        <v>0</v>
      </c>
      <c r="H24" s="246">
        <f>SUM(H25:H34)</f>
        <v>151912.91700000002</v>
      </c>
      <c r="I24" s="75"/>
      <c r="J24" s="245">
        <f>SUM(J25:J34)</f>
        <v>847.09834999999987</v>
      </c>
      <c r="K24" s="260">
        <f>IFERROR(J24/H24,"")</f>
        <v>5.5762101520307177E-3</v>
      </c>
      <c r="L24" s="201">
        <f>SUM(L25:L34)</f>
        <v>846</v>
      </c>
      <c r="M24" s="246">
        <f>SUM(M25:M34)</f>
        <v>1.0983499999998969</v>
      </c>
      <c r="N24" s="75"/>
      <c r="O24" s="247">
        <f>SUM(O25:O34)</f>
        <v>0</v>
      </c>
      <c r="P24" s="248">
        <f>IFERROR(O24/H24,"")</f>
        <v>0</v>
      </c>
      <c r="Q24" s="249">
        <f>SUM(Q25:Q34)</f>
        <v>0</v>
      </c>
      <c r="R24" s="250">
        <f>SUM(R25:R34)</f>
        <v>0</v>
      </c>
      <c r="S24" s="75"/>
      <c r="T24" s="251">
        <f>SUM(T25:T34)</f>
        <v>93742.661999999997</v>
      </c>
      <c r="U24" s="75"/>
      <c r="V24" s="245">
        <f>SUM(V25:V34)</f>
        <v>94588.661999999997</v>
      </c>
      <c r="W24" s="246">
        <f>SUM(W25:W34)</f>
        <v>57324.254999999997</v>
      </c>
      <c r="X24" s="72"/>
      <c r="AD24" s="252">
        <v>847.09834999999987</v>
      </c>
      <c r="AE24" s="253">
        <v>5.5762101520307177E-3</v>
      </c>
      <c r="AF24" s="254">
        <v>846</v>
      </c>
      <c r="AG24" s="255">
        <v>1.0983499999998969</v>
      </c>
    </row>
    <row r="25" spans="1:33" s="80" customFormat="1" ht="15" customHeight="1">
      <c r="A25" s="215"/>
      <c r="B25" s="216" t="s">
        <v>215</v>
      </c>
      <c r="C25" s="50"/>
      <c r="D25" s="217" t="s">
        <v>199</v>
      </c>
      <c r="E25" s="218">
        <v>6296.4349999999995</v>
      </c>
      <c r="F25" s="219"/>
      <c r="G25" s="219"/>
      <c r="H25" s="220">
        <f t="shared" ref="H25:H34" si="9">SUM(E25:G25)</f>
        <v>6296.4349999999995</v>
      </c>
      <c r="I25" s="77"/>
      <c r="J25" s="221">
        <f t="shared" ref="J25:J34" si="10">H25*K25/100</f>
        <v>62.964349999999996</v>
      </c>
      <c r="K25" s="222">
        <f>'BETON Qte'!K25</f>
        <v>1</v>
      </c>
      <c r="L25" s="219">
        <f t="shared" ref="L25:L34" si="11">Q25+AF25</f>
        <v>103</v>
      </c>
      <c r="M25" s="220">
        <f t="shared" ref="M25:M34" si="12">J25-L25</f>
        <v>-40.035650000000004</v>
      </c>
      <c r="N25" s="77"/>
      <c r="O25" s="223">
        <f t="shared" ref="O25:O34" si="13">J25-AD25</f>
        <v>0</v>
      </c>
      <c r="P25" s="224">
        <f t="shared" si="5"/>
        <v>0</v>
      </c>
      <c r="Q25" s="225"/>
      <c r="R25" s="226">
        <f t="shared" ref="R25:R34" si="14">O25-Q25</f>
        <v>0</v>
      </c>
      <c r="S25" s="77"/>
      <c r="T25" s="227">
        <v>0</v>
      </c>
      <c r="U25" s="78"/>
      <c r="V25" s="221">
        <f t="shared" ref="V25:V34" si="15">L25+T25</f>
        <v>103</v>
      </c>
      <c r="W25" s="220">
        <f t="shared" ref="W25:W34" si="16">H25-V25</f>
        <v>6193.4349999999995</v>
      </c>
      <c r="X25" s="79"/>
      <c r="AD25" s="228">
        <v>62.964349999999996</v>
      </c>
      <c r="AE25" s="229">
        <v>1</v>
      </c>
      <c r="AF25" s="230">
        <v>103</v>
      </c>
      <c r="AG25" s="231">
        <v>-40.035650000000004</v>
      </c>
    </row>
    <row r="26" spans="1:33" s="80" customFormat="1" ht="15" customHeight="1">
      <c r="A26" s="215"/>
      <c r="B26" s="216" t="s">
        <v>216</v>
      </c>
      <c r="C26" s="50"/>
      <c r="D26" s="217" t="s">
        <v>199</v>
      </c>
      <c r="E26" s="218">
        <v>26137.8</v>
      </c>
      <c r="F26" s="219"/>
      <c r="G26" s="219"/>
      <c r="H26" s="220">
        <f t="shared" si="9"/>
        <v>26137.8</v>
      </c>
      <c r="I26" s="77"/>
      <c r="J26" s="221">
        <f t="shared" si="10"/>
        <v>784.1339999999999</v>
      </c>
      <c r="K26" s="222">
        <f>'BETON Qte'!K26</f>
        <v>3</v>
      </c>
      <c r="L26" s="219">
        <f t="shared" si="11"/>
        <v>743</v>
      </c>
      <c r="M26" s="220">
        <f t="shared" si="12"/>
        <v>41.133999999999901</v>
      </c>
      <c r="N26" s="77"/>
      <c r="O26" s="223">
        <f t="shared" si="13"/>
        <v>0</v>
      </c>
      <c r="P26" s="224">
        <f t="shared" si="5"/>
        <v>0</v>
      </c>
      <c r="Q26" s="225"/>
      <c r="R26" s="226">
        <f t="shared" si="14"/>
        <v>0</v>
      </c>
      <c r="S26" s="77"/>
      <c r="T26" s="227">
        <v>0</v>
      </c>
      <c r="U26" s="78"/>
      <c r="V26" s="221">
        <f t="shared" si="15"/>
        <v>743</v>
      </c>
      <c r="W26" s="220">
        <f t="shared" si="16"/>
        <v>25394.799999999999</v>
      </c>
      <c r="X26" s="79"/>
      <c r="AD26" s="228">
        <v>784.1339999999999</v>
      </c>
      <c r="AE26" s="229">
        <v>3</v>
      </c>
      <c r="AF26" s="230">
        <v>743</v>
      </c>
      <c r="AG26" s="231">
        <v>41.133999999999901</v>
      </c>
    </row>
    <row r="27" spans="1:33" s="80" customFormat="1" ht="15" customHeight="1">
      <c r="A27" s="215"/>
      <c r="B27" s="216" t="s">
        <v>217</v>
      </c>
      <c r="C27" s="50"/>
      <c r="D27" s="217" t="s">
        <v>199</v>
      </c>
      <c r="E27" s="218">
        <v>12926.862000000001</v>
      </c>
      <c r="F27" s="219"/>
      <c r="G27" s="219"/>
      <c r="H27" s="220">
        <f t="shared" si="9"/>
        <v>12926.862000000001</v>
      </c>
      <c r="I27" s="77"/>
      <c r="J27" s="221">
        <f t="shared" si="10"/>
        <v>0</v>
      </c>
      <c r="K27" s="222">
        <f>'BETON Qte'!K27</f>
        <v>0</v>
      </c>
      <c r="L27" s="219">
        <f t="shared" si="11"/>
        <v>0</v>
      </c>
      <c r="M27" s="220">
        <f t="shared" si="12"/>
        <v>0</v>
      </c>
      <c r="N27" s="77"/>
      <c r="O27" s="223">
        <f t="shared" si="13"/>
        <v>0</v>
      </c>
      <c r="P27" s="224">
        <f t="shared" si="5"/>
        <v>0</v>
      </c>
      <c r="Q27" s="225"/>
      <c r="R27" s="226">
        <f t="shared" si="14"/>
        <v>0</v>
      </c>
      <c r="S27" s="77"/>
      <c r="T27" s="227">
        <v>12926.862000000001</v>
      </c>
      <c r="U27" s="78"/>
      <c r="V27" s="221">
        <f t="shared" si="15"/>
        <v>12926.862000000001</v>
      </c>
      <c r="W27" s="220">
        <f t="shared" si="16"/>
        <v>0</v>
      </c>
      <c r="X27" s="79"/>
      <c r="AD27" s="228">
        <v>0</v>
      </c>
      <c r="AE27" s="229">
        <v>0</v>
      </c>
      <c r="AF27" s="230">
        <v>0</v>
      </c>
      <c r="AG27" s="231">
        <v>0</v>
      </c>
    </row>
    <row r="28" spans="1:33" s="80" customFormat="1" ht="15" customHeight="1">
      <c r="A28" s="215"/>
      <c r="B28" s="216" t="s">
        <v>218</v>
      </c>
      <c r="C28" s="50"/>
      <c r="D28" s="217" t="s">
        <v>199</v>
      </c>
      <c r="E28" s="218">
        <v>63745.5</v>
      </c>
      <c r="F28" s="219"/>
      <c r="G28" s="219"/>
      <c r="H28" s="220">
        <f t="shared" si="9"/>
        <v>63745.5</v>
      </c>
      <c r="I28" s="77"/>
      <c r="J28" s="221">
        <f t="shared" si="10"/>
        <v>0</v>
      </c>
      <c r="K28" s="222">
        <f>'BETON Qte'!K28</f>
        <v>0</v>
      </c>
      <c r="L28" s="219">
        <f t="shared" si="11"/>
        <v>0</v>
      </c>
      <c r="M28" s="220">
        <f t="shared" si="12"/>
        <v>0</v>
      </c>
      <c r="N28" s="77"/>
      <c r="O28" s="223">
        <f t="shared" si="13"/>
        <v>0</v>
      </c>
      <c r="P28" s="224">
        <f t="shared" si="5"/>
        <v>0</v>
      </c>
      <c r="Q28" s="225"/>
      <c r="R28" s="226">
        <f t="shared" si="14"/>
        <v>0</v>
      </c>
      <c r="S28" s="77"/>
      <c r="T28" s="227">
        <v>63745.5</v>
      </c>
      <c r="U28" s="78"/>
      <c r="V28" s="221">
        <f t="shared" si="15"/>
        <v>63745.5</v>
      </c>
      <c r="W28" s="220">
        <f t="shared" si="16"/>
        <v>0</v>
      </c>
      <c r="X28" s="79"/>
      <c r="AD28" s="228">
        <v>0</v>
      </c>
      <c r="AE28" s="229">
        <v>0</v>
      </c>
      <c r="AF28" s="230">
        <v>0</v>
      </c>
      <c r="AG28" s="231">
        <v>0</v>
      </c>
    </row>
    <row r="29" spans="1:33" s="80" customFormat="1" ht="15" customHeight="1">
      <c r="A29" s="215"/>
      <c r="B29" s="216" t="s">
        <v>219</v>
      </c>
      <c r="C29" s="50"/>
      <c r="D29" s="217" t="s">
        <v>199</v>
      </c>
      <c r="E29" s="218">
        <v>17070.300000000003</v>
      </c>
      <c r="F29" s="219"/>
      <c r="G29" s="219"/>
      <c r="H29" s="220">
        <f t="shared" si="9"/>
        <v>17070.300000000003</v>
      </c>
      <c r="I29" s="77"/>
      <c r="J29" s="221">
        <f t="shared" si="10"/>
        <v>0</v>
      </c>
      <c r="K29" s="222">
        <f>'BETON Qte'!K29</f>
        <v>0</v>
      </c>
      <c r="L29" s="219">
        <f t="shared" si="11"/>
        <v>0</v>
      </c>
      <c r="M29" s="220">
        <f t="shared" si="12"/>
        <v>0</v>
      </c>
      <c r="N29" s="77"/>
      <c r="O29" s="223">
        <f t="shared" si="13"/>
        <v>0</v>
      </c>
      <c r="P29" s="224">
        <f t="shared" si="5"/>
        <v>0</v>
      </c>
      <c r="Q29" s="225"/>
      <c r="R29" s="226">
        <f t="shared" si="14"/>
        <v>0</v>
      </c>
      <c r="S29" s="77"/>
      <c r="T29" s="227">
        <v>17070.300000000003</v>
      </c>
      <c r="U29" s="78"/>
      <c r="V29" s="221">
        <f t="shared" si="15"/>
        <v>17070.300000000003</v>
      </c>
      <c r="W29" s="220">
        <f t="shared" si="16"/>
        <v>0</v>
      </c>
      <c r="X29" s="79"/>
      <c r="AD29" s="228">
        <v>0</v>
      </c>
      <c r="AE29" s="229">
        <v>0</v>
      </c>
      <c r="AF29" s="230">
        <v>0</v>
      </c>
      <c r="AG29" s="231">
        <v>0</v>
      </c>
    </row>
    <row r="30" spans="1:33" s="80" customFormat="1" ht="15" customHeight="1">
      <c r="A30" s="215"/>
      <c r="B30" s="216" t="s">
        <v>220</v>
      </c>
      <c r="C30" s="50"/>
      <c r="D30" s="217" t="s">
        <v>199</v>
      </c>
      <c r="E30" s="218">
        <v>11191.7</v>
      </c>
      <c r="F30" s="219"/>
      <c r="G30" s="219"/>
      <c r="H30" s="220">
        <f t="shared" si="9"/>
        <v>11191.7</v>
      </c>
      <c r="I30" s="77"/>
      <c r="J30" s="221">
        <f t="shared" si="10"/>
        <v>0</v>
      </c>
      <c r="K30" s="222">
        <f>'BETON Qte'!K30</f>
        <v>0</v>
      </c>
      <c r="L30" s="219">
        <f t="shared" si="11"/>
        <v>0</v>
      </c>
      <c r="M30" s="220">
        <f t="shared" si="12"/>
        <v>0</v>
      </c>
      <c r="N30" s="77"/>
      <c r="O30" s="223">
        <f t="shared" si="13"/>
        <v>0</v>
      </c>
      <c r="P30" s="224">
        <f t="shared" si="5"/>
        <v>0</v>
      </c>
      <c r="Q30" s="225"/>
      <c r="R30" s="226">
        <f t="shared" si="14"/>
        <v>0</v>
      </c>
      <c r="S30" s="77"/>
      <c r="T30" s="227"/>
      <c r="U30" s="78"/>
      <c r="V30" s="221">
        <f t="shared" si="15"/>
        <v>0</v>
      </c>
      <c r="W30" s="220">
        <f t="shared" si="16"/>
        <v>11191.7</v>
      </c>
      <c r="X30" s="79"/>
      <c r="AD30" s="228">
        <v>0</v>
      </c>
      <c r="AE30" s="229">
        <v>0</v>
      </c>
      <c r="AF30" s="230">
        <v>0</v>
      </c>
      <c r="AG30" s="231">
        <v>0</v>
      </c>
    </row>
    <row r="31" spans="1:33" s="80" customFormat="1" ht="15" customHeight="1">
      <c r="A31" s="215"/>
      <c r="B31" s="216" t="s">
        <v>221</v>
      </c>
      <c r="C31" s="50"/>
      <c r="D31" s="217" t="s">
        <v>199</v>
      </c>
      <c r="E31" s="218">
        <v>6796.92</v>
      </c>
      <c r="F31" s="219"/>
      <c r="G31" s="219"/>
      <c r="H31" s="220">
        <f t="shared" si="9"/>
        <v>6796.92</v>
      </c>
      <c r="I31" s="77"/>
      <c r="J31" s="221">
        <f t="shared" si="10"/>
        <v>0</v>
      </c>
      <c r="K31" s="222">
        <f>'BETON Qte'!K31</f>
        <v>0</v>
      </c>
      <c r="L31" s="219">
        <f t="shared" si="11"/>
        <v>0</v>
      </c>
      <c r="M31" s="220">
        <f t="shared" si="12"/>
        <v>0</v>
      </c>
      <c r="N31" s="77"/>
      <c r="O31" s="223">
        <f t="shared" si="13"/>
        <v>0</v>
      </c>
      <c r="P31" s="224">
        <f t="shared" si="5"/>
        <v>0</v>
      </c>
      <c r="Q31" s="225"/>
      <c r="R31" s="226">
        <f t="shared" si="14"/>
        <v>0</v>
      </c>
      <c r="S31" s="77"/>
      <c r="T31" s="227"/>
      <c r="U31" s="78"/>
      <c r="V31" s="221">
        <f t="shared" si="15"/>
        <v>0</v>
      </c>
      <c r="W31" s="220">
        <f t="shared" si="16"/>
        <v>6796.92</v>
      </c>
      <c r="X31" s="79"/>
      <c r="AD31" s="228">
        <v>0</v>
      </c>
      <c r="AE31" s="229">
        <v>0</v>
      </c>
      <c r="AF31" s="230">
        <v>0</v>
      </c>
      <c r="AG31" s="231">
        <v>0</v>
      </c>
    </row>
    <row r="32" spans="1:33" s="80" customFormat="1" ht="15" customHeight="1">
      <c r="A32" s="215"/>
      <c r="B32" s="216" t="s">
        <v>222</v>
      </c>
      <c r="C32" s="50"/>
      <c r="D32" s="217" t="s">
        <v>199</v>
      </c>
      <c r="E32" s="218">
        <v>7525.44</v>
      </c>
      <c r="F32" s="219"/>
      <c r="G32" s="219"/>
      <c r="H32" s="220">
        <f t="shared" si="9"/>
        <v>7525.44</v>
      </c>
      <c r="I32" s="77"/>
      <c r="J32" s="221">
        <f t="shared" si="10"/>
        <v>0</v>
      </c>
      <c r="K32" s="222">
        <f>'BETON Qte'!K32</f>
        <v>0</v>
      </c>
      <c r="L32" s="219">
        <f t="shared" si="11"/>
        <v>0</v>
      </c>
      <c r="M32" s="220">
        <f t="shared" si="12"/>
        <v>0</v>
      </c>
      <c r="N32" s="77"/>
      <c r="O32" s="223">
        <f t="shared" si="13"/>
        <v>0</v>
      </c>
      <c r="P32" s="224">
        <f t="shared" si="5"/>
        <v>0</v>
      </c>
      <c r="Q32" s="225"/>
      <c r="R32" s="226">
        <f t="shared" si="14"/>
        <v>0</v>
      </c>
      <c r="S32" s="77"/>
      <c r="T32" s="227"/>
      <c r="U32" s="78"/>
      <c r="V32" s="221">
        <f t="shared" si="15"/>
        <v>0</v>
      </c>
      <c r="W32" s="220">
        <f t="shared" si="16"/>
        <v>7525.44</v>
      </c>
      <c r="X32" s="79"/>
      <c r="AD32" s="228">
        <v>0</v>
      </c>
      <c r="AE32" s="229">
        <v>0</v>
      </c>
      <c r="AF32" s="230">
        <v>0</v>
      </c>
      <c r="AG32" s="231">
        <v>0</v>
      </c>
    </row>
    <row r="33" spans="1:33" s="80" customFormat="1" ht="15" customHeight="1">
      <c r="A33" s="215"/>
      <c r="B33" s="216" t="s">
        <v>223</v>
      </c>
      <c r="C33" s="50"/>
      <c r="D33" s="217" t="s">
        <v>199</v>
      </c>
      <c r="E33" s="218">
        <v>0</v>
      </c>
      <c r="F33" s="219"/>
      <c r="G33" s="219"/>
      <c r="H33" s="220">
        <f t="shared" si="9"/>
        <v>0</v>
      </c>
      <c r="I33" s="77"/>
      <c r="J33" s="221">
        <f t="shared" si="10"/>
        <v>0</v>
      </c>
      <c r="K33" s="222">
        <f>'BETON Qte'!K33</f>
        <v>0</v>
      </c>
      <c r="L33" s="219">
        <f t="shared" si="11"/>
        <v>0</v>
      </c>
      <c r="M33" s="220">
        <f t="shared" si="12"/>
        <v>0</v>
      </c>
      <c r="N33" s="77"/>
      <c r="O33" s="223">
        <f t="shared" si="13"/>
        <v>0</v>
      </c>
      <c r="P33" s="224">
        <f t="shared" si="5"/>
        <v>0</v>
      </c>
      <c r="Q33" s="225"/>
      <c r="R33" s="226">
        <f t="shared" si="14"/>
        <v>0</v>
      </c>
      <c r="S33" s="77"/>
      <c r="T33" s="227">
        <v>0</v>
      </c>
      <c r="U33" s="78"/>
      <c r="V33" s="221">
        <f t="shared" si="15"/>
        <v>0</v>
      </c>
      <c r="W33" s="220">
        <f t="shared" si="16"/>
        <v>0</v>
      </c>
      <c r="X33" s="79"/>
      <c r="AD33" s="228">
        <v>0</v>
      </c>
      <c r="AE33" s="229">
        <v>0</v>
      </c>
      <c r="AF33" s="230">
        <v>0</v>
      </c>
      <c r="AG33" s="231">
        <v>0</v>
      </c>
    </row>
    <row r="34" spans="1:33" s="80" customFormat="1" ht="15" customHeight="1" thickBot="1">
      <c r="A34" s="215"/>
      <c r="B34" s="216" t="s">
        <v>224</v>
      </c>
      <c r="C34" s="50"/>
      <c r="D34" s="217" t="s">
        <v>199</v>
      </c>
      <c r="E34" s="218">
        <v>221.96</v>
      </c>
      <c r="F34" s="219"/>
      <c r="G34" s="219"/>
      <c r="H34" s="220">
        <f t="shared" si="9"/>
        <v>221.96</v>
      </c>
      <c r="I34" s="77"/>
      <c r="J34" s="221">
        <f t="shared" si="10"/>
        <v>0</v>
      </c>
      <c r="K34" s="222">
        <f>'BETON Qte'!K34</f>
        <v>0</v>
      </c>
      <c r="L34" s="219">
        <f t="shared" si="11"/>
        <v>0</v>
      </c>
      <c r="M34" s="220">
        <f t="shared" si="12"/>
        <v>0</v>
      </c>
      <c r="N34" s="77"/>
      <c r="O34" s="223">
        <f t="shared" si="13"/>
        <v>0</v>
      </c>
      <c r="P34" s="224">
        <f t="shared" si="5"/>
        <v>0</v>
      </c>
      <c r="Q34" s="225"/>
      <c r="R34" s="226">
        <f t="shared" si="14"/>
        <v>0</v>
      </c>
      <c r="S34" s="77"/>
      <c r="T34" s="227">
        <v>0</v>
      </c>
      <c r="U34" s="78"/>
      <c r="V34" s="221">
        <f t="shared" si="15"/>
        <v>0</v>
      </c>
      <c r="W34" s="220">
        <f t="shared" si="16"/>
        <v>221.96</v>
      </c>
      <c r="X34" s="79"/>
      <c r="AD34" s="228">
        <v>0</v>
      </c>
      <c r="AE34" s="229">
        <v>0</v>
      </c>
      <c r="AF34" s="230">
        <v>0</v>
      </c>
      <c r="AG34" s="231">
        <v>0</v>
      </c>
    </row>
    <row r="35" spans="1:33" s="76" customFormat="1" ht="19.5" customHeight="1" thickBot="1">
      <c r="A35" s="256" t="s">
        <v>225</v>
      </c>
      <c r="B35" s="257" t="s">
        <v>226</v>
      </c>
      <c r="C35" s="74"/>
      <c r="D35" s="258" t="s">
        <v>199</v>
      </c>
      <c r="E35" s="259">
        <f>SUM(E36:E37)</f>
        <v>8332.4150000000009</v>
      </c>
      <c r="F35" s="201">
        <f>SUM(F36:F37)</f>
        <v>0</v>
      </c>
      <c r="G35" s="201">
        <f>SUM(G36:G37)</f>
        <v>0</v>
      </c>
      <c r="H35" s="246">
        <f>SUM(H36:H37)</f>
        <v>8332.4150000000009</v>
      </c>
      <c r="I35" s="75"/>
      <c r="J35" s="245">
        <f>SUM(J36:J37)</f>
        <v>0</v>
      </c>
      <c r="K35" s="260">
        <f>IFERROR(J35/H35,"")</f>
        <v>0</v>
      </c>
      <c r="L35" s="201">
        <f>SUM(L36:L37)</f>
        <v>0</v>
      </c>
      <c r="M35" s="246">
        <f>SUM(M36:M37)</f>
        <v>0</v>
      </c>
      <c r="N35" s="75"/>
      <c r="O35" s="247">
        <f>SUM(O36:O37)</f>
        <v>0</v>
      </c>
      <c r="P35" s="248">
        <f>IFERROR(O35/H35,"")</f>
        <v>0</v>
      </c>
      <c r="Q35" s="249">
        <f>SUM(Q36:Q37)</f>
        <v>0</v>
      </c>
      <c r="R35" s="250">
        <f>SUM(R36:R37)</f>
        <v>0</v>
      </c>
      <c r="S35" s="75"/>
      <c r="T35" s="251">
        <f>SUM(T36:T37)</f>
        <v>8332.4150000000009</v>
      </c>
      <c r="U35" s="75"/>
      <c r="V35" s="245">
        <f>SUM(V36:V37)</f>
        <v>8332.4150000000009</v>
      </c>
      <c r="W35" s="246">
        <f>SUM(W36:W37)</f>
        <v>0</v>
      </c>
      <c r="X35" s="72"/>
      <c r="AD35" s="252">
        <v>0</v>
      </c>
      <c r="AE35" s="253">
        <v>0</v>
      </c>
      <c r="AF35" s="254">
        <v>0</v>
      </c>
      <c r="AG35" s="255">
        <v>0</v>
      </c>
    </row>
    <row r="36" spans="1:33" s="80" customFormat="1" ht="15" customHeight="1">
      <c r="A36" s="215"/>
      <c r="B36" s="216" t="s">
        <v>227</v>
      </c>
      <c r="C36" s="50"/>
      <c r="D36" s="217" t="s">
        <v>199</v>
      </c>
      <c r="E36" s="218">
        <v>6536.79</v>
      </c>
      <c r="F36" s="219"/>
      <c r="G36" s="219"/>
      <c r="H36" s="220">
        <f t="shared" ref="H36:H37" si="17">SUM(E36:G36)</f>
        <v>6536.79</v>
      </c>
      <c r="I36" s="77"/>
      <c r="J36" s="221">
        <f t="shared" ref="J36:J37" si="18">H36*K36/100</f>
        <v>0</v>
      </c>
      <c r="K36" s="222">
        <f>'BETON Qte'!K36</f>
        <v>0</v>
      </c>
      <c r="L36" s="219">
        <f t="shared" ref="L36:L37" si="19">Q36+AF36</f>
        <v>0</v>
      </c>
      <c r="M36" s="220">
        <f t="shared" ref="M36:M37" si="20">J36-L36</f>
        <v>0</v>
      </c>
      <c r="N36" s="77"/>
      <c r="O36" s="223">
        <f t="shared" ref="O36:O37" si="21">J36-AD36</f>
        <v>0</v>
      </c>
      <c r="P36" s="224">
        <f t="shared" si="5"/>
        <v>0</v>
      </c>
      <c r="Q36" s="225"/>
      <c r="R36" s="226">
        <f t="shared" ref="R36:R37" si="22">O36-Q36</f>
        <v>0</v>
      </c>
      <c r="S36" s="77"/>
      <c r="T36" s="227">
        <v>6536.79</v>
      </c>
      <c r="U36" s="78"/>
      <c r="V36" s="221">
        <f t="shared" ref="V36:V37" si="23">L36+T36</f>
        <v>6536.79</v>
      </c>
      <c r="W36" s="220">
        <f t="shared" ref="W36:W37" si="24">H36-V36</f>
        <v>0</v>
      </c>
      <c r="X36" s="79"/>
      <c r="AD36" s="228">
        <v>0</v>
      </c>
      <c r="AE36" s="229">
        <v>0</v>
      </c>
      <c r="AF36" s="230">
        <v>0</v>
      </c>
      <c r="AG36" s="231">
        <v>0</v>
      </c>
    </row>
    <row r="37" spans="1:33" s="80" customFormat="1" ht="15" customHeight="1" thickBot="1">
      <c r="A37" s="215"/>
      <c r="B37" s="216" t="s">
        <v>228</v>
      </c>
      <c r="C37" s="50"/>
      <c r="D37" s="217" t="s">
        <v>199</v>
      </c>
      <c r="E37" s="218">
        <v>1795.625</v>
      </c>
      <c r="F37" s="219"/>
      <c r="G37" s="219"/>
      <c r="H37" s="220">
        <f t="shared" si="17"/>
        <v>1795.625</v>
      </c>
      <c r="I37" s="77"/>
      <c r="J37" s="221">
        <f t="shared" si="18"/>
        <v>0</v>
      </c>
      <c r="K37" s="222">
        <f>'BETON Qte'!K37</f>
        <v>0</v>
      </c>
      <c r="L37" s="219">
        <f t="shared" si="19"/>
        <v>0</v>
      </c>
      <c r="M37" s="220">
        <f t="shared" si="20"/>
        <v>0</v>
      </c>
      <c r="N37" s="77"/>
      <c r="O37" s="223">
        <f t="shared" si="21"/>
        <v>0</v>
      </c>
      <c r="P37" s="224">
        <f t="shared" si="5"/>
        <v>0</v>
      </c>
      <c r="Q37" s="225"/>
      <c r="R37" s="226">
        <f t="shared" si="22"/>
        <v>0</v>
      </c>
      <c r="S37" s="77"/>
      <c r="T37" s="227">
        <v>1795.625</v>
      </c>
      <c r="U37" s="78"/>
      <c r="V37" s="221">
        <f t="shared" si="23"/>
        <v>1795.625</v>
      </c>
      <c r="W37" s="220">
        <f t="shared" si="24"/>
        <v>0</v>
      </c>
      <c r="X37" s="79"/>
      <c r="AD37" s="228">
        <v>0</v>
      </c>
      <c r="AE37" s="229">
        <v>0</v>
      </c>
      <c r="AF37" s="230">
        <v>0</v>
      </c>
      <c r="AG37" s="231">
        <v>0</v>
      </c>
    </row>
    <row r="38" spans="1:33" s="76" customFormat="1" ht="19.5" customHeight="1" thickBot="1">
      <c r="A38" s="256" t="s">
        <v>229</v>
      </c>
      <c r="B38" s="257" t="s">
        <v>230</v>
      </c>
      <c r="C38" s="74"/>
      <c r="D38" s="258" t="s">
        <v>199</v>
      </c>
      <c r="E38" s="259">
        <f>SUM(E39:E40)</f>
        <v>4361.8250000000007</v>
      </c>
      <c r="F38" s="201">
        <f>SUM(F39:F40)</f>
        <v>0</v>
      </c>
      <c r="G38" s="201">
        <f>SUM(G39:G40)</f>
        <v>0</v>
      </c>
      <c r="H38" s="246">
        <f>SUM(H39:H40)</f>
        <v>4361.8250000000007</v>
      </c>
      <c r="I38" s="75"/>
      <c r="J38" s="245">
        <f>SUM(J39:J40)</f>
        <v>0</v>
      </c>
      <c r="K38" s="260">
        <f>IFERROR(J38/H38,"")</f>
        <v>0</v>
      </c>
      <c r="L38" s="201">
        <f>SUM(L39:L40)</f>
        <v>0</v>
      </c>
      <c r="M38" s="246">
        <f>SUM(M39:M40)</f>
        <v>0</v>
      </c>
      <c r="N38" s="75"/>
      <c r="O38" s="247">
        <f>SUM(O39:O40)</f>
        <v>0</v>
      </c>
      <c r="P38" s="248">
        <f>IFERROR(O38/H38,"")</f>
        <v>0</v>
      </c>
      <c r="Q38" s="249">
        <f>SUM(Q39:Q40)</f>
        <v>0</v>
      </c>
      <c r="R38" s="250">
        <f>SUM(R39:R40)</f>
        <v>0</v>
      </c>
      <c r="S38" s="75"/>
      <c r="T38" s="251">
        <f>SUM(T39:T40)</f>
        <v>4361.8250000000007</v>
      </c>
      <c r="U38" s="75"/>
      <c r="V38" s="245">
        <f>SUM(V39:V40)</f>
        <v>4361.8250000000007</v>
      </c>
      <c r="W38" s="246">
        <f>SUM(W39:W40)</f>
        <v>0</v>
      </c>
      <c r="X38" s="72"/>
      <c r="AD38" s="252">
        <v>0</v>
      </c>
      <c r="AE38" s="253">
        <v>0</v>
      </c>
      <c r="AF38" s="254">
        <v>0</v>
      </c>
      <c r="AG38" s="255">
        <v>0</v>
      </c>
    </row>
    <row r="39" spans="1:33" s="80" customFormat="1" ht="15" customHeight="1">
      <c r="A39" s="215"/>
      <c r="B39" s="216" t="s">
        <v>231</v>
      </c>
      <c r="C39" s="50"/>
      <c r="D39" s="217" t="s">
        <v>199</v>
      </c>
      <c r="E39" s="218">
        <v>2142.7250000000004</v>
      </c>
      <c r="F39" s="219"/>
      <c r="G39" s="219"/>
      <c r="H39" s="220">
        <f>SUM(E39:G39)</f>
        <v>2142.7250000000004</v>
      </c>
      <c r="I39" s="77"/>
      <c r="J39" s="221">
        <f>H39*K39/100</f>
        <v>0</v>
      </c>
      <c r="K39" s="222">
        <f>'BETON Qte'!K39</f>
        <v>0</v>
      </c>
      <c r="L39" s="219">
        <f>Q39+AF39</f>
        <v>0</v>
      </c>
      <c r="M39" s="220">
        <f>J39-L39</f>
        <v>0</v>
      </c>
      <c r="N39" s="77"/>
      <c r="O39" s="223">
        <f>J39-AD39</f>
        <v>0</v>
      </c>
      <c r="P39" s="224">
        <f t="shared" si="5"/>
        <v>0</v>
      </c>
      <c r="Q39" s="225"/>
      <c r="R39" s="226">
        <f>O39-Q39</f>
        <v>0</v>
      </c>
      <c r="S39" s="77"/>
      <c r="T39" s="227">
        <v>2142.7250000000004</v>
      </c>
      <c r="U39" s="78"/>
      <c r="V39" s="221">
        <f t="shared" ref="V39:V40" si="25">L39+T39</f>
        <v>2142.7250000000004</v>
      </c>
      <c r="W39" s="220">
        <f t="shared" ref="W39:W40" si="26">H39-V39</f>
        <v>0</v>
      </c>
      <c r="X39" s="79"/>
      <c r="AD39" s="228">
        <v>0</v>
      </c>
      <c r="AE39" s="229">
        <v>0</v>
      </c>
      <c r="AF39" s="230">
        <v>0</v>
      </c>
      <c r="AG39" s="231">
        <v>0</v>
      </c>
    </row>
    <row r="40" spans="1:33" s="80" customFormat="1" ht="15" customHeight="1" thickBot="1">
      <c r="A40" s="215"/>
      <c r="B40" s="216" t="s">
        <v>232</v>
      </c>
      <c r="C40" s="50"/>
      <c r="D40" s="217" t="s">
        <v>199</v>
      </c>
      <c r="E40" s="218">
        <v>2219.1</v>
      </c>
      <c r="F40" s="219"/>
      <c r="G40" s="219"/>
      <c r="H40" s="220">
        <f>SUM(E40:G40)</f>
        <v>2219.1</v>
      </c>
      <c r="I40" s="77"/>
      <c r="J40" s="221">
        <f>H40*K40/100</f>
        <v>0</v>
      </c>
      <c r="K40" s="222">
        <f>'BETON Qte'!K40</f>
        <v>0</v>
      </c>
      <c r="L40" s="219">
        <f>Q40+AF40</f>
        <v>0</v>
      </c>
      <c r="M40" s="220">
        <f>J40-L40</f>
        <v>0</v>
      </c>
      <c r="N40" s="77"/>
      <c r="O40" s="223">
        <f>J40-AD40</f>
        <v>0</v>
      </c>
      <c r="P40" s="224">
        <f t="shared" si="5"/>
        <v>0</v>
      </c>
      <c r="Q40" s="225"/>
      <c r="R40" s="226">
        <f>O40-Q40</f>
        <v>0</v>
      </c>
      <c r="S40" s="77"/>
      <c r="T40" s="227">
        <v>2219.1</v>
      </c>
      <c r="U40" s="78"/>
      <c r="V40" s="221">
        <f t="shared" si="25"/>
        <v>2219.1</v>
      </c>
      <c r="W40" s="220">
        <f t="shared" si="26"/>
        <v>0</v>
      </c>
      <c r="X40" s="79"/>
      <c r="AD40" s="228">
        <v>0</v>
      </c>
      <c r="AE40" s="229">
        <v>0</v>
      </c>
      <c r="AF40" s="230">
        <v>0</v>
      </c>
      <c r="AG40" s="231">
        <v>0</v>
      </c>
    </row>
    <row r="41" spans="1:33" s="76" customFormat="1" ht="19.5" customHeight="1" thickBot="1">
      <c r="A41" s="256" t="s">
        <v>233</v>
      </c>
      <c r="B41" s="257" t="s">
        <v>234</v>
      </c>
      <c r="C41" s="74"/>
      <c r="D41" s="258" t="s">
        <v>199</v>
      </c>
      <c r="E41" s="259">
        <f>SUM(E42:E56)</f>
        <v>28530.19</v>
      </c>
      <c r="F41" s="201">
        <f>SUM(F42:F56)</f>
        <v>0</v>
      </c>
      <c r="G41" s="201">
        <f>SUM(G42:G56)</f>
        <v>0</v>
      </c>
      <c r="H41" s="246">
        <f>SUM(H42:H56)</f>
        <v>28530.19</v>
      </c>
      <c r="I41" s="75"/>
      <c r="J41" s="245">
        <f>SUM(J42:J56)</f>
        <v>0</v>
      </c>
      <c r="K41" s="260">
        <f>IFERROR(J41/H41,"")</f>
        <v>0</v>
      </c>
      <c r="L41" s="201">
        <f>SUM(L42:L56)</f>
        <v>0</v>
      </c>
      <c r="M41" s="246">
        <f>SUM(M42:M56)</f>
        <v>0</v>
      </c>
      <c r="N41" s="75"/>
      <c r="O41" s="247">
        <f>SUM(O42:O56)</f>
        <v>0</v>
      </c>
      <c r="P41" s="248">
        <f>IFERROR(O41/H41,"")</f>
        <v>0</v>
      </c>
      <c r="Q41" s="249">
        <f>SUM(Q42:Q56)</f>
        <v>0</v>
      </c>
      <c r="R41" s="250">
        <f>SUM(R42:R56)</f>
        <v>0</v>
      </c>
      <c r="S41" s="75"/>
      <c r="T41" s="251">
        <f>SUM(T42:T56)</f>
        <v>28530.19</v>
      </c>
      <c r="U41" s="75"/>
      <c r="V41" s="245">
        <f>SUM(V42:V56)</f>
        <v>28530.19</v>
      </c>
      <c r="W41" s="246">
        <f>SUM(W42:W56)</f>
        <v>0</v>
      </c>
      <c r="X41" s="72"/>
      <c r="AD41" s="252">
        <v>0</v>
      </c>
      <c r="AE41" s="253">
        <v>0</v>
      </c>
      <c r="AF41" s="254">
        <v>0</v>
      </c>
      <c r="AG41" s="255">
        <v>0</v>
      </c>
    </row>
    <row r="42" spans="1:33" s="80" customFormat="1" ht="15" customHeight="1">
      <c r="A42" s="215"/>
      <c r="B42" s="216" t="s">
        <v>235</v>
      </c>
      <c r="C42" s="50"/>
      <c r="D42" s="217" t="s">
        <v>199</v>
      </c>
      <c r="E42" s="218">
        <v>1790.75</v>
      </c>
      <c r="F42" s="219"/>
      <c r="G42" s="219"/>
      <c r="H42" s="220">
        <f t="shared" ref="H42:H56" si="27">SUM(E42:G42)</f>
        <v>1790.75</v>
      </c>
      <c r="I42" s="77"/>
      <c r="J42" s="221">
        <f t="shared" ref="J42:J56" si="28">H42*K42/100</f>
        <v>0</v>
      </c>
      <c r="K42" s="222">
        <f>'BETON Qte'!K42</f>
        <v>0</v>
      </c>
      <c r="L42" s="219">
        <f t="shared" ref="L42:L56" si="29">Q42+AF42</f>
        <v>0</v>
      </c>
      <c r="M42" s="220">
        <f t="shared" ref="M42:M56" si="30">J42-L42</f>
        <v>0</v>
      </c>
      <c r="N42" s="77"/>
      <c r="O42" s="223">
        <f t="shared" ref="O42:O56" si="31">J42-AD42</f>
        <v>0</v>
      </c>
      <c r="P42" s="224">
        <f t="shared" si="5"/>
        <v>0</v>
      </c>
      <c r="Q42" s="225"/>
      <c r="R42" s="226">
        <f t="shared" ref="R42:R56" si="32">O42-Q42</f>
        <v>0</v>
      </c>
      <c r="S42" s="77"/>
      <c r="T42" s="227">
        <v>1790.75</v>
      </c>
      <c r="U42" s="78"/>
      <c r="V42" s="221">
        <f t="shared" ref="V42:V56" si="33">L42+T42</f>
        <v>1790.75</v>
      </c>
      <c r="W42" s="220">
        <f t="shared" ref="W42:W56" si="34">H42-V42</f>
        <v>0</v>
      </c>
      <c r="X42" s="79"/>
      <c r="AD42" s="228">
        <v>0</v>
      </c>
      <c r="AE42" s="229">
        <v>0</v>
      </c>
      <c r="AF42" s="230">
        <v>0</v>
      </c>
      <c r="AG42" s="231">
        <v>0</v>
      </c>
    </row>
    <row r="43" spans="1:33" s="80" customFormat="1" ht="15" customHeight="1">
      <c r="A43" s="215"/>
      <c r="B43" s="216" t="s">
        <v>236</v>
      </c>
      <c r="C43" s="50"/>
      <c r="D43" s="217" t="s">
        <v>199</v>
      </c>
      <c r="E43" s="218">
        <v>989.30000000000007</v>
      </c>
      <c r="F43" s="219"/>
      <c r="G43" s="219"/>
      <c r="H43" s="220">
        <f t="shared" si="27"/>
        <v>989.30000000000007</v>
      </c>
      <c r="I43" s="77"/>
      <c r="J43" s="221">
        <f t="shared" si="28"/>
        <v>0</v>
      </c>
      <c r="K43" s="222">
        <f>'BETON Qte'!K43</f>
        <v>0</v>
      </c>
      <c r="L43" s="219">
        <f t="shared" si="29"/>
        <v>0</v>
      </c>
      <c r="M43" s="220">
        <f t="shared" si="30"/>
        <v>0</v>
      </c>
      <c r="N43" s="77"/>
      <c r="O43" s="223">
        <f t="shared" si="31"/>
        <v>0</v>
      </c>
      <c r="P43" s="224">
        <f t="shared" si="5"/>
        <v>0</v>
      </c>
      <c r="Q43" s="225"/>
      <c r="R43" s="226">
        <f t="shared" si="32"/>
        <v>0</v>
      </c>
      <c r="S43" s="77"/>
      <c r="T43" s="227">
        <v>989.30000000000007</v>
      </c>
      <c r="U43" s="78"/>
      <c r="V43" s="221">
        <f t="shared" si="33"/>
        <v>989.30000000000007</v>
      </c>
      <c r="W43" s="220">
        <f t="shared" si="34"/>
        <v>0</v>
      </c>
      <c r="X43" s="79"/>
      <c r="AD43" s="228">
        <v>0</v>
      </c>
      <c r="AE43" s="229">
        <v>0</v>
      </c>
      <c r="AF43" s="230">
        <v>0</v>
      </c>
      <c r="AG43" s="231">
        <v>0</v>
      </c>
    </row>
    <row r="44" spans="1:33" s="80" customFormat="1" ht="15" customHeight="1">
      <c r="A44" s="215"/>
      <c r="B44" s="216" t="s">
        <v>237</v>
      </c>
      <c r="C44" s="50"/>
      <c r="D44" s="217" t="s">
        <v>199</v>
      </c>
      <c r="E44" s="218">
        <v>4927</v>
      </c>
      <c r="F44" s="219"/>
      <c r="G44" s="219"/>
      <c r="H44" s="220">
        <f t="shared" si="27"/>
        <v>4927</v>
      </c>
      <c r="I44" s="77"/>
      <c r="J44" s="221">
        <f t="shared" si="28"/>
        <v>0</v>
      </c>
      <c r="K44" s="222">
        <f>'BETON Qte'!K44</f>
        <v>0</v>
      </c>
      <c r="L44" s="219">
        <f t="shared" si="29"/>
        <v>0</v>
      </c>
      <c r="M44" s="220">
        <f t="shared" si="30"/>
        <v>0</v>
      </c>
      <c r="N44" s="77"/>
      <c r="O44" s="223">
        <f t="shared" si="31"/>
        <v>0</v>
      </c>
      <c r="P44" s="224">
        <f t="shared" si="5"/>
        <v>0</v>
      </c>
      <c r="Q44" s="225"/>
      <c r="R44" s="226">
        <f t="shared" si="32"/>
        <v>0</v>
      </c>
      <c r="S44" s="77"/>
      <c r="T44" s="227">
        <v>4927</v>
      </c>
      <c r="U44" s="78"/>
      <c r="V44" s="221">
        <f t="shared" si="33"/>
        <v>4927</v>
      </c>
      <c r="W44" s="220">
        <f t="shared" si="34"/>
        <v>0</v>
      </c>
      <c r="X44" s="79"/>
      <c r="AD44" s="228">
        <v>0</v>
      </c>
      <c r="AE44" s="229">
        <v>0</v>
      </c>
      <c r="AF44" s="230">
        <v>0</v>
      </c>
      <c r="AG44" s="231">
        <v>0</v>
      </c>
    </row>
    <row r="45" spans="1:33" s="80" customFormat="1" ht="15" customHeight="1">
      <c r="A45" s="215"/>
      <c r="B45" s="216" t="s">
        <v>238</v>
      </c>
      <c r="C45" s="50"/>
      <c r="D45" s="217" t="s">
        <v>199</v>
      </c>
      <c r="E45" s="218">
        <v>2234.0500000000002</v>
      </c>
      <c r="F45" s="219"/>
      <c r="G45" s="219"/>
      <c r="H45" s="220">
        <f t="shared" si="27"/>
        <v>2234.0500000000002</v>
      </c>
      <c r="I45" s="77"/>
      <c r="J45" s="221">
        <f t="shared" si="28"/>
        <v>0</v>
      </c>
      <c r="K45" s="222">
        <f>'BETON Qte'!K45</f>
        <v>0</v>
      </c>
      <c r="L45" s="219">
        <f t="shared" si="29"/>
        <v>0</v>
      </c>
      <c r="M45" s="220">
        <f t="shared" si="30"/>
        <v>0</v>
      </c>
      <c r="N45" s="77"/>
      <c r="O45" s="223">
        <f t="shared" si="31"/>
        <v>0</v>
      </c>
      <c r="P45" s="224">
        <f t="shared" si="5"/>
        <v>0</v>
      </c>
      <c r="Q45" s="225"/>
      <c r="R45" s="226">
        <f t="shared" si="32"/>
        <v>0</v>
      </c>
      <c r="S45" s="77"/>
      <c r="T45" s="227">
        <v>2234.0500000000002</v>
      </c>
      <c r="U45" s="78"/>
      <c r="V45" s="221">
        <f t="shared" si="33"/>
        <v>2234.0500000000002</v>
      </c>
      <c r="W45" s="220">
        <f t="shared" si="34"/>
        <v>0</v>
      </c>
      <c r="X45" s="79"/>
      <c r="AD45" s="228">
        <v>0</v>
      </c>
      <c r="AE45" s="229">
        <v>0</v>
      </c>
      <c r="AF45" s="230">
        <v>0</v>
      </c>
      <c r="AG45" s="231">
        <v>0</v>
      </c>
    </row>
    <row r="46" spans="1:33" s="80" customFormat="1" ht="15" customHeight="1">
      <c r="A46" s="215"/>
      <c r="B46" s="216" t="s">
        <v>239</v>
      </c>
      <c r="C46" s="50"/>
      <c r="D46" s="217" t="s">
        <v>199</v>
      </c>
      <c r="E46" s="218">
        <v>1248</v>
      </c>
      <c r="F46" s="219"/>
      <c r="G46" s="219"/>
      <c r="H46" s="220">
        <f t="shared" si="27"/>
        <v>1248</v>
      </c>
      <c r="I46" s="77"/>
      <c r="J46" s="221">
        <f t="shared" si="28"/>
        <v>0</v>
      </c>
      <c r="K46" s="222">
        <f>'BETON Qte'!K46</f>
        <v>0</v>
      </c>
      <c r="L46" s="219">
        <f t="shared" si="29"/>
        <v>0</v>
      </c>
      <c r="M46" s="220">
        <f t="shared" si="30"/>
        <v>0</v>
      </c>
      <c r="N46" s="77"/>
      <c r="O46" s="223">
        <f t="shared" si="31"/>
        <v>0</v>
      </c>
      <c r="P46" s="224">
        <f t="shared" si="5"/>
        <v>0</v>
      </c>
      <c r="Q46" s="225"/>
      <c r="R46" s="226">
        <f t="shared" si="32"/>
        <v>0</v>
      </c>
      <c r="S46" s="77"/>
      <c r="T46" s="227">
        <v>1248</v>
      </c>
      <c r="U46" s="78"/>
      <c r="V46" s="221">
        <f t="shared" si="33"/>
        <v>1248</v>
      </c>
      <c r="W46" s="220">
        <f t="shared" si="34"/>
        <v>0</v>
      </c>
      <c r="X46" s="79"/>
      <c r="AD46" s="228">
        <v>0</v>
      </c>
      <c r="AE46" s="229">
        <v>0</v>
      </c>
      <c r="AF46" s="230">
        <v>0</v>
      </c>
      <c r="AG46" s="231">
        <v>0</v>
      </c>
    </row>
    <row r="47" spans="1:33" s="80" customFormat="1" ht="15" customHeight="1">
      <c r="A47" s="215"/>
      <c r="B47" s="216" t="s">
        <v>240</v>
      </c>
      <c r="C47" s="50"/>
      <c r="D47" s="217" t="s">
        <v>199</v>
      </c>
      <c r="E47" s="218">
        <v>78</v>
      </c>
      <c r="F47" s="219"/>
      <c r="G47" s="219"/>
      <c r="H47" s="220">
        <f t="shared" si="27"/>
        <v>78</v>
      </c>
      <c r="I47" s="77"/>
      <c r="J47" s="221">
        <f t="shared" si="28"/>
        <v>0</v>
      </c>
      <c r="K47" s="222">
        <f>'BETON Qte'!K47</f>
        <v>0</v>
      </c>
      <c r="L47" s="219">
        <f t="shared" si="29"/>
        <v>0</v>
      </c>
      <c r="M47" s="220">
        <f t="shared" si="30"/>
        <v>0</v>
      </c>
      <c r="N47" s="77"/>
      <c r="O47" s="223">
        <f t="shared" si="31"/>
        <v>0</v>
      </c>
      <c r="P47" s="224">
        <f t="shared" si="5"/>
        <v>0</v>
      </c>
      <c r="Q47" s="225"/>
      <c r="R47" s="226">
        <f t="shared" si="32"/>
        <v>0</v>
      </c>
      <c r="S47" s="77"/>
      <c r="T47" s="227">
        <v>78</v>
      </c>
      <c r="U47" s="78"/>
      <c r="V47" s="221">
        <f t="shared" si="33"/>
        <v>78</v>
      </c>
      <c r="W47" s="220">
        <f t="shared" si="34"/>
        <v>0</v>
      </c>
      <c r="X47" s="79"/>
      <c r="AD47" s="228">
        <v>0</v>
      </c>
      <c r="AE47" s="229">
        <v>0</v>
      </c>
      <c r="AF47" s="230">
        <v>0</v>
      </c>
      <c r="AG47" s="231">
        <v>0</v>
      </c>
    </row>
    <row r="48" spans="1:33" s="80" customFormat="1" ht="15" customHeight="1">
      <c r="A48" s="215"/>
      <c r="B48" s="216" t="s">
        <v>241</v>
      </c>
      <c r="C48" s="50"/>
      <c r="D48" s="217" t="s">
        <v>199</v>
      </c>
      <c r="E48" s="218">
        <v>1842.75</v>
      </c>
      <c r="F48" s="219"/>
      <c r="G48" s="219"/>
      <c r="H48" s="220">
        <f t="shared" si="27"/>
        <v>1842.75</v>
      </c>
      <c r="I48" s="77"/>
      <c r="J48" s="221">
        <f t="shared" si="28"/>
        <v>0</v>
      </c>
      <c r="K48" s="222">
        <f>'BETON Qte'!K48</f>
        <v>0</v>
      </c>
      <c r="L48" s="219">
        <f t="shared" si="29"/>
        <v>0</v>
      </c>
      <c r="M48" s="220">
        <f t="shared" si="30"/>
        <v>0</v>
      </c>
      <c r="N48" s="77"/>
      <c r="O48" s="223">
        <f t="shared" si="31"/>
        <v>0</v>
      </c>
      <c r="P48" s="224">
        <f t="shared" si="5"/>
        <v>0</v>
      </c>
      <c r="Q48" s="225"/>
      <c r="R48" s="226">
        <f t="shared" si="32"/>
        <v>0</v>
      </c>
      <c r="S48" s="77"/>
      <c r="T48" s="227">
        <v>1842.75</v>
      </c>
      <c r="U48" s="78"/>
      <c r="V48" s="221">
        <f t="shared" si="33"/>
        <v>1842.75</v>
      </c>
      <c r="W48" s="220">
        <f t="shared" si="34"/>
        <v>0</v>
      </c>
      <c r="X48" s="79"/>
      <c r="AD48" s="228">
        <v>0</v>
      </c>
      <c r="AE48" s="229">
        <v>0</v>
      </c>
      <c r="AF48" s="230">
        <v>0</v>
      </c>
      <c r="AG48" s="231">
        <v>0</v>
      </c>
    </row>
    <row r="49" spans="1:33" s="80" customFormat="1" ht="15" customHeight="1">
      <c r="A49" s="215"/>
      <c r="B49" s="216" t="s">
        <v>242</v>
      </c>
      <c r="C49" s="50"/>
      <c r="D49" s="217" t="s">
        <v>199</v>
      </c>
      <c r="E49" s="218">
        <v>858</v>
      </c>
      <c r="F49" s="219"/>
      <c r="G49" s="219"/>
      <c r="H49" s="220">
        <f t="shared" si="27"/>
        <v>858</v>
      </c>
      <c r="I49" s="77"/>
      <c r="J49" s="221">
        <f t="shared" si="28"/>
        <v>0</v>
      </c>
      <c r="K49" s="222">
        <f>'BETON Qte'!K49</f>
        <v>0</v>
      </c>
      <c r="L49" s="219">
        <f t="shared" si="29"/>
        <v>0</v>
      </c>
      <c r="M49" s="220">
        <f t="shared" si="30"/>
        <v>0</v>
      </c>
      <c r="N49" s="77"/>
      <c r="O49" s="223">
        <f t="shared" si="31"/>
        <v>0</v>
      </c>
      <c r="P49" s="224">
        <f t="shared" si="5"/>
        <v>0</v>
      </c>
      <c r="Q49" s="225"/>
      <c r="R49" s="226">
        <f t="shared" si="32"/>
        <v>0</v>
      </c>
      <c r="S49" s="77"/>
      <c r="T49" s="227">
        <v>858</v>
      </c>
      <c r="U49" s="78"/>
      <c r="V49" s="221">
        <f t="shared" si="33"/>
        <v>858</v>
      </c>
      <c r="W49" s="220">
        <f t="shared" si="34"/>
        <v>0</v>
      </c>
      <c r="X49" s="79"/>
      <c r="AD49" s="228">
        <v>0</v>
      </c>
      <c r="AE49" s="229">
        <v>0</v>
      </c>
      <c r="AF49" s="230">
        <v>0</v>
      </c>
      <c r="AG49" s="231">
        <v>0</v>
      </c>
    </row>
    <row r="50" spans="1:33" s="80" customFormat="1" ht="15" customHeight="1">
      <c r="A50" s="215"/>
      <c r="B50" s="216" t="s">
        <v>243</v>
      </c>
      <c r="C50" s="50"/>
      <c r="D50" s="217" t="s">
        <v>199</v>
      </c>
      <c r="E50" s="218">
        <v>393.90000000000003</v>
      </c>
      <c r="F50" s="219"/>
      <c r="G50" s="219"/>
      <c r="H50" s="220">
        <f t="shared" si="27"/>
        <v>393.90000000000003</v>
      </c>
      <c r="I50" s="77"/>
      <c r="J50" s="221">
        <f t="shared" si="28"/>
        <v>0</v>
      </c>
      <c r="K50" s="222">
        <f>'BETON Qte'!K50</f>
        <v>0</v>
      </c>
      <c r="L50" s="219">
        <f t="shared" si="29"/>
        <v>0</v>
      </c>
      <c r="M50" s="220">
        <f t="shared" si="30"/>
        <v>0</v>
      </c>
      <c r="N50" s="77"/>
      <c r="O50" s="223">
        <f t="shared" si="31"/>
        <v>0</v>
      </c>
      <c r="P50" s="224">
        <f t="shared" si="5"/>
        <v>0</v>
      </c>
      <c r="Q50" s="225"/>
      <c r="R50" s="226">
        <f t="shared" si="32"/>
        <v>0</v>
      </c>
      <c r="S50" s="77"/>
      <c r="T50" s="227">
        <v>393.90000000000003</v>
      </c>
      <c r="U50" s="78"/>
      <c r="V50" s="221">
        <f t="shared" si="33"/>
        <v>393.90000000000003</v>
      </c>
      <c r="W50" s="220">
        <f t="shared" si="34"/>
        <v>0</v>
      </c>
      <c r="X50" s="79"/>
      <c r="AD50" s="228">
        <v>0</v>
      </c>
      <c r="AE50" s="229">
        <v>0</v>
      </c>
      <c r="AF50" s="230">
        <v>0</v>
      </c>
      <c r="AG50" s="231">
        <v>0</v>
      </c>
    </row>
    <row r="51" spans="1:33" s="80" customFormat="1" ht="15" customHeight="1">
      <c r="A51" s="215"/>
      <c r="B51" s="216" t="s">
        <v>244</v>
      </c>
      <c r="C51" s="50"/>
      <c r="D51" s="217" t="s">
        <v>199</v>
      </c>
      <c r="E51" s="218">
        <v>80.600000000000009</v>
      </c>
      <c r="F51" s="219"/>
      <c r="G51" s="219"/>
      <c r="H51" s="220">
        <f t="shared" si="27"/>
        <v>80.600000000000009</v>
      </c>
      <c r="I51" s="77"/>
      <c r="J51" s="221">
        <f t="shared" si="28"/>
        <v>0</v>
      </c>
      <c r="K51" s="222">
        <f>'BETON Qte'!K51</f>
        <v>0</v>
      </c>
      <c r="L51" s="219">
        <f t="shared" si="29"/>
        <v>0</v>
      </c>
      <c r="M51" s="220">
        <f t="shared" si="30"/>
        <v>0</v>
      </c>
      <c r="N51" s="77"/>
      <c r="O51" s="223">
        <f t="shared" si="31"/>
        <v>0</v>
      </c>
      <c r="P51" s="224">
        <f t="shared" si="5"/>
        <v>0</v>
      </c>
      <c r="Q51" s="225"/>
      <c r="R51" s="226">
        <f t="shared" si="32"/>
        <v>0</v>
      </c>
      <c r="S51" s="77"/>
      <c r="T51" s="227">
        <v>80.600000000000009</v>
      </c>
      <c r="U51" s="78"/>
      <c r="V51" s="221">
        <f t="shared" si="33"/>
        <v>80.600000000000009</v>
      </c>
      <c r="W51" s="220">
        <f t="shared" si="34"/>
        <v>0</v>
      </c>
      <c r="X51" s="79"/>
      <c r="AD51" s="228">
        <v>0</v>
      </c>
      <c r="AE51" s="229">
        <v>0</v>
      </c>
      <c r="AF51" s="230">
        <v>0</v>
      </c>
      <c r="AG51" s="231">
        <v>0</v>
      </c>
    </row>
    <row r="52" spans="1:33" s="80" customFormat="1" ht="15" customHeight="1">
      <c r="A52" s="215"/>
      <c r="B52" s="216" t="s">
        <v>245</v>
      </c>
      <c r="C52" s="50"/>
      <c r="D52" s="217" t="s">
        <v>199</v>
      </c>
      <c r="E52" s="218">
        <v>1052.48</v>
      </c>
      <c r="F52" s="219"/>
      <c r="G52" s="219"/>
      <c r="H52" s="220">
        <f t="shared" si="27"/>
        <v>1052.48</v>
      </c>
      <c r="I52" s="77"/>
      <c r="J52" s="221">
        <f t="shared" si="28"/>
        <v>0</v>
      </c>
      <c r="K52" s="222">
        <f>'BETON Qte'!K52</f>
        <v>0</v>
      </c>
      <c r="L52" s="219">
        <f t="shared" si="29"/>
        <v>0</v>
      </c>
      <c r="M52" s="220">
        <f t="shared" si="30"/>
        <v>0</v>
      </c>
      <c r="N52" s="77"/>
      <c r="O52" s="223">
        <f t="shared" si="31"/>
        <v>0</v>
      </c>
      <c r="P52" s="224">
        <f t="shared" si="5"/>
        <v>0</v>
      </c>
      <c r="Q52" s="225"/>
      <c r="R52" s="226">
        <f t="shared" si="32"/>
        <v>0</v>
      </c>
      <c r="S52" s="77"/>
      <c r="T52" s="227">
        <v>1052.48</v>
      </c>
      <c r="U52" s="78"/>
      <c r="V52" s="221">
        <f t="shared" si="33"/>
        <v>1052.48</v>
      </c>
      <c r="W52" s="220">
        <f t="shared" si="34"/>
        <v>0</v>
      </c>
      <c r="X52" s="79"/>
      <c r="AD52" s="228">
        <v>0</v>
      </c>
      <c r="AE52" s="229">
        <v>0</v>
      </c>
      <c r="AF52" s="230">
        <v>0</v>
      </c>
      <c r="AG52" s="231">
        <v>0</v>
      </c>
    </row>
    <row r="53" spans="1:33" s="80" customFormat="1" ht="15" customHeight="1">
      <c r="A53" s="215"/>
      <c r="B53" s="216" t="s">
        <v>246</v>
      </c>
      <c r="C53" s="50"/>
      <c r="D53" s="217" t="s">
        <v>199</v>
      </c>
      <c r="E53" s="218">
        <v>11769.16</v>
      </c>
      <c r="F53" s="219"/>
      <c r="G53" s="219"/>
      <c r="H53" s="220">
        <f t="shared" si="27"/>
        <v>11769.16</v>
      </c>
      <c r="I53" s="77"/>
      <c r="J53" s="221">
        <f t="shared" si="28"/>
        <v>0</v>
      </c>
      <c r="K53" s="222">
        <f>'BETON Qte'!K53</f>
        <v>0</v>
      </c>
      <c r="L53" s="219">
        <f t="shared" si="29"/>
        <v>0</v>
      </c>
      <c r="M53" s="220">
        <f t="shared" si="30"/>
        <v>0</v>
      </c>
      <c r="N53" s="77"/>
      <c r="O53" s="223">
        <f t="shared" si="31"/>
        <v>0</v>
      </c>
      <c r="P53" s="224">
        <f t="shared" si="5"/>
        <v>0</v>
      </c>
      <c r="Q53" s="225"/>
      <c r="R53" s="226">
        <f t="shared" si="32"/>
        <v>0</v>
      </c>
      <c r="S53" s="77"/>
      <c r="T53" s="227">
        <v>11769.16</v>
      </c>
      <c r="U53" s="78"/>
      <c r="V53" s="221">
        <f t="shared" si="33"/>
        <v>11769.16</v>
      </c>
      <c r="W53" s="220">
        <f t="shared" si="34"/>
        <v>0</v>
      </c>
      <c r="X53" s="79"/>
      <c r="AD53" s="228">
        <v>0</v>
      </c>
      <c r="AE53" s="229">
        <v>0</v>
      </c>
      <c r="AF53" s="230">
        <v>0</v>
      </c>
      <c r="AG53" s="231">
        <v>0</v>
      </c>
    </row>
    <row r="54" spans="1:33" s="80" customFormat="1" ht="15" customHeight="1">
      <c r="A54" s="215"/>
      <c r="B54" s="216" t="s">
        <v>247</v>
      </c>
      <c r="C54" s="50"/>
      <c r="D54" s="217" t="s">
        <v>199</v>
      </c>
      <c r="E54" s="218">
        <v>265.2</v>
      </c>
      <c r="F54" s="219"/>
      <c r="G54" s="219"/>
      <c r="H54" s="220">
        <f t="shared" si="27"/>
        <v>265.2</v>
      </c>
      <c r="I54" s="77"/>
      <c r="J54" s="221">
        <f t="shared" si="28"/>
        <v>0</v>
      </c>
      <c r="K54" s="222">
        <f>'BETON Qte'!K54</f>
        <v>0</v>
      </c>
      <c r="L54" s="219">
        <f t="shared" si="29"/>
        <v>0</v>
      </c>
      <c r="M54" s="220">
        <f t="shared" si="30"/>
        <v>0</v>
      </c>
      <c r="N54" s="77"/>
      <c r="O54" s="223">
        <f t="shared" si="31"/>
        <v>0</v>
      </c>
      <c r="P54" s="224">
        <f t="shared" si="5"/>
        <v>0</v>
      </c>
      <c r="Q54" s="225"/>
      <c r="R54" s="226">
        <f t="shared" si="32"/>
        <v>0</v>
      </c>
      <c r="S54" s="77"/>
      <c r="T54" s="227">
        <v>265.2</v>
      </c>
      <c r="U54" s="78"/>
      <c r="V54" s="221">
        <f t="shared" si="33"/>
        <v>265.2</v>
      </c>
      <c r="W54" s="220">
        <f t="shared" si="34"/>
        <v>0</v>
      </c>
      <c r="X54" s="79"/>
      <c r="AD54" s="228">
        <v>0</v>
      </c>
      <c r="AE54" s="229">
        <v>0</v>
      </c>
      <c r="AF54" s="230">
        <v>0</v>
      </c>
      <c r="AG54" s="231">
        <v>0</v>
      </c>
    </row>
    <row r="55" spans="1:33" s="80" customFormat="1" ht="15" customHeight="1">
      <c r="A55" s="215"/>
      <c r="B55" s="216" t="s">
        <v>248</v>
      </c>
      <c r="C55" s="50"/>
      <c r="D55" s="217" t="s">
        <v>199</v>
      </c>
      <c r="E55" s="218">
        <v>994.5</v>
      </c>
      <c r="F55" s="219"/>
      <c r="G55" s="219"/>
      <c r="H55" s="220">
        <f t="shared" si="27"/>
        <v>994.5</v>
      </c>
      <c r="I55" s="77"/>
      <c r="J55" s="221">
        <f t="shared" si="28"/>
        <v>0</v>
      </c>
      <c r="K55" s="222">
        <f>'BETON Qte'!K55</f>
        <v>0</v>
      </c>
      <c r="L55" s="219">
        <f t="shared" si="29"/>
        <v>0</v>
      </c>
      <c r="M55" s="220">
        <f t="shared" si="30"/>
        <v>0</v>
      </c>
      <c r="N55" s="77"/>
      <c r="O55" s="223">
        <f t="shared" si="31"/>
        <v>0</v>
      </c>
      <c r="P55" s="224">
        <f t="shared" si="5"/>
        <v>0</v>
      </c>
      <c r="Q55" s="225"/>
      <c r="R55" s="226">
        <f t="shared" si="32"/>
        <v>0</v>
      </c>
      <c r="S55" s="77"/>
      <c r="T55" s="227">
        <v>994.5</v>
      </c>
      <c r="U55" s="78"/>
      <c r="V55" s="221">
        <f t="shared" si="33"/>
        <v>994.5</v>
      </c>
      <c r="W55" s="220">
        <f t="shared" si="34"/>
        <v>0</v>
      </c>
      <c r="X55" s="79"/>
      <c r="AD55" s="228">
        <v>0</v>
      </c>
      <c r="AE55" s="229">
        <v>0</v>
      </c>
      <c r="AF55" s="230">
        <v>0</v>
      </c>
      <c r="AG55" s="231">
        <v>0</v>
      </c>
    </row>
    <row r="56" spans="1:33" s="80" customFormat="1" ht="15" customHeight="1" thickBot="1">
      <c r="A56" s="215"/>
      <c r="B56" s="216" t="s">
        <v>249</v>
      </c>
      <c r="C56" s="50"/>
      <c r="D56" s="217" t="s">
        <v>199</v>
      </c>
      <c r="E56" s="218">
        <v>6.5</v>
      </c>
      <c r="F56" s="219"/>
      <c r="G56" s="219"/>
      <c r="H56" s="220">
        <f t="shared" si="27"/>
        <v>6.5</v>
      </c>
      <c r="I56" s="77"/>
      <c r="J56" s="221">
        <f t="shared" si="28"/>
        <v>0</v>
      </c>
      <c r="K56" s="222">
        <f>'BETON Qte'!K56</f>
        <v>0</v>
      </c>
      <c r="L56" s="219">
        <f t="shared" si="29"/>
        <v>0</v>
      </c>
      <c r="M56" s="220">
        <f t="shared" si="30"/>
        <v>0</v>
      </c>
      <c r="N56" s="77"/>
      <c r="O56" s="223">
        <f t="shared" si="31"/>
        <v>0</v>
      </c>
      <c r="P56" s="224">
        <f t="shared" si="5"/>
        <v>0</v>
      </c>
      <c r="Q56" s="225"/>
      <c r="R56" s="226">
        <f t="shared" si="32"/>
        <v>0</v>
      </c>
      <c r="S56" s="77"/>
      <c r="T56" s="227">
        <v>6.5</v>
      </c>
      <c r="U56" s="78"/>
      <c r="V56" s="221">
        <f t="shared" si="33"/>
        <v>6.5</v>
      </c>
      <c r="W56" s="220">
        <f t="shared" si="34"/>
        <v>0</v>
      </c>
      <c r="X56" s="79"/>
      <c r="AD56" s="228">
        <v>0</v>
      </c>
      <c r="AE56" s="229">
        <v>0</v>
      </c>
      <c r="AF56" s="230">
        <v>0</v>
      </c>
      <c r="AG56" s="231">
        <v>0</v>
      </c>
    </row>
    <row r="57" spans="1:33" s="76" customFormat="1" ht="19.5" customHeight="1" thickBot="1">
      <c r="A57" s="256" t="s">
        <v>250</v>
      </c>
      <c r="B57" s="257" t="s">
        <v>251</v>
      </c>
      <c r="C57" s="74"/>
      <c r="D57" s="258" t="s">
        <v>199</v>
      </c>
      <c r="E57" s="259">
        <f>SUM(E58:E60)</f>
        <v>126914.68837209302</v>
      </c>
      <c r="F57" s="201">
        <f>SUM(F58:F60)</f>
        <v>0</v>
      </c>
      <c r="G57" s="201">
        <f>SUM(G58:G60)</f>
        <v>0</v>
      </c>
      <c r="H57" s="246">
        <f>SUM(H58:H60)</f>
        <v>126914.68837209302</v>
      </c>
      <c r="I57" s="75"/>
      <c r="J57" s="245">
        <f>SUM(J58:J60)</f>
        <v>0</v>
      </c>
      <c r="K57" s="260">
        <f>IFERROR(J57/H57,"")</f>
        <v>0</v>
      </c>
      <c r="L57" s="201">
        <f>SUM(L58:L60)</f>
        <v>0</v>
      </c>
      <c r="M57" s="246">
        <f>SUM(M58:M60)</f>
        <v>0</v>
      </c>
      <c r="N57" s="75"/>
      <c r="O57" s="247">
        <f>SUM(O58:O60)</f>
        <v>0</v>
      </c>
      <c r="P57" s="248">
        <f>IFERROR(O57/H57,"")</f>
        <v>0</v>
      </c>
      <c r="Q57" s="249">
        <f>SUM(Q58:Q60)</f>
        <v>0</v>
      </c>
      <c r="R57" s="250">
        <f>SUM(R58:R60)</f>
        <v>0</v>
      </c>
      <c r="S57" s="75"/>
      <c r="T57" s="251">
        <f>SUM(T58:T60)</f>
        <v>126914.68837209302</v>
      </c>
      <c r="U57" s="75"/>
      <c r="V57" s="245">
        <f>SUM(V58:V60)</f>
        <v>126914.68837209302</v>
      </c>
      <c r="W57" s="246">
        <f>SUM(W58:W60)</f>
        <v>0</v>
      </c>
      <c r="X57" s="72"/>
      <c r="AD57" s="252">
        <v>0</v>
      </c>
      <c r="AE57" s="253">
        <v>0</v>
      </c>
      <c r="AF57" s="254">
        <v>0</v>
      </c>
      <c r="AG57" s="255">
        <v>0</v>
      </c>
    </row>
    <row r="58" spans="1:33" s="80" customFormat="1" ht="15" customHeight="1">
      <c r="A58" s="215"/>
      <c r="B58" s="216" t="s">
        <v>252</v>
      </c>
      <c r="C58" s="50"/>
      <c r="D58" s="217" t="s">
        <v>199</v>
      </c>
      <c r="E58" s="218">
        <v>72961.2</v>
      </c>
      <c r="F58" s="219"/>
      <c r="G58" s="219"/>
      <c r="H58" s="220">
        <f>SUM(E58:G58)</f>
        <v>72961.2</v>
      </c>
      <c r="I58" s="77"/>
      <c r="J58" s="221">
        <f>H58*K58/100</f>
        <v>0</v>
      </c>
      <c r="K58" s="222">
        <f>'BETON Qte'!K58</f>
        <v>0</v>
      </c>
      <c r="L58" s="219">
        <f>Q58+AF58</f>
        <v>0</v>
      </c>
      <c r="M58" s="220">
        <f>J58-L58</f>
        <v>0</v>
      </c>
      <c r="N58" s="77"/>
      <c r="O58" s="223">
        <f>J58-AD58</f>
        <v>0</v>
      </c>
      <c r="P58" s="224">
        <f t="shared" si="5"/>
        <v>0</v>
      </c>
      <c r="Q58" s="225"/>
      <c r="R58" s="226">
        <f>O58-Q58</f>
        <v>0</v>
      </c>
      <c r="S58" s="77"/>
      <c r="T58" s="227">
        <v>72961.2</v>
      </c>
      <c r="U58" s="78"/>
      <c r="V58" s="221">
        <f t="shared" ref="V58:V60" si="35">L58+T58</f>
        <v>72961.2</v>
      </c>
      <c r="W58" s="220">
        <f t="shared" ref="W58:W60" si="36">H58-V58</f>
        <v>0</v>
      </c>
      <c r="X58" s="79"/>
      <c r="AD58" s="228">
        <v>0</v>
      </c>
      <c r="AE58" s="229">
        <v>0</v>
      </c>
      <c r="AF58" s="230">
        <v>0</v>
      </c>
      <c r="AG58" s="231">
        <v>0</v>
      </c>
    </row>
    <row r="59" spans="1:33" s="80" customFormat="1" ht="15" customHeight="1">
      <c r="A59" s="215"/>
      <c r="B59" s="216" t="s">
        <v>252</v>
      </c>
      <c r="C59" s="50"/>
      <c r="D59" s="217" t="s">
        <v>199</v>
      </c>
      <c r="E59" s="218">
        <v>53953.488372093023</v>
      </c>
      <c r="F59" s="219"/>
      <c r="G59" s="219"/>
      <c r="H59" s="220">
        <f t="shared" ref="H59:H60" si="37">SUM(E59:G59)</f>
        <v>53953.488372093023</v>
      </c>
      <c r="I59" s="77"/>
      <c r="J59" s="221">
        <f t="shared" ref="J59:J60" si="38">H59*K59/100</f>
        <v>0</v>
      </c>
      <c r="K59" s="222">
        <f>'BETON Qte'!K59</f>
        <v>0</v>
      </c>
      <c r="L59" s="219">
        <f t="shared" ref="L59:L60" si="39">Q59+AF59</f>
        <v>0</v>
      </c>
      <c r="M59" s="220">
        <f t="shared" ref="M59:M60" si="40">J59-L59</f>
        <v>0</v>
      </c>
      <c r="N59" s="77"/>
      <c r="O59" s="223">
        <f t="shared" ref="O59:O60" si="41">J59-AD59</f>
        <v>0</v>
      </c>
      <c r="P59" s="224">
        <f t="shared" si="5"/>
        <v>0</v>
      </c>
      <c r="Q59" s="225"/>
      <c r="R59" s="226">
        <f t="shared" ref="R59:R60" si="42">O59-Q59</f>
        <v>0</v>
      </c>
      <c r="S59" s="77"/>
      <c r="T59" s="227">
        <v>53953.488372093023</v>
      </c>
      <c r="U59" s="78"/>
      <c r="V59" s="221">
        <f t="shared" si="35"/>
        <v>53953.488372093023</v>
      </c>
      <c r="W59" s="220">
        <f t="shared" si="36"/>
        <v>0</v>
      </c>
      <c r="X59" s="79"/>
      <c r="AD59" s="228">
        <v>0</v>
      </c>
      <c r="AE59" s="229">
        <v>0</v>
      </c>
      <c r="AF59" s="230">
        <v>0</v>
      </c>
      <c r="AG59" s="231">
        <v>0</v>
      </c>
    </row>
    <row r="60" spans="1:33" s="80" customFormat="1" ht="15" customHeight="1" thickBot="1">
      <c r="A60" s="261"/>
      <c r="B60" s="262" t="s">
        <v>253</v>
      </c>
      <c r="C60" s="50"/>
      <c r="D60" s="263" t="s">
        <v>199</v>
      </c>
      <c r="E60" s="264">
        <v>0</v>
      </c>
      <c r="F60" s="265"/>
      <c r="G60" s="265"/>
      <c r="H60" s="266">
        <f t="shared" si="37"/>
        <v>0</v>
      </c>
      <c r="I60" s="77"/>
      <c r="J60" s="267">
        <f t="shared" si="38"/>
        <v>0</v>
      </c>
      <c r="K60" s="268">
        <f>'BETON Qte'!K60</f>
        <v>0</v>
      </c>
      <c r="L60" s="265">
        <f t="shared" si="39"/>
        <v>0</v>
      </c>
      <c r="M60" s="266">
        <f t="shared" si="40"/>
        <v>0</v>
      </c>
      <c r="N60" s="77"/>
      <c r="O60" s="269">
        <f t="shared" si="41"/>
        <v>0</v>
      </c>
      <c r="P60" s="270">
        <f t="shared" si="5"/>
        <v>0</v>
      </c>
      <c r="Q60" s="271"/>
      <c r="R60" s="272">
        <f t="shared" si="42"/>
        <v>0</v>
      </c>
      <c r="S60" s="77"/>
      <c r="T60" s="273">
        <v>0</v>
      </c>
      <c r="U60" s="78"/>
      <c r="V60" s="267">
        <f t="shared" si="35"/>
        <v>0</v>
      </c>
      <c r="W60" s="266">
        <f t="shared" si="36"/>
        <v>0</v>
      </c>
      <c r="X60" s="79"/>
      <c r="AD60" s="274">
        <v>0</v>
      </c>
      <c r="AE60" s="275">
        <v>0</v>
      </c>
      <c r="AF60" s="276">
        <v>0</v>
      </c>
      <c r="AG60" s="277">
        <v>0</v>
      </c>
    </row>
    <row r="61" spans="1:33">
      <c r="E61" s="82"/>
      <c r="F61" s="82"/>
      <c r="G61" s="82"/>
      <c r="H61" s="82"/>
      <c r="I61" s="83"/>
      <c r="J61" s="82"/>
      <c r="K61" s="82"/>
      <c r="L61" s="82"/>
      <c r="M61" s="82"/>
      <c r="N61" s="83"/>
      <c r="O61" s="82"/>
      <c r="P61" s="82"/>
      <c r="Q61" s="82"/>
      <c r="R61" s="82"/>
      <c r="S61" s="83"/>
      <c r="T61" s="82"/>
      <c r="U61" s="84"/>
      <c r="V61" s="82"/>
      <c r="W61" s="82"/>
    </row>
    <row r="62" spans="1:33">
      <c r="E62" s="82"/>
      <c r="F62" s="82"/>
      <c r="G62" s="82"/>
      <c r="H62" s="82"/>
      <c r="I62" s="83"/>
      <c r="J62" s="82"/>
      <c r="K62" s="82"/>
      <c r="L62" s="82"/>
      <c r="M62" s="82"/>
      <c r="N62" s="83"/>
      <c r="O62" s="82"/>
      <c r="P62" s="82"/>
      <c r="Q62" s="82"/>
      <c r="R62" s="82"/>
      <c r="S62" s="83"/>
      <c r="T62" s="82"/>
      <c r="U62" s="84"/>
      <c r="V62" s="82"/>
      <c r="W62" s="82"/>
    </row>
    <row r="63" spans="1:33">
      <c r="E63" s="82"/>
      <c r="F63" s="82"/>
      <c r="G63" s="82"/>
      <c r="H63" s="82"/>
      <c r="I63" s="83"/>
      <c r="J63" s="82"/>
      <c r="K63" s="82"/>
      <c r="L63" s="82"/>
      <c r="M63" s="82"/>
      <c r="N63" s="83"/>
      <c r="O63" s="82"/>
      <c r="P63" s="82"/>
      <c r="Q63" s="82"/>
      <c r="R63" s="82"/>
      <c r="S63" s="83"/>
      <c r="T63" s="82"/>
      <c r="U63" s="84"/>
      <c r="V63" s="82"/>
      <c r="W63" s="82"/>
    </row>
    <row r="64" spans="1:33">
      <c r="E64" s="82"/>
      <c r="F64" s="82"/>
      <c r="G64" s="82"/>
      <c r="H64" s="82"/>
      <c r="I64" s="83"/>
      <c r="J64" s="82"/>
      <c r="K64" s="82"/>
      <c r="L64" s="82"/>
      <c r="M64" s="82"/>
      <c r="N64" s="83"/>
      <c r="O64" s="82"/>
      <c r="P64" s="82"/>
      <c r="Q64" s="82"/>
      <c r="R64" s="82"/>
      <c r="S64" s="83"/>
      <c r="T64" s="82"/>
      <c r="U64" s="84"/>
      <c r="V64" s="82"/>
      <c r="W64" s="82"/>
    </row>
    <row r="65" spans="1:33">
      <c r="E65" s="82"/>
      <c r="F65" s="82"/>
      <c r="G65" s="82"/>
      <c r="H65" s="82"/>
      <c r="I65" s="83"/>
      <c r="J65" s="82"/>
      <c r="K65" s="82"/>
      <c r="L65" s="82"/>
      <c r="M65" s="82"/>
      <c r="N65" s="83"/>
      <c r="O65" s="82"/>
      <c r="P65" s="82"/>
      <c r="Q65" s="82"/>
      <c r="R65" s="82"/>
      <c r="S65" s="83"/>
      <c r="T65" s="82"/>
      <c r="U65" s="84"/>
      <c r="V65" s="82"/>
      <c r="W65" s="82"/>
    </row>
    <row r="66" spans="1:33" ht="13.5" customHeight="1" thickBot="1">
      <c r="A66" s="49"/>
      <c r="B66" s="49"/>
      <c r="C66" s="50"/>
      <c r="E66" s="85"/>
      <c r="F66" s="85"/>
      <c r="G66" s="85"/>
      <c r="H66" s="85"/>
      <c r="I66" s="77"/>
      <c r="J66" s="86" t="s">
        <v>180</v>
      </c>
      <c r="K66" s="86" t="s">
        <v>180</v>
      </c>
      <c r="L66" s="87"/>
      <c r="M66" s="87"/>
      <c r="N66" s="77"/>
      <c r="O66" s="87"/>
      <c r="P66" s="86" t="s">
        <v>180</v>
      </c>
      <c r="Q66" s="87"/>
      <c r="R66" s="87"/>
      <c r="S66" s="77"/>
      <c r="T66" s="87"/>
      <c r="U66" s="78"/>
      <c r="V66" s="87"/>
      <c r="W66" s="87"/>
      <c r="X66" s="55"/>
      <c r="AD66" s="53" t="s">
        <v>180</v>
      </c>
      <c r="AE66" s="53" t="s">
        <v>180</v>
      </c>
      <c r="AF66" s="49"/>
      <c r="AG66" s="49"/>
    </row>
    <row r="67" spans="1:33" s="73" customFormat="1" ht="19.5" customHeight="1" thickBot="1">
      <c r="A67" s="278"/>
      <c r="B67" s="279" t="s">
        <v>198</v>
      </c>
      <c r="C67" s="69"/>
      <c r="D67" s="280" t="s">
        <v>199</v>
      </c>
      <c r="E67" s="281">
        <f>E68+E79+E87+E90+E93+E109</f>
        <v>567723.82032558136</v>
      </c>
      <c r="F67" s="282">
        <f>F68+F79+F87+F90+F93+F109</f>
        <v>0</v>
      </c>
      <c r="G67" s="282">
        <f>G68+G79+G87+G90+G93+G109</f>
        <v>0</v>
      </c>
      <c r="H67" s="283">
        <f>H68+H79+H87+H90+H93+H109</f>
        <v>567723.82032558136</v>
      </c>
      <c r="I67" s="70"/>
      <c r="J67" s="186">
        <f>J68+J79+J87+J90+J93+J109</f>
        <v>29530.779500000001</v>
      </c>
      <c r="K67" s="187">
        <f>IFERROR(J67/H67,"")</f>
        <v>5.2016100862325151E-2</v>
      </c>
      <c r="L67" s="284">
        <f>L68+L79+L87+L90+L93+L109</f>
        <v>39231</v>
      </c>
      <c r="M67" s="189">
        <f>M68+M79+M87+M90+M93+M109</f>
        <v>-9700.2204999999994</v>
      </c>
      <c r="N67" s="70"/>
      <c r="O67" s="285">
        <f>O68+O79+O87+O90+O93+O109</f>
        <v>0</v>
      </c>
      <c r="P67" s="286">
        <f>IFERROR(O67/H67,"")</f>
        <v>0</v>
      </c>
      <c r="Q67" s="287">
        <f>Q68+Q79+Q87+Q90+Q93+Q109</f>
        <v>0</v>
      </c>
      <c r="R67" s="288">
        <f>R68+R79+R87+R90+R93+R109</f>
        <v>0</v>
      </c>
      <c r="S67" s="70"/>
      <c r="T67" s="289">
        <f>T68+T79+T87+T90+T93+T109</f>
        <v>408022.91732558142</v>
      </c>
      <c r="U67" s="71"/>
      <c r="V67" s="290">
        <f>V68+V79+V87+V90+V93+V109</f>
        <v>447253.91732558142</v>
      </c>
      <c r="W67" s="283">
        <f>W68+W79+W87+W90+W93+W109</f>
        <v>120469.90300000001</v>
      </c>
      <c r="X67" s="72"/>
      <c r="AD67" s="291">
        <v>29530.779500000001</v>
      </c>
      <c r="AE67" s="292">
        <v>5.2016100862325151E-2</v>
      </c>
      <c r="AF67" s="293">
        <v>39231</v>
      </c>
      <c r="AG67" s="294">
        <v>-9700.2204999999994</v>
      </c>
    </row>
    <row r="68" spans="1:33" s="76" customFormat="1" ht="19.5" customHeight="1" thickBot="1">
      <c r="A68" s="256" t="s">
        <v>518</v>
      </c>
      <c r="B68" s="257" t="s">
        <v>519</v>
      </c>
      <c r="C68" s="74"/>
      <c r="D68" s="258" t="s">
        <v>199</v>
      </c>
      <c r="E68" s="259">
        <f>SUM(E69:E78)</f>
        <v>18519.617999999999</v>
      </c>
      <c r="F68" s="201">
        <f>SUM(F69:F78)</f>
        <v>0</v>
      </c>
      <c r="G68" s="201">
        <f>SUM(G69:G78)</f>
        <v>0</v>
      </c>
      <c r="H68" s="246">
        <f>SUM(H69:H78)</f>
        <v>18519.617999999999</v>
      </c>
      <c r="I68" s="75"/>
      <c r="J68" s="202">
        <f>SUM(J69:J78)</f>
        <v>17399.6433</v>
      </c>
      <c r="K68" s="203">
        <f>IFERROR(J68/H68,"")</f>
        <v>0.93952495672426939</v>
      </c>
      <c r="L68" s="204">
        <f>SUM(L69:L78)</f>
        <v>19904</v>
      </c>
      <c r="M68" s="205">
        <f>SUM(M69:M78)</f>
        <v>-2504.3567000000003</v>
      </c>
      <c r="N68" s="75"/>
      <c r="O68" s="206">
        <f>SUM(O69:O78)</f>
        <v>0</v>
      </c>
      <c r="P68" s="207">
        <f>IFERROR(O68/H68,"")</f>
        <v>0</v>
      </c>
      <c r="Q68" s="208">
        <f>SUM(Q69:Q78)</f>
        <v>0</v>
      </c>
      <c r="R68" s="209">
        <f>SUM(R69:R78)</f>
        <v>0</v>
      </c>
      <c r="S68" s="75"/>
      <c r="T68" s="210">
        <f>SUM(T69:T78)</f>
        <v>0</v>
      </c>
      <c r="U68" s="75"/>
      <c r="V68" s="202">
        <f>SUM(V69:V78)</f>
        <v>19904</v>
      </c>
      <c r="W68" s="205">
        <f>SUM(W69:W78)</f>
        <v>-1384.3820000000012</v>
      </c>
      <c r="X68" s="72"/>
      <c r="AD68" s="211">
        <v>17399.6433</v>
      </c>
      <c r="AE68" s="212">
        <v>0.93952495672426939</v>
      </c>
      <c r="AF68" s="213">
        <v>19904</v>
      </c>
      <c r="AG68" s="214">
        <v>-2504.3567000000003</v>
      </c>
    </row>
    <row r="69" spans="1:33" s="80" customFormat="1" ht="15" customHeight="1">
      <c r="A69" s="215"/>
      <c r="B69" s="216" t="s">
        <v>202</v>
      </c>
      <c r="C69" s="50"/>
      <c r="D69" s="217" t="s">
        <v>199</v>
      </c>
      <c r="E69" s="218">
        <v>884</v>
      </c>
      <c r="F69" s="219"/>
      <c r="G69" s="219"/>
      <c r="H69" s="220">
        <f>SUM(E69:G69)</f>
        <v>884</v>
      </c>
      <c r="I69" s="77"/>
      <c r="J69" s="221">
        <f>H69*K69/100</f>
        <v>857.48</v>
      </c>
      <c r="K69" s="222">
        <f>'BETON Qte'!K69</f>
        <v>97</v>
      </c>
      <c r="L69" s="219">
        <f>Q69+AF69</f>
        <v>1328</v>
      </c>
      <c r="M69" s="220">
        <f>J69-L69</f>
        <v>-470.52</v>
      </c>
      <c r="N69" s="77"/>
      <c r="O69" s="223">
        <f>J69-AD69</f>
        <v>0</v>
      </c>
      <c r="P69" s="224">
        <f t="shared" ref="P69:P78" si="43">IFERROR(O69/H69,0)</f>
        <v>0</v>
      </c>
      <c r="Q69" s="225"/>
      <c r="R69" s="226">
        <f>O69-Q69</f>
        <v>0</v>
      </c>
      <c r="S69" s="77"/>
      <c r="T69" s="227">
        <v>0</v>
      </c>
      <c r="U69" s="78"/>
      <c r="V69" s="221">
        <f>L69+T69</f>
        <v>1328</v>
      </c>
      <c r="W69" s="220">
        <f>H69-V69</f>
        <v>-444</v>
      </c>
      <c r="X69" s="79"/>
      <c r="AD69" s="228">
        <v>857.48</v>
      </c>
      <c r="AE69" s="229">
        <v>97</v>
      </c>
      <c r="AF69" s="230">
        <v>1328</v>
      </c>
      <c r="AG69" s="231">
        <v>-470.52</v>
      </c>
    </row>
    <row r="70" spans="1:33" s="80" customFormat="1" ht="15" customHeight="1">
      <c r="A70" s="215"/>
      <c r="B70" s="216" t="s">
        <v>203</v>
      </c>
      <c r="C70" s="50"/>
      <c r="D70" s="217" t="s">
        <v>199</v>
      </c>
      <c r="E70" s="218">
        <v>35.568000000000005</v>
      </c>
      <c r="F70" s="219"/>
      <c r="G70" s="219"/>
      <c r="H70" s="220">
        <f t="shared" ref="H70:H78" si="44">SUM(E70:G70)</f>
        <v>35.568000000000005</v>
      </c>
      <c r="I70" s="77"/>
      <c r="J70" s="221">
        <f t="shared" ref="J70:J78" si="45">H70*K70/100</f>
        <v>35.568000000000005</v>
      </c>
      <c r="K70" s="222">
        <f>'BETON Qte'!K70</f>
        <v>100</v>
      </c>
      <c r="L70" s="219">
        <f t="shared" ref="L70:L78" si="46">Q70+AF70</f>
        <v>133</v>
      </c>
      <c r="M70" s="220">
        <f t="shared" ref="M70:M78" si="47">J70-L70</f>
        <v>-97.431999999999988</v>
      </c>
      <c r="N70" s="77"/>
      <c r="O70" s="223">
        <f t="shared" ref="O70:O78" si="48">J70-AD70</f>
        <v>0</v>
      </c>
      <c r="P70" s="224">
        <f t="shared" si="43"/>
        <v>0</v>
      </c>
      <c r="Q70" s="225"/>
      <c r="R70" s="226">
        <f t="shared" ref="R70:R78" si="49">O70-Q70</f>
        <v>0</v>
      </c>
      <c r="S70" s="77"/>
      <c r="T70" s="227">
        <v>0</v>
      </c>
      <c r="U70" s="78"/>
      <c r="V70" s="221">
        <f t="shared" ref="V70:V78" si="50">L70+T70</f>
        <v>133</v>
      </c>
      <c r="W70" s="220">
        <f t="shared" ref="W70:W78" si="51">H70-V70</f>
        <v>-97.431999999999988</v>
      </c>
      <c r="X70" s="79"/>
      <c r="AD70" s="228">
        <v>35.568000000000005</v>
      </c>
      <c r="AE70" s="229">
        <v>100</v>
      </c>
      <c r="AF70" s="230">
        <v>133</v>
      </c>
      <c r="AG70" s="231">
        <v>-97.431999999999988</v>
      </c>
    </row>
    <row r="71" spans="1:33" s="80" customFormat="1" ht="15" customHeight="1">
      <c r="A71" s="215"/>
      <c r="B71" s="216" t="s">
        <v>204</v>
      </c>
      <c r="C71" s="50"/>
      <c r="D71" s="217" t="s">
        <v>199</v>
      </c>
      <c r="E71" s="218"/>
      <c r="F71" s="219"/>
      <c r="G71" s="219"/>
      <c r="H71" s="220">
        <f t="shared" si="44"/>
        <v>0</v>
      </c>
      <c r="I71" s="77"/>
      <c r="J71" s="221">
        <f t="shared" si="45"/>
        <v>0</v>
      </c>
      <c r="K71" s="222">
        <f>'BETON Qte'!K71</f>
        <v>0</v>
      </c>
      <c r="L71" s="219">
        <f t="shared" si="46"/>
        <v>7773</v>
      </c>
      <c r="M71" s="220">
        <f t="shared" si="47"/>
        <v>-7773</v>
      </c>
      <c r="N71" s="77"/>
      <c r="O71" s="223">
        <f t="shared" si="48"/>
        <v>0</v>
      </c>
      <c r="P71" s="224">
        <f t="shared" si="43"/>
        <v>0</v>
      </c>
      <c r="Q71" s="225"/>
      <c r="R71" s="226">
        <f t="shared" si="49"/>
        <v>0</v>
      </c>
      <c r="S71" s="77"/>
      <c r="T71" s="227">
        <v>0</v>
      </c>
      <c r="U71" s="78"/>
      <c r="V71" s="221">
        <f t="shared" si="50"/>
        <v>7773</v>
      </c>
      <c r="W71" s="220">
        <f t="shared" si="51"/>
        <v>-7773</v>
      </c>
      <c r="X71" s="79"/>
      <c r="AD71" s="228">
        <v>0</v>
      </c>
      <c r="AE71" s="229">
        <v>0</v>
      </c>
      <c r="AF71" s="230">
        <v>7773</v>
      </c>
      <c r="AG71" s="231">
        <v>-7773</v>
      </c>
    </row>
    <row r="72" spans="1:33" s="80" customFormat="1" ht="15" customHeight="1">
      <c r="A72" s="215"/>
      <c r="B72" s="216" t="s">
        <v>205</v>
      </c>
      <c r="C72" s="50"/>
      <c r="D72" s="217" t="s">
        <v>199</v>
      </c>
      <c r="E72" s="218">
        <v>972.4</v>
      </c>
      <c r="F72" s="219"/>
      <c r="G72" s="219"/>
      <c r="H72" s="220">
        <f t="shared" si="44"/>
        <v>972.4</v>
      </c>
      <c r="I72" s="77"/>
      <c r="J72" s="221">
        <f t="shared" si="45"/>
        <v>875.16</v>
      </c>
      <c r="K72" s="222">
        <f>'BETON Qte'!K72</f>
        <v>90</v>
      </c>
      <c r="L72" s="219">
        <f t="shared" si="46"/>
        <v>292</v>
      </c>
      <c r="M72" s="220">
        <f t="shared" si="47"/>
        <v>583.16</v>
      </c>
      <c r="N72" s="77"/>
      <c r="O72" s="223">
        <f t="shared" si="48"/>
        <v>0</v>
      </c>
      <c r="P72" s="224">
        <f t="shared" si="43"/>
        <v>0</v>
      </c>
      <c r="Q72" s="225"/>
      <c r="R72" s="226">
        <f t="shared" si="49"/>
        <v>0</v>
      </c>
      <c r="S72" s="77"/>
      <c r="T72" s="227">
        <v>0</v>
      </c>
      <c r="U72" s="78"/>
      <c r="V72" s="221">
        <f t="shared" si="50"/>
        <v>292</v>
      </c>
      <c r="W72" s="220">
        <f t="shared" si="51"/>
        <v>680.4</v>
      </c>
      <c r="X72" s="79"/>
      <c r="AD72" s="228">
        <v>875.16</v>
      </c>
      <c r="AE72" s="229">
        <v>90</v>
      </c>
      <c r="AF72" s="230">
        <v>292</v>
      </c>
      <c r="AG72" s="231">
        <v>583.16</v>
      </c>
    </row>
    <row r="73" spans="1:33" s="80" customFormat="1" ht="15" customHeight="1">
      <c r="A73" s="215"/>
      <c r="B73" s="216" t="s">
        <v>206</v>
      </c>
      <c r="C73" s="50"/>
      <c r="D73" s="217" t="s">
        <v>199</v>
      </c>
      <c r="E73" s="218">
        <v>3692.5200000000004</v>
      </c>
      <c r="F73" s="219"/>
      <c r="G73" s="219"/>
      <c r="H73" s="220">
        <f t="shared" si="44"/>
        <v>3692.5200000000004</v>
      </c>
      <c r="I73" s="77"/>
      <c r="J73" s="221">
        <f t="shared" si="45"/>
        <v>3581.7444000000005</v>
      </c>
      <c r="K73" s="222">
        <f>'BETON Qte'!K73</f>
        <v>97</v>
      </c>
      <c r="L73" s="219">
        <f t="shared" si="46"/>
        <v>3194</v>
      </c>
      <c r="M73" s="220">
        <f t="shared" si="47"/>
        <v>387.7444000000005</v>
      </c>
      <c r="N73" s="77"/>
      <c r="O73" s="223">
        <f t="shared" si="48"/>
        <v>0</v>
      </c>
      <c r="P73" s="224">
        <f t="shared" si="43"/>
        <v>0</v>
      </c>
      <c r="Q73" s="225"/>
      <c r="R73" s="226">
        <f t="shared" si="49"/>
        <v>0</v>
      </c>
      <c r="S73" s="77"/>
      <c r="T73" s="227">
        <v>0</v>
      </c>
      <c r="U73" s="78"/>
      <c r="V73" s="221">
        <f t="shared" si="50"/>
        <v>3194</v>
      </c>
      <c r="W73" s="220">
        <f t="shared" si="51"/>
        <v>498.52000000000044</v>
      </c>
      <c r="X73" s="79"/>
      <c r="AD73" s="228">
        <v>3581.7444000000005</v>
      </c>
      <c r="AE73" s="229">
        <v>97</v>
      </c>
      <c r="AF73" s="230">
        <v>3194</v>
      </c>
      <c r="AG73" s="231">
        <v>387.7444000000005</v>
      </c>
    </row>
    <row r="74" spans="1:33" s="80" customFormat="1" ht="15" customHeight="1">
      <c r="A74" s="215"/>
      <c r="B74" s="216" t="s">
        <v>207</v>
      </c>
      <c r="C74" s="50"/>
      <c r="D74" s="217" t="s">
        <v>199</v>
      </c>
      <c r="E74" s="218">
        <v>6628.44</v>
      </c>
      <c r="F74" s="219"/>
      <c r="G74" s="219"/>
      <c r="H74" s="220">
        <f t="shared" si="44"/>
        <v>6628.44</v>
      </c>
      <c r="I74" s="77"/>
      <c r="J74" s="221">
        <f t="shared" si="45"/>
        <v>6495.8711999999996</v>
      </c>
      <c r="K74" s="222">
        <f>'BETON Qte'!K74</f>
        <v>98</v>
      </c>
      <c r="L74" s="219">
        <f t="shared" si="46"/>
        <v>3591</v>
      </c>
      <c r="M74" s="220">
        <f t="shared" si="47"/>
        <v>2904.8711999999996</v>
      </c>
      <c r="N74" s="77"/>
      <c r="O74" s="223">
        <f t="shared" si="48"/>
        <v>0</v>
      </c>
      <c r="P74" s="224">
        <f t="shared" si="43"/>
        <v>0</v>
      </c>
      <c r="Q74" s="225"/>
      <c r="R74" s="226">
        <f t="shared" si="49"/>
        <v>0</v>
      </c>
      <c r="S74" s="77"/>
      <c r="T74" s="227">
        <v>0</v>
      </c>
      <c r="U74" s="78"/>
      <c r="V74" s="221">
        <f t="shared" si="50"/>
        <v>3591</v>
      </c>
      <c r="W74" s="220">
        <f t="shared" si="51"/>
        <v>3037.4399999999996</v>
      </c>
      <c r="X74" s="79"/>
      <c r="AD74" s="228">
        <v>6495.8711999999996</v>
      </c>
      <c r="AE74" s="229">
        <v>98</v>
      </c>
      <c r="AF74" s="230">
        <v>3591</v>
      </c>
      <c r="AG74" s="231">
        <v>2904.8711999999996</v>
      </c>
    </row>
    <row r="75" spans="1:33" s="80" customFormat="1" ht="15" customHeight="1">
      <c r="A75" s="215"/>
      <c r="B75" s="216" t="s">
        <v>208</v>
      </c>
      <c r="C75" s="50"/>
      <c r="D75" s="217" t="s">
        <v>199</v>
      </c>
      <c r="E75" s="218">
        <v>1115.4000000000001</v>
      </c>
      <c r="F75" s="219"/>
      <c r="G75" s="219"/>
      <c r="H75" s="220">
        <f t="shared" si="44"/>
        <v>1115.4000000000001</v>
      </c>
      <c r="I75" s="77"/>
      <c r="J75" s="221">
        <f t="shared" si="45"/>
        <v>892.32</v>
      </c>
      <c r="K75" s="222">
        <f>'BETON Qte'!K75</f>
        <v>80</v>
      </c>
      <c r="L75" s="219">
        <f t="shared" si="46"/>
        <v>620</v>
      </c>
      <c r="M75" s="220">
        <f t="shared" si="47"/>
        <v>272.32000000000005</v>
      </c>
      <c r="N75" s="77"/>
      <c r="O75" s="223">
        <f t="shared" si="48"/>
        <v>0</v>
      </c>
      <c r="P75" s="224">
        <f t="shared" si="43"/>
        <v>0</v>
      </c>
      <c r="Q75" s="225"/>
      <c r="R75" s="226">
        <f t="shared" si="49"/>
        <v>0</v>
      </c>
      <c r="S75" s="77"/>
      <c r="T75" s="227">
        <v>0</v>
      </c>
      <c r="U75" s="78"/>
      <c r="V75" s="221">
        <f t="shared" si="50"/>
        <v>620</v>
      </c>
      <c r="W75" s="220">
        <f t="shared" si="51"/>
        <v>495.40000000000009</v>
      </c>
      <c r="X75" s="79"/>
      <c r="AD75" s="228">
        <v>892.32</v>
      </c>
      <c r="AE75" s="229">
        <v>80</v>
      </c>
      <c r="AF75" s="230">
        <v>620</v>
      </c>
      <c r="AG75" s="231">
        <v>272.32000000000005</v>
      </c>
    </row>
    <row r="76" spans="1:33" s="80" customFormat="1" ht="15" customHeight="1">
      <c r="A76" s="215"/>
      <c r="B76" s="216" t="s">
        <v>209</v>
      </c>
      <c r="C76" s="50"/>
      <c r="D76" s="217" t="s">
        <v>199</v>
      </c>
      <c r="E76" s="218">
        <v>3276.6499999999996</v>
      </c>
      <c r="F76" s="219"/>
      <c r="G76" s="219"/>
      <c r="H76" s="220">
        <f t="shared" si="44"/>
        <v>3276.6499999999996</v>
      </c>
      <c r="I76" s="77"/>
      <c r="J76" s="221">
        <f t="shared" si="45"/>
        <v>2785.1524999999992</v>
      </c>
      <c r="K76" s="222">
        <f>'BETON Qte'!K76</f>
        <v>85</v>
      </c>
      <c r="L76" s="219">
        <f t="shared" si="46"/>
        <v>1155</v>
      </c>
      <c r="M76" s="220">
        <f t="shared" si="47"/>
        <v>1630.1524999999992</v>
      </c>
      <c r="N76" s="77"/>
      <c r="O76" s="223">
        <f t="shared" si="48"/>
        <v>0</v>
      </c>
      <c r="P76" s="224">
        <f t="shared" si="43"/>
        <v>0</v>
      </c>
      <c r="Q76" s="225"/>
      <c r="R76" s="226">
        <f t="shared" si="49"/>
        <v>0</v>
      </c>
      <c r="S76" s="77"/>
      <c r="T76" s="227">
        <v>0</v>
      </c>
      <c r="U76" s="78"/>
      <c r="V76" s="221">
        <f t="shared" si="50"/>
        <v>1155</v>
      </c>
      <c r="W76" s="220">
        <f t="shared" si="51"/>
        <v>2121.6499999999996</v>
      </c>
      <c r="X76" s="79"/>
      <c r="AD76" s="228">
        <v>2785.1524999999992</v>
      </c>
      <c r="AE76" s="229">
        <v>85</v>
      </c>
      <c r="AF76" s="230">
        <v>1155</v>
      </c>
      <c r="AG76" s="231">
        <v>1630.1524999999992</v>
      </c>
    </row>
    <row r="77" spans="1:33" s="80" customFormat="1" ht="15" customHeight="1">
      <c r="A77" s="215"/>
      <c r="B77" s="216" t="s">
        <v>210</v>
      </c>
      <c r="C77" s="50"/>
      <c r="D77" s="217" t="s">
        <v>199</v>
      </c>
      <c r="E77" s="218">
        <v>1914.64</v>
      </c>
      <c r="F77" s="219"/>
      <c r="G77" s="219"/>
      <c r="H77" s="220">
        <f t="shared" si="44"/>
        <v>1914.64</v>
      </c>
      <c r="I77" s="77"/>
      <c r="J77" s="221">
        <f t="shared" si="45"/>
        <v>1876.3471999999999</v>
      </c>
      <c r="K77" s="222">
        <f>'BETON Qte'!K77</f>
        <v>98</v>
      </c>
      <c r="L77" s="219">
        <f t="shared" si="46"/>
        <v>1621</v>
      </c>
      <c r="M77" s="220">
        <f t="shared" si="47"/>
        <v>255.34719999999993</v>
      </c>
      <c r="N77" s="77"/>
      <c r="O77" s="223">
        <f t="shared" si="48"/>
        <v>0</v>
      </c>
      <c r="P77" s="224">
        <f t="shared" si="43"/>
        <v>0</v>
      </c>
      <c r="Q77" s="225"/>
      <c r="R77" s="226">
        <f t="shared" si="49"/>
        <v>0</v>
      </c>
      <c r="S77" s="77"/>
      <c r="T77" s="227">
        <v>0</v>
      </c>
      <c r="U77" s="78"/>
      <c r="V77" s="221">
        <f t="shared" si="50"/>
        <v>1621</v>
      </c>
      <c r="W77" s="220">
        <f t="shared" si="51"/>
        <v>293.6400000000001</v>
      </c>
      <c r="X77" s="79"/>
      <c r="AD77" s="228">
        <v>1876.3471999999999</v>
      </c>
      <c r="AE77" s="229">
        <v>98</v>
      </c>
      <c r="AF77" s="230">
        <v>1621</v>
      </c>
      <c r="AG77" s="231">
        <v>255.34719999999993</v>
      </c>
    </row>
    <row r="78" spans="1:33" s="80" customFormat="1" ht="15" customHeight="1" thickBot="1">
      <c r="A78" s="215"/>
      <c r="B78" s="216" t="s">
        <v>212</v>
      </c>
      <c r="C78" s="50"/>
      <c r="D78" s="217" t="s">
        <v>199</v>
      </c>
      <c r="E78" s="218">
        <v>0</v>
      </c>
      <c r="F78" s="219"/>
      <c r="G78" s="219"/>
      <c r="H78" s="220">
        <f t="shared" si="44"/>
        <v>0</v>
      </c>
      <c r="I78" s="77"/>
      <c r="J78" s="221">
        <f t="shared" si="45"/>
        <v>0</v>
      </c>
      <c r="K78" s="222">
        <f>'BETON Qte'!K78</f>
        <v>100</v>
      </c>
      <c r="L78" s="219">
        <f t="shared" si="46"/>
        <v>197</v>
      </c>
      <c r="M78" s="220">
        <f t="shared" si="47"/>
        <v>-197</v>
      </c>
      <c r="N78" s="77"/>
      <c r="O78" s="223">
        <f t="shared" si="48"/>
        <v>0</v>
      </c>
      <c r="P78" s="224">
        <f t="shared" si="43"/>
        <v>0</v>
      </c>
      <c r="Q78" s="225"/>
      <c r="R78" s="226">
        <f t="shared" si="49"/>
        <v>0</v>
      </c>
      <c r="S78" s="77"/>
      <c r="T78" s="227">
        <v>0</v>
      </c>
      <c r="U78" s="78"/>
      <c r="V78" s="221">
        <f t="shared" si="50"/>
        <v>197</v>
      </c>
      <c r="W78" s="220">
        <f t="shared" si="51"/>
        <v>-197</v>
      </c>
      <c r="X78" s="79"/>
      <c r="AD78" s="228">
        <v>0</v>
      </c>
      <c r="AE78" s="229">
        <v>100</v>
      </c>
      <c r="AF78" s="230">
        <v>197</v>
      </c>
      <c r="AG78" s="231">
        <v>-197</v>
      </c>
    </row>
    <row r="79" spans="1:33" s="76" customFormat="1" ht="19.5" customHeight="1" thickBot="1">
      <c r="A79" s="256" t="s">
        <v>520</v>
      </c>
      <c r="B79" s="257" t="s">
        <v>521</v>
      </c>
      <c r="C79" s="74"/>
      <c r="D79" s="258" t="s">
        <v>199</v>
      </c>
      <c r="E79" s="259">
        <f>SUM(E80:E86)</f>
        <v>228225.08499999999</v>
      </c>
      <c r="F79" s="201">
        <f>SUM(F80:F86)</f>
        <v>0</v>
      </c>
      <c r="G79" s="201">
        <f>SUM(G80:G86)</f>
        <v>0</v>
      </c>
      <c r="H79" s="246">
        <f>SUM(H80:H86)</f>
        <v>228225.08499999999</v>
      </c>
      <c r="I79" s="75"/>
      <c r="J79" s="245">
        <f>SUM(J80:J86)</f>
        <v>12131.136200000001</v>
      </c>
      <c r="K79" s="260">
        <f>IFERROR(J79/H79,"")</f>
        <v>5.3154263038175671E-2</v>
      </c>
      <c r="L79" s="201">
        <f>SUM(L80:L86)</f>
        <v>19156</v>
      </c>
      <c r="M79" s="246">
        <f>SUM(M80:M86)</f>
        <v>-7024.8637999999992</v>
      </c>
      <c r="N79" s="75"/>
      <c r="O79" s="247">
        <f>SUM(O80:O86)</f>
        <v>0</v>
      </c>
      <c r="P79" s="248">
        <f>IFERROR(O79/H79,"")</f>
        <v>0</v>
      </c>
      <c r="Q79" s="249">
        <f>SUM(Q80:Q86)</f>
        <v>0</v>
      </c>
      <c r="R79" s="250">
        <f>SUM(R80:R86)</f>
        <v>0</v>
      </c>
      <c r="S79" s="75"/>
      <c r="T79" s="251">
        <f>SUM(T80:T86)</f>
        <v>87178.799999999988</v>
      </c>
      <c r="U79" s="75"/>
      <c r="V79" s="245">
        <f>SUM(V80:V86)</f>
        <v>106334.79999999999</v>
      </c>
      <c r="W79" s="246">
        <f>SUM(W80:W86)</f>
        <v>121890.285</v>
      </c>
      <c r="X79" s="72"/>
      <c r="AD79" s="252">
        <v>12131.136200000001</v>
      </c>
      <c r="AE79" s="253">
        <v>5.3154263038175671E-2</v>
      </c>
      <c r="AF79" s="254">
        <v>19156</v>
      </c>
      <c r="AG79" s="255">
        <v>-7024.8637999999992</v>
      </c>
    </row>
    <row r="80" spans="1:33" s="80" customFormat="1" ht="15" customHeight="1">
      <c r="A80" s="215"/>
      <c r="B80" s="216" t="s">
        <v>215</v>
      </c>
      <c r="C80" s="50"/>
      <c r="D80" s="217" t="s">
        <v>199</v>
      </c>
      <c r="E80" s="218">
        <v>2976.3850000000002</v>
      </c>
      <c r="F80" s="219"/>
      <c r="G80" s="219"/>
      <c r="H80" s="220">
        <f t="shared" ref="H80:H86" si="52">SUM(E80:G80)</f>
        <v>2976.3850000000002</v>
      </c>
      <c r="I80" s="77"/>
      <c r="J80" s="221">
        <f t="shared" ref="J80:J86" si="53">H80*K80/100</f>
        <v>357.1662</v>
      </c>
      <c r="K80" s="222">
        <f>'BETON Qte'!K80</f>
        <v>12</v>
      </c>
      <c r="L80" s="219">
        <f t="shared" ref="L80:L86" si="54">Q80+AF80</f>
        <v>1676</v>
      </c>
      <c r="M80" s="220">
        <f t="shared" ref="M80:M86" si="55">J80-L80</f>
        <v>-1318.8337999999999</v>
      </c>
      <c r="N80" s="77"/>
      <c r="O80" s="223">
        <f t="shared" ref="O80:O86" si="56">J80-AD80</f>
        <v>0</v>
      </c>
      <c r="P80" s="224">
        <f t="shared" ref="P80:P86" si="57">IFERROR(O80/H80,0)</f>
        <v>0</v>
      </c>
      <c r="Q80" s="225"/>
      <c r="R80" s="226">
        <f t="shared" ref="R80:R86" si="58">O80-Q80</f>
        <v>0</v>
      </c>
      <c r="S80" s="77"/>
      <c r="T80" s="227">
        <v>0</v>
      </c>
      <c r="U80" s="78"/>
      <c r="V80" s="221">
        <f t="shared" ref="V80:V86" si="59">L80+T80</f>
        <v>1676</v>
      </c>
      <c r="W80" s="220">
        <f t="shared" ref="W80:W86" si="60">H80-V80</f>
        <v>1300.3850000000002</v>
      </c>
      <c r="X80" s="79"/>
      <c r="AD80" s="228">
        <v>357.1662</v>
      </c>
      <c r="AE80" s="229">
        <v>12</v>
      </c>
      <c r="AF80" s="230">
        <v>1676</v>
      </c>
      <c r="AG80" s="231">
        <v>-1318.8337999999999</v>
      </c>
    </row>
    <row r="81" spans="1:33" s="80" customFormat="1" ht="15" customHeight="1">
      <c r="A81" s="215"/>
      <c r="B81" s="216" t="s">
        <v>216</v>
      </c>
      <c r="C81" s="50"/>
      <c r="D81" s="217" t="s">
        <v>199</v>
      </c>
      <c r="E81" s="218">
        <v>27285.7</v>
      </c>
      <c r="F81" s="219"/>
      <c r="G81" s="219"/>
      <c r="H81" s="220">
        <f t="shared" si="52"/>
        <v>27285.7</v>
      </c>
      <c r="I81" s="77"/>
      <c r="J81" s="221">
        <f t="shared" si="53"/>
        <v>4911.4260000000004</v>
      </c>
      <c r="K81" s="222">
        <f>'BETON Qte'!K81</f>
        <v>18</v>
      </c>
      <c r="L81" s="219">
        <f t="shared" si="54"/>
        <v>6808</v>
      </c>
      <c r="M81" s="220">
        <f t="shared" si="55"/>
        <v>-1896.5739999999996</v>
      </c>
      <c r="N81" s="77"/>
      <c r="O81" s="223">
        <f t="shared" si="56"/>
        <v>0</v>
      </c>
      <c r="P81" s="224">
        <f t="shared" si="57"/>
        <v>0</v>
      </c>
      <c r="Q81" s="225"/>
      <c r="R81" s="226">
        <f t="shared" si="58"/>
        <v>0</v>
      </c>
      <c r="S81" s="77"/>
      <c r="T81" s="227">
        <v>0</v>
      </c>
      <c r="U81" s="78"/>
      <c r="V81" s="221">
        <f t="shared" si="59"/>
        <v>6808</v>
      </c>
      <c r="W81" s="220">
        <f t="shared" si="60"/>
        <v>20477.7</v>
      </c>
      <c r="X81" s="79"/>
      <c r="AD81" s="228">
        <v>4911.4260000000004</v>
      </c>
      <c r="AE81" s="229">
        <v>18</v>
      </c>
      <c r="AF81" s="230">
        <v>6808</v>
      </c>
      <c r="AG81" s="231">
        <v>-1896.5739999999996</v>
      </c>
    </row>
    <row r="82" spans="1:33" s="80" customFormat="1" ht="15" customHeight="1">
      <c r="A82" s="215"/>
      <c r="B82" s="216" t="s">
        <v>217</v>
      </c>
      <c r="C82" s="50"/>
      <c r="D82" s="217" t="s">
        <v>199</v>
      </c>
      <c r="E82" s="218">
        <v>14206.400000000001</v>
      </c>
      <c r="F82" s="219"/>
      <c r="G82" s="219"/>
      <c r="H82" s="220">
        <f t="shared" si="52"/>
        <v>14206.400000000001</v>
      </c>
      <c r="I82" s="77"/>
      <c r="J82" s="221">
        <f t="shared" si="53"/>
        <v>0</v>
      </c>
      <c r="K82" s="222">
        <f>'BETON Qte'!K82</f>
        <v>0</v>
      </c>
      <c r="L82" s="219">
        <f t="shared" si="54"/>
        <v>0</v>
      </c>
      <c r="M82" s="220">
        <f t="shared" si="55"/>
        <v>0</v>
      </c>
      <c r="N82" s="77"/>
      <c r="O82" s="223">
        <f t="shared" si="56"/>
        <v>0</v>
      </c>
      <c r="P82" s="224">
        <f t="shared" si="57"/>
        <v>0</v>
      </c>
      <c r="Q82" s="225"/>
      <c r="R82" s="226">
        <f t="shared" si="58"/>
        <v>0</v>
      </c>
      <c r="S82" s="77"/>
      <c r="T82" s="227">
        <v>14206.400000000001</v>
      </c>
      <c r="U82" s="78"/>
      <c r="V82" s="221">
        <f t="shared" si="59"/>
        <v>14206.400000000001</v>
      </c>
      <c r="W82" s="220">
        <f t="shared" si="60"/>
        <v>0</v>
      </c>
      <c r="X82" s="79"/>
      <c r="AD82" s="228">
        <v>0</v>
      </c>
      <c r="AE82" s="229">
        <v>0</v>
      </c>
      <c r="AF82" s="230">
        <v>0</v>
      </c>
      <c r="AG82" s="231">
        <v>0</v>
      </c>
    </row>
    <row r="83" spans="1:33" s="80" customFormat="1" ht="15" customHeight="1">
      <c r="A83" s="215"/>
      <c r="B83" s="216" t="s">
        <v>218</v>
      </c>
      <c r="C83" s="50"/>
      <c r="D83" s="217" t="s">
        <v>199</v>
      </c>
      <c r="E83" s="218">
        <v>73278.399999999994</v>
      </c>
      <c r="F83" s="219"/>
      <c r="G83" s="219"/>
      <c r="H83" s="220">
        <f t="shared" si="52"/>
        <v>73278.399999999994</v>
      </c>
      <c r="I83" s="77"/>
      <c r="J83" s="221">
        <f t="shared" si="53"/>
        <v>0</v>
      </c>
      <c r="K83" s="222">
        <f>'BETON Qte'!K83</f>
        <v>0</v>
      </c>
      <c r="L83" s="219">
        <f t="shared" si="54"/>
        <v>406</v>
      </c>
      <c r="M83" s="220">
        <f t="shared" si="55"/>
        <v>-406</v>
      </c>
      <c r="N83" s="77"/>
      <c r="O83" s="223">
        <f t="shared" si="56"/>
        <v>0</v>
      </c>
      <c r="P83" s="224">
        <f t="shared" si="57"/>
        <v>0</v>
      </c>
      <c r="Q83" s="225"/>
      <c r="R83" s="226">
        <f t="shared" si="58"/>
        <v>0</v>
      </c>
      <c r="S83" s="77"/>
      <c r="T83" s="227">
        <v>72972.399999999994</v>
      </c>
      <c r="U83" s="78"/>
      <c r="V83" s="221">
        <f t="shared" si="59"/>
        <v>73378.399999999994</v>
      </c>
      <c r="W83" s="220">
        <f t="shared" si="60"/>
        <v>-100</v>
      </c>
      <c r="X83" s="79"/>
      <c r="AD83" s="228">
        <v>0</v>
      </c>
      <c r="AE83" s="229">
        <v>0</v>
      </c>
      <c r="AF83" s="230">
        <v>406</v>
      </c>
      <c r="AG83" s="231">
        <v>-406</v>
      </c>
    </row>
    <row r="84" spans="1:33" s="80" customFormat="1" ht="15" customHeight="1">
      <c r="A84" s="215"/>
      <c r="B84" s="216" t="s">
        <v>219</v>
      </c>
      <c r="C84" s="50"/>
      <c r="D84" s="217" t="s">
        <v>199</v>
      </c>
      <c r="E84" s="218">
        <v>85781.8</v>
      </c>
      <c r="F84" s="219"/>
      <c r="G84" s="219"/>
      <c r="H84" s="220">
        <f t="shared" si="52"/>
        <v>85781.8</v>
      </c>
      <c r="I84" s="77"/>
      <c r="J84" s="221">
        <f t="shared" si="53"/>
        <v>6862.5439999999999</v>
      </c>
      <c r="K84" s="222">
        <f>'BETON Qte'!K84</f>
        <v>8</v>
      </c>
      <c r="L84" s="219">
        <f t="shared" si="54"/>
        <v>10266</v>
      </c>
      <c r="M84" s="220">
        <f t="shared" si="55"/>
        <v>-3403.4560000000001</v>
      </c>
      <c r="N84" s="77"/>
      <c r="O84" s="223">
        <f t="shared" si="56"/>
        <v>0</v>
      </c>
      <c r="P84" s="224">
        <f t="shared" si="57"/>
        <v>0</v>
      </c>
      <c r="Q84" s="225"/>
      <c r="R84" s="226">
        <f t="shared" si="58"/>
        <v>0</v>
      </c>
      <c r="S84" s="77"/>
      <c r="T84" s="227">
        <v>0</v>
      </c>
      <c r="U84" s="78"/>
      <c r="V84" s="221">
        <f t="shared" si="59"/>
        <v>10266</v>
      </c>
      <c r="W84" s="220">
        <f t="shared" si="60"/>
        <v>75515.8</v>
      </c>
      <c r="X84" s="79"/>
      <c r="AD84" s="228">
        <v>6862.5439999999999</v>
      </c>
      <c r="AE84" s="229">
        <v>8</v>
      </c>
      <c r="AF84" s="230">
        <v>10266</v>
      </c>
      <c r="AG84" s="231">
        <v>-3403.4560000000001</v>
      </c>
    </row>
    <row r="85" spans="1:33" s="80" customFormat="1" ht="15" customHeight="1">
      <c r="A85" s="215"/>
      <c r="B85" s="295" t="s">
        <v>522</v>
      </c>
      <c r="C85" s="50"/>
      <c r="D85" s="217" t="s">
        <v>199</v>
      </c>
      <c r="E85" s="218">
        <v>24428.560000000001</v>
      </c>
      <c r="F85" s="219"/>
      <c r="G85" s="219"/>
      <c r="H85" s="220">
        <f t="shared" si="52"/>
        <v>24428.560000000001</v>
      </c>
      <c r="I85" s="77"/>
      <c r="J85" s="221">
        <f t="shared" si="53"/>
        <v>0</v>
      </c>
      <c r="K85" s="222">
        <f>'BETON Qte'!K85</f>
        <v>0</v>
      </c>
      <c r="L85" s="219">
        <f t="shared" si="54"/>
        <v>0</v>
      </c>
      <c r="M85" s="220">
        <f t="shared" si="55"/>
        <v>0</v>
      </c>
      <c r="N85" s="77"/>
      <c r="O85" s="223">
        <f t="shared" si="56"/>
        <v>0</v>
      </c>
      <c r="P85" s="224">
        <f t="shared" si="57"/>
        <v>0</v>
      </c>
      <c r="Q85" s="225"/>
      <c r="R85" s="226">
        <f t="shared" si="58"/>
        <v>0</v>
      </c>
      <c r="S85" s="77"/>
      <c r="T85" s="227">
        <v>0</v>
      </c>
      <c r="U85" s="78"/>
      <c r="V85" s="221">
        <f t="shared" si="59"/>
        <v>0</v>
      </c>
      <c r="W85" s="220">
        <f t="shared" si="60"/>
        <v>24428.560000000001</v>
      </c>
      <c r="X85" s="79"/>
      <c r="AD85" s="228">
        <v>0</v>
      </c>
      <c r="AE85" s="229">
        <v>0</v>
      </c>
      <c r="AF85" s="230">
        <v>0</v>
      </c>
      <c r="AG85" s="231">
        <v>0</v>
      </c>
    </row>
    <row r="86" spans="1:33" s="80" customFormat="1" ht="15" customHeight="1" thickBot="1">
      <c r="A86" s="215"/>
      <c r="B86" s="295" t="s">
        <v>224</v>
      </c>
      <c r="C86" s="50"/>
      <c r="D86" s="217" t="s">
        <v>199</v>
      </c>
      <c r="E86" s="218">
        <v>267.83999999999997</v>
      </c>
      <c r="F86" s="219"/>
      <c r="G86" s="219"/>
      <c r="H86" s="220">
        <f t="shared" si="52"/>
        <v>267.83999999999997</v>
      </c>
      <c r="I86" s="77"/>
      <c r="J86" s="221">
        <f t="shared" si="53"/>
        <v>0</v>
      </c>
      <c r="K86" s="222">
        <f>'BETON Qte'!K86</f>
        <v>0</v>
      </c>
      <c r="L86" s="219">
        <f t="shared" si="54"/>
        <v>0</v>
      </c>
      <c r="M86" s="220">
        <f t="shared" si="55"/>
        <v>0</v>
      </c>
      <c r="N86" s="77"/>
      <c r="O86" s="223">
        <f t="shared" si="56"/>
        <v>0</v>
      </c>
      <c r="P86" s="224">
        <f t="shared" si="57"/>
        <v>0</v>
      </c>
      <c r="Q86" s="225"/>
      <c r="R86" s="226">
        <f t="shared" si="58"/>
        <v>0</v>
      </c>
      <c r="S86" s="77"/>
      <c r="T86" s="227">
        <v>0</v>
      </c>
      <c r="U86" s="78"/>
      <c r="V86" s="221">
        <f t="shared" si="59"/>
        <v>0</v>
      </c>
      <c r="W86" s="220">
        <f t="shared" si="60"/>
        <v>267.83999999999997</v>
      </c>
      <c r="X86" s="79"/>
      <c r="AD86" s="228">
        <v>0</v>
      </c>
      <c r="AE86" s="229">
        <v>0</v>
      </c>
      <c r="AF86" s="230">
        <v>0</v>
      </c>
      <c r="AG86" s="231">
        <v>0</v>
      </c>
    </row>
    <row r="87" spans="1:33" s="76" customFormat="1" ht="19.5" customHeight="1" thickBot="1">
      <c r="A87" s="256" t="s">
        <v>523</v>
      </c>
      <c r="B87" s="257" t="s">
        <v>524</v>
      </c>
      <c r="C87" s="74"/>
      <c r="D87" s="258" t="s">
        <v>199</v>
      </c>
      <c r="E87" s="259">
        <f>SUM(E88:E89)</f>
        <v>9863.8799999999992</v>
      </c>
      <c r="F87" s="201">
        <f>SUM(F88:F89)</f>
        <v>0</v>
      </c>
      <c r="G87" s="201">
        <f>SUM(G88:G89)</f>
        <v>0</v>
      </c>
      <c r="H87" s="246">
        <f>SUM(H88:H89)</f>
        <v>9863.8799999999992</v>
      </c>
      <c r="I87" s="75"/>
      <c r="J87" s="245">
        <f>SUM(J88:J89)</f>
        <v>0</v>
      </c>
      <c r="K87" s="260">
        <f>IFERROR(J87/H87,"")</f>
        <v>0</v>
      </c>
      <c r="L87" s="201">
        <f>SUM(L88:L89)</f>
        <v>0</v>
      </c>
      <c r="M87" s="246">
        <f>SUM(M88:M89)</f>
        <v>0</v>
      </c>
      <c r="N87" s="75"/>
      <c r="O87" s="247">
        <f>SUM(O88:O89)</f>
        <v>0</v>
      </c>
      <c r="P87" s="248">
        <f>IFERROR(O87/H87,"")</f>
        <v>0</v>
      </c>
      <c r="Q87" s="249">
        <f>SUM(Q88:Q89)</f>
        <v>0</v>
      </c>
      <c r="R87" s="250">
        <f>SUM(R88:R89)</f>
        <v>0</v>
      </c>
      <c r="S87" s="75"/>
      <c r="T87" s="251">
        <f>SUM(T88:T89)</f>
        <v>9863.8799999999992</v>
      </c>
      <c r="U87" s="75"/>
      <c r="V87" s="245">
        <f>SUM(V88:V89)</f>
        <v>9863.8799999999992</v>
      </c>
      <c r="W87" s="246">
        <f>SUM(W88:W89)</f>
        <v>0</v>
      </c>
      <c r="X87" s="72"/>
      <c r="AD87" s="252">
        <v>0</v>
      </c>
      <c r="AE87" s="253">
        <v>0</v>
      </c>
      <c r="AF87" s="254">
        <v>0</v>
      </c>
      <c r="AG87" s="255">
        <v>0</v>
      </c>
    </row>
    <row r="88" spans="1:33" s="80" customFormat="1" ht="15" customHeight="1">
      <c r="A88" s="215"/>
      <c r="B88" s="216" t="s">
        <v>227</v>
      </c>
      <c r="C88" s="50"/>
      <c r="D88" s="217" t="s">
        <v>199</v>
      </c>
      <c r="E88" s="218">
        <v>7738.3799999999992</v>
      </c>
      <c r="F88" s="219"/>
      <c r="G88" s="219"/>
      <c r="H88" s="220">
        <f t="shared" ref="H88:H89" si="61">SUM(E88:G88)</f>
        <v>7738.3799999999992</v>
      </c>
      <c r="I88" s="77"/>
      <c r="J88" s="221">
        <f t="shared" ref="J88:J89" si="62">H88*K88/100</f>
        <v>0</v>
      </c>
      <c r="K88" s="222">
        <f>'BETON Qte'!K88</f>
        <v>0</v>
      </c>
      <c r="L88" s="219">
        <f t="shared" ref="L88:L89" si="63">Q88+AF88</f>
        <v>0</v>
      </c>
      <c r="M88" s="220">
        <f t="shared" ref="M88:M89" si="64">J88-L88</f>
        <v>0</v>
      </c>
      <c r="N88" s="77"/>
      <c r="O88" s="223">
        <f t="shared" ref="O88:O89" si="65">J88-AD88</f>
        <v>0</v>
      </c>
      <c r="P88" s="224">
        <f t="shared" ref="P88:P89" si="66">IFERROR(O88/H88,0)</f>
        <v>0</v>
      </c>
      <c r="Q88" s="225"/>
      <c r="R88" s="226">
        <f t="shared" ref="R88:R89" si="67">O88-Q88</f>
        <v>0</v>
      </c>
      <c r="S88" s="77"/>
      <c r="T88" s="227">
        <v>7738.3799999999992</v>
      </c>
      <c r="U88" s="78"/>
      <c r="V88" s="221">
        <f t="shared" ref="V88:V89" si="68">L88+T88</f>
        <v>7738.3799999999992</v>
      </c>
      <c r="W88" s="220">
        <f t="shared" ref="W88:W89" si="69">H88-V88</f>
        <v>0</v>
      </c>
      <c r="X88" s="79"/>
      <c r="AD88" s="228">
        <v>0</v>
      </c>
      <c r="AE88" s="229">
        <v>0</v>
      </c>
      <c r="AF88" s="230">
        <v>0</v>
      </c>
      <c r="AG88" s="231">
        <v>0</v>
      </c>
    </row>
    <row r="89" spans="1:33" s="80" customFormat="1" ht="15" customHeight="1" thickBot="1">
      <c r="A89" s="215"/>
      <c r="B89" s="216" t="s">
        <v>228</v>
      </c>
      <c r="C89" s="50"/>
      <c r="D89" s="217" t="s">
        <v>199</v>
      </c>
      <c r="E89" s="218">
        <v>2125.5</v>
      </c>
      <c r="F89" s="219"/>
      <c r="G89" s="219"/>
      <c r="H89" s="220">
        <f t="shared" si="61"/>
        <v>2125.5</v>
      </c>
      <c r="I89" s="77"/>
      <c r="J89" s="221">
        <f t="shared" si="62"/>
        <v>0</v>
      </c>
      <c r="K89" s="222">
        <f>'BETON Qte'!K89</f>
        <v>0</v>
      </c>
      <c r="L89" s="219">
        <f t="shared" si="63"/>
        <v>0</v>
      </c>
      <c r="M89" s="220">
        <f t="shared" si="64"/>
        <v>0</v>
      </c>
      <c r="N89" s="77"/>
      <c r="O89" s="223">
        <f t="shared" si="65"/>
        <v>0</v>
      </c>
      <c r="P89" s="224">
        <f t="shared" si="66"/>
        <v>0</v>
      </c>
      <c r="Q89" s="225"/>
      <c r="R89" s="226">
        <f t="shared" si="67"/>
        <v>0</v>
      </c>
      <c r="S89" s="77"/>
      <c r="T89" s="227">
        <v>2125.5</v>
      </c>
      <c r="U89" s="78"/>
      <c r="V89" s="221">
        <f t="shared" si="68"/>
        <v>2125.5</v>
      </c>
      <c r="W89" s="220">
        <f t="shared" si="69"/>
        <v>0</v>
      </c>
      <c r="X89" s="79"/>
      <c r="AD89" s="228">
        <v>0</v>
      </c>
      <c r="AE89" s="229">
        <v>0</v>
      </c>
      <c r="AF89" s="230">
        <v>0</v>
      </c>
      <c r="AG89" s="231">
        <v>0</v>
      </c>
    </row>
    <row r="90" spans="1:33" s="76" customFormat="1" ht="19.5" customHeight="1" thickBot="1">
      <c r="A90" s="256" t="s">
        <v>525</v>
      </c>
      <c r="B90" s="257" t="s">
        <v>526</v>
      </c>
      <c r="C90" s="74"/>
      <c r="D90" s="258" t="s">
        <v>199</v>
      </c>
      <c r="E90" s="259">
        <f>SUM(E91:E92)</f>
        <v>5810.0249999999996</v>
      </c>
      <c r="F90" s="201">
        <f>SUM(F91:F92)</f>
        <v>0</v>
      </c>
      <c r="G90" s="201">
        <f>SUM(G91:G92)</f>
        <v>0</v>
      </c>
      <c r="H90" s="246">
        <f>SUM(H91:H92)</f>
        <v>5810.0249999999996</v>
      </c>
      <c r="I90" s="75"/>
      <c r="J90" s="245">
        <f>SUM(J91:J92)</f>
        <v>0</v>
      </c>
      <c r="K90" s="260">
        <f>IFERROR(J90/H90,"")</f>
        <v>0</v>
      </c>
      <c r="L90" s="201">
        <f>SUM(L91:L92)</f>
        <v>171</v>
      </c>
      <c r="M90" s="246">
        <f>SUM(M91:M92)</f>
        <v>-171</v>
      </c>
      <c r="N90" s="75"/>
      <c r="O90" s="247">
        <f>SUM(O91:O92)</f>
        <v>0</v>
      </c>
      <c r="P90" s="248">
        <f>IFERROR(O90/H90,"")</f>
        <v>0</v>
      </c>
      <c r="Q90" s="249">
        <f>SUM(Q91:Q92)</f>
        <v>0</v>
      </c>
      <c r="R90" s="250">
        <f>SUM(R91:R92)</f>
        <v>0</v>
      </c>
      <c r="S90" s="75"/>
      <c r="T90" s="251">
        <f>SUM(T91:T92)</f>
        <v>5675.0249999999996</v>
      </c>
      <c r="U90" s="75"/>
      <c r="V90" s="245">
        <f>SUM(V91:V92)</f>
        <v>5846.0249999999996</v>
      </c>
      <c r="W90" s="246">
        <f>SUM(W91:W92)</f>
        <v>-36</v>
      </c>
      <c r="X90" s="72"/>
      <c r="AD90" s="252">
        <v>0</v>
      </c>
      <c r="AE90" s="253">
        <v>0</v>
      </c>
      <c r="AF90" s="254">
        <v>171</v>
      </c>
      <c r="AG90" s="255">
        <v>-171</v>
      </c>
    </row>
    <row r="91" spans="1:33" s="80" customFormat="1" ht="15" customHeight="1">
      <c r="A91" s="215"/>
      <c r="B91" s="216" t="s">
        <v>231</v>
      </c>
      <c r="C91" s="50"/>
      <c r="D91" s="217" t="s">
        <v>199</v>
      </c>
      <c r="E91" s="218">
        <v>2848.625</v>
      </c>
      <c r="F91" s="219"/>
      <c r="G91" s="219"/>
      <c r="H91" s="220">
        <f>SUM(E91:G91)</f>
        <v>2848.625</v>
      </c>
      <c r="I91" s="77"/>
      <c r="J91" s="221">
        <f>H91*K91/100</f>
        <v>0</v>
      </c>
      <c r="K91" s="222">
        <f>'BETON Qte'!K91</f>
        <v>0</v>
      </c>
      <c r="L91" s="219">
        <f>Q91+AF91</f>
        <v>171</v>
      </c>
      <c r="M91" s="220">
        <f>J91-L91</f>
        <v>-171</v>
      </c>
      <c r="N91" s="77"/>
      <c r="O91" s="223">
        <f>J91-AD91</f>
        <v>0</v>
      </c>
      <c r="P91" s="224">
        <f t="shared" ref="P91:P92" si="70">IFERROR(O91/H91,0)</f>
        <v>0</v>
      </c>
      <c r="Q91" s="225"/>
      <c r="R91" s="226">
        <f>O91-Q91</f>
        <v>0</v>
      </c>
      <c r="S91" s="77"/>
      <c r="T91" s="227">
        <v>2713.625</v>
      </c>
      <c r="U91" s="78"/>
      <c r="V91" s="221">
        <f t="shared" ref="V91:V92" si="71">L91+T91</f>
        <v>2884.625</v>
      </c>
      <c r="W91" s="220">
        <f t="shared" ref="W91:W92" si="72">H91-V91</f>
        <v>-36</v>
      </c>
      <c r="X91" s="79"/>
      <c r="AD91" s="228">
        <v>0</v>
      </c>
      <c r="AE91" s="229">
        <v>0</v>
      </c>
      <c r="AF91" s="230">
        <v>171</v>
      </c>
      <c r="AG91" s="231">
        <v>-171</v>
      </c>
    </row>
    <row r="92" spans="1:33" s="80" customFormat="1" ht="15" customHeight="1" thickBot="1">
      <c r="A92" s="215"/>
      <c r="B92" s="216" t="s">
        <v>232</v>
      </c>
      <c r="C92" s="50"/>
      <c r="D92" s="217" t="s">
        <v>199</v>
      </c>
      <c r="E92" s="218">
        <v>2961.4</v>
      </c>
      <c r="F92" s="219"/>
      <c r="G92" s="219"/>
      <c r="H92" s="220">
        <f>SUM(E92:G92)</f>
        <v>2961.4</v>
      </c>
      <c r="I92" s="77"/>
      <c r="J92" s="221">
        <f>H92*K92/100</f>
        <v>0</v>
      </c>
      <c r="K92" s="222">
        <f>'BETON Qte'!K92</f>
        <v>0</v>
      </c>
      <c r="L92" s="219">
        <f>Q92+AF92</f>
        <v>0</v>
      </c>
      <c r="M92" s="220">
        <f>J92-L92</f>
        <v>0</v>
      </c>
      <c r="N92" s="77"/>
      <c r="O92" s="223">
        <f>J92-AD92</f>
        <v>0</v>
      </c>
      <c r="P92" s="224">
        <f t="shared" si="70"/>
        <v>0</v>
      </c>
      <c r="Q92" s="225"/>
      <c r="R92" s="226">
        <f>O92-Q92</f>
        <v>0</v>
      </c>
      <c r="S92" s="77"/>
      <c r="T92" s="227">
        <v>2961.4</v>
      </c>
      <c r="U92" s="78"/>
      <c r="V92" s="233">
        <f t="shared" si="71"/>
        <v>2961.4</v>
      </c>
      <c r="W92" s="236">
        <f t="shared" si="72"/>
        <v>0</v>
      </c>
      <c r="X92" s="79"/>
      <c r="AD92" s="228">
        <v>0</v>
      </c>
      <c r="AE92" s="229">
        <v>0</v>
      </c>
      <c r="AF92" s="230">
        <v>0</v>
      </c>
      <c r="AG92" s="231">
        <v>0</v>
      </c>
    </row>
    <row r="93" spans="1:33" s="76" customFormat="1" ht="19.5" customHeight="1" thickBot="1">
      <c r="A93" s="256" t="s">
        <v>527</v>
      </c>
      <c r="B93" s="257" t="s">
        <v>528</v>
      </c>
      <c r="C93" s="74"/>
      <c r="D93" s="258" t="s">
        <v>199</v>
      </c>
      <c r="E93" s="259">
        <f>SUM(E94:E108)</f>
        <v>38421.110000000008</v>
      </c>
      <c r="F93" s="201">
        <f>SUM(F94:F108)</f>
        <v>0</v>
      </c>
      <c r="G93" s="201">
        <f>SUM(G94:G108)</f>
        <v>0</v>
      </c>
      <c r="H93" s="246">
        <f>SUM(H94:H108)</f>
        <v>38421.110000000008</v>
      </c>
      <c r="I93" s="75"/>
      <c r="J93" s="245">
        <f>SUM(J94:J108)</f>
        <v>0</v>
      </c>
      <c r="K93" s="260">
        <f>IFERROR(J93/H93,"")</f>
        <v>0</v>
      </c>
      <c r="L93" s="201">
        <f>SUM(L94:L108)</f>
        <v>0</v>
      </c>
      <c r="M93" s="246">
        <f>SUM(M94:M108)</f>
        <v>0</v>
      </c>
      <c r="N93" s="75"/>
      <c r="O93" s="247">
        <f>SUM(O94:O108)</f>
        <v>0</v>
      </c>
      <c r="P93" s="248">
        <f>IFERROR(O93/H93,"")</f>
        <v>0</v>
      </c>
      <c r="Q93" s="249">
        <f>SUM(Q94:Q108)</f>
        <v>0</v>
      </c>
      <c r="R93" s="250">
        <f>SUM(R94:R108)</f>
        <v>0</v>
      </c>
      <c r="S93" s="75"/>
      <c r="T93" s="251">
        <f>SUM(T94:T108)</f>
        <v>38421.110000000008</v>
      </c>
      <c r="U93" s="75"/>
      <c r="V93" s="245">
        <f>SUM(V94:V108)</f>
        <v>38421.110000000008</v>
      </c>
      <c r="W93" s="246">
        <f>SUM(W94:W108)</f>
        <v>0</v>
      </c>
      <c r="X93" s="72"/>
      <c r="AD93" s="252">
        <v>0</v>
      </c>
      <c r="AE93" s="253">
        <v>0</v>
      </c>
      <c r="AF93" s="254">
        <v>0</v>
      </c>
      <c r="AG93" s="255">
        <v>0</v>
      </c>
    </row>
    <row r="94" spans="1:33" s="80" customFormat="1" ht="15" customHeight="1">
      <c r="A94" s="215"/>
      <c r="B94" s="216" t="s">
        <v>235</v>
      </c>
      <c r="C94" s="50"/>
      <c r="D94" s="217" t="s">
        <v>199</v>
      </c>
      <c r="E94" s="218">
        <v>2216.5</v>
      </c>
      <c r="F94" s="219"/>
      <c r="G94" s="219"/>
      <c r="H94" s="220">
        <f t="shared" ref="H94:H108" si="73">SUM(E94:G94)</f>
        <v>2216.5</v>
      </c>
      <c r="I94" s="77"/>
      <c r="J94" s="221">
        <f t="shared" ref="J94:J108" si="74">H94*K94/100</f>
        <v>0</v>
      </c>
      <c r="K94" s="222">
        <f>'BETON Qte'!K94</f>
        <v>0</v>
      </c>
      <c r="L94" s="219">
        <f t="shared" ref="L94:L108" si="75">Q94+AF94</f>
        <v>0</v>
      </c>
      <c r="M94" s="220">
        <f t="shared" ref="M94:M108" si="76">J94-L94</f>
        <v>0</v>
      </c>
      <c r="N94" s="77"/>
      <c r="O94" s="223">
        <f t="shared" ref="O94:O108" si="77">J94-AD94</f>
        <v>0</v>
      </c>
      <c r="P94" s="224">
        <f t="shared" ref="P94:P108" si="78">IFERROR(O94/H94,0)</f>
        <v>0</v>
      </c>
      <c r="Q94" s="225"/>
      <c r="R94" s="226">
        <f t="shared" ref="R94:R108" si="79">O94-Q94</f>
        <v>0</v>
      </c>
      <c r="S94" s="77"/>
      <c r="T94" s="227">
        <v>2216.5</v>
      </c>
      <c r="U94" s="78"/>
      <c r="V94" s="221">
        <f t="shared" ref="V94:V108" si="80">L94+T94</f>
        <v>2216.5</v>
      </c>
      <c r="W94" s="220">
        <f t="shared" ref="W94:W108" si="81">H94-V94</f>
        <v>0</v>
      </c>
      <c r="X94" s="79"/>
      <c r="AD94" s="228">
        <v>0</v>
      </c>
      <c r="AE94" s="229">
        <v>0</v>
      </c>
      <c r="AF94" s="230">
        <v>0</v>
      </c>
      <c r="AG94" s="231">
        <v>0</v>
      </c>
    </row>
    <row r="95" spans="1:33" s="80" customFormat="1" ht="15" customHeight="1">
      <c r="A95" s="215"/>
      <c r="B95" s="216" t="s">
        <v>236</v>
      </c>
      <c r="C95" s="50"/>
      <c r="D95" s="217" t="s">
        <v>199</v>
      </c>
      <c r="E95" s="218">
        <v>1569.1000000000001</v>
      </c>
      <c r="F95" s="219"/>
      <c r="G95" s="219"/>
      <c r="H95" s="220">
        <f t="shared" si="73"/>
        <v>1569.1000000000001</v>
      </c>
      <c r="I95" s="77"/>
      <c r="J95" s="221">
        <f t="shared" si="74"/>
        <v>0</v>
      </c>
      <c r="K95" s="222">
        <f>'BETON Qte'!K95</f>
        <v>0</v>
      </c>
      <c r="L95" s="219">
        <f t="shared" si="75"/>
        <v>0</v>
      </c>
      <c r="M95" s="220">
        <f t="shared" si="76"/>
        <v>0</v>
      </c>
      <c r="N95" s="77"/>
      <c r="O95" s="223">
        <f t="shared" si="77"/>
        <v>0</v>
      </c>
      <c r="P95" s="224">
        <f t="shared" si="78"/>
        <v>0</v>
      </c>
      <c r="Q95" s="225"/>
      <c r="R95" s="226">
        <f t="shared" si="79"/>
        <v>0</v>
      </c>
      <c r="S95" s="77"/>
      <c r="T95" s="227">
        <v>1569.1000000000001</v>
      </c>
      <c r="U95" s="78"/>
      <c r="V95" s="221">
        <f t="shared" si="80"/>
        <v>1569.1000000000001</v>
      </c>
      <c r="W95" s="220">
        <f t="shared" si="81"/>
        <v>0</v>
      </c>
      <c r="X95" s="79"/>
      <c r="AD95" s="228">
        <v>0</v>
      </c>
      <c r="AE95" s="229">
        <v>0</v>
      </c>
      <c r="AF95" s="230">
        <v>0</v>
      </c>
      <c r="AG95" s="231">
        <v>0</v>
      </c>
    </row>
    <row r="96" spans="1:33" s="80" customFormat="1" ht="15" customHeight="1">
      <c r="A96" s="215"/>
      <c r="B96" s="216" t="s">
        <v>237</v>
      </c>
      <c r="C96" s="50"/>
      <c r="D96" s="217" t="s">
        <v>199</v>
      </c>
      <c r="E96" s="218">
        <v>9295</v>
      </c>
      <c r="F96" s="219"/>
      <c r="G96" s="219"/>
      <c r="H96" s="220">
        <f t="shared" si="73"/>
        <v>9295</v>
      </c>
      <c r="I96" s="77"/>
      <c r="J96" s="221">
        <f t="shared" si="74"/>
        <v>0</v>
      </c>
      <c r="K96" s="222">
        <f>'BETON Qte'!K96</f>
        <v>0</v>
      </c>
      <c r="L96" s="219">
        <f t="shared" si="75"/>
        <v>0</v>
      </c>
      <c r="M96" s="220">
        <f t="shared" si="76"/>
        <v>0</v>
      </c>
      <c r="N96" s="77"/>
      <c r="O96" s="223">
        <f t="shared" si="77"/>
        <v>0</v>
      </c>
      <c r="P96" s="224">
        <f t="shared" si="78"/>
        <v>0</v>
      </c>
      <c r="Q96" s="225"/>
      <c r="R96" s="226">
        <f t="shared" si="79"/>
        <v>0</v>
      </c>
      <c r="S96" s="77"/>
      <c r="T96" s="227">
        <v>9295</v>
      </c>
      <c r="U96" s="78"/>
      <c r="V96" s="221">
        <f t="shared" si="80"/>
        <v>9295</v>
      </c>
      <c r="W96" s="220">
        <f t="shared" si="81"/>
        <v>0</v>
      </c>
      <c r="X96" s="79"/>
      <c r="AD96" s="228">
        <v>0</v>
      </c>
      <c r="AE96" s="229">
        <v>0</v>
      </c>
      <c r="AF96" s="230">
        <v>0</v>
      </c>
      <c r="AG96" s="231">
        <v>0</v>
      </c>
    </row>
    <row r="97" spans="1:33" s="80" customFormat="1" ht="15" customHeight="1">
      <c r="A97" s="215"/>
      <c r="B97" s="216" t="s">
        <v>238</v>
      </c>
      <c r="C97" s="50"/>
      <c r="D97" s="217" t="s">
        <v>199</v>
      </c>
      <c r="E97" s="218">
        <v>2318.5500000000002</v>
      </c>
      <c r="F97" s="219"/>
      <c r="G97" s="219"/>
      <c r="H97" s="220">
        <f t="shared" si="73"/>
        <v>2318.5500000000002</v>
      </c>
      <c r="I97" s="77"/>
      <c r="J97" s="221">
        <f t="shared" si="74"/>
        <v>0</v>
      </c>
      <c r="K97" s="222">
        <f>'BETON Qte'!K97</f>
        <v>0</v>
      </c>
      <c r="L97" s="219">
        <f t="shared" si="75"/>
        <v>0</v>
      </c>
      <c r="M97" s="220">
        <f t="shared" si="76"/>
        <v>0</v>
      </c>
      <c r="N97" s="77"/>
      <c r="O97" s="223">
        <f t="shared" si="77"/>
        <v>0</v>
      </c>
      <c r="P97" s="224">
        <f t="shared" si="78"/>
        <v>0</v>
      </c>
      <c r="Q97" s="225"/>
      <c r="R97" s="226">
        <f t="shared" si="79"/>
        <v>0</v>
      </c>
      <c r="S97" s="77"/>
      <c r="T97" s="227">
        <v>2318.5500000000002</v>
      </c>
      <c r="U97" s="78"/>
      <c r="V97" s="221">
        <f t="shared" si="80"/>
        <v>2318.5500000000002</v>
      </c>
      <c r="W97" s="220">
        <f t="shared" si="81"/>
        <v>0</v>
      </c>
      <c r="X97" s="79"/>
      <c r="AD97" s="228">
        <v>0</v>
      </c>
      <c r="AE97" s="229">
        <v>0</v>
      </c>
      <c r="AF97" s="230">
        <v>0</v>
      </c>
      <c r="AG97" s="231">
        <v>0</v>
      </c>
    </row>
    <row r="98" spans="1:33" s="80" customFormat="1" ht="15" customHeight="1">
      <c r="A98" s="215"/>
      <c r="B98" s="216" t="s">
        <v>239</v>
      </c>
      <c r="C98" s="50"/>
      <c r="D98" s="217" t="s">
        <v>199</v>
      </c>
      <c r="E98" s="218">
        <v>1417</v>
      </c>
      <c r="F98" s="219"/>
      <c r="G98" s="219"/>
      <c r="H98" s="220">
        <f t="shared" si="73"/>
        <v>1417</v>
      </c>
      <c r="I98" s="77"/>
      <c r="J98" s="221">
        <f t="shared" si="74"/>
        <v>0</v>
      </c>
      <c r="K98" s="222">
        <f>'BETON Qte'!K98</f>
        <v>0</v>
      </c>
      <c r="L98" s="219">
        <f t="shared" si="75"/>
        <v>0</v>
      </c>
      <c r="M98" s="220">
        <f t="shared" si="76"/>
        <v>0</v>
      </c>
      <c r="N98" s="77"/>
      <c r="O98" s="223">
        <f t="shared" si="77"/>
        <v>0</v>
      </c>
      <c r="P98" s="224">
        <f t="shared" si="78"/>
        <v>0</v>
      </c>
      <c r="Q98" s="225"/>
      <c r="R98" s="226">
        <f t="shared" si="79"/>
        <v>0</v>
      </c>
      <c r="S98" s="77"/>
      <c r="T98" s="227">
        <v>1417</v>
      </c>
      <c r="U98" s="78"/>
      <c r="V98" s="221">
        <f t="shared" si="80"/>
        <v>1417</v>
      </c>
      <c r="W98" s="220">
        <f t="shared" si="81"/>
        <v>0</v>
      </c>
      <c r="X98" s="79"/>
      <c r="AD98" s="228">
        <v>0</v>
      </c>
      <c r="AE98" s="229">
        <v>0</v>
      </c>
      <c r="AF98" s="230">
        <v>0</v>
      </c>
      <c r="AG98" s="231">
        <v>0</v>
      </c>
    </row>
    <row r="99" spans="1:33" s="80" customFormat="1" ht="15" customHeight="1">
      <c r="A99" s="215"/>
      <c r="B99" s="216" t="s">
        <v>240</v>
      </c>
      <c r="C99" s="50"/>
      <c r="D99" s="217" t="s">
        <v>199</v>
      </c>
      <c r="E99" s="218">
        <v>104</v>
      </c>
      <c r="F99" s="219"/>
      <c r="G99" s="219"/>
      <c r="H99" s="220">
        <f t="shared" si="73"/>
        <v>104</v>
      </c>
      <c r="I99" s="77"/>
      <c r="J99" s="221">
        <f t="shared" si="74"/>
        <v>0</v>
      </c>
      <c r="K99" s="222">
        <f>'BETON Qte'!K99</f>
        <v>0</v>
      </c>
      <c r="L99" s="219">
        <f t="shared" si="75"/>
        <v>0</v>
      </c>
      <c r="M99" s="220">
        <f t="shared" si="76"/>
        <v>0</v>
      </c>
      <c r="N99" s="77"/>
      <c r="O99" s="223">
        <f t="shared" si="77"/>
        <v>0</v>
      </c>
      <c r="P99" s="224">
        <f t="shared" si="78"/>
        <v>0</v>
      </c>
      <c r="Q99" s="225"/>
      <c r="R99" s="226">
        <f t="shared" si="79"/>
        <v>0</v>
      </c>
      <c r="S99" s="77"/>
      <c r="T99" s="227">
        <v>104</v>
      </c>
      <c r="U99" s="78"/>
      <c r="V99" s="221">
        <f t="shared" si="80"/>
        <v>104</v>
      </c>
      <c r="W99" s="220">
        <f t="shared" si="81"/>
        <v>0</v>
      </c>
      <c r="X99" s="79"/>
      <c r="AD99" s="228">
        <v>0</v>
      </c>
      <c r="AE99" s="229">
        <v>0</v>
      </c>
      <c r="AF99" s="230">
        <v>0</v>
      </c>
      <c r="AG99" s="231">
        <v>0</v>
      </c>
    </row>
    <row r="100" spans="1:33" s="80" customFormat="1" ht="15" customHeight="1">
      <c r="A100" s="215"/>
      <c r="B100" s="216" t="s">
        <v>241</v>
      </c>
      <c r="C100" s="50"/>
      <c r="D100" s="217" t="s">
        <v>199</v>
      </c>
      <c r="E100" s="218">
        <v>2293.1999999999998</v>
      </c>
      <c r="F100" s="219"/>
      <c r="G100" s="219"/>
      <c r="H100" s="220">
        <f t="shared" si="73"/>
        <v>2293.1999999999998</v>
      </c>
      <c r="I100" s="77"/>
      <c r="J100" s="221">
        <f t="shared" si="74"/>
        <v>0</v>
      </c>
      <c r="K100" s="222">
        <f>'BETON Qte'!K100</f>
        <v>0</v>
      </c>
      <c r="L100" s="219">
        <f t="shared" si="75"/>
        <v>0</v>
      </c>
      <c r="M100" s="220">
        <f t="shared" si="76"/>
        <v>0</v>
      </c>
      <c r="N100" s="77"/>
      <c r="O100" s="223">
        <f t="shared" si="77"/>
        <v>0</v>
      </c>
      <c r="P100" s="224">
        <f t="shared" si="78"/>
        <v>0</v>
      </c>
      <c r="Q100" s="225"/>
      <c r="R100" s="226">
        <f t="shared" si="79"/>
        <v>0</v>
      </c>
      <c r="S100" s="77"/>
      <c r="T100" s="227">
        <v>2293.1999999999998</v>
      </c>
      <c r="U100" s="78"/>
      <c r="V100" s="221">
        <f t="shared" si="80"/>
        <v>2293.1999999999998</v>
      </c>
      <c r="W100" s="220">
        <f t="shared" si="81"/>
        <v>0</v>
      </c>
      <c r="X100" s="79"/>
      <c r="AD100" s="228">
        <v>0</v>
      </c>
      <c r="AE100" s="229">
        <v>0</v>
      </c>
      <c r="AF100" s="230">
        <v>0</v>
      </c>
      <c r="AG100" s="231">
        <v>0</v>
      </c>
    </row>
    <row r="101" spans="1:33" s="80" customFormat="1" ht="15" customHeight="1">
      <c r="A101" s="215"/>
      <c r="B101" s="216" t="s">
        <v>242</v>
      </c>
      <c r="C101" s="50"/>
      <c r="D101" s="217" t="s">
        <v>199</v>
      </c>
      <c r="E101" s="218">
        <v>811.19999999999993</v>
      </c>
      <c r="F101" s="219"/>
      <c r="G101" s="219"/>
      <c r="H101" s="220">
        <f t="shared" si="73"/>
        <v>811.19999999999993</v>
      </c>
      <c r="I101" s="77"/>
      <c r="J101" s="221">
        <f t="shared" si="74"/>
        <v>0</v>
      </c>
      <c r="K101" s="222">
        <f>'BETON Qte'!K101</f>
        <v>0</v>
      </c>
      <c r="L101" s="219">
        <f t="shared" si="75"/>
        <v>0</v>
      </c>
      <c r="M101" s="220">
        <f t="shared" si="76"/>
        <v>0</v>
      </c>
      <c r="N101" s="77"/>
      <c r="O101" s="223">
        <f t="shared" si="77"/>
        <v>0</v>
      </c>
      <c r="P101" s="224">
        <f t="shared" si="78"/>
        <v>0</v>
      </c>
      <c r="Q101" s="225"/>
      <c r="R101" s="226">
        <f t="shared" si="79"/>
        <v>0</v>
      </c>
      <c r="S101" s="77"/>
      <c r="T101" s="227">
        <v>811.19999999999993</v>
      </c>
      <c r="U101" s="78"/>
      <c r="V101" s="221">
        <f t="shared" si="80"/>
        <v>811.19999999999993</v>
      </c>
      <c r="W101" s="220">
        <f t="shared" si="81"/>
        <v>0</v>
      </c>
      <c r="X101" s="79"/>
      <c r="AD101" s="228">
        <v>0</v>
      </c>
      <c r="AE101" s="229">
        <v>0</v>
      </c>
      <c r="AF101" s="230">
        <v>0</v>
      </c>
      <c r="AG101" s="231">
        <v>0</v>
      </c>
    </row>
    <row r="102" spans="1:33" s="80" customFormat="1" ht="15" customHeight="1">
      <c r="A102" s="215"/>
      <c r="B102" s="216" t="s">
        <v>243</v>
      </c>
      <c r="C102" s="50"/>
      <c r="D102" s="217" t="s">
        <v>199</v>
      </c>
      <c r="E102" s="218">
        <v>393.90000000000003</v>
      </c>
      <c r="F102" s="219"/>
      <c r="G102" s="219"/>
      <c r="H102" s="220">
        <f t="shared" si="73"/>
        <v>393.90000000000003</v>
      </c>
      <c r="I102" s="77"/>
      <c r="J102" s="221">
        <f t="shared" si="74"/>
        <v>0</v>
      </c>
      <c r="K102" s="222">
        <f>'BETON Qte'!K102</f>
        <v>0</v>
      </c>
      <c r="L102" s="219">
        <f t="shared" si="75"/>
        <v>0</v>
      </c>
      <c r="M102" s="220">
        <f t="shared" si="76"/>
        <v>0</v>
      </c>
      <c r="N102" s="77"/>
      <c r="O102" s="223">
        <f t="shared" si="77"/>
        <v>0</v>
      </c>
      <c r="P102" s="224">
        <f t="shared" si="78"/>
        <v>0</v>
      </c>
      <c r="Q102" s="225"/>
      <c r="R102" s="226">
        <f t="shared" si="79"/>
        <v>0</v>
      </c>
      <c r="S102" s="77"/>
      <c r="T102" s="227">
        <v>393.90000000000003</v>
      </c>
      <c r="U102" s="78"/>
      <c r="V102" s="221">
        <f t="shared" si="80"/>
        <v>393.90000000000003</v>
      </c>
      <c r="W102" s="220">
        <f t="shared" si="81"/>
        <v>0</v>
      </c>
      <c r="X102" s="79"/>
      <c r="AD102" s="228">
        <v>0</v>
      </c>
      <c r="AE102" s="229">
        <v>0</v>
      </c>
      <c r="AF102" s="230">
        <v>0</v>
      </c>
      <c r="AG102" s="231">
        <v>0</v>
      </c>
    </row>
    <row r="103" spans="1:33" s="80" customFormat="1" ht="15" customHeight="1">
      <c r="A103" s="215"/>
      <c r="B103" s="216" t="s">
        <v>244</v>
      </c>
      <c r="C103" s="50"/>
      <c r="D103" s="217" t="s">
        <v>199</v>
      </c>
      <c r="E103" s="218">
        <v>100.10000000000001</v>
      </c>
      <c r="F103" s="219"/>
      <c r="G103" s="219"/>
      <c r="H103" s="220">
        <f t="shared" si="73"/>
        <v>100.10000000000001</v>
      </c>
      <c r="I103" s="77"/>
      <c r="J103" s="221">
        <f t="shared" si="74"/>
        <v>0</v>
      </c>
      <c r="K103" s="222">
        <f>'BETON Qte'!K103</f>
        <v>0</v>
      </c>
      <c r="L103" s="219">
        <f t="shared" si="75"/>
        <v>0</v>
      </c>
      <c r="M103" s="220">
        <f t="shared" si="76"/>
        <v>0</v>
      </c>
      <c r="N103" s="77"/>
      <c r="O103" s="223">
        <f t="shared" si="77"/>
        <v>0</v>
      </c>
      <c r="P103" s="224">
        <f t="shared" si="78"/>
        <v>0</v>
      </c>
      <c r="Q103" s="225"/>
      <c r="R103" s="226">
        <f t="shared" si="79"/>
        <v>0</v>
      </c>
      <c r="S103" s="77"/>
      <c r="T103" s="227">
        <v>100.10000000000001</v>
      </c>
      <c r="U103" s="78"/>
      <c r="V103" s="221">
        <f t="shared" si="80"/>
        <v>100.10000000000001</v>
      </c>
      <c r="W103" s="220">
        <f t="shared" si="81"/>
        <v>0</v>
      </c>
      <c r="X103" s="79"/>
      <c r="AD103" s="228">
        <v>0</v>
      </c>
      <c r="AE103" s="229">
        <v>0</v>
      </c>
      <c r="AF103" s="230">
        <v>0</v>
      </c>
      <c r="AG103" s="231">
        <v>0</v>
      </c>
    </row>
    <row r="104" spans="1:33" s="80" customFormat="1" ht="15" customHeight="1">
      <c r="A104" s="215"/>
      <c r="B104" s="216" t="s">
        <v>245</v>
      </c>
      <c r="C104" s="50"/>
      <c r="D104" s="217" t="s">
        <v>199</v>
      </c>
      <c r="E104" s="218">
        <v>1309.8799999999999</v>
      </c>
      <c r="F104" s="219"/>
      <c r="G104" s="219"/>
      <c r="H104" s="220">
        <f t="shared" si="73"/>
        <v>1309.8799999999999</v>
      </c>
      <c r="I104" s="77"/>
      <c r="J104" s="221">
        <f t="shared" si="74"/>
        <v>0</v>
      </c>
      <c r="K104" s="222">
        <f>'BETON Qte'!K104</f>
        <v>0</v>
      </c>
      <c r="L104" s="219">
        <f t="shared" si="75"/>
        <v>0</v>
      </c>
      <c r="M104" s="220">
        <f t="shared" si="76"/>
        <v>0</v>
      </c>
      <c r="N104" s="77"/>
      <c r="O104" s="223">
        <f t="shared" si="77"/>
        <v>0</v>
      </c>
      <c r="P104" s="224">
        <f t="shared" si="78"/>
        <v>0</v>
      </c>
      <c r="Q104" s="225"/>
      <c r="R104" s="226">
        <f t="shared" si="79"/>
        <v>0</v>
      </c>
      <c r="S104" s="77"/>
      <c r="T104" s="227">
        <v>1309.8799999999999</v>
      </c>
      <c r="U104" s="78"/>
      <c r="V104" s="221">
        <f t="shared" si="80"/>
        <v>1309.8799999999999</v>
      </c>
      <c r="W104" s="220">
        <f t="shared" si="81"/>
        <v>0</v>
      </c>
      <c r="X104" s="79"/>
      <c r="AD104" s="228">
        <v>0</v>
      </c>
      <c r="AE104" s="229">
        <v>0</v>
      </c>
      <c r="AF104" s="230">
        <v>0</v>
      </c>
      <c r="AG104" s="231">
        <v>0</v>
      </c>
    </row>
    <row r="105" spans="1:33" s="80" customFormat="1" ht="15" customHeight="1">
      <c r="A105" s="215"/>
      <c r="B105" s="216" t="s">
        <v>246</v>
      </c>
      <c r="C105" s="50"/>
      <c r="D105" s="217" t="s">
        <v>199</v>
      </c>
      <c r="E105" s="218">
        <v>15022.28</v>
      </c>
      <c r="F105" s="219"/>
      <c r="G105" s="219"/>
      <c r="H105" s="220">
        <f t="shared" si="73"/>
        <v>15022.28</v>
      </c>
      <c r="I105" s="77"/>
      <c r="J105" s="221">
        <f t="shared" si="74"/>
        <v>0</v>
      </c>
      <c r="K105" s="222">
        <f>'BETON Qte'!K105</f>
        <v>0</v>
      </c>
      <c r="L105" s="219">
        <f t="shared" si="75"/>
        <v>0</v>
      </c>
      <c r="M105" s="220">
        <f t="shared" si="76"/>
        <v>0</v>
      </c>
      <c r="N105" s="77"/>
      <c r="O105" s="223">
        <f t="shared" si="77"/>
        <v>0</v>
      </c>
      <c r="P105" s="224">
        <f t="shared" si="78"/>
        <v>0</v>
      </c>
      <c r="Q105" s="225"/>
      <c r="R105" s="226">
        <f t="shared" si="79"/>
        <v>0</v>
      </c>
      <c r="S105" s="77"/>
      <c r="T105" s="227">
        <v>15022.28</v>
      </c>
      <c r="U105" s="78"/>
      <c r="V105" s="221">
        <f t="shared" si="80"/>
        <v>15022.28</v>
      </c>
      <c r="W105" s="220">
        <f t="shared" si="81"/>
        <v>0</v>
      </c>
      <c r="X105" s="79"/>
      <c r="AD105" s="228">
        <v>0</v>
      </c>
      <c r="AE105" s="229">
        <v>0</v>
      </c>
      <c r="AF105" s="230">
        <v>0</v>
      </c>
      <c r="AG105" s="231">
        <v>0</v>
      </c>
    </row>
    <row r="106" spans="1:33" s="80" customFormat="1" ht="15" customHeight="1">
      <c r="A106" s="215"/>
      <c r="B106" s="216" t="s">
        <v>247</v>
      </c>
      <c r="C106" s="50"/>
      <c r="D106" s="217" t="s">
        <v>199</v>
      </c>
      <c r="E106" s="218">
        <v>335.40000000000003</v>
      </c>
      <c r="F106" s="219"/>
      <c r="G106" s="219"/>
      <c r="H106" s="220">
        <f t="shared" si="73"/>
        <v>335.40000000000003</v>
      </c>
      <c r="I106" s="77"/>
      <c r="J106" s="221">
        <f t="shared" si="74"/>
        <v>0</v>
      </c>
      <c r="K106" s="222">
        <f>'BETON Qte'!K106</f>
        <v>0</v>
      </c>
      <c r="L106" s="219">
        <f t="shared" si="75"/>
        <v>0</v>
      </c>
      <c r="M106" s="220">
        <f t="shared" si="76"/>
        <v>0</v>
      </c>
      <c r="N106" s="77"/>
      <c r="O106" s="223">
        <f t="shared" si="77"/>
        <v>0</v>
      </c>
      <c r="P106" s="224">
        <f t="shared" si="78"/>
        <v>0</v>
      </c>
      <c r="Q106" s="225"/>
      <c r="R106" s="226">
        <f t="shared" si="79"/>
        <v>0</v>
      </c>
      <c r="S106" s="77"/>
      <c r="T106" s="227">
        <v>335.40000000000003</v>
      </c>
      <c r="U106" s="78"/>
      <c r="V106" s="221">
        <f t="shared" si="80"/>
        <v>335.40000000000003</v>
      </c>
      <c r="W106" s="220">
        <f t="shared" si="81"/>
        <v>0</v>
      </c>
      <c r="X106" s="79"/>
      <c r="AD106" s="228">
        <v>0</v>
      </c>
      <c r="AE106" s="229">
        <v>0</v>
      </c>
      <c r="AF106" s="230">
        <v>0</v>
      </c>
      <c r="AG106" s="231">
        <v>0</v>
      </c>
    </row>
    <row r="107" spans="1:33" s="80" customFormat="1" ht="15" customHeight="1">
      <c r="A107" s="215"/>
      <c r="B107" s="216" t="s">
        <v>248</v>
      </c>
      <c r="C107" s="50"/>
      <c r="D107" s="217" t="s">
        <v>199</v>
      </c>
      <c r="E107" s="218">
        <v>1228.5</v>
      </c>
      <c r="F107" s="219"/>
      <c r="G107" s="219"/>
      <c r="H107" s="220">
        <f t="shared" si="73"/>
        <v>1228.5</v>
      </c>
      <c r="I107" s="77"/>
      <c r="J107" s="221">
        <f t="shared" si="74"/>
        <v>0</v>
      </c>
      <c r="K107" s="222">
        <f>'BETON Qte'!K107</f>
        <v>0</v>
      </c>
      <c r="L107" s="219">
        <f t="shared" si="75"/>
        <v>0</v>
      </c>
      <c r="M107" s="220">
        <f t="shared" si="76"/>
        <v>0</v>
      </c>
      <c r="N107" s="77"/>
      <c r="O107" s="223">
        <f t="shared" si="77"/>
        <v>0</v>
      </c>
      <c r="P107" s="224">
        <f t="shared" si="78"/>
        <v>0</v>
      </c>
      <c r="Q107" s="225"/>
      <c r="R107" s="226">
        <f t="shared" si="79"/>
        <v>0</v>
      </c>
      <c r="S107" s="77"/>
      <c r="T107" s="227">
        <v>1228.5</v>
      </c>
      <c r="U107" s="78"/>
      <c r="V107" s="221">
        <f t="shared" si="80"/>
        <v>1228.5</v>
      </c>
      <c r="W107" s="220">
        <f t="shared" si="81"/>
        <v>0</v>
      </c>
      <c r="X107" s="79"/>
      <c r="AD107" s="228">
        <v>0</v>
      </c>
      <c r="AE107" s="229">
        <v>0</v>
      </c>
      <c r="AF107" s="230">
        <v>0</v>
      </c>
      <c r="AG107" s="231">
        <v>0</v>
      </c>
    </row>
    <row r="108" spans="1:33" s="80" customFormat="1" ht="15" customHeight="1" thickBot="1">
      <c r="A108" s="215"/>
      <c r="B108" s="216" t="s">
        <v>249</v>
      </c>
      <c r="C108" s="50"/>
      <c r="D108" s="217" t="s">
        <v>199</v>
      </c>
      <c r="E108" s="218">
        <v>6.5</v>
      </c>
      <c r="F108" s="219"/>
      <c r="G108" s="219"/>
      <c r="H108" s="220">
        <f t="shared" si="73"/>
        <v>6.5</v>
      </c>
      <c r="I108" s="77"/>
      <c r="J108" s="221">
        <f t="shared" si="74"/>
        <v>0</v>
      </c>
      <c r="K108" s="222">
        <f>'BETON Qte'!K108</f>
        <v>0</v>
      </c>
      <c r="L108" s="219">
        <f t="shared" si="75"/>
        <v>0</v>
      </c>
      <c r="M108" s="220">
        <f t="shared" si="76"/>
        <v>0</v>
      </c>
      <c r="N108" s="77"/>
      <c r="O108" s="223">
        <f t="shared" si="77"/>
        <v>0</v>
      </c>
      <c r="P108" s="224">
        <f t="shared" si="78"/>
        <v>0</v>
      </c>
      <c r="Q108" s="225"/>
      <c r="R108" s="226">
        <f t="shared" si="79"/>
        <v>0</v>
      </c>
      <c r="S108" s="77"/>
      <c r="T108" s="227">
        <v>6.5</v>
      </c>
      <c r="U108" s="78"/>
      <c r="V108" s="221">
        <f t="shared" si="80"/>
        <v>6.5</v>
      </c>
      <c r="W108" s="220">
        <f t="shared" si="81"/>
        <v>0</v>
      </c>
      <c r="X108" s="79"/>
      <c r="AD108" s="228">
        <v>0</v>
      </c>
      <c r="AE108" s="229">
        <v>0</v>
      </c>
      <c r="AF108" s="230">
        <v>0</v>
      </c>
      <c r="AG108" s="231">
        <v>0</v>
      </c>
    </row>
    <row r="109" spans="1:33" s="76" customFormat="1" ht="19.5" customHeight="1" thickBot="1">
      <c r="A109" s="256" t="s">
        <v>529</v>
      </c>
      <c r="B109" s="257" t="s">
        <v>530</v>
      </c>
      <c r="C109" s="74"/>
      <c r="D109" s="258" t="s">
        <v>199</v>
      </c>
      <c r="E109" s="259">
        <f>SUM(E110:E112)</f>
        <v>266884.10232558142</v>
      </c>
      <c r="F109" s="201">
        <f>SUM(F110:F112)</f>
        <v>0</v>
      </c>
      <c r="G109" s="201">
        <f>SUM(G110:G112)</f>
        <v>0</v>
      </c>
      <c r="H109" s="246">
        <f>SUM(H110:H112)</f>
        <v>266884.10232558142</v>
      </c>
      <c r="I109" s="75"/>
      <c r="J109" s="245">
        <f>SUM(J110:J112)</f>
        <v>0</v>
      </c>
      <c r="K109" s="260">
        <f>IFERROR(J109/H109,"")</f>
        <v>0</v>
      </c>
      <c r="L109" s="201">
        <f>SUM(L110:L112)</f>
        <v>0</v>
      </c>
      <c r="M109" s="246">
        <f>SUM(M110:M112)</f>
        <v>0</v>
      </c>
      <c r="N109" s="75"/>
      <c r="O109" s="247">
        <f>SUM(O110:O112)</f>
        <v>0</v>
      </c>
      <c r="P109" s="248">
        <f>IFERROR(O109/H109,"")</f>
        <v>0</v>
      </c>
      <c r="Q109" s="249">
        <f>SUM(Q110:Q112)</f>
        <v>0</v>
      </c>
      <c r="R109" s="250">
        <f>SUM(R110:R112)</f>
        <v>0</v>
      </c>
      <c r="S109" s="75"/>
      <c r="T109" s="251">
        <f>SUM(T110:T112)</f>
        <v>266884.10232558142</v>
      </c>
      <c r="U109" s="75"/>
      <c r="V109" s="245">
        <f>SUM(V110:V112)</f>
        <v>266884.10232558142</v>
      </c>
      <c r="W109" s="246">
        <f>SUM(W110:W112)</f>
        <v>0</v>
      </c>
      <c r="X109" s="72"/>
      <c r="AD109" s="252">
        <v>0</v>
      </c>
      <c r="AE109" s="253">
        <v>0</v>
      </c>
      <c r="AF109" s="254">
        <v>0</v>
      </c>
      <c r="AG109" s="255">
        <v>0</v>
      </c>
    </row>
    <row r="110" spans="1:33" s="80" customFormat="1" ht="15" customHeight="1">
      <c r="A110" s="215"/>
      <c r="B110" s="216" t="s">
        <v>252</v>
      </c>
      <c r="C110" s="50"/>
      <c r="D110" s="217" t="s">
        <v>199</v>
      </c>
      <c r="E110" s="296">
        <v>199674.80000000002</v>
      </c>
      <c r="F110" s="219"/>
      <c r="G110" s="219"/>
      <c r="H110" s="220">
        <f>SUM(E110:G110)</f>
        <v>199674.80000000002</v>
      </c>
      <c r="I110" s="77"/>
      <c r="J110" s="221">
        <f>H110*K110/100</f>
        <v>0</v>
      </c>
      <c r="K110" s="222">
        <f>'BETON Qte'!K110</f>
        <v>0</v>
      </c>
      <c r="L110" s="219">
        <f>Q110+AF110</f>
        <v>0</v>
      </c>
      <c r="M110" s="220">
        <f>J110-L110</f>
        <v>0</v>
      </c>
      <c r="N110" s="77"/>
      <c r="O110" s="223">
        <f>J110-AD110</f>
        <v>0</v>
      </c>
      <c r="P110" s="224">
        <f t="shared" ref="P110:P112" si="82">IFERROR(O110/H110,0)</f>
        <v>0</v>
      </c>
      <c r="Q110" s="225"/>
      <c r="R110" s="226">
        <f>O110-Q110</f>
        <v>0</v>
      </c>
      <c r="S110" s="77"/>
      <c r="T110" s="227">
        <v>199674.80000000002</v>
      </c>
      <c r="U110" s="78"/>
      <c r="V110" s="221">
        <f t="shared" ref="V110:V112" si="83">L110+T110</f>
        <v>199674.80000000002</v>
      </c>
      <c r="W110" s="220">
        <f t="shared" ref="W110:W112" si="84">H110-V110</f>
        <v>0</v>
      </c>
      <c r="X110" s="79"/>
      <c r="AD110" s="228">
        <v>0</v>
      </c>
      <c r="AE110" s="229">
        <v>0</v>
      </c>
      <c r="AF110" s="230">
        <v>0</v>
      </c>
      <c r="AG110" s="231">
        <v>0</v>
      </c>
    </row>
    <row r="111" spans="1:33" s="80" customFormat="1" ht="15" customHeight="1">
      <c r="A111" s="215"/>
      <c r="B111" s="216" t="s">
        <v>252</v>
      </c>
      <c r="C111" s="50"/>
      <c r="D111" s="217" t="s">
        <v>199</v>
      </c>
      <c r="E111" s="296">
        <v>67209.30232558139</v>
      </c>
      <c r="F111" s="219"/>
      <c r="G111" s="219"/>
      <c r="H111" s="220">
        <f t="shared" ref="H111:H112" si="85">SUM(E111:G111)</f>
        <v>67209.30232558139</v>
      </c>
      <c r="I111" s="77"/>
      <c r="J111" s="221">
        <f t="shared" ref="J111:J112" si="86">H111*K111/100</f>
        <v>0</v>
      </c>
      <c r="K111" s="222">
        <f>'BETON Qte'!K111</f>
        <v>0</v>
      </c>
      <c r="L111" s="219">
        <f t="shared" ref="L111:L112" si="87">Q111+AF111</f>
        <v>0</v>
      </c>
      <c r="M111" s="220">
        <f t="shared" ref="M111:M112" si="88">J111-L111</f>
        <v>0</v>
      </c>
      <c r="N111" s="77"/>
      <c r="O111" s="223">
        <f t="shared" ref="O111:O112" si="89">J111-AD111</f>
        <v>0</v>
      </c>
      <c r="P111" s="224">
        <f t="shared" si="82"/>
        <v>0</v>
      </c>
      <c r="Q111" s="225"/>
      <c r="R111" s="226">
        <f t="shared" ref="R111:R112" si="90">O111-Q111</f>
        <v>0</v>
      </c>
      <c r="S111" s="77"/>
      <c r="T111" s="227">
        <v>67209.30232558139</v>
      </c>
      <c r="U111" s="78"/>
      <c r="V111" s="221">
        <f t="shared" si="83"/>
        <v>67209.30232558139</v>
      </c>
      <c r="W111" s="220">
        <f t="shared" si="84"/>
        <v>0</v>
      </c>
      <c r="X111" s="79"/>
      <c r="AD111" s="228">
        <v>0</v>
      </c>
      <c r="AE111" s="229">
        <v>0</v>
      </c>
      <c r="AF111" s="230">
        <v>0</v>
      </c>
      <c r="AG111" s="231">
        <v>0</v>
      </c>
    </row>
    <row r="112" spans="1:33" s="80" customFormat="1" ht="15" customHeight="1" thickBot="1">
      <c r="A112" s="261"/>
      <c r="B112" s="262" t="s">
        <v>253</v>
      </c>
      <c r="C112" s="50"/>
      <c r="D112" s="263" t="s">
        <v>199</v>
      </c>
      <c r="E112" s="297">
        <v>0</v>
      </c>
      <c r="F112" s="265"/>
      <c r="G112" s="265"/>
      <c r="H112" s="266">
        <f t="shared" si="85"/>
        <v>0</v>
      </c>
      <c r="I112" s="77"/>
      <c r="J112" s="267">
        <f t="shared" si="86"/>
        <v>0</v>
      </c>
      <c r="K112" s="268">
        <f>'BETON Qte'!K112</f>
        <v>0</v>
      </c>
      <c r="L112" s="265">
        <f t="shared" si="87"/>
        <v>0</v>
      </c>
      <c r="M112" s="266">
        <f t="shared" si="88"/>
        <v>0</v>
      </c>
      <c r="N112" s="77"/>
      <c r="O112" s="269">
        <f t="shared" si="89"/>
        <v>0</v>
      </c>
      <c r="P112" s="270">
        <f t="shared" si="82"/>
        <v>0</v>
      </c>
      <c r="Q112" s="271"/>
      <c r="R112" s="272">
        <f t="shared" si="90"/>
        <v>0</v>
      </c>
      <c r="S112" s="77"/>
      <c r="T112" s="273">
        <v>0</v>
      </c>
      <c r="U112" s="78"/>
      <c r="V112" s="267">
        <f t="shared" si="83"/>
        <v>0</v>
      </c>
      <c r="W112" s="266">
        <f t="shared" si="84"/>
        <v>0</v>
      </c>
      <c r="X112" s="79"/>
      <c r="AD112" s="274">
        <v>0</v>
      </c>
      <c r="AE112" s="275">
        <v>0</v>
      </c>
      <c r="AF112" s="276">
        <v>0</v>
      </c>
      <c r="AG112" s="277">
        <v>0</v>
      </c>
    </row>
    <row r="113" spans="1:33">
      <c r="E113" s="82"/>
      <c r="F113" s="82"/>
      <c r="G113" s="82"/>
      <c r="H113" s="82"/>
      <c r="I113" s="83"/>
      <c r="J113" s="82"/>
      <c r="K113" s="82"/>
      <c r="L113" s="82"/>
      <c r="M113" s="82"/>
      <c r="N113" s="83"/>
      <c r="O113" s="82"/>
      <c r="P113" s="82"/>
      <c r="Q113" s="82"/>
      <c r="R113" s="82"/>
      <c r="S113" s="83"/>
      <c r="T113" s="82"/>
      <c r="U113" s="84"/>
      <c r="V113" s="82"/>
      <c r="W113" s="82"/>
    </row>
    <row r="114" spans="1:33">
      <c r="E114" s="82"/>
      <c r="F114" s="82"/>
      <c r="G114" s="82"/>
      <c r="H114" s="82"/>
      <c r="I114" s="83"/>
      <c r="J114" s="82"/>
      <c r="K114" s="82"/>
      <c r="L114" s="82"/>
      <c r="M114" s="82"/>
      <c r="N114" s="83"/>
      <c r="O114" s="82"/>
      <c r="P114" s="179"/>
      <c r="Q114" s="82"/>
      <c r="R114" s="82"/>
      <c r="S114" s="83"/>
      <c r="T114" s="82"/>
      <c r="U114" s="84"/>
      <c r="V114" s="82"/>
      <c r="W114" s="82"/>
    </row>
    <row r="115" spans="1:33">
      <c r="E115" s="82"/>
      <c r="F115" s="82"/>
      <c r="G115" s="82"/>
      <c r="H115" s="82"/>
      <c r="I115" s="83"/>
      <c r="J115" s="82"/>
      <c r="K115" s="82"/>
      <c r="L115" s="82"/>
      <c r="M115" s="82"/>
      <c r="N115" s="83"/>
      <c r="O115" s="82"/>
      <c r="P115" s="82"/>
      <c r="Q115" s="82"/>
      <c r="R115" s="82"/>
      <c r="S115" s="83"/>
      <c r="T115" s="82"/>
      <c r="U115" s="84"/>
      <c r="V115" s="82"/>
      <c r="W115" s="82"/>
    </row>
    <row r="116" spans="1:33">
      <c r="E116" s="82"/>
      <c r="F116" s="82"/>
      <c r="G116" s="82"/>
      <c r="H116" s="82"/>
      <c r="I116" s="83"/>
      <c r="J116" s="82"/>
      <c r="K116" s="82"/>
      <c r="L116" s="82"/>
      <c r="M116" s="82"/>
      <c r="N116" s="83"/>
      <c r="O116" s="82"/>
      <c r="P116" s="179"/>
      <c r="Q116" s="82"/>
      <c r="R116" s="82"/>
      <c r="S116" s="83"/>
      <c r="T116" s="82"/>
      <c r="U116" s="84"/>
      <c r="V116" s="82"/>
      <c r="W116" s="82"/>
    </row>
    <row r="117" spans="1:33">
      <c r="E117" s="82"/>
      <c r="F117" s="82"/>
      <c r="G117" s="82"/>
      <c r="H117" s="82"/>
      <c r="I117" s="83"/>
      <c r="J117" s="82"/>
      <c r="K117" s="82"/>
      <c r="L117" s="82"/>
      <c r="M117" s="82"/>
      <c r="N117" s="83"/>
      <c r="O117" s="82"/>
      <c r="P117" s="82"/>
      <c r="Q117" s="82"/>
      <c r="R117" s="82"/>
      <c r="S117" s="83"/>
      <c r="T117" s="82"/>
      <c r="U117" s="84"/>
      <c r="V117" s="82"/>
      <c r="W117" s="82"/>
    </row>
    <row r="118" spans="1:33" ht="13.5" thickBot="1">
      <c r="E118" s="82"/>
      <c r="F118" s="82"/>
      <c r="G118" s="82"/>
      <c r="H118" s="82"/>
      <c r="I118" s="83"/>
      <c r="J118" s="82"/>
      <c r="K118" s="82"/>
      <c r="L118" s="82"/>
      <c r="M118" s="82"/>
      <c r="N118" s="83"/>
      <c r="O118" s="82"/>
      <c r="P118" s="82"/>
      <c r="Q118" s="82"/>
      <c r="R118" s="82"/>
      <c r="S118" s="83"/>
      <c r="T118" s="82"/>
      <c r="U118" s="84"/>
      <c r="V118" s="82"/>
      <c r="W118" s="82"/>
    </row>
    <row r="119" spans="1:33" s="73" customFormat="1" ht="19.5" customHeight="1" thickBot="1">
      <c r="A119" s="298" t="s">
        <v>188</v>
      </c>
      <c r="B119" s="279" t="s">
        <v>254</v>
      </c>
      <c r="C119" s="69"/>
      <c r="D119" s="280" t="s">
        <v>199</v>
      </c>
      <c r="E119" s="299">
        <f>SUM(E120:E154)</f>
        <v>249174.90000000008</v>
      </c>
      <c r="F119" s="300">
        <f>SUM(F120:F154)</f>
        <v>0</v>
      </c>
      <c r="G119" s="300">
        <f>SUM(G120:G154)</f>
        <v>0</v>
      </c>
      <c r="H119" s="301">
        <f>SUM(H120:H154)</f>
        <v>249174.90000000008</v>
      </c>
      <c r="I119" s="70"/>
      <c r="J119" s="302">
        <f>SUM(J120:J154)</f>
        <v>249174.90000000008</v>
      </c>
      <c r="K119" s="303">
        <f>IFERROR(J119/H119,"")</f>
        <v>1</v>
      </c>
      <c r="L119" s="304">
        <f t="shared" ref="L119:M119" si="91">SUM(L120:L154)</f>
        <v>15600</v>
      </c>
      <c r="M119" s="189">
        <f t="shared" si="91"/>
        <v>233574.90000000008</v>
      </c>
      <c r="N119" s="70"/>
      <c r="O119" s="285">
        <f>SUM(O120:O154)</f>
        <v>0</v>
      </c>
      <c r="P119" s="305">
        <f>IFERROR(O119/H119,"")</f>
        <v>0</v>
      </c>
      <c r="Q119" s="287">
        <f>SUM(Q120:Q154)</f>
        <v>0</v>
      </c>
      <c r="R119" s="306">
        <f>SUM(R120:R154)</f>
        <v>0</v>
      </c>
      <c r="S119" s="70"/>
      <c r="T119" s="289">
        <f>SUM(T120:T154)</f>
        <v>0</v>
      </c>
      <c r="U119" s="71"/>
      <c r="V119" s="290">
        <f>SUM(V120:V154)</f>
        <v>0</v>
      </c>
      <c r="W119" s="283">
        <f>SUM(W120:W154)</f>
        <v>0</v>
      </c>
      <c r="X119" s="72"/>
      <c r="AD119" s="291">
        <v>249174.90000000008</v>
      </c>
      <c r="AE119" s="292">
        <v>1</v>
      </c>
      <c r="AF119" s="293">
        <v>15600</v>
      </c>
      <c r="AG119" s="294">
        <v>233574.90000000008</v>
      </c>
    </row>
    <row r="120" spans="1:33" s="80" customFormat="1" ht="15" customHeight="1">
      <c r="A120" s="215" t="s">
        <v>255</v>
      </c>
      <c r="B120" s="216" t="s">
        <v>256</v>
      </c>
      <c r="C120" s="50"/>
      <c r="D120" s="217" t="s">
        <v>199</v>
      </c>
      <c r="E120" s="221">
        <v>3510</v>
      </c>
      <c r="F120" s="219"/>
      <c r="G120" s="219"/>
      <c r="H120" s="220">
        <f t="shared" ref="H120:H150" si="92">SUM(E120:G120)</f>
        <v>3510</v>
      </c>
      <c r="I120" s="77"/>
      <c r="J120" s="307">
        <f t="shared" ref="J120:J154" si="93">H120*K120/100</f>
        <v>3510</v>
      </c>
      <c r="K120" s="308">
        <v>100</v>
      </c>
      <c r="L120" s="219">
        <f t="shared" ref="L120:L154" si="94">Q120+AF120</f>
        <v>0</v>
      </c>
      <c r="M120" s="309">
        <f t="shared" ref="M120:M154" si="95">J120-L120</f>
        <v>3510</v>
      </c>
      <c r="N120" s="81"/>
      <c r="O120" s="223">
        <f t="shared" ref="O120:O154" si="96">J120-AD120</f>
        <v>0</v>
      </c>
      <c r="P120" s="310">
        <f t="shared" ref="P120:P154" si="97">IFERROR(O120/H120,"")</f>
        <v>0</v>
      </c>
      <c r="Q120" s="311"/>
      <c r="R120" s="232">
        <f t="shared" ref="R120:R154" si="98">O120-Q120</f>
        <v>0</v>
      </c>
      <c r="S120" s="77"/>
      <c r="T120" s="312"/>
      <c r="U120" s="78"/>
      <c r="V120" s="221"/>
      <c r="W120" s="220"/>
      <c r="X120" s="79"/>
      <c r="AD120" s="228">
        <v>3510</v>
      </c>
      <c r="AE120" s="313">
        <v>100</v>
      </c>
      <c r="AF120" s="230">
        <v>0</v>
      </c>
      <c r="AG120" s="231">
        <v>3510</v>
      </c>
    </row>
    <row r="121" spans="1:33" s="80" customFormat="1" ht="15" customHeight="1">
      <c r="A121" s="215" t="s">
        <v>257</v>
      </c>
      <c r="B121" s="216" t="s">
        <v>258</v>
      </c>
      <c r="C121" s="50"/>
      <c r="D121" s="217" t="s">
        <v>199</v>
      </c>
      <c r="E121" s="221">
        <v>3510</v>
      </c>
      <c r="F121" s="219"/>
      <c r="G121" s="219"/>
      <c r="H121" s="220">
        <f t="shared" si="92"/>
        <v>3510</v>
      </c>
      <c r="I121" s="77"/>
      <c r="J121" s="314">
        <f t="shared" si="93"/>
        <v>3510</v>
      </c>
      <c r="K121" s="308">
        <v>100</v>
      </c>
      <c r="L121" s="219">
        <f t="shared" si="94"/>
        <v>0</v>
      </c>
      <c r="M121" s="309">
        <f t="shared" si="95"/>
        <v>3510</v>
      </c>
      <c r="N121" s="81"/>
      <c r="O121" s="223">
        <f t="shared" si="96"/>
        <v>0</v>
      </c>
      <c r="P121" s="310">
        <f t="shared" si="97"/>
        <v>0</v>
      </c>
      <c r="Q121" s="315"/>
      <c r="R121" s="232">
        <f t="shared" si="98"/>
        <v>0</v>
      </c>
      <c r="S121" s="77"/>
      <c r="T121" s="312"/>
      <c r="U121" s="78"/>
      <c r="V121" s="221"/>
      <c r="W121" s="220"/>
      <c r="X121" s="79"/>
      <c r="AD121" s="228">
        <v>3510</v>
      </c>
      <c r="AE121" s="313">
        <v>100</v>
      </c>
      <c r="AF121" s="230">
        <v>0</v>
      </c>
      <c r="AG121" s="231">
        <v>3510</v>
      </c>
    </row>
    <row r="122" spans="1:33" s="80" customFormat="1" ht="15" customHeight="1">
      <c r="A122" s="215" t="s">
        <v>259</v>
      </c>
      <c r="B122" s="216" t="s">
        <v>260</v>
      </c>
      <c r="C122" s="50"/>
      <c r="D122" s="217" t="s">
        <v>199</v>
      </c>
      <c r="E122" s="221">
        <v>1170</v>
      </c>
      <c r="F122" s="219"/>
      <c r="G122" s="219"/>
      <c r="H122" s="220">
        <f t="shared" si="92"/>
        <v>1170</v>
      </c>
      <c r="I122" s="77"/>
      <c r="J122" s="314">
        <f t="shared" si="93"/>
        <v>1170</v>
      </c>
      <c r="K122" s="308">
        <v>100</v>
      </c>
      <c r="L122" s="219">
        <f t="shared" si="94"/>
        <v>0</v>
      </c>
      <c r="M122" s="309">
        <f t="shared" si="95"/>
        <v>1170</v>
      </c>
      <c r="N122" s="81"/>
      <c r="O122" s="223">
        <f t="shared" si="96"/>
        <v>0</v>
      </c>
      <c r="P122" s="310">
        <f t="shared" si="97"/>
        <v>0</v>
      </c>
      <c r="Q122" s="315"/>
      <c r="R122" s="232">
        <f t="shared" si="98"/>
        <v>0</v>
      </c>
      <c r="S122" s="77"/>
      <c r="T122" s="312"/>
      <c r="U122" s="78"/>
      <c r="V122" s="221"/>
      <c r="W122" s="220"/>
      <c r="X122" s="79"/>
      <c r="AD122" s="228">
        <v>1170</v>
      </c>
      <c r="AE122" s="313">
        <v>100</v>
      </c>
      <c r="AF122" s="230">
        <v>0</v>
      </c>
      <c r="AG122" s="231">
        <v>1170</v>
      </c>
    </row>
    <row r="123" spans="1:33" s="80" customFormat="1" ht="15" customHeight="1">
      <c r="A123" s="215" t="s">
        <v>261</v>
      </c>
      <c r="B123" s="216" t="s">
        <v>262</v>
      </c>
      <c r="C123" s="50"/>
      <c r="D123" s="217" t="s">
        <v>199</v>
      </c>
      <c r="E123" s="221">
        <v>3510</v>
      </c>
      <c r="F123" s="219"/>
      <c r="G123" s="219"/>
      <c r="H123" s="220">
        <f t="shared" si="92"/>
        <v>3510</v>
      </c>
      <c r="I123" s="77"/>
      <c r="J123" s="314">
        <f t="shared" si="93"/>
        <v>3510</v>
      </c>
      <c r="K123" s="308">
        <v>100</v>
      </c>
      <c r="L123" s="219">
        <f t="shared" si="94"/>
        <v>0</v>
      </c>
      <c r="M123" s="309">
        <f t="shared" si="95"/>
        <v>3510</v>
      </c>
      <c r="N123" s="81"/>
      <c r="O123" s="223">
        <f t="shared" si="96"/>
        <v>0</v>
      </c>
      <c r="P123" s="310">
        <f t="shared" si="97"/>
        <v>0</v>
      </c>
      <c r="Q123" s="315"/>
      <c r="R123" s="232">
        <f t="shared" si="98"/>
        <v>0</v>
      </c>
      <c r="S123" s="77"/>
      <c r="T123" s="312"/>
      <c r="U123" s="78"/>
      <c r="V123" s="221"/>
      <c r="W123" s="220"/>
      <c r="X123" s="79"/>
      <c r="AD123" s="228">
        <v>3510</v>
      </c>
      <c r="AE123" s="313">
        <v>100</v>
      </c>
      <c r="AF123" s="230">
        <v>0</v>
      </c>
      <c r="AG123" s="231">
        <v>3510</v>
      </c>
    </row>
    <row r="124" spans="1:33" s="80" customFormat="1" ht="15" customHeight="1">
      <c r="A124" s="215" t="s">
        <v>263</v>
      </c>
      <c r="B124" s="216" t="s">
        <v>264</v>
      </c>
      <c r="C124" s="50"/>
      <c r="D124" s="217" t="s">
        <v>199</v>
      </c>
      <c r="E124" s="221">
        <v>3510</v>
      </c>
      <c r="F124" s="219"/>
      <c r="G124" s="219"/>
      <c r="H124" s="220">
        <f t="shared" si="92"/>
        <v>3510</v>
      </c>
      <c r="I124" s="77"/>
      <c r="J124" s="314">
        <f t="shared" si="93"/>
        <v>3510</v>
      </c>
      <c r="K124" s="308">
        <v>100</v>
      </c>
      <c r="L124" s="219">
        <f t="shared" si="94"/>
        <v>0</v>
      </c>
      <c r="M124" s="309">
        <f t="shared" si="95"/>
        <v>3510</v>
      </c>
      <c r="N124" s="81"/>
      <c r="O124" s="223">
        <f t="shared" si="96"/>
        <v>0</v>
      </c>
      <c r="P124" s="310">
        <f t="shared" si="97"/>
        <v>0</v>
      </c>
      <c r="Q124" s="315"/>
      <c r="R124" s="232">
        <f t="shared" si="98"/>
        <v>0</v>
      </c>
      <c r="S124" s="77"/>
      <c r="T124" s="312"/>
      <c r="U124" s="78"/>
      <c r="V124" s="221"/>
      <c r="W124" s="220"/>
      <c r="X124" s="79"/>
      <c r="AD124" s="228">
        <v>3510</v>
      </c>
      <c r="AE124" s="313">
        <v>100</v>
      </c>
      <c r="AF124" s="230">
        <v>0</v>
      </c>
      <c r="AG124" s="231">
        <v>3510</v>
      </c>
    </row>
    <row r="125" spans="1:33" s="80" customFormat="1" ht="15" customHeight="1">
      <c r="A125" s="215" t="s">
        <v>265</v>
      </c>
      <c r="B125" s="216" t="s">
        <v>266</v>
      </c>
      <c r="C125" s="50"/>
      <c r="D125" s="217" t="s">
        <v>199</v>
      </c>
      <c r="E125" s="221">
        <v>3744</v>
      </c>
      <c r="F125" s="219"/>
      <c r="G125" s="219"/>
      <c r="H125" s="220">
        <f t="shared" si="92"/>
        <v>3744</v>
      </c>
      <c r="I125" s="77"/>
      <c r="J125" s="314">
        <f t="shared" si="93"/>
        <v>3744</v>
      </c>
      <c r="K125" s="308">
        <v>100</v>
      </c>
      <c r="L125" s="219">
        <f t="shared" si="94"/>
        <v>0</v>
      </c>
      <c r="M125" s="309">
        <f t="shared" si="95"/>
        <v>3744</v>
      </c>
      <c r="N125" s="81"/>
      <c r="O125" s="223">
        <f t="shared" si="96"/>
        <v>0</v>
      </c>
      <c r="P125" s="310">
        <f t="shared" si="97"/>
        <v>0</v>
      </c>
      <c r="Q125" s="315"/>
      <c r="R125" s="232">
        <f t="shared" si="98"/>
        <v>0</v>
      </c>
      <c r="S125" s="77"/>
      <c r="T125" s="312"/>
      <c r="U125" s="78"/>
      <c r="V125" s="221"/>
      <c r="W125" s="220"/>
      <c r="X125" s="79"/>
      <c r="AD125" s="228">
        <v>3744</v>
      </c>
      <c r="AE125" s="313">
        <v>100</v>
      </c>
      <c r="AF125" s="230">
        <v>0</v>
      </c>
      <c r="AG125" s="231">
        <v>3744</v>
      </c>
    </row>
    <row r="126" spans="1:33" s="80" customFormat="1" ht="15" customHeight="1">
      <c r="A126" s="215" t="s">
        <v>267</v>
      </c>
      <c r="B126" s="216" t="s">
        <v>268</v>
      </c>
      <c r="C126" s="50"/>
      <c r="D126" s="217" t="s">
        <v>199</v>
      </c>
      <c r="E126" s="221">
        <v>936</v>
      </c>
      <c r="F126" s="219"/>
      <c r="G126" s="219"/>
      <c r="H126" s="220">
        <f t="shared" si="92"/>
        <v>936</v>
      </c>
      <c r="I126" s="77"/>
      <c r="J126" s="314">
        <f t="shared" si="93"/>
        <v>936</v>
      </c>
      <c r="K126" s="308">
        <v>100</v>
      </c>
      <c r="L126" s="219">
        <f t="shared" si="94"/>
        <v>721</v>
      </c>
      <c r="M126" s="309">
        <f t="shared" si="95"/>
        <v>215</v>
      </c>
      <c r="N126" s="81"/>
      <c r="O126" s="223">
        <f t="shared" si="96"/>
        <v>0</v>
      </c>
      <c r="P126" s="310">
        <f t="shared" si="97"/>
        <v>0</v>
      </c>
      <c r="Q126" s="315"/>
      <c r="R126" s="232">
        <f t="shared" si="98"/>
        <v>0</v>
      </c>
      <c r="S126" s="77"/>
      <c r="T126" s="312"/>
      <c r="U126" s="78"/>
      <c r="V126" s="221"/>
      <c r="W126" s="220"/>
      <c r="X126" s="79"/>
      <c r="AD126" s="228">
        <v>936</v>
      </c>
      <c r="AE126" s="313">
        <v>100</v>
      </c>
      <c r="AF126" s="230">
        <v>721</v>
      </c>
      <c r="AG126" s="231">
        <v>215</v>
      </c>
    </row>
    <row r="127" spans="1:33" s="80" customFormat="1" ht="15" customHeight="1">
      <c r="A127" s="215" t="s">
        <v>269</v>
      </c>
      <c r="B127" s="216" t="s">
        <v>270</v>
      </c>
      <c r="C127" s="50"/>
      <c r="D127" s="217" t="s">
        <v>199</v>
      </c>
      <c r="E127" s="221">
        <v>15912</v>
      </c>
      <c r="F127" s="219"/>
      <c r="G127" s="219"/>
      <c r="H127" s="220">
        <f t="shared" si="92"/>
        <v>15912</v>
      </c>
      <c r="I127" s="77"/>
      <c r="J127" s="314">
        <f t="shared" si="93"/>
        <v>15912</v>
      </c>
      <c r="K127" s="308">
        <v>100</v>
      </c>
      <c r="L127" s="219">
        <f t="shared" si="94"/>
        <v>126</v>
      </c>
      <c r="M127" s="309">
        <f t="shared" si="95"/>
        <v>15786</v>
      </c>
      <c r="N127" s="81"/>
      <c r="O127" s="223">
        <f t="shared" si="96"/>
        <v>0</v>
      </c>
      <c r="P127" s="310">
        <f t="shared" si="97"/>
        <v>0</v>
      </c>
      <c r="Q127" s="315"/>
      <c r="R127" s="232">
        <f t="shared" si="98"/>
        <v>0</v>
      </c>
      <c r="S127" s="77"/>
      <c r="T127" s="312"/>
      <c r="U127" s="78"/>
      <c r="V127" s="221"/>
      <c r="W127" s="220"/>
      <c r="X127" s="79"/>
      <c r="AD127" s="228">
        <v>15912</v>
      </c>
      <c r="AE127" s="313">
        <v>100</v>
      </c>
      <c r="AF127" s="230">
        <v>126</v>
      </c>
      <c r="AG127" s="231">
        <v>15786</v>
      </c>
    </row>
    <row r="128" spans="1:33" s="80" customFormat="1" ht="15" customHeight="1">
      <c r="A128" s="215" t="s">
        <v>271</v>
      </c>
      <c r="B128" s="216" t="s">
        <v>272</v>
      </c>
      <c r="C128" s="50"/>
      <c r="D128" s="217" t="s">
        <v>199</v>
      </c>
      <c r="E128" s="221">
        <v>14040</v>
      </c>
      <c r="F128" s="219"/>
      <c r="G128" s="219"/>
      <c r="H128" s="220">
        <f t="shared" si="92"/>
        <v>14040</v>
      </c>
      <c r="I128" s="77"/>
      <c r="J128" s="314">
        <f t="shared" si="93"/>
        <v>14040</v>
      </c>
      <c r="K128" s="308">
        <v>100</v>
      </c>
      <c r="L128" s="219">
        <f t="shared" si="94"/>
        <v>1469</v>
      </c>
      <c r="M128" s="309">
        <f t="shared" si="95"/>
        <v>12571</v>
      </c>
      <c r="N128" s="81"/>
      <c r="O128" s="223">
        <f t="shared" si="96"/>
        <v>0</v>
      </c>
      <c r="P128" s="310">
        <f t="shared" si="97"/>
        <v>0</v>
      </c>
      <c r="Q128" s="315"/>
      <c r="R128" s="232">
        <f t="shared" si="98"/>
        <v>0</v>
      </c>
      <c r="S128" s="77"/>
      <c r="T128" s="312"/>
      <c r="U128" s="78"/>
      <c r="V128" s="221"/>
      <c r="W128" s="220"/>
      <c r="X128" s="79"/>
      <c r="AD128" s="228">
        <v>14040</v>
      </c>
      <c r="AE128" s="313">
        <v>100</v>
      </c>
      <c r="AF128" s="230">
        <v>1469</v>
      </c>
      <c r="AG128" s="231">
        <v>12571</v>
      </c>
    </row>
    <row r="129" spans="1:33" s="80" customFormat="1" ht="15" customHeight="1">
      <c r="A129" s="215" t="s">
        <v>273</v>
      </c>
      <c r="B129" s="216" t="s">
        <v>274</v>
      </c>
      <c r="C129" s="50"/>
      <c r="D129" s="217" t="s">
        <v>199</v>
      </c>
      <c r="E129" s="221">
        <v>43290</v>
      </c>
      <c r="F129" s="219"/>
      <c r="G129" s="219"/>
      <c r="H129" s="220">
        <f t="shared" si="92"/>
        <v>43290</v>
      </c>
      <c r="I129" s="77"/>
      <c r="J129" s="314">
        <f t="shared" si="93"/>
        <v>43290</v>
      </c>
      <c r="K129" s="308">
        <v>100</v>
      </c>
      <c r="L129" s="219">
        <f t="shared" si="94"/>
        <v>0</v>
      </c>
      <c r="M129" s="309">
        <f t="shared" si="95"/>
        <v>43290</v>
      </c>
      <c r="N129" s="81"/>
      <c r="O129" s="223">
        <f t="shared" si="96"/>
        <v>0</v>
      </c>
      <c r="P129" s="310">
        <f t="shared" si="97"/>
        <v>0</v>
      </c>
      <c r="Q129" s="315"/>
      <c r="R129" s="232">
        <f t="shared" si="98"/>
        <v>0</v>
      </c>
      <c r="S129" s="77"/>
      <c r="T129" s="312"/>
      <c r="U129" s="78"/>
      <c r="V129" s="221"/>
      <c r="W129" s="220"/>
      <c r="X129" s="79"/>
      <c r="AD129" s="228">
        <v>43290</v>
      </c>
      <c r="AE129" s="313">
        <v>100</v>
      </c>
      <c r="AF129" s="230">
        <v>0</v>
      </c>
      <c r="AG129" s="231">
        <v>43290</v>
      </c>
    </row>
    <row r="130" spans="1:33" s="80" customFormat="1" ht="15" customHeight="1">
      <c r="A130" s="215" t="s">
        <v>275</v>
      </c>
      <c r="B130" s="216" t="s">
        <v>276</v>
      </c>
      <c r="C130" s="50"/>
      <c r="D130" s="217" t="s">
        <v>199</v>
      </c>
      <c r="E130" s="221">
        <v>58500</v>
      </c>
      <c r="F130" s="219"/>
      <c r="G130" s="219"/>
      <c r="H130" s="220">
        <f t="shared" si="92"/>
        <v>58500</v>
      </c>
      <c r="I130" s="77"/>
      <c r="J130" s="314">
        <f t="shared" si="93"/>
        <v>58500</v>
      </c>
      <c r="K130" s="308">
        <v>100</v>
      </c>
      <c r="L130" s="219">
        <f t="shared" si="94"/>
        <v>0</v>
      </c>
      <c r="M130" s="309">
        <f t="shared" si="95"/>
        <v>58500</v>
      </c>
      <c r="N130" s="81"/>
      <c r="O130" s="223">
        <f t="shared" si="96"/>
        <v>0</v>
      </c>
      <c r="P130" s="310">
        <f t="shared" si="97"/>
        <v>0</v>
      </c>
      <c r="Q130" s="315"/>
      <c r="R130" s="232">
        <f t="shared" si="98"/>
        <v>0</v>
      </c>
      <c r="S130" s="77"/>
      <c r="T130" s="312"/>
      <c r="U130" s="78"/>
      <c r="V130" s="221"/>
      <c r="W130" s="220"/>
      <c r="X130" s="79"/>
      <c r="AD130" s="228">
        <v>58500</v>
      </c>
      <c r="AE130" s="313">
        <v>100</v>
      </c>
      <c r="AF130" s="230">
        <v>0</v>
      </c>
      <c r="AG130" s="231">
        <v>58500</v>
      </c>
    </row>
    <row r="131" spans="1:33" s="80" customFormat="1" ht="15" customHeight="1">
      <c r="A131" s="215" t="s">
        <v>277</v>
      </c>
      <c r="B131" s="216" t="s">
        <v>278</v>
      </c>
      <c r="C131" s="50"/>
      <c r="D131" s="217" t="s">
        <v>199</v>
      </c>
      <c r="E131" s="221">
        <v>15912</v>
      </c>
      <c r="F131" s="219"/>
      <c r="G131" s="219"/>
      <c r="H131" s="220">
        <f t="shared" si="92"/>
        <v>15912</v>
      </c>
      <c r="I131" s="77"/>
      <c r="J131" s="314">
        <f t="shared" si="93"/>
        <v>15912</v>
      </c>
      <c r="K131" s="308">
        <v>100</v>
      </c>
      <c r="L131" s="219">
        <f t="shared" si="94"/>
        <v>736</v>
      </c>
      <c r="M131" s="309">
        <f t="shared" si="95"/>
        <v>15176</v>
      </c>
      <c r="N131" s="81"/>
      <c r="O131" s="223">
        <f t="shared" si="96"/>
        <v>0</v>
      </c>
      <c r="P131" s="310">
        <f t="shared" si="97"/>
        <v>0</v>
      </c>
      <c r="Q131" s="315"/>
      <c r="R131" s="232">
        <f t="shared" si="98"/>
        <v>0</v>
      </c>
      <c r="S131" s="77"/>
      <c r="T131" s="312"/>
      <c r="U131" s="78"/>
      <c r="V131" s="221"/>
      <c r="W131" s="220"/>
      <c r="X131" s="79"/>
      <c r="AD131" s="228">
        <v>15912</v>
      </c>
      <c r="AE131" s="313">
        <v>100</v>
      </c>
      <c r="AF131" s="230">
        <v>736</v>
      </c>
      <c r="AG131" s="231">
        <v>15176</v>
      </c>
    </row>
    <row r="132" spans="1:33" s="80" customFormat="1" ht="15" customHeight="1">
      <c r="A132" s="215" t="s">
        <v>279</v>
      </c>
      <c r="B132" s="216" t="s">
        <v>280</v>
      </c>
      <c r="C132" s="50"/>
      <c r="D132" s="217" t="s">
        <v>199</v>
      </c>
      <c r="E132" s="221">
        <v>9360</v>
      </c>
      <c r="F132" s="219"/>
      <c r="G132" s="219"/>
      <c r="H132" s="220">
        <f t="shared" si="92"/>
        <v>9360</v>
      </c>
      <c r="I132" s="77"/>
      <c r="J132" s="314">
        <f t="shared" si="93"/>
        <v>9360</v>
      </c>
      <c r="K132" s="308">
        <v>100</v>
      </c>
      <c r="L132" s="219">
        <f t="shared" si="94"/>
        <v>825</v>
      </c>
      <c r="M132" s="309">
        <f t="shared" si="95"/>
        <v>8535</v>
      </c>
      <c r="N132" s="81"/>
      <c r="O132" s="223">
        <f t="shared" si="96"/>
        <v>0</v>
      </c>
      <c r="P132" s="310">
        <f t="shared" si="97"/>
        <v>0</v>
      </c>
      <c r="Q132" s="315"/>
      <c r="R132" s="232">
        <f t="shared" si="98"/>
        <v>0</v>
      </c>
      <c r="S132" s="77"/>
      <c r="T132" s="312"/>
      <c r="U132" s="78"/>
      <c r="V132" s="221"/>
      <c r="W132" s="220"/>
      <c r="X132" s="79"/>
      <c r="AD132" s="228">
        <v>9360</v>
      </c>
      <c r="AE132" s="313">
        <v>100</v>
      </c>
      <c r="AF132" s="230">
        <v>825</v>
      </c>
      <c r="AG132" s="231">
        <v>8535</v>
      </c>
    </row>
    <row r="133" spans="1:33" s="80" customFormat="1" ht="15" customHeight="1">
      <c r="A133" s="215" t="s">
        <v>281</v>
      </c>
      <c r="B133" s="216" t="s">
        <v>282</v>
      </c>
      <c r="C133" s="50"/>
      <c r="D133" s="217" t="s">
        <v>199</v>
      </c>
      <c r="E133" s="221">
        <v>2295.54</v>
      </c>
      <c r="F133" s="219"/>
      <c r="G133" s="219"/>
      <c r="H133" s="220">
        <f t="shared" si="92"/>
        <v>2295.54</v>
      </c>
      <c r="I133" s="77"/>
      <c r="J133" s="314">
        <f t="shared" si="93"/>
        <v>2295.54</v>
      </c>
      <c r="K133" s="308">
        <v>100</v>
      </c>
      <c r="L133" s="219">
        <f t="shared" si="94"/>
        <v>0</v>
      </c>
      <c r="M133" s="309">
        <f t="shared" si="95"/>
        <v>2295.54</v>
      </c>
      <c r="N133" s="81"/>
      <c r="O133" s="223">
        <f t="shared" si="96"/>
        <v>0</v>
      </c>
      <c r="P133" s="310">
        <f t="shared" si="97"/>
        <v>0</v>
      </c>
      <c r="Q133" s="315"/>
      <c r="R133" s="232">
        <f t="shared" si="98"/>
        <v>0</v>
      </c>
      <c r="S133" s="77"/>
      <c r="T133" s="312"/>
      <c r="U133" s="78"/>
      <c r="V133" s="221"/>
      <c r="W133" s="220"/>
      <c r="X133" s="79"/>
      <c r="AD133" s="228">
        <v>2295.54</v>
      </c>
      <c r="AE133" s="313">
        <v>100</v>
      </c>
      <c r="AF133" s="230">
        <v>0</v>
      </c>
      <c r="AG133" s="231">
        <v>2295.54</v>
      </c>
    </row>
    <row r="134" spans="1:33" s="80" customFormat="1" ht="15" customHeight="1">
      <c r="A134" s="215" t="s">
        <v>283</v>
      </c>
      <c r="B134" s="216" t="s">
        <v>284</v>
      </c>
      <c r="C134" s="50"/>
      <c r="D134" s="217" t="s">
        <v>199</v>
      </c>
      <c r="E134" s="221">
        <v>2295.54</v>
      </c>
      <c r="F134" s="219"/>
      <c r="G134" s="219"/>
      <c r="H134" s="220">
        <f t="shared" si="92"/>
        <v>2295.54</v>
      </c>
      <c r="I134" s="77"/>
      <c r="J134" s="314">
        <f t="shared" si="93"/>
        <v>2295.54</v>
      </c>
      <c r="K134" s="308">
        <v>100</v>
      </c>
      <c r="L134" s="219">
        <f t="shared" si="94"/>
        <v>56</v>
      </c>
      <c r="M134" s="309">
        <f t="shared" si="95"/>
        <v>2239.54</v>
      </c>
      <c r="N134" s="81"/>
      <c r="O134" s="223">
        <f t="shared" si="96"/>
        <v>0</v>
      </c>
      <c r="P134" s="310">
        <f t="shared" si="97"/>
        <v>0</v>
      </c>
      <c r="Q134" s="315"/>
      <c r="R134" s="232">
        <f t="shared" si="98"/>
        <v>0</v>
      </c>
      <c r="S134" s="77"/>
      <c r="T134" s="312"/>
      <c r="U134" s="78"/>
      <c r="V134" s="221"/>
      <c r="W134" s="220"/>
      <c r="X134" s="79"/>
      <c r="AD134" s="228">
        <v>2295.54</v>
      </c>
      <c r="AE134" s="313">
        <v>100</v>
      </c>
      <c r="AF134" s="230">
        <v>56</v>
      </c>
      <c r="AG134" s="231">
        <v>2239.54</v>
      </c>
    </row>
    <row r="135" spans="1:33" s="80" customFormat="1" ht="15" customHeight="1">
      <c r="A135" s="215" t="s">
        <v>285</v>
      </c>
      <c r="B135" s="216" t="s">
        <v>286</v>
      </c>
      <c r="C135" s="50"/>
      <c r="D135" s="217" t="s">
        <v>199</v>
      </c>
      <c r="E135" s="221">
        <v>5850</v>
      </c>
      <c r="F135" s="219"/>
      <c r="G135" s="219"/>
      <c r="H135" s="220">
        <f t="shared" si="92"/>
        <v>5850</v>
      </c>
      <c r="I135" s="77"/>
      <c r="J135" s="314">
        <f t="shared" si="93"/>
        <v>5850</v>
      </c>
      <c r="K135" s="308">
        <v>100</v>
      </c>
      <c r="L135" s="219">
        <f t="shared" si="94"/>
        <v>0</v>
      </c>
      <c r="M135" s="309">
        <f t="shared" si="95"/>
        <v>5850</v>
      </c>
      <c r="N135" s="81"/>
      <c r="O135" s="223">
        <f t="shared" si="96"/>
        <v>0</v>
      </c>
      <c r="P135" s="310">
        <f t="shared" si="97"/>
        <v>0</v>
      </c>
      <c r="Q135" s="315"/>
      <c r="R135" s="232">
        <f t="shared" si="98"/>
        <v>0</v>
      </c>
      <c r="S135" s="77"/>
      <c r="T135" s="312"/>
      <c r="U135" s="78"/>
      <c r="V135" s="221"/>
      <c r="W135" s="220"/>
      <c r="X135" s="79"/>
      <c r="AD135" s="228">
        <v>5850</v>
      </c>
      <c r="AE135" s="313">
        <v>100</v>
      </c>
      <c r="AF135" s="230">
        <v>0</v>
      </c>
      <c r="AG135" s="231">
        <v>5850</v>
      </c>
    </row>
    <row r="136" spans="1:33" s="80" customFormat="1" ht="15" customHeight="1">
      <c r="A136" s="215" t="s">
        <v>287</v>
      </c>
      <c r="B136" s="216" t="s">
        <v>288</v>
      </c>
      <c r="C136" s="50"/>
      <c r="D136" s="217" t="s">
        <v>199</v>
      </c>
      <c r="E136" s="221">
        <v>2237.04</v>
      </c>
      <c r="F136" s="219"/>
      <c r="G136" s="219"/>
      <c r="H136" s="220">
        <f t="shared" si="92"/>
        <v>2237.04</v>
      </c>
      <c r="I136" s="77"/>
      <c r="J136" s="314">
        <f t="shared" si="93"/>
        <v>2237.04</v>
      </c>
      <c r="K136" s="308">
        <v>100</v>
      </c>
      <c r="L136" s="219">
        <f t="shared" si="94"/>
        <v>0</v>
      </c>
      <c r="M136" s="309">
        <f t="shared" si="95"/>
        <v>2237.04</v>
      </c>
      <c r="N136" s="81"/>
      <c r="O136" s="223">
        <f t="shared" si="96"/>
        <v>0</v>
      </c>
      <c r="P136" s="310">
        <f t="shared" si="97"/>
        <v>0</v>
      </c>
      <c r="Q136" s="315"/>
      <c r="R136" s="232">
        <f t="shared" si="98"/>
        <v>0</v>
      </c>
      <c r="S136" s="77"/>
      <c r="T136" s="312"/>
      <c r="U136" s="78"/>
      <c r="V136" s="221"/>
      <c r="W136" s="220"/>
      <c r="X136" s="79"/>
      <c r="AD136" s="228">
        <v>2237.04</v>
      </c>
      <c r="AE136" s="313">
        <v>100</v>
      </c>
      <c r="AF136" s="230">
        <v>0</v>
      </c>
      <c r="AG136" s="231">
        <v>2237.04</v>
      </c>
    </row>
    <row r="137" spans="1:33" s="80" customFormat="1" ht="15" customHeight="1">
      <c r="A137" s="215" t="s">
        <v>289</v>
      </c>
      <c r="B137" s="216" t="s">
        <v>290</v>
      </c>
      <c r="C137" s="50"/>
      <c r="D137" s="217" t="s">
        <v>199</v>
      </c>
      <c r="E137" s="221">
        <v>2295.54</v>
      </c>
      <c r="F137" s="219"/>
      <c r="G137" s="219"/>
      <c r="H137" s="220">
        <f t="shared" si="92"/>
        <v>2295.54</v>
      </c>
      <c r="I137" s="77"/>
      <c r="J137" s="314">
        <f t="shared" si="93"/>
        <v>2295.54</v>
      </c>
      <c r="K137" s="308">
        <v>100</v>
      </c>
      <c r="L137" s="219">
        <f t="shared" si="94"/>
        <v>0</v>
      </c>
      <c r="M137" s="309">
        <f t="shared" si="95"/>
        <v>2295.54</v>
      </c>
      <c r="N137" s="81"/>
      <c r="O137" s="223">
        <f t="shared" si="96"/>
        <v>0</v>
      </c>
      <c r="P137" s="310">
        <f t="shared" si="97"/>
        <v>0</v>
      </c>
      <c r="Q137" s="315"/>
      <c r="R137" s="232">
        <f t="shared" si="98"/>
        <v>0</v>
      </c>
      <c r="S137" s="77"/>
      <c r="T137" s="312"/>
      <c r="U137" s="78"/>
      <c r="V137" s="221"/>
      <c r="W137" s="220"/>
      <c r="X137" s="79"/>
      <c r="AD137" s="228">
        <v>2295.54</v>
      </c>
      <c r="AE137" s="313">
        <v>100</v>
      </c>
      <c r="AF137" s="230">
        <v>0</v>
      </c>
      <c r="AG137" s="231">
        <v>2295.54</v>
      </c>
    </row>
    <row r="138" spans="1:33" s="80" customFormat="1" ht="15" customHeight="1">
      <c r="A138" s="215" t="s">
        <v>291</v>
      </c>
      <c r="B138" s="216" t="s">
        <v>292</v>
      </c>
      <c r="C138" s="50"/>
      <c r="D138" s="217" t="s">
        <v>199</v>
      </c>
      <c r="E138" s="221">
        <v>5850</v>
      </c>
      <c r="F138" s="219"/>
      <c r="G138" s="219"/>
      <c r="H138" s="220">
        <f t="shared" si="92"/>
        <v>5850</v>
      </c>
      <c r="I138" s="77"/>
      <c r="J138" s="314">
        <f t="shared" si="93"/>
        <v>5850</v>
      </c>
      <c r="K138" s="308">
        <v>100</v>
      </c>
      <c r="L138" s="219">
        <f t="shared" si="94"/>
        <v>0</v>
      </c>
      <c r="M138" s="309">
        <f t="shared" si="95"/>
        <v>5850</v>
      </c>
      <c r="N138" s="81"/>
      <c r="O138" s="223">
        <f t="shared" si="96"/>
        <v>0</v>
      </c>
      <c r="P138" s="310">
        <f t="shared" si="97"/>
        <v>0</v>
      </c>
      <c r="Q138" s="315"/>
      <c r="R138" s="232">
        <f t="shared" si="98"/>
        <v>0</v>
      </c>
      <c r="S138" s="77"/>
      <c r="T138" s="312"/>
      <c r="U138" s="78"/>
      <c r="V138" s="221"/>
      <c r="W138" s="220"/>
      <c r="X138" s="79"/>
      <c r="AD138" s="228">
        <v>5850</v>
      </c>
      <c r="AE138" s="313">
        <v>100</v>
      </c>
      <c r="AF138" s="230">
        <v>0</v>
      </c>
      <c r="AG138" s="231">
        <v>5850</v>
      </c>
    </row>
    <row r="139" spans="1:33" s="80" customFormat="1" ht="15" customHeight="1">
      <c r="A139" s="215" t="s">
        <v>293</v>
      </c>
      <c r="B139" s="216" t="s">
        <v>294</v>
      </c>
      <c r="C139" s="50"/>
      <c r="D139" s="217" t="s">
        <v>199</v>
      </c>
      <c r="E139" s="221">
        <v>2295.54</v>
      </c>
      <c r="F139" s="219"/>
      <c r="G139" s="219"/>
      <c r="H139" s="220">
        <f t="shared" si="92"/>
        <v>2295.54</v>
      </c>
      <c r="I139" s="77"/>
      <c r="J139" s="314">
        <f t="shared" si="93"/>
        <v>2295.54</v>
      </c>
      <c r="K139" s="308">
        <v>100</v>
      </c>
      <c r="L139" s="219">
        <f t="shared" si="94"/>
        <v>400</v>
      </c>
      <c r="M139" s="309">
        <f t="shared" si="95"/>
        <v>1895.54</v>
      </c>
      <c r="N139" s="81"/>
      <c r="O139" s="223">
        <f t="shared" si="96"/>
        <v>0</v>
      </c>
      <c r="P139" s="310">
        <f t="shared" si="97"/>
        <v>0</v>
      </c>
      <c r="Q139" s="315"/>
      <c r="R139" s="232">
        <f t="shared" si="98"/>
        <v>0</v>
      </c>
      <c r="S139" s="77"/>
      <c r="T139" s="312"/>
      <c r="U139" s="78"/>
      <c r="V139" s="221"/>
      <c r="W139" s="220"/>
      <c r="X139" s="79"/>
      <c r="AD139" s="228">
        <v>2295.54</v>
      </c>
      <c r="AE139" s="313">
        <v>100</v>
      </c>
      <c r="AF139" s="230">
        <v>400</v>
      </c>
      <c r="AG139" s="231">
        <v>1895.54</v>
      </c>
    </row>
    <row r="140" spans="1:33" s="80" customFormat="1" ht="15" customHeight="1">
      <c r="A140" s="215" t="s">
        <v>295</v>
      </c>
      <c r="B140" s="216" t="s">
        <v>296</v>
      </c>
      <c r="C140" s="50"/>
      <c r="D140" s="217" t="s">
        <v>199</v>
      </c>
      <c r="E140" s="221">
        <v>4680</v>
      </c>
      <c r="F140" s="219"/>
      <c r="G140" s="316"/>
      <c r="H140" s="220">
        <f t="shared" si="92"/>
        <v>4680</v>
      </c>
      <c r="I140" s="77"/>
      <c r="J140" s="314">
        <f t="shared" si="93"/>
        <v>4680</v>
      </c>
      <c r="K140" s="308">
        <v>100</v>
      </c>
      <c r="L140" s="219">
        <f t="shared" si="94"/>
        <v>0</v>
      </c>
      <c r="M140" s="309">
        <f t="shared" si="95"/>
        <v>4680</v>
      </c>
      <c r="N140" s="81"/>
      <c r="O140" s="223">
        <f t="shared" si="96"/>
        <v>0</v>
      </c>
      <c r="P140" s="310">
        <f t="shared" si="97"/>
        <v>0</v>
      </c>
      <c r="Q140" s="315"/>
      <c r="R140" s="232">
        <f t="shared" si="98"/>
        <v>0</v>
      </c>
      <c r="S140" s="77"/>
      <c r="T140" s="312"/>
      <c r="U140" s="78"/>
      <c r="V140" s="221"/>
      <c r="W140" s="220"/>
      <c r="X140" s="79"/>
      <c r="AD140" s="228">
        <v>4680</v>
      </c>
      <c r="AE140" s="313">
        <v>100</v>
      </c>
      <c r="AF140" s="230">
        <v>0</v>
      </c>
      <c r="AG140" s="231">
        <v>4680</v>
      </c>
    </row>
    <row r="141" spans="1:33" s="80" customFormat="1" ht="15" customHeight="1">
      <c r="A141" s="215" t="s">
        <v>297</v>
      </c>
      <c r="B141" s="216" t="s">
        <v>298</v>
      </c>
      <c r="C141" s="50"/>
      <c r="D141" s="217" t="s">
        <v>199</v>
      </c>
      <c r="E141" s="221">
        <v>3744</v>
      </c>
      <c r="F141" s="219"/>
      <c r="G141" s="316"/>
      <c r="H141" s="220">
        <f t="shared" si="92"/>
        <v>3744</v>
      </c>
      <c r="I141" s="77"/>
      <c r="J141" s="314">
        <f t="shared" si="93"/>
        <v>3744</v>
      </c>
      <c r="K141" s="308">
        <v>100</v>
      </c>
      <c r="L141" s="219">
        <f t="shared" si="94"/>
        <v>0</v>
      </c>
      <c r="M141" s="309">
        <f t="shared" si="95"/>
        <v>3744</v>
      </c>
      <c r="N141" s="81"/>
      <c r="O141" s="223">
        <f t="shared" si="96"/>
        <v>0</v>
      </c>
      <c r="P141" s="310">
        <f t="shared" si="97"/>
        <v>0</v>
      </c>
      <c r="Q141" s="315"/>
      <c r="R141" s="232">
        <f t="shared" si="98"/>
        <v>0</v>
      </c>
      <c r="S141" s="77"/>
      <c r="T141" s="312"/>
      <c r="U141" s="78"/>
      <c r="V141" s="221"/>
      <c r="W141" s="220"/>
      <c r="X141" s="79"/>
      <c r="AD141" s="228">
        <v>3744</v>
      </c>
      <c r="AE141" s="313">
        <v>100</v>
      </c>
      <c r="AF141" s="230">
        <v>0</v>
      </c>
      <c r="AG141" s="231">
        <v>3744</v>
      </c>
    </row>
    <row r="142" spans="1:33" s="80" customFormat="1" ht="15" customHeight="1">
      <c r="A142" s="215" t="s">
        <v>299</v>
      </c>
      <c r="B142" s="216" t="s">
        <v>300</v>
      </c>
      <c r="C142" s="50"/>
      <c r="D142" s="217" t="s">
        <v>199</v>
      </c>
      <c r="E142" s="221">
        <v>2646.54</v>
      </c>
      <c r="F142" s="219"/>
      <c r="G142" s="316"/>
      <c r="H142" s="220">
        <f t="shared" si="92"/>
        <v>2646.54</v>
      </c>
      <c r="I142" s="77"/>
      <c r="J142" s="314">
        <f t="shared" si="93"/>
        <v>2646.54</v>
      </c>
      <c r="K142" s="308">
        <v>100</v>
      </c>
      <c r="L142" s="219">
        <f t="shared" si="94"/>
        <v>0</v>
      </c>
      <c r="M142" s="309">
        <f t="shared" si="95"/>
        <v>2646.54</v>
      </c>
      <c r="N142" s="81"/>
      <c r="O142" s="223">
        <f t="shared" si="96"/>
        <v>0</v>
      </c>
      <c r="P142" s="310">
        <f t="shared" si="97"/>
        <v>0</v>
      </c>
      <c r="Q142" s="315"/>
      <c r="R142" s="232">
        <f t="shared" si="98"/>
        <v>0</v>
      </c>
      <c r="S142" s="77"/>
      <c r="T142" s="312"/>
      <c r="U142" s="78"/>
      <c r="V142" s="221"/>
      <c r="W142" s="220"/>
      <c r="X142" s="79"/>
      <c r="AD142" s="228">
        <v>2646.54</v>
      </c>
      <c r="AE142" s="313">
        <v>100</v>
      </c>
      <c r="AF142" s="230">
        <v>0</v>
      </c>
      <c r="AG142" s="231">
        <v>2646.54</v>
      </c>
    </row>
    <row r="143" spans="1:33" s="80" customFormat="1" ht="15" customHeight="1">
      <c r="A143" s="215" t="s">
        <v>301</v>
      </c>
      <c r="B143" s="216" t="s">
        <v>302</v>
      </c>
      <c r="C143" s="50"/>
      <c r="D143" s="217" t="s">
        <v>199</v>
      </c>
      <c r="E143" s="221">
        <v>2295.54</v>
      </c>
      <c r="F143" s="219"/>
      <c r="G143" s="219"/>
      <c r="H143" s="220">
        <f t="shared" si="92"/>
        <v>2295.54</v>
      </c>
      <c r="I143" s="77"/>
      <c r="J143" s="314">
        <f t="shared" si="93"/>
        <v>2295.54</v>
      </c>
      <c r="K143" s="308">
        <v>100</v>
      </c>
      <c r="L143" s="219">
        <f t="shared" si="94"/>
        <v>0</v>
      </c>
      <c r="M143" s="309">
        <f t="shared" si="95"/>
        <v>2295.54</v>
      </c>
      <c r="N143" s="81"/>
      <c r="O143" s="223">
        <f t="shared" si="96"/>
        <v>0</v>
      </c>
      <c r="P143" s="310">
        <f t="shared" si="97"/>
        <v>0</v>
      </c>
      <c r="Q143" s="315"/>
      <c r="R143" s="232">
        <f t="shared" si="98"/>
        <v>0</v>
      </c>
      <c r="S143" s="77"/>
      <c r="T143" s="312"/>
      <c r="U143" s="78"/>
      <c r="V143" s="221"/>
      <c r="W143" s="220"/>
      <c r="X143" s="79"/>
      <c r="AD143" s="228">
        <v>2295.54</v>
      </c>
      <c r="AE143" s="313">
        <v>100</v>
      </c>
      <c r="AF143" s="230">
        <v>0</v>
      </c>
      <c r="AG143" s="231">
        <v>2295.54</v>
      </c>
    </row>
    <row r="144" spans="1:33" s="80" customFormat="1" ht="15" customHeight="1">
      <c r="A144" s="215" t="s">
        <v>303</v>
      </c>
      <c r="B144" s="216" t="s">
        <v>304</v>
      </c>
      <c r="C144" s="50"/>
      <c r="D144" s="217" t="s">
        <v>199</v>
      </c>
      <c r="E144" s="221">
        <v>2295.54</v>
      </c>
      <c r="F144" s="219"/>
      <c r="G144" s="219"/>
      <c r="H144" s="220">
        <f t="shared" si="92"/>
        <v>2295.54</v>
      </c>
      <c r="I144" s="77"/>
      <c r="J144" s="314">
        <f t="shared" si="93"/>
        <v>2295.54</v>
      </c>
      <c r="K144" s="308">
        <v>100</v>
      </c>
      <c r="L144" s="219">
        <f t="shared" si="94"/>
        <v>0</v>
      </c>
      <c r="M144" s="309">
        <f t="shared" si="95"/>
        <v>2295.54</v>
      </c>
      <c r="N144" s="81"/>
      <c r="O144" s="223">
        <f t="shared" si="96"/>
        <v>0</v>
      </c>
      <c r="P144" s="310">
        <f t="shared" si="97"/>
        <v>0</v>
      </c>
      <c r="Q144" s="315"/>
      <c r="R144" s="232">
        <f t="shared" si="98"/>
        <v>0</v>
      </c>
      <c r="S144" s="77"/>
      <c r="T144" s="312"/>
      <c r="U144" s="78"/>
      <c r="V144" s="221"/>
      <c r="W144" s="220"/>
      <c r="X144" s="79"/>
      <c r="AD144" s="228">
        <v>2295.54</v>
      </c>
      <c r="AE144" s="313">
        <v>100</v>
      </c>
      <c r="AF144" s="230">
        <v>0</v>
      </c>
      <c r="AG144" s="231">
        <v>2295.54</v>
      </c>
    </row>
    <row r="145" spans="1:33" s="80" customFormat="1" ht="15" customHeight="1">
      <c r="A145" s="215" t="s">
        <v>305</v>
      </c>
      <c r="B145" s="216" t="s">
        <v>306</v>
      </c>
      <c r="C145" s="50"/>
      <c r="D145" s="217" t="s">
        <v>199</v>
      </c>
      <c r="E145" s="221">
        <v>2808</v>
      </c>
      <c r="F145" s="219"/>
      <c r="G145" s="219"/>
      <c r="H145" s="220">
        <f t="shared" si="92"/>
        <v>2808</v>
      </c>
      <c r="I145" s="77"/>
      <c r="J145" s="314">
        <f t="shared" si="93"/>
        <v>2808</v>
      </c>
      <c r="K145" s="308">
        <v>100</v>
      </c>
      <c r="L145" s="219">
        <f t="shared" si="94"/>
        <v>0</v>
      </c>
      <c r="M145" s="309">
        <f t="shared" si="95"/>
        <v>2808</v>
      </c>
      <c r="N145" s="81"/>
      <c r="O145" s="223">
        <f t="shared" si="96"/>
        <v>0</v>
      </c>
      <c r="P145" s="310">
        <f t="shared" si="97"/>
        <v>0</v>
      </c>
      <c r="Q145" s="315"/>
      <c r="R145" s="232">
        <f t="shared" si="98"/>
        <v>0</v>
      </c>
      <c r="S145" s="77"/>
      <c r="T145" s="312"/>
      <c r="U145" s="78"/>
      <c r="V145" s="221"/>
      <c r="W145" s="220"/>
      <c r="X145" s="79"/>
      <c r="AD145" s="228">
        <v>2808</v>
      </c>
      <c r="AE145" s="313">
        <v>100</v>
      </c>
      <c r="AF145" s="230">
        <v>0</v>
      </c>
      <c r="AG145" s="231">
        <v>2808</v>
      </c>
    </row>
    <row r="146" spans="1:33" s="80" customFormat="1" ht="15" customHeight="1">
      <c r="A146" s="215" t="s">
        <v>307</v>
      </c>
      <c r="B146" s="216" t="s">
        <v>308</v>
      </c>
      <c r="C146" s="50"/>
      <c r="D146" s="217" t="s">
        <v>199</v>
      </c>
      <c r="E146" s="221">
        <v>2295.54</v>
      </c>
      <c r="F146" s="219"/>
      <c r="G146" s="219"/>
      <c r="H146" s="220">
        <f t="shared" si="92"/>
        <v>2295.54</v>
      </c>
      <c r="I146" s="77"/>
      <c r="J146" s="314">
        <f t="shared" si="93"/>
        <v>2295.54</v>
      </c>
      <c r="K146" s="308">
        <v>100</v>
      </c>
      <c r="L146" s="219">
        <f t="shared" si="94"/>
        <v>0</v>
      </c>
      <c r="M146" s="309">
        <f t="shared" si="95"/>
        <v>2295.54</v>
      </c>
      <c r="N146" s="81"/>
      <c r="O146" s="223">
        <f t="shared" si="96"/>
        <v>0</v>
      </c>
      <c r="P146" s="310">
        <f t="shared" si="97"/>
        <v>0</v>
      </c>
      <c r="Q146" s="315"/>
      <c r="R146" s="232">
        <f t="shared" si="98"/>
        <v>0</v>
      </c>
      <c r="S146" s="77"/>
      <c r="T146" s="312"/>
      <c r="U146" s="78"/>
      <c r="V146" s="221"/>
      <c r="W146" s="220"/>
      <c r="X146" s="79"/>
      <c r="AD146" s="228">
        <v>2295.54</v>
      </c>
      <c r="AE146" s="313">
        <v>100</v>
      </c>
      <c r="AF146" s="230">
        <v>0</v>
      </c>
      <c r="AG146" s="231">
        <v>2295.54</v>
      </c>
    </row>
    <row r="147" spans="1:33" s="80" customFormat="1" ht="15" customHeight="1">
      <c r="A147" s="215" t="s">
        <v>309</v>
      </c>
      <c r="B147" s="216" t="s">
        <v>310</v>
      </c>
      <c r="C147" s="50"/>
      <c r="D147" s="217" t="s">
        <v>199</v>
      </c>
      <c r="E147" s="221">
        <v>25740</v>
      </c>
      <c r="F147" s="219"/>
      <c r="G147" s="219"/>
      <c r="H147" s="220">
        <f t="shared" si="92"/>
        <v>25740</v>
      </c>
      <c r="I147" s="77"/>
      <c r="J147" s="314">
        <f t="shared" si="93"/>
        <v>25740</v>
      </c>
      <c r="K147" s="308">
        <v>100</v>
      </c>
      <c r="L147" s="219">
        <f t="shared" si="94"/>
        <v>315</v>
      </c>
      <c r="M147" s="309">
        <f t="shared" si="95"/>
        <v>25425</v>
      </c>
      <c r="N147" s="81"/>
      <c r="O147" s="223">
        <f t="shared" si="96"/>
        <v>0</v>
      </c>
      <c r="P147" s="310">
        <f t="shared" si="97"/>
        <v>0</v>
      </c>
      <c r="Q147" s="315"/>
      <c r="R147" s="232">
        <f t="shared" si="98"/>
        <v>0</v>
      </c>
      <c r="S147" s="77"/>
      <c r="T147" s="312"/>
      <c r="U147" s="78"/>
      <c r="V147" s="221"/>
      <c r="W147" s="220"/>
      <c r="X147" s="79"/>
      <c r="AD147" s="228">
        <v>25740</v>
      </c>
      <c r="AE147" s="313">
        <v>100</v>
      </c>
      <c r="AF147" s="230">
        <v>315</v>
      </c>
      <c r="AG147" s="231">
        <v>25425</v>
      </c>
    </row>
    <row r="148" spans="1:33" s="80" customFormat="1" ht="15" customHeight="1">
      <c r="A148" s="317" t="s">
        <v>311</v>
      </c>
      <c r="B148" s="318" t="s">
        <v>312</v>
      </c>
      <c r="C148" s="50"/>
      <c r="D148" s="319" t="s">
        <v>199</v>
      </c>
      <c r="E148" s="233">
        <v>2646.54</v>
      </c>
      <c r="F148" s="235"/>
      <c r="G148" s="235"/>
      <c r="H148" s="236">
        <f t="shared" si="92"/>
        <v>2646.54</v>
      </c>
      <c r="I148" s="77"/>
      <c r="J148" s="314">
        <f t="shared" si="93"/>
        <v>2646.54</v>
      </c>
      <c r="K148" s="308">
        <v>100</v>
      </c>
      <c r="L148" s="219">
        <f t="shared" si="94"/>
        <v>0</v>
      </c>
      <c r="M148" s="309">
        <f t="shared" si="95"/>
        <v>2646.54</v>
      </c>
      <c r="N148" s="81"/>
      <c r="O148" s="237">
        <f t="shared" si="96"/>
        <v>0</v>
      </c>
      <c r="P148" s="320">
        <f t="shared" si="97"/>
        <v>0</v>
      </c>
      <c r="Q148" s="321"/>
      <c r="R148" s="322">
        <f t="shared" si="98"/>
        <v>0</v>
      </c>
      <c r="S148" s="77"/>
      <c r="T148" s="323"/>
      <c r="U148" s="78"/>
      <c r="V148" s="233"/>
      <c r="W148" s="236"/>
      <c r="X148" s="79"/>
      <c r="AD148" s="241">
        <v>2646.54</v>
      </c>
      <c r="AE148" s="324">
        <v>100</v>
      </c>
      <c r="AF148" s="243">
        <v>0</v>
      </c>
      <c r="AG148" s="244">
        <v>2646.54</v>
      </c>
    </row>
    <row r="149" spans="1:33" s="80" customFormat="1" ht="15" customHeight="1">
      <c r="A149" s="317" t="s">
        <v>313</v>
      </c>
      <c r="B149" s="318" t="s">
        <v>89</v>
      </c>
      <c r="C149" s="50"/>
      <c r="D149" s="319" t="s">
        <v>199</v>
      </c>
      <c r="E149" s="233">
        <v>0</v>
      </c>
      <c r="F149" s="235"/>
      <c r="G149" s="235"/>
      <c r="H149" s="236">
        <f t="shared" si="92"/>
        <v>0</v>
      </c>
      <c r="I149" s="77"/>
      <c r="J149" s="314">
        <f t="shared" si="93"/>
        <v>0</v>
      </c>
      <c r="K149" s="308">
        <v>100</v>
      </c>
      <c r="L149" s="219">
        <f t="shared" si="94"/>
        <v>1780</v>
      </c>
      <c r="M149" s="309">
        <f t="shared" si="95"/>
        <v>-1780</v>
      </c>
      <c r="N149" s="81"/>
      <c r="O149" s="237">
        <f t="shared" si="96"/>
        <v>0</v>
      </c>
      <c r="P149" s="320" t="str">
        <f t="shared" si="97"/>
        <v/>
      </c>
      <c r="Q149" s="321"/>
      <c r="R149" s="322">
        <f t="shared" si="98"/>
        <v>0</v>
      </c>
      <c r="S149" s="77"/>
      <c r="T149" s="323"/>
      <c r="U149" s="78"/>
      <c r="V149" s="233"/>
      <c r="W149" s="236"/>
      <c r="X149" s="79"/>
      <c r="AD149" s="241">
        <v>0</v>
      </c>
      <c r="AE149" s="324">
        <v>100</v>
      </c>
      <c r="AF149" s="243">
        <v>1780</v>
      </c>
      <c r="AG149" s="244">
        <v>-1780</v>
      </c>
    </row>
    <row r="150" spans="1:33" s="80" customFormat="1" ht="15" customHeight="1">
      <c r="A150" s="317" t="s">
        <v>314</v>
      </c>
      <c r="B150" s="318" t="s">
        <v>315</v>
      </c>
      <c r="C150" s="50"/>
      <c r="D150" s="319" t="s">
        <v>199</v>
      </c>
      <c r="E150" s="233">
        <v>0</v>
      </c>
      <c r="F150" s="235"/>
      <c r="G150" s="235"/>
      <c r="H150" s="236">
        <f t="shared" si="92"/>
        <v>0</v>
      </c>
      <c r="I150" s="77"/>
      <c r="J150" s="314">
        <f t="shared" si="93"/>
        <v>0</v>
      </c>
      <c r="K150" s="308">
        <v>100</v>
      </c>
      <c r="L150" s="219">
        <f t="shared" si="94"/>
        <v>0</v>
      </c>
      <c r="M150" s="309">
        <f t="shared" si="95"/>
        <v>0</v>
      </c>
      <c r="N150" s="81"/>
      <c r="O150" s="237">
        <f t="shared" si="96"/>
        <v>0</v>
      </c>
      <c r="P150" s="320" t="str">
        <f t="shared" si="97"/>
        <v/>
      </c>
      <c r="Q150" s="321"/>
      <c r="R150" s="322">
        <f t="shared" si="98"/>
        <v>0</v>
      </c>
      <c r="S150" s="77"/>
      <c r="T150" s="323"/>
      <c r="U150" s="78"/>
      <c r="V150" s="233"/>
      <c r="W150" s="236"/>
      <c r="X150" s="79"/>
      <c r="AD150" s="241">
        <v>0</v>
      </c>
      <c r="AE150" s="324">
        <v>100</v>
      </c>
      <c r="AF150" s="243">
        <v>0</v>
      </c>
      <c r="AG150" s="244">
        <v>0</v>
      </c>
    </row>
    <row r="151" spans="1:33" s="80" customFormat="1" ht="15" customHeight="1">
      <c r="A151" s="317" t="s">
        <v>313</v>
      </c>
      <c r="B151" s="318" t="s">
        <v>316</v>
      </c>
      <c r="C151" s="50"/>
      <c r="D151" s="319" t="s">
        <v>199</v>
      </c>
      <c r="E151" s="233">
        <v>0</v>
      </c>
      <c r="F151" s="235"/>
      <c r="G151" s="235"/>
      <c r="H151" s="236">
        <f t="shared" ref="H151:H154" si="99">SUM(E151:G151)</f>
        <v>0</v>
      </c>
      <c r="I151" s="77"/>
      <c r="J151" s="325">
        <f t="shared" si="93"/>
        <v>0</v>
      </c>
      <c r="K151" s="326">
        <v>100</v>
      </c>
      <c r="L151" s="235">
        <f t="shared" si="94"/>
        <v>269</v>
      </c>
      <c r="M151" s="327">
        <f t="shared" si="95"/>
        <v>-269</v>
      </c>
      <c r="N151" s="81"/>
      <c r="O151" s="237">
        <f t="shared" si="96"/>
        <v>0</v>
      </c>
      <c r="P151" s="320" t="str">
        <f t="shared" si="97"/>
        <v/>
      </c>
      <c r="Q151" s="321"/>
      <c r="R151" s="322">
        <f t="shared" si="98"/>
        <v>0</v>
      </c>
      <c r="S151" s="77"/>
      <c r="T151" s="323"/>
      <c r="U151" s="78"/>
      <c r="V151" s="233"/>
      <c r="W151" s="236"/>
      <c r="X151" s="79"/>
      <c r="AD151" s="241">
        <v>0</v>
      </c>
      <c r="AE151" s="324">
        <v>100</v>
      </c>
      <c r="AF151" s="243">
        <v>269</v>
      </c>
      <c r="AG151" s="244">
        <v>-269</v>
      </c>
    </row>
    <row r="152" spans="1:33" s="80" customFormat="1" ht="15" customHeight="1">
      <c r="A152" s="317" t="s">
        <v>317</v>
      </c>
      <c r="B152" s="318" t="s">
        <v>318</v>
      </c>
      <c r="C152" s="50"/>
      <c r="D152" s="319" t="s">
        <v>199</v>
      </c>
      <c r="E152" s="233">
        <v>0</v>
      </c>
      <c r="F152" s="235"/>
      <c r="G152" s="235"/>
      <c r="H152" s="236">
        <f t="shared" si="99"/>
        <v>0</v>
      </c>
      <c r="I152" s="77"/>
      <c r="J152" s="325">
        <f t="shared" si="93"/>
        <v>0</v>
      </c>
      <c r="K152" s="326">
        <v>100</v>
      </c>
      <c r="L152" s="235">
        <f t="shared" si="94"/>
        <v>2362</v>
      </c>
      <c r="M152" s="327">
        <f t="shared" si="95"/>
        <v>-2362</v>
      </c>
      <c r="N152" s="81"/>
      <c r="O152" s="237">
        <f t="shared" si="96"/>
        <v>0</v>
      </c>
      <c r="P152" s="320" t="str">
        <f t="shared" si="97"/>
        <v/>
      </c>
      <c r="Q152" s="315"/>
      <c r="R152" s="322">
        <f t="shared" si="98"/>
        <v>0</v>
      </c>
      <c r="S152" s="77"/>
      <c r="T152" s="323"/>
      <c r="U152" s="78"/>
      <c r="V152" s="233"/>
      <c r="W152" s="236"/>
      <c r="X152" s="79"/>
      <c r="AD152" s="241">
        <v>0</v>
      </c>
      <c r="AE152" s="324">
        <v>100</v>
      </c>
      <c r="AF152" s="243">
        <v>2362</v>
      </c>
      <c r="AG152" s="244">
        <v>-2362</v>
      </c>
    </row>
    <row r="153" spans="1:33" s="80" customFormat="1" ht="15" customHeight="1">
      <c r="A153" s="317" t="s">
        <v>319</v>
      </c>
      <c r="B153" s="318" t="s">
        <v>320</v>
      </c>
      <c r="C153" s="50"/>
      <c r="D153" s="319" t="s">
        <v>199</v>
      </c>
      <c r="E153" s="233">
        <v>0</v>
      </c>
      <c r="F153" s="235"/>
      <c r="G153" s="235"/>
      <c r="H153" s="236">
        <f t="shared" si="99"/>
        <v>0</v>
      </c>
      <c r="I153" s="77"/>
      <c r="J153" s="325">
        <f t="shared" si="93"/>
        <v>0</v>
      </c>
      <c r="K153" s="326">
        <v>100</v>
      </c>
      <c r="L153" s="235">
        <f t="shared" si="94"/>
        <v>6054</v>
      </c>
      <c r="M153" s="327">
        <f t="shared" si="95"/>
        <v>-6054</v>
      </c>
      <c r="N153" s="81"/>
      <c r="O153" s="237">
        <f t="shared" si="96"/>
        <v>0</v>
      </c>
      <c r="P153" s="320" t="str">
        <f t="shared" si="97"/>
        <v/>
      </c>
      <c r="Q153" s="88"/>
      <c r="R153" s="322">
        <f t="shared" si="98"/>
        <v>0</v>
      </c>
      <c r="S153" s="77"/>
      <c r="T153" s="323"/>
      <c r="U153" s="78"/>
      <c r="V153" s="233"/>
      <c r="W153" s="236"/>
      <c r="X153" s="79"/>
      <c r="AD153" s="241">
        <v>0</v>
      </c>
      <c r="AE153" s="324">
        <v>100</v>
      </c>
      <c r="AF153" s="243">
        <v>6054</v>
      </c>
      <c r="AG153" s="244">
        <v>-6054</v>
      </c>
    </row>
    <row r="154" spans="1:33" s="80" customFormat="1" ht="15" customHeight="1" thickBot="1">
      <c r="A154" s="261" t="s">
        <v>321</v>
      </c>
      <c r="B154" s="262" t="s">
        <v>322</v>
      </c>
      <c r="C154" s="50"/>
      <c r="D154" s="263" t="s">
        <v>199</v>
      </c>
      <c r="E154" s="267">
        <v>0</v>
      </c>
      <c r="F154" s="265"/>
      <c r="G154" s="265"/>
      <c r="H154" s="266">
        <f t="shared" si="99"/>
        <v>0</v>
      </c>
      <c r="I154" s="77"/>
      <c r="J154" s="328">
        <f t="shared" si="93"/>
        <v>0</v>
      </c>
      <c r="K154" s="329">
        <v>100</v>
      </c>
      <c r="L154" s="330">
        <f t="shared" si="94"/>
        <v>487</v>
      </c>
      <c r="M154" s="331">
        <f t="shared" si="95"/>
        <v>-487</v>
      </c>
      <c r="N154" s="81"/>
      <c r="O154" s="269">
        <f t="shared" si="96"/>
        <v>0</v>
      </c>
      <c r="P154" s="332" t="str">
        <f t="shared" si="97"/>
        <v/>
      </c>
      <c r="Q154" s="372"/>
      <c r="R154" s="333">
        <f t="shared" si="98"/>
        <v>0</v>
      </c>
      <c r="S154" s="77"/>
      <c r="T154" s="334"/>
      <c r="U154" s="78"/>
      <c r="V154" s="267"/>
      <c r="W154" s="266"/>
      <c r="X154" s="79"/>
      <c r="AD154" s="335">
        <v>0</v>
      </c>
      <c r="AE154" s="336">
        <v>100</v>
      </c>
      <c r="AF154" s="337">
        <v>487</v>
      </c>
      <c r="AG154" s="338">
        <v>-487</v>
      </c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/>
  <rowBreaks count="1" manualBreakCount="1">
    <brk id="63" max="22" man="1"/>
  </rowBreaks>
  <colBreaks count="1" manualBreakCount="1">
    <brk id="23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00B050"/>
  </sheetPr>
  <dimension ref="A1:AG150"/>
  <sheetViews>
    <sheetView showGridLines="0" workbookViewId="0">
      <pane xSplit="4" ySplit="10" topLeftCell="E11" activePane="bottomRight" state="frozen"/>
      <selection activeCell="AA19" sqref="AA19"/>
      <selection pane="topRight" activeCell="AA19" sqref="AA19"/>
      <selection pane="bottomLeft" activeCell="AA19" sqref="AA19"/>
      <selection pane="bottomRight" activeCell="E16" sqref="E16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/>
    <row r="2" spans="1:33" ht="15" customHeight="1" thickBot="1">
      <c r="B2" s="36"/>
    </row>
    <row r="3" spans="1:33" ht="23.25" customHeight="1" thickBot="1">
      <c r="A3" s="2049" t="s">
        <v>323</v>
      </c>
      <c r="B3" s="2050"/>
      <c r="C3" s="2050"/>
      <c r="D3" s="2050"/>
      <c r="E3" s="2050"/>
      <c r="F3" s="2050"/>
      <c r="G3" s="2050"/>
      <c r="H3" s="2050"/>
      <c r="I3" s="2050"/>
      <c r="J3" s="2050"/>
      <c r="K3" s="2050"/>
      <c r="L3" s="2050"/>
      <c r="M3" s="2050"/>
      <c r="N3" s="2050"/>
      <c r="O3" s="2050"/>
      <c r="P3" s="2050"/>
      <c r="Q3" s="2050"/>
      <c r="R3" s="2050"/>
      <c r="S3" s="2050"/>
      <c r="T3" s="2050"/>
      <c r="U3" s="2050"/>
      <c r="V3" s="2050"/>
      <c r="W3" s="2051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81">
        <v>695</v>
      </c>
      <c r="F5" s="181">
        <v>695</v>
      </c>
      <c r="G5" s="181">
        <v>695</v>
      </c>
      <c r="H5" s="181">
        <v>695</v>
      </c>
      <c r="I5" s="41"/>
      <c r="J5" s="181">
        <f>H5</f>
        <v>695</v>
      </c>
      <c r="K5" s="42"/>
      <c r="L5" s="181">
        <f>IFERROR(L6/(L11+L67+L119),"")</f>
        <v>9368.9577479186974</v>
      </c>
      <c r="M5" s="181">
        <f>IFERROR(J5-L5,"")</f>
        <v>-8673.9577479186974</v>
      </c>
      <c r="N5" s="41"/>
      <c r="O5" s="181">
        <f>H5</f>
        <v>695</v>
      </c>
      <c r="P5" s="42"/>
      <c r="Q5" s="181" t="str">
        <f>IFERROR(Q6/(Q11+Q67+Q119),"")</f>
        <v/>
      </c>
      <c r="R5" s="181" t="str">
        <f>IFERROR(O5-Q5,"")</f>
        <v/>
      </c>
      <c r="S5" s="41"/>
      <c r="T5" s="181">
        <f>H5</f>
        <v>695</v>
      </c>
      <c r="U5" s="43"/>
      <c r="V5" s="181">
        <f>IFERROR(V6/(V11+V67+V119),"")</f>
        <v>2908.550463240877</v>
      </c>
      <c r="W5" s="181">
        <f>IFERROR(H5-V5,"")</f>
        <v>-2213.550463240877</v>
      </c>
      <c r="X5" s="44"/>
      <c r="AD5" s="181">
        <v>695</v>
      </c>
      <c r="AE5" s="42"/>
      <c r="AF5" s="181">
        <v>9368.9577479186974</v>
      </c>
      <c r="AG5" s="181">
        <v>-8673.9577479186974</v>
      </c>
    </row>
    <row r="6" spans="1:33" s="37" customFormat="1" ht="13.5" customHeight="1" thickBot="1">
      <c r="B6" s="45" t="s">
        <v>170</v>
      </c>
      <c r="C6" s="46"/>
      <c r="E6" s="182">
        <f>IFERROR(E5*(E11+E67),"")</f>
        <v>18719141.815000001</v>
      </c>
      <c r="F6" s="182">
        <f>IFERROR(F5*(F11+F67),"")</f>
        <v>0</v>
      </c>
      <c r="G6" s="182">
        <f>IFERROR(G5*(G11+G67),"")</f>
        <v>0</v>
      </c>
      <c r="H6" s="182">
        <f>IFERROR(H5*(H11+H67),"")</f>
        <v>18719141.815000001</v>
      </c>
      <c r="I6" s="46"/>
      <c r="J6" s="182">
        <f>IFERROR(J5*(J11+J67),"")</f>
        <v>3912070.3490000009</v>
      </c>
      <c r="L6" s="182">
        <f>IFERROR(Q6+AF6,"")</f>
        <v>81383517.060000002</v>
      </c>
      <c r="M6" s="182">
        <f>IFERROR(J6-L6,"")</f>
        <v>-77471446.710999995</v>
      </c>
      <c r="N6" s="46"/>
      <c r="O6" s="182">
        <f>IFERROR(O5*(O11+O67),"")</f>
        <v>0</v>
      </c>
      <c r="Q6" s="183"/>
      <c r="R6" s="182">
        <f>IFERROR(O6-Q6,"")</f>
        <v>0</v>
      </c>
      <c r="S6" s="46"/>
      <c r="T6" s="182">
        <f>IFERROR(T5*(T11+T67),"")</f>
        <v>17711379.421890046</v>
      </c>
      <c r="U6" s="47"/>
      <c r="V6" s="182">
        <f>IFERROR(L6+T6,"")</f>
        <v>99094896.481890053</v>
      </c>
      <c r="W6" s="182">
        <f>IFERROR(H6-V6,"")</f>
        <v>-80375754.666890055</v>
      </c>
      <c r="X6" s="48"/>
      <c r="AD6" s="182">
        <v>3912070.3490000009</v>
      </c>
      <c r="AF6" s="182">
        <v>81383517.060000002</v>
      </c>
      <c r="AG6" s="182">
        <v>-77471446.710999995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/>
      <c r="L7" s="49"/>
      <c r="M7" s="49"/>
      <c r="N7" s="50"/>
      <c r="O7" s="49"/>
      <c r="P7" s="53"/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/>
      <c r="AF7" s="49"/>
      <c r="AG7" s="49"/>
    </row>
    <row r="8" spans="1:33" ht="18" customHeight="1" thickBot="1">
      <c r="A8" s="49"/>
      <c r="B8" s="56"/>
      <c r="C8" s="57"/>
      <c r="E8" s="339" t="s">
        <v>181</v>
      </c>
      <c r="F8" s="340" t="s">
        <v>182</v>
      </c>
      <c r="G8" s="340" t="s">
        <v>71</v>
      </c>
      <c r="H8" s="341" t="s">
        <v>324</v>
      </c>
      <c r="I8" s="58"/>
      <c r="J8" s="2052" t="s">
        <v>183</v>
      </c>
      <c r="K8" s="2053"/>
      <c r="L8" s="2053"/>
      <c r="M8" s="2054"/>
      <c r="N8" s="57"/>
      <c r="O8" s="2055" t="s">
        <v>184</v>
      </c>
      <c r="P8" s="2056"/>
      <c r="Q8" s="2056"/>
      <c r="R8" s="2057"/>
      <c r="S8" s="57"/>
      <c r="T8" s="342" t="s">
        <v>185</v>
      </c>
      <c r="U8" s="59"/>
      <c r="V8" s="2058" t="s">
        <v>186</v>
      </c>
      <c r="W8" s="2059"/>
      <c r="X8" s="60"/>
      <c r="AD8" s="2060" t="s">
        <v>187</v>
      </c>
      <c r="AE8" s="2061"/>
      <c r="AF8" s="2061"/>
      <c r="AG8" s="2062"/>
    </row>
    <row r="9" spans="1:33">
      <c r="A9" s="2063" t="s">
        <v>188</v>
      </c>
      <c r="B9" s="2065" t="s">
        <v>189</v>
      </c>
      <c r="C9" s="57" t="s">
        <v>190</v>
      </c>
      <c r="D9" s="343" t="s">
        <v>191</v>
      </c>
      <c r="E9" s="2067" t="s">
        <v>167</v>
      </c>
      <c r="F9" s="2068" t="s">
        <v>167</v>
      </c>
      <c r="G9" s="2068" t="s">
        <v>167</v>
      </c>
      <c r="H9" s="2041" t="s">
        <v>167</v>
      </c>
      <c r="I9" s="57" t="s">
        <v>190</v>
      </c>
      <c r="J9" s="2043" t="s">
        <v>192</v>
      </c>
      <c r="K9" s="2044"/>
      <c r="L9" s="344" t="s">
        <v>193</v>
      </c>
      <c r="M9" s="345" t="s">
        <v>194</v>
      </c>
      <c r="N9" s="57" t="s">
        <v>190</v>
      </c>
      <c r="O9" s="2045" t="s">
        <v>192</v>
      </c>
      <c r="P9" s="2046"/>
      <c r="Q9" s="346" t="s">
        <v>193</v>
      </c>
      <c r="R9" s="347" t="s">
        <v>194</v>
      </c>
      <c r="S9" s="57" t="s">
        <v>190</v>
      </c>
      <c r="T9" s="2047" t="s">
        <v>195</v>
      </c>
      <c r="U9" s="59" t="s">
        <v>190</v>
      </c>
      <c r="V9" s="1768" t="s">
        <v>193</v>
      </c>
      <c r="W9" s="345" t="s">
        <v>196</v>
      </c>
      <c r="X9" s="60"/>
      <c r="AD9" s="2045" t="s">
        <v>192</v>
      </c>
      <c r="AE9" s="2044"/>
      <c r="AF9" s="344" t="s">
        <v>193</v>
      </c>
      <c r="AG9" s="348" t="s">
        <v>194</v>
      </c>
    </row>
    <row r="10" spans="1:33" ht="13.5" customHeight="1" thickBot="1">
      <c r="A10" s="2064"/>
      <c r="B10" s="2066"/>
      <c r="C10" s="50"/>
      <c r="D10" s="184" t="s">
        <v>197</v>
      </c>
      <c r="E10" s="2064"/>
      <c r="F10" s="2069"/>
      <c r="G10" s="2069"/>
      <c r="H10" s="2042"/>
      <c r="I10" s="50"/>
      <c r="J10" s="185" t="s">
        <v>167</v>
      </c>
      <c r="K10" s="61" t="s">
        <v>43</v>
      </c>
      <c r="L10" s="62" t="s">
        <v>167</v>
      </c>
      <c r="M10" s="349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48"/>
      <c r="U10" s="54"/>
      <c r="V10" s="185" t="s">
        <v>167</v>
      </c>
      <c r="W10" s="349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278"/>
      <c r="B11" s="279" t="s">
        <v>198</v>
      </c>
      <c r="C11" s="69"/>
      <c r="D11" s="280" t="s">
        <v>174</v>
      </c>
      <c r="E11" s="281">
        <f>E12+E24+E35+E38+E41+E57</f>
        <v>13751.581</v>
      </c>
      <c r="F11" s="282">
        <f>F12+F24+F35+F38+F41+F57</f>
        <v>0</v>
      </c>
      <c r="G11" s="282">
        <f>G12+G24+G35+G38+G41+G57</f>
        <v>0</v>
      </c>
      <c r="H11" s="283">
        <f>H12+H24+H35+H38+H41+H57</f>
        <v>13751.581</v>
      </c>
      <c r="I11" s="69"/>
      <c r="J11" s="186">
        <f>J12+J24+J35+J38+J41+J57</f>
        <v>1627.4422000000002</v>
      </c>
      <c r="K11" s="187">
        <f>IFERROR(J11/H11,"")</f>
        <v>0.11834582510912746</v>
      </c>
      <c r="L11" s="188">
        <f>L12+L24+L35+L38+L41+L57</f>
        <v>1825.913</v>
      </c>
      <c r="M11" s="189">
        <f>M12+M24+M35+M38+M41+M57</f>
        <v>-198.47080000000014</v>
      </c>
      <c r="N11" s="69"/>
      <c r="O11" s="190">
        <f>O12+O24+O35+O38+O41+O57</f>
        <v>0</v>
      </c>
      <c r="P11" s="191">
        <f>IFERROR(O11/H11,"")</f>
        <v>0</v>
      </c>
      <c r="Q11" s="192">
        <f>Q12+Q24+Q35+Q38+Q41+Q57</f>
        <v>0</v>
      </c>
      <c r="R11" s="193">
        <f>R12+R24+R35+R38+R41+R57</f>
        <v>0</v>
      </c>
      <c r="S11" s="69"/>
      <c r="T11" s="194">
        <f>T12+T24+T35+T38+T41+T57</f>
        <v>11695.648775235459</v>
      </c>
      <c r="U11" s="71"/>
      <c r="V11" s="195">
        <f>V12+V24+V35+V38+V41+V57</f>
        <v>13521.561775235459</v>
      </c>
      <c r="W11" s="196">
        <f>W12+W24+W35+W38+W41+W57</f>
        <v>230.0192247645391</v>
      </c>
      <c r="X11" s="72"/>
      <c r="AD11" s="197">
        <v>1627.4422000000002</v>
      </c>
      <c r="AE11" s="198">
        <v>0.1513677104790449</v>
      </c>
      <c r="AF11" s="199">
        <v>1825.913</v>
      </c>
      <c r="AG11" s="200">
        <v>-198.47080000000014</v>
      </c>
    </row>
    <row r="12" spans="1:33" s="76" customFormat="1" ht="19.5" customHeight="1" thickBot="1">
      <c r="A12" s="256" t="s">
        <v>200</v>
      </c>
      <c r="B12" s="257" t="s">
        <v>201</v>
      </c>
      <c r="C12" s="74"/>
      <c r="D12" s="258" t="s">
        <v>174</v>
      </c>
      <c r="E12" s="259">
        <f>SUM(E13:E23)</f>
        <v>5344.6</v>
      </c>
      <c r="F12" s="201">
        <f>SUM(F13:F23)</f>
        <v>0</v>
      </c>
      <c r="G12" s="201">
        <f>SUM(G13:G23)</f>
        <v>0</v>
      </c>
      <c r="H12" s="246">
        <f>SUM(H13:H23)</f>
        <v>5344.6</v>
      </c>
      <c r="I12" s="74"/>
      <c r="J12" s="202">
        <f>SUM(J13:J23)</f>
        <v>1558.2107000000001</v>
      </c>
      <c r="K12" s="203">
        <f>IFERROR(J12/H12,"")</f>
        <v>0.29154860981177261</v>
      </c>
      <c r="L12" s="204">
        <f>SUM(L13:L23)</f>
        <v>1737.913</v>
      </c>
      <c r="M12" s="205">
        <f>SUM(M13:M23)</f>
        <v>-179.70230000000015</v>
      </c>
      <c r="N12" s="74"/>
      <c r="O12" s="206">
        <f>SUM(O13:O23)</f>
        <v>0</v>
      </c>
      <c r="P12" s="207">
        <f t="shared" ref="P12:P60" si="0">IFERROR(O12/H12,"")</f>
        <v>0</v>
      </c>
      <c r="Q12" s="208">
        <f>SUM(Q13:Q23)</f>
        <v>0</v>
      </c>
      <c r="R12" s="209">
        <f>SUM(R13:R23)</f>
        <v>0</v>
      </c>
      <c r="S12" s="74"/>
      <c r="T12" s="210">
        <f>SUM(T13:T23)</f>
        <v>1057.6306823200871</v>
      </c>
      <c r="U12" s="75"/>
      <c r="V12" s="202">
        <f>SUM(V13:V23)</f>
        <v>2795.5436823200871</v>
      </c>
      <c r="W12" s="205">
        <f>SUM(W13:W23)</f>
        <v>2549.0563176799124</v>
      </c>
      <c r="X12" s="72"/>
      <c r="AD12" s="211">
        <v>1558.2107000000001</v>
      </c>
      <c r="AE12" s="212">
        <v>0.66459553868463694</v>
      </c>
      <c r="AF12" s="213">
        <v>1737.913</v>
      </c>
      <c r="AG12" s="214">
        <v>-179.70230000000015</v>
      </c>
    </row>
    <row r="13" spans="1:33" s="80" customFormat="1" ht="15" customHeight="1">
      <c r="A13" s="215"/>
      <c r="B13" s="216" t="s">
        <v>202</v>
      </c>
      <c r="C13" s="50"/>
      <c r="D13" s="217" t="s">
        <v>174</v>
      </c>
      <c r="E13" s="218">
        <v>158</v>
      </c>
      <c r="F13" s="219"/>
      <c r="G13" s="219"/>
      <c r="H13" s="220">
        <f>SUM(E13:G13)</f>
        <v>158</v>
      </c>
      <c r="I13" s="50"/>
      <c r="J13" s="221">
        <f>H13*K13/100</f>
        <v>112.18</v>
      </c>
      <c r="K13" s="222">
        <v>71</v>
      </c>
      <c r="L13" s="219">
        <f>Q13+AF13</f>
        <v>161.57</v>
      </c>
      <c r="M13" s="220">
        <f>J13-L13</f>
        <v>-49.389999999999986</v>
      </c>
      <c r="N13" s="50"/>
      <c r="O13" s="223">
        <f>J13-AD13</f>
        <v>0</v>
      </c>
      <c r="P13" s="224">
        <f t="shared" si="0"/>
        <v>0</v>
      </c>
      <c r="Q13" s="225"/>
      <c r="R13" s="226">
        <f>O13-Q13</f>
        <v>0</v>
      </c>
      <c r="S13" s="50"/>
      <c r="T13" s="227">
        <v>65.622650000000021</v>
      </c>
      <c r="U13" s="78"/>
      <c r="V13" s="221">
        <f>+L13+T13</f>
        <v>227.19265000000001</v>
      </c>
      <c r="W13" s="220">
        <f>H13-V13</f>
        <v>-69.192650000000015</v>
      </c>
      <c r="X13" s="79"/>
      <c r="AD13" s="228">
        <v>112.18</v>
      </c>
      <c r="AE13" s="229">
        <v>71</v>
      </c>
      <c r="AF13" s="230">
        <v>161.57</v>
      </c>
      <c r="AG13" s="231">
        <v>-49.389999999999986</v>
      </c>
    </row>
    <row r="14" spans="1:33" s="80" customFormat="1" ht="15" customHeight="1">
      <c r="A14" s="215"/>
      <c r="B14" s="216" t="s">
        <v>203</v>
      </c>
      <c r="C14" s="50"/>
      <c r="D14" s="217" t="s">
        <v>174</v>
      </c>
      <c r="E14" s="218">
        <v>390</v>
      </c>
      <c r="F14" s="219"/>
      <c r="G14" s="219"/>
      <c r="H14" s="220">
        <f t="shared" ref="H14:H20" si="1">SUM(E14:G14)</f>
        <v>390</v>
      </c>
      <c r="I14" s="50"/>
      <c r="J14" s="221">
        <f t="shared" ref="J14:J20" si="2">H14*K14/100</f>
        <v>261.3</v>
      </c>
      <c r="K14" s="222">
        <v>67</v>
      </c>
      <c r="L14" s="219">
        <f t="shared" ref="L14:L20" si="3">Q14+AF14</f>
        <v>1.5</v>
      </c>
      <c r="M14" s="220">
        <f t="shared" ref="M14:M20" si="4">J14-L14</f>
        <v>259.8</v>
      </c>
      <c r="N14" s="50"/>
      <c r="O14" s="223">
        <f t="shared" ref="O14:O20" si="5">J14-AD14</f>
        <v>0</v>
      </c>
      <c r="P14" s="224">
        <f t="shared" si="0"/>
        <v>0</v>
      </c>
      <c r="Q14" s="225"/>
      <c r="R14" s="226">
        <f t="shared" ref="R14:R20" si="6">O14-Q14</f>
        <v>0</v>
      </c>
      <c r="S14" s="50"/>
      <c r="T14" s="227">
        <v>0.8640000000000001</v>
      </c>
      <c r="U14" s="78"/>
      <c r="V14" s="221">
        <f t="shared" ref="V14:V20" si="7">+L14+T14</f>
        <v>2.3639999999999999</v>
      </c>
      <c r="W14" s="220">
        <f t="shared" ref="W14:W20" si="8">H14-V14</f>
        <v>387.63600000000002</v>
      </c>
      <c r="X14" s="79"/>
      <c r="AD14" s="228">
        <v>261.3</v>
      </c>
      <c r="AE14" s="229">
        <v>67</v>
      </c>
      <c r="AF14" s="230">
        <v>1.5</v>
      </c>
      <c r="AG14" s="231">
        <v>259.8</v>
      </c>
    </row>
    <row r="15" spans="1:33" s="80" customFormat="1" ht="15" customHeight="1">
      <c r="A15" s="215"/>
      <c r="B15" s="216" t="s">
        <v>204</v>
      </c>
      <c r="C15" s="50"/>
      <c r="D15" s="217" t="s">
        <v>174</v>
      </c>
      <c r="E15" s="218">
        <v>3000</v>
      </c>
      <c r="F15" s="219"/>
      <c r="G15" s="219"/>
      <c r="H15" s="220">
        <f t="shared" si="1"/>
        <v>3000</v>
      </c>
      <c r="I15" s="50"/>
      <c r="J15" s="221">
        <f t="shared" si="2"/>
        <v>0</v>
      </c>
      <c r="K15" s="222">
        <v>0</v>
      </c>
      <c r="L15" s="219">
        <f t="shared" si="3"/>
        <v>83</v>
      </c>
      <c r="M15" s="220">
        <f t="shared" si="4"/>
        <v>-83</v>
      </c>
      <c r="N15" s="50"/>
      <c r="O15" s="223">
        <f t="shared" si="5"/>
        <v>0</v>
      </c>
      <c r="P15" s="224">
        <f t="shared" si="0"/>
        <v>0</v>
      </c>
      <c r="Q15" s="225"/>
      <c r="R15" s="226">
        <f t="shared" si="6"/>
        <v>0</v>
      </c>
      <c r="S15" s="50"/>
      <c r="T15" s="227">
        <v>0</v>
      </c>
      <c r="U15" s="78"/>
      <c r="V15" s="221">
        <f t="shared" si="7"/>
        <v>83</v>
      </c>
      <c r="W15" s="220">
        <f t="shared" si="8"/>
        <v>2917</v>
      </c>
      <c r="X15" s="79"/>
      <c r="AD15" s="228">
        <v>0</v>
      </c>
      <c r="AE15" s="229">
        <v>0</v>
      </c>
      <c r="AF15" s="230">
        <v>83</v>
      </c>
      <c r="AG15" s="231">
        <v>-83</v>
      </c>
    </row>
    <row r="16" spans="1:33" s="80" customFormat="1" ht="15" customHeight="1">
      <c r="A16" s="215"/>
      <c r="B16" s="216" t="s">
        <v>205</v>
      </c>
      <c r="C16" s="50"/>
      <c r="D16" s="217" t="s">
        <v>174</v>
      </c>
      <c r="E16" s="218">
        <v>203</v>
      </c>
      <c r="F16" s="219"/>
      <c r="G16" s="219"/>
      <c r="H16" s="220">
        <f t="shared" si="1"/>
        <v>203</v>
      </c>
      <c r="I16" s="50"/>
      <c r="J16" s="221">
        <f t="shared" si="2"/>
        <v>99.47</v>
      </c>
      <c r="K16" s="222">
        <v>49</v>
      </c>
      <c r="L16" s="219">
        <f t="shared" si="3"/>
        <v>20.5</v>
      </c>
      <c r="M16" s="220">
        <f t="shared" si="4"/>
        <v>78.97</v>
      </c>
      <c r="N16" s="50"/>
      <c r="O16" s="223">
        <f t="shared" si="5"/>
        <v>0</v>
      </c>
      <c r="P16" s="224">
        <f t="shared" si="0"/>
        <v>0</v>
      </c>
      <c r="Q16" s="225"/>
      <c r="R16" s="226">
        <f t="shared" si="6"/>
        <v>0</v>
      </c>
      <c r="S16" s="50"/>
      <c r="T16" s="227">
        <v>21.7196</v>
      </c>
      <c r="U16" s="78"/>
      <c r="V16" s="221">
        <f t="shared" si="7"/>
        <v>42.2196</v>
      </c>
      <c r="W16" s="220">
        <f t="shared" si="8"/>
        <v>160.78039999999999</v>
      </c>
      <c r="X16" s="79"/>
      <c r="AD16" s="228">
        <v>99.47</v>
      </c>
      <c r="AE16" s="229">
        <v>49</v>
      </c>
      <c r="AF16" s="230">
        <v>20.5</v>
      </c>
      <c r="AG16" s="231">
        <v>78.97</v>
      </c>
    </row>
    <row r="17" spans="1:33" s="80" customFormat="1" ht="15" customHeight="1">
      <c r="A17" s="215"/>
      <c r="B17" s="216" t="s">
        <v>206</v>
      </c>
      <c r="C17" s="50"/>
      <c r="D17" s="217" t="s">
        <v>174</v>
      </c>
      <c r="E17" s="218">
        <v>1063.47</v>
      </c>
      <c r="F17" s="219"/>
      <c r="G17" s="219"/>
      <c r="H17" s="220">
        <f t="shared" si="1"/>
        <v>1063.47</v>
      </c>
      <c r="I17" s="50"/>
      <c r="J17" s="221">
        <f t="shared" si="2"/>
        <v>840.1413</v>
      </c>
      <c r="K17" s="222">
        <v>79</v>
      </c>
      <c r="L17" s="219">
        <f t="shared" si="3"/>
        <v>284.23</v>
      </c>
      <c r="M17" s="220">
        <f t="shared" si="4"/>
        <v>555.91129999999998</v>
      </c>
      <c r="N17" s="50"/>
      <c r="O17" s="223">
        <f t="shared" si="5"/>
        <v>0</v>
      </c>
      <c r="P17" s="224">
        <f t="shared" si="0"/>
        <v>0</v>
      </c>
      <c r="Q17" s="225"/>
      <c r="R17" s="226">
        <f t="shared" si="6"/>
        <v>0</v>
      </c>
      <c r="S17" s="50"/>
      <c r="T17" s="227">
        <v>78.937500000000057</v>
      </c>
      <c r="U17" s="78"/>
      <c r="V17" s="221">
        <f t="shared" si="7"/>
        <v>363.16750000000008</v>
      </c>
      <c r="W17" s="220">
        <f t="shared" si="8"/>
        <v>700.30250000000001</v>
      </c>
      <c r="X17" s="79"/>
      <c r="AD17" s="228">
        <v>840.1413</v>
      </c>
      <c r="AE17" s="229">
        <v>79</v>
      </c>
      <c r="AF17" s="230">
        <v>284.23</v>
      </c>
      <c r="AG17" s="231">
        <v>555.91129999999998</v>
      </c>
    </row>
    <row r="18" spans="1:33" s="80" customFormat="1" ht="15" customHeight="1">
      <c r="A18" s="215"/>
      <c r="B18" s="216" t="s">
        <v>207</v>
      </c>
      <c r="C18" s="50"/>
      <c r="D18" s="217" t="s">
        <v>174</v>
      </c>
      <c r="E18" s="218">
        <v>81</v>
      </c>
      <c r="F18" s="219"/>
      <c r="G18" s="219"/>
      <c r="H18" s="220">
        <f t="shared" si="1"/>
        <v>81</v>
      </c>
      <c r="I18" s="50"/>
      <c r="J18" s="221">
        <f t="shared" si="2"/>
        <v>50.22</v>
      </c>
      <c r="K18" s="222">
        <v>62</v>
      </c>
      <c r="L18" s="219">
        <f t="shared" si="3"/>
        <v>98.712999999999994</v>
      </c>
      <c r="M18" s="220">
        <f t="shared" si="4"/>
        <v>-48.492999999999995</v>
      </c>
      <c r="N18" s="50"/>
      <c r="O18" s="223">
        <f t="shared" si="5"/>
        <v>0</v>
      </c>
      <c r="P18" s="224">
        <f t="shared" si="0"/>
        <v>0</v>
      </c>
      <c r="Q18" s="225"/>
      <c r="R18" s="226">
        <f t="shared" si="6"/>
        <v>0</v>
      </c>
      <c r="S18" s="50"/>
      <c r="T18" s="227">
        <v>175.37399999999985</v>
      </c>
      <c r="U18" s="78"/>
      <c r="V18" s="221">
        <f t="shared" si="7"/>
        <v>274.08699999999988</v>
      </c>
      <c r="W18" s="220">
        <f t="shared" si="8"/>
        <v>-193.08699999999988</v>
      </c>
      <c r="X18" s="79"/>
      <c r="AD18" s="228">
        <v>50.22</v>
      </c>
      <c r="AE18" s="229">
        <v>62</v>
      </c>
      <c r="AF18" s="230">
        <v>98.712999999999994</v>
      </c>
      <c r="AG18" s="231">
        <v>-48.492999999999995</v>
      </c>
    </row>
    <row r="19" spans="1:33" s="80" customFormat="1" ht="15" customHeight="1">
      <c r="A19" s="215"/>
      <c r="B19" s="216" t="s">
        <v>208</v>
      </c>
      <c r="C19" s="50"/>
      <c r="D19" s="217" t="s">
        <v>174</v>
      </c>
      <c r="E19" s="218">
        <v>11.2</v>
      </c>
      <c r="F19" s="219"/>
      <c r="G19" s="219"/>
      <c r="H19" s="220">
        <f t="shared" si="1"/>
        <v>11.2</v>
      </c>
      <c r="I19" s="50"/>
      <c r="J19" s="221">
        <f t="shared" si="2"/>
        <v>8.9600000000000009</v>
      </c>
      <c r="K19" s="222">
        <v>80</v>
      </c>
      <c r="L19" s="219">
        <f t="shared" si="3"/>
        <v>5.92</v>
      </c>
      <c r="M19" s="220">
        <f t="shared" si="4"/>
        <v>3.0400000000000009</v>
      </c>
      <c r="N19" s="50"/>
      <c r="O19" s="223">
        <f t="shared" si="5"/>
        <v>0</v>
      </c>
      <c r="P19" s="224">
        <f t="shared" si="0"/>
        <v>0</v>
      </c>
      <c r="Q19" s="225"/>
      <c r="R19" s="226">
        <f t="shared" si="6"/>
        <v>0</v>
      </c>
      <c r="S19" s="50"/>
      <c r="T19" s="227">
        <v>6.3125030332571939</v>
      </c>
      <c r="U19" s="78"/>
      <c r="V19" s="221">
        <f t="shared" si="7"/>
        <v>12.232503033257194</v>
      </c>
      <c r="W19" s="220">
        <f t="shared" si="8"/>
        <v>-1.0325030332571945</v>
      </c>
      <c r="X19" s="79"/>
      <c r="AD19" s="228">
        <v>8.9600000000000009</v>
      </c>
      <c r="AE19" s="229">
        <v>80</v>
      </c>
      <c r="AF19" s="230">
        <v>5.92</v>
      </c>
      <c r="AG19" s="231">
        <v>3.0400000000000009</v>
      </c>
    </row>
    <row r="20" spans="1:33" s="80" customFormat="1" ht="15" customHeight="1">
      <c r="A20" s="215"/>
      <c r="B20" s="216" t="s">
        <v>209</v>
      </c>
      <c r="C20" s="50"/>
      <c r="D20" s="217" t="s">
        <v>174</v>
      </c>
      <c r="E20" s="218">
        <v>111.93</v>
      </c>
      <c r="F20" s="219"/>
      <c r="G20" s="219"/>
      <c r="H20" s="220">
        <f t="shared" si="1"/>
        <v>111.93</v>
      </c>
      <c r="I20" s="50"/>
      <c r="J20" s="221">
        <f t="shared" si="2"/>
        <v>64.91940000000001</v>
      </c>
      <c r="K20" s="222">
        <v>58</v>
      </c>
      <c r="L20" s="219">
        <f t="shared" si="3"/>
        <v>63</v>
      </c>
      <c r="M20" s="220">
        <f t="shared" si="4"/>
        <v>1.9194000000000102</v>
      </c>
      <c r="N20" s="50"/>
      <c r="O20" s="223">
        <f t="shared" si="5"/>
        <v>0</v>
      </c>
      <c r="P20" s="224">
        <f t="shared" si="0"/>
        <v>0</v>
      </c>
      <c r="Q20" s="225"/>
      <c r="R20" s="226">
        <f t="shared" si="6"/>
        <v>0</v>
      </c>
      <c r="S20" s="50"/>
      <c r="T20" s="227">
        <v>46.030074999999897</v>
      </c>
      <c r="U20" s="78"/>
      <c r="V20" s="221">
        <f t="shared" si="7"/>
        <v>109.0300749999999</v>
      </c>
      <c r="W20" s="220">
        <f t="shared" si="8"/>
        <v>2.8999250000001098</v>
      </c>
      <c r="X20" s="79"/>
      <c r="AD20" s="228">
        <v>64.91940000000001</v>
      </c>
      <c r="AE20" s="229">
        <v>58</v>
      </c>
      <c r="AF20" s="230">
        <v>63</v>
      </c>
      <c r="AG20" s="231">
        <v>1.9194000000000102</v>
      </c>
    </row>
    <row r="21" spans="1:33" s="80" customFormat="1" ht="15" customHeight="1">
      <c r="A21" s="215"/>
      <c r="B21" s="216" t="s">
        <v>210</v>
      </c>
      <c r="C21" s="50"/>
      <c r="D21" s="217" t="s">
        <v>174</v>
      </c>
      <c r="E21" s="218">
        <v>252</v>
      </c>
      <c r="F21" s="219"/>
      <c r="G21" s="219"/>
      <c r="H21" s="220">
        <f>SUM(E21:G21)</f>
        <v>252</v>
      </c>
      <c r="I21" s="50"/>
      <c r="J21" s="221">
        <f>H21*K21/100</f>
        <v>65.52</v>
      </c>
      <c r="K21" s="222">
        <v>26</v>
      </c>
      <c r="L21" s="219">
        <f>Q21+AF21</f>
        <v>97.5</v>
      </c>
      <c r="M21" s="220">
        <f>J21-L21</f>
        <v>-31.980000000000004</v>
      </c>
      <c r="N21" s="50"/>
      <c r="O21" s="223">
        <f>J21-AD21</f>
        <v>0</v>
      </c>
      <c r="P21" s="224">
        <f t="shared" si="0"/>
        <v>0</v>
      </c>
      <c r="Q21" s="225"/>
      <c r="R21" s="226">
        <f>O21-Q21</f>
        <v>0</v>
      </c>
      <c r="S21" s="50"/>
      <c r="T21" s="227">
        <v>360.06435428683005</v>
      </c>
      <c r="U21" s="78"/>
      <c r="V21" s="221">
        <f>+L21+T21</f>
        <v>457.56435428683005</v>
      </c>
      <c r="W21" s="220">
        <f>H21-V21</f>
        <v>-205.56435428683005</v>
      </c>
      <c r="X21" s="79"/>
      <c r="AD21" s="228">
        <v>65.52</v>
      </c>
      <c r="AE21" s="229">
        <v>26</v>
      </c>
      <c r="AF21" s="230">
        <v>97.5</v>
      </c>
      <c r="AG21" s="231">
        <v>-31.980000000000004</v>
      </c>
    </row>
    <row r="22" spans="1:33" s="80" customFormat="1" ht="15" customHeight="1">
      <c r="A22" s="215"/>
      <c r="B22" s="216" t="s">
        <v>211</v>
      </c>
      <c r="C22" s="50"/>
      <c r="D22" s="217" t="s">
        <v>174</v>
      </c>
      <c r="E22" s="218">
        <v>74</v>
      </c>
      <c r="F22" s="219"/>
      <c r="G22" s="219"/>
      <c r="H22" s="220">
        <f t="shared" ref="H22" si="9">SUM(E22:G22)</f>
        <v>74</v>
      </c>
      <c r="I22" s="50"/>
      <c r="J22" s="221">
        <f>H22*K22/100</f>
        <v>55.5</v>
      </c>
      <c r="K22" s="222">
        <v>75</v>
      </c>
      <c r="L22" s="219">
        <f>Q22+AF22</f>
        <v>921.98</v>
      </c>
      <c r="M22" s="220">
        <f>J22-L22</f>
        <v>-866.48</v>
      </c>
      <c r="N22" s="89"/>
      <c r="O22" s="223">
        <f t="shared" ref="O22" si="10">J22-AD22</f>
        <v>0</v>
      </c>
      <c r="P22" s="224">
        <f t="shared" si="0"/>
        <v>0</v>
      </c>
      <c r="Q22" s="225"/>
      <c r="R22" s="232">
        <f t="shared" ref="R22" si="11">O22-Q22</f>
        <v>0</v>
      </c>
      <c r="S22" s="50"/>
      <c r="T22" s="227">
        <v>302.7059999999999</v>
      </c>
      <c r="U22" s="78"/>
      <c r="V22" s="221">
        <f>+L22+T22</f>
        <v>1224.6859999999999</v>
      </c>
      <c r="W22" s="220">
        <f t="shared" ref="W22" si="12">H22-V22</f>
        <v>-1150.6859999999999</v>
      </c>
      <c r="X22" s="79"/>
      <c r="AD22" s="228">
        <v>55.5</v>
      </c>
      <c r="AE22" s="229">
        <v>75</v>
      </c>
      <c r="AF22" s="230">
        <v>921.98</v>
      </c>
      <c r="AG22" s="231">
        <v>-866.48</v>
      </c>
    </row>
    <row r="23" spans="1:33" s="80" customFormat="1" ht="15" customHeight="1" thickBot="1">
      <c r="A23" s="215"/>
      <c r="B23" s="216" t="s">
        <v>212</v>
      </c>
      <c r="C23" s="50"/>
      <c r="D23" s="217" t="s">
        <v>174</v>
      </c>
      <c r="E23" s="218">
        <v>0</v>
      </c>
      <c r="F23" s="219"/>
      <c r="G23" s="219"/>
      <c r="H23" s="220">
        <f>SUM(E23:G23)</f>
        <v>0</v>
      </c>
      <c r="I23" s="50"/>
      <c r="J23" s="233">
        <f>H23*K23/100</f>
        <v>0</v>
      </c>
      <c r="K23" s="234">
        <v>0</v>
      </c>
      <c r="L23" s="235">
        <f>Q23+AF23</f>
        <v>0</v>
      </c>
      <c r="M23" s="236">
        <f>J23-L23</f>
        <v>0</v>
      </c>
      <c r="N23" s="50"/>
      <c r="O23" s="237">
        <f>J23-AD23</f>
        <v>0</v>
      </c>
      <c r="P23" s="238" t="str">
        <f t="shared" si="0"/>
        <v/>
      </c>
      <c r="Q23" s="239"/>
      <c r="R23" s="240">
        <f>O23-Q23</f>
        <v>0</v>
      </c>
      <c r="S23" s="50"/>
      <c r="T23" s="350">
        <v>0</v>
      </c>
      <c r="U23" s="78"/>
      <c r="V23" s="233">
        <f>+L23+T23</f>
        <v>0</v>
      </c>
      <c r="W23" s="236">
        <f>H23-V23</f>
        <v>0</v>
      </c>
      <c r="X23" s="79"/>
      <c r="AD23" s="241">
        <v>0</v>
      </c>
      <c r="AE23" s="242">
        <v>0</v>
      </c>
      <c r="AF23" s="243">
        <v>0</v>
      </c>
      <c r="AG23" s="244">
        <v>0</v>
      </c>
    </row>
    <row r="24" spans="1:33" s="76" customFormat="1" ht="19.5" customHeight="1" thickBot="1">
      <c r="A24" s="256" t="s">
        <v>213</v>
      </c>
      <c r="B24" s="257" t="s">
        <v>214</v>
      </c>
      <c r="C24" s="74"/>
      <c r="D24" s="258" t="s">
        <v>174</v>
      </c>
      <c r="E24" s="259">
        <f>SUM(E25:E34)</f>
        <v>7949.0910000000003</v>
      </c>
      <c r="F24" s="201">
        <f>SUM(F25:F34)</f>
        <v>0</v>
      </c>
      <c r="G24" s="201">
        <f>SUM(G25:G34)</f>
        <v>0</v>
      </c>
      <c r="H24" s="246">
        <f>SUM(H25:H34)</f>
        <v>7949.0910000000003</v>
      </c>
      <c r="I24" s="74"/>
      <c r="J24" s="245">
        <f>SUM(J25:J34)</f>
        <v>69.231499999999997</v>
      </c>
      <c r="K24" s="260">
        <f>IFERROR(J24/H24,"")</f>
        <v>8.7093606048792242E-3</v>
      </c>
      <c r="L24" s="201">
        <f>SUM(L25:L34)</f>
        <v>88</v>
      </c>
      <c r="M24" s="246">
        <f>SUM(M25:M34)</f>
        <v>-18.7685</v>
      </c>
      <c r="N24" s="74"/>
      <c r="O24" s="351">
        <f>SUM(O25:O34)</f>
        <v>0</v>
      </c>
      <c r="P24" s="352">
        <f t="shared" si="0"/>
        <v>0</v>
      </c>
      <c r="Q24" s="208">
        <f>SUM(Q25:Q34)</f>
        <v>0</v>
      </c>
      <c r="R24" s="353">
        <f>SUM(R25:R34)</f>
        <v>0</v>
      </c>
      <c r="S24" s="74"/>
      <c r="T24" s="354">
        <f>SUM(T25:T34)</f>
        <v>10180.128092915373</v>
      </c>
      <c r="U24" s="75"/>
      <c r="V24" s="245">
        <f>SUM(V25:V34)</f>
        <v>10268.128092915373</v>
      </c>
      <c r="W24" s="246">
        <f>SUM(W25:W34)</f>
        <v>-2319.0370929153733</v>
      </c>
      <c r="X24" s="72"/>
      <c r="AD24" s="252">
        <v>69.231499999999997</v>
      </c>
      <c r="AE24" s="253">
        <v>8.7093606048792242E-3</v>
      </c>
      <c r="AF24" s="254">
        <v>88</v>
      </c>
      <c r="AG24" s="255">
        <v>-18.7685</v>
      </c>
    </row>
    <row r="25" spans="1:33" s="80" customFormat="1" ht="15" customHeight="1">
      <c r="A25" s="215"/>
      <c r="B25" s="216" t="s">
        <v>215</v>
      </c>
      <c r="C25" s="50"/>
      <c r="D25" s="217" t="s">
        <v>174</v>
      </c>
      <c r="E25" s="218">
        <v>395.15</v>
      </c>
      <c r="F25" s="219"/>
      <c r="G25" s="219"/>
      <c r="H25" s="220">
        <f t="shared" ref="H25:H34" si="13">SUM(E25:G25)</f>
        <v>395.15</v>
      </c>
      <c r="I25" s="50"/>
      <c r="J25" s="221">
        <f t="shared" ref="J25:J34" si="14">+H25*K25/100</f>
        <v>3.9514999999999998</v>
      </c>
      <c r="K25" s="222">
        <v>1</v>
      </c>
      <c r="L25" s="219">
        <f t="shared" ref="L25:L34" si="15">Q25+AF25</f>
        <v>1.5</v>
      </c>
      <c r="M25" s="220">
        <f t="shared" ref="M25:M34" si="16">J25-L25</f>
        <v>2.4514999999999998</v>
      </c>
      <c r="N25" s="50"/>
      <c r="O25" s="223">
        <f t="shared" ref="O25:O34" si="17">J25-AD25</f>
        <v>0</v>
      </c>
      <c r="P25" s="224">
        <f t="shared" si="0"/>
        <v>0</v>
      </c>
      <c r="Q25" s="225"/>
      <c r="R25" s="226">
        <f t="shared" ref="R25:R34" si="18">O25-Q25</f>
        <v>0</v>
      </c>
      <c r="S25" s="50"/>
      <c r="T25" s="227">
        <v>339.98013291536995</v>
      </c>
      <c r="U25" s="78"/>
      <c r="V25" s="221">
        <f t="shared" ref="V25:V34" si="19">+L25+T25</f>
        <v>341.48013291536995</v>
      </c>
      <c r="W25" s="220">
        <f t="shared" ref="W25:W34" si="20">H25-V25</f>
        <v>53.669867084630027</v>
      </c>
      <c r="X25" s="79"/>
      <c r="AD25" s="228">
        <v>3.9514999999999998</v>
      </c>
      <c r="AE25" s="229">
        <v>1</v>
      </c>
      <c r="AF25" s="230">
        <v>1.5</v>
      </c>
      <c r="AG25" s="231">
        <v>2.4514999999999998</v>
      </c>
    </row>
    <row r="26" spans="1:33" s="80" customFormat="1" ht="15" customHeight="1">
      <c r="A26" s="215"/>
      <c r="B26" s="216" t="s">
        <v>216</v>
      </c>
      <c r="C26" s="50"/>
      <c r="D26" s="217" t="s">
        <v>174</v>
      </c>
      <c r="E26" s="218">
        <v>2176</v>
      </c>
      <c r="F26" s="219"/>
      <c r="G26" s="219"/>
      <c r="H26" s="220">
        <f t="shared" si="13"/>
        <v>2176</v>
      </c>
      <c r="I26" s="50"/>
      <c r="J26" s="221">
        <f t="shared" si="14"/>
        <v>65.28</v>
      </c>
      <c r="K26" s="222">
        <v>3</v>
      </c>
      <c r="L26" s="219">
        <f t="shared" si="15"/>
        <v>86.5</v>
      </c>
      <c r="M26" s="220">
        <f t="shared" si="16"/>
        <v>-21.22</v>
      </c>
      <c r="N26" s="50"/>
      <c r="O26" s="223">
        <f t="shared" si="17"/>
        <v>0</v>
      </c>
      <c r="P26" s="224">
        <f t="shared" si="0"/>
        <v>0</v>
      </c>
      <c r="Q26" s="225"/>
      <c r="R26" s="226">
        <f t="shared" si="18"/>
        <v>0</v>
      </c>
      <c r="S26" s="50"/>
      <c r="T26" s="227">
        <v>3071.2279600000043</v>
      </c>
      <c r="U26" s="78"/>
      <c r="V26" s="221">
        <f t="shared" si="19"/>
        <v>3157.7279600000043</v>
      </c>
      <c r="W26" s="220">
        <f t="shared" si="20"/>
        <v>-981.72796000000426</v>
      </c>
      <c r="X26" s="79"/>
      <c r="AD26" s="228">
        <v>65.28</v>
      </c>
      <c r="AE26" s="229">
        <v>3</v>
      </c>
      <c r="AF26" s="230">
        <v>86.5</v>
      </c>
      <c r="AG26" s="231">
        <v>-21.22</v>
      </c>
    </row>
    <row r="27" spans="1:33" s="80" customFormat="1" ht="15" customHeight="1">
      <c r="A27" s="215"/>
      <c r="B27" s="216" t="s">
        <v>217</v>
      </c>
      <c r="C27" s="50"/>
      <c r="D27" s="217" t="s">
        <v>174</v>
      </c>
      <c r="E27" s="218">
        <v>371.87</v>
      </c>
      <c r="F27" s="219"/>
      <c r="G27" s="219"/>
      <c r="H27" s="220">
        <f t="shared" si="13"/>
        <v>371.87</v>
      </c>
      <c r="I27" s="50"/>
      <c r="J27" s="221">
        <f t="shared" si="14"/>
        <v>0</v>
      </c>
      <c r="K27" s="222">
        <v>0</v>
      </c>
      <c r="L27" s="219">
        <f t="shared" si="15"/>
        <v>0</v>
      </c>
      <c r="M27" s="220">
        <f t="shared" si="16"/>
        <v>0</v>
      </c>
      <c r="N27" s="50"/>
      <c r="O27" s="223">
        <f t="shared" si="17"/>
        <v>0</v>
      </c>
      <c r="P27" s="224">
        <f t="shared" si="0"/>
        <v>0</v>
      </c>
      <c r="Q27" s="225"/>
      <c r="R27" s="226">
        <f t="shared" si="18"/>
        <v>0</v>
      </c>
      <c r="S27" s="50"/>
      <c r="T27" s="227">
        <v>371.87</v>
      </c>
      <c r="U27" s="78"/>
      <c r="V27" s="221">
        <f t="shared" si="19"/>
        <v>371.87</v>
      </c>
      <c r="W27" s="220">
        <f t="shared" si="20"/>
        <v>0</v>
      </c>
      <c r="X27" s="79"/>
      <c r="AD27" s="228">
        <v>0</v>
      </c>
      <c r="AE27" s="229">
        <v>0</v>
      </c>
      <c r="AF27" s="230">
        <v>0</v>
      </c>
      <c r="AG27" s="231">
        <v>0</v>
      </c>
    </row>
    <row r="28" spans="1:33" s="80" customFormat="1" ht="15" customHeight="1">
      <c r="A28" s="215"/>
      <c r="B28" s="216" t="s">
        <v>218</v>
      </c>
      <c r="C28" s="50"/>
      <c r="D28" s="217" t="s">
        <v>174</v>
      </c>
      <c r="E28" s="218">
        <v>1511</v>
      </c>
      <c r="F28" s="219"/>
      <c r="G28" s="219"/>
      <c r="H28" s="220">
        <f t="shared" si="13"/>
        <v>1511</v>
      </c>
      <c r="I28" s="50"/>
      <c r="J28" s="221">
        <f t="shared" si="14"/>
        <v>0</v>
      </c>
      <c r="K28" s="222">
        <v>0</v>
      </c>
      <c r="L28" s="219">
        <f t="shared" si="15"/>
        <v>0</v>
      </c>
      <c r="M28" s="220">
        <f t="shared" si="16"/>
        <v>0</v>
      </c>
      <c r="N28" s="50"/>
      <c r="O28" s="223">
        <f t="shared" si="17"/>
        <v>0</v>
      </c>
      <c r="P28" s="224">
        <f t="shared" si="0"/>
        <v>0</v>
      </c>
      <c r="Q28" s="225"/>
      <c r="R28" s="226">
        <f t="shared" si="18"/>
        <v>0</v>
      </c>
      <c r="S28" s="50"/>
      <c r="T28" s="227">
        <v>1511</v>
      </c>
      <c r="U28" s="78"/>
      <c r="V28" s="221">
        <f t="shared" si="19"/>
        <v>1511</v>
      </c>
      <c r="W28" s="220">
        <f t="shared" si="20"/>
        <v>0</v>
      </c>
      <c r="X28" s="79"/>
      <c r="AD28" s="228">
        <v>0</v>
      </c>
      <c r="AE28" s="229">
        <v>0</v>
      </c>
      <c r="AF28" s="230">
        <v>0</v>
      </c>
      <c r="AG28" s="231">
        <v>0</v>
      </c>
    </row>
    <row r="29" spans="1:33" s="80" customFormat="1" ht="15" customHeight="1">
      <c r="A29" s="215"/>
      <c r="B29" s="216" t="s">
        <v>219</v>
      </c>
      <c r="C29" s="50"/>
      <c r="D29" s="217" t="s">
        <v>174</v>
      </c>
      <c r="E29" s="218">
        <v>1354</v>
      </c>
      <c r="F29" s="219"/>
      <c r="G29" s="219"/>
      <c r="H29" s="220">
        <f t="shared" si="13"/>
        <v>1354</v>
      </c>
      <c r="I29" s="50"/>
      <c r="J29" s="221">
        <f t="shared" si="14"/>
        <v>0</v>
      </c>
      <c r="K29" s="222">
        <v>0</v>
      </c>
      <c r="L29" s="219">
        <f>Q29+AF29</f>
        <v>0</v>
      </c>
      <c r="M29" s="220">
        <f>J29-L29</f>
        <v>0</v>
      </c>
      <c r="N29" s="50"/>
      <c r="O29" s="223">
        <f>J29-AD29</f>
        <v>0</v>
      </c>
      <c r="P29" s="224">
        <f t="shared" si="0"/>
        <v>0</v>
      </c>
      <c r="Q29" s="225"/>
      <c r="R29" s="226">
        <f>O29-Q29</f>
        <v>0</v>
      </c>
      <c r="S29" s="50"/>
      <c r="T29" s="227">
        <v>4716</v>
      </c>
      <c r="U29" s="78"/>
      <c r="V29" s="221">
        <f>+L29+T29</f>
        <v>4716</v>
      </c>
      <c r="W29" s="220">
        <f>H29-V29</f>
        <v>-3362</v>
      </c>
      <c r="X29" s="79"/>
      <c r="AD29" s="228">
        <v>0</v>
      </c>
      <c r="AE29" s="229">
        <v>0</v>
      </c>
      <c r="AF29" s="230">
        <v>0</v>
      </c>
      <c r="AG29" s="231">
        <v>0</v>
      </c>
    </row>
    <row r="30" spans="1:33" s="80" customFormat="1" ht="15" customHeight="1">
      <c r="A30" s="215"/>
      <c r="B30" s="216" t="s">
        <v>220</v>
      </c>
      <c r="C30" s="50"/>
      <c r="D30" s="217" t="s">
        <v>174</v>
      </c>
      <c r="E30" s="218">
        <v>860.90000000000009</v>
      </c>
      <c r="F30" s="219"/>
      <c r="G30" s="219"/>
      <c r="H30" s="220">
        <f t="shared" si="13"/>
        <v>860.90000000000009</v>
      </c>
      <c r="I30" s="50"/>
      <c r="J30" s="221">
        <f t="shared" si="14"/>
        <v>0</v>
      </c>
      <c r="K30" s="222">
        <v>0</v>
      </c>
      <c r="L30" s="219">
        <f t="shared" si="15"/>
        <v>0</v>
      </c>
      <c r="M30" s="220">
        <f t="shared" si="16"/>
        <v>0</v>
      </c>
      <c r="N30" s="50"/>
      <c r="O30" s="223">
        <f t="shared" si="17"/>
        <v>0</v>
      </c>
      <c r="P30" s="224">
        <f t="shared" si="0"/>
        <v>0</v>
      </c>
      <c r="Q30" s="225"/>
      <c r="R30" s="226">
        <f t="shared" si="18"/>
        <v>0</v>
      </c>
      <c r="S30" s="50"/>
      <c r="T30" s="227">
        <v>0</v>
      </c>
      <c r="U30" s="78"/>
      <c r="V30" s="221">
        <f t="shared" si="19"/>
        <v>0</v>
      </c>
      <c r="W30" s="220">
        <f t="shared" si="20"/>
        <v>860.90000000000009</v>
      </c>
      <c r="X30" s="79"/>
      <c r="AD30" s="228">
        <v>0</v>
      </c>
      <c r="AE30" s="229">
        <v>0</v>
      </c>
      <c r="AF30" s="230">
        <v>0</v>
      </c>
      <c r="AG30" s="231">
        <v>0</v>
      </c>
    </row>
    <row r="31" spans="1:33" s="80" customFormat="1" ht="15" customHeight="1">
      <c r="A31" s="215"/>
      <c r="B31" s="216" t="s">
        <v>221</v>
      </c>
      <c r="C31" s="50"/>
      <c r="D31" s="217" t="s">
        <v>174</v>
      </c>
      <c r="E31" s="218">
        <v>579.48099999999999</v>
      </c>
      <c r="F31" s="219"/>
      <c r="G31" s="219"/>
      <c r="H31" s="220">
        <f t="shared" si="13"/>
        <v>579.48099999999999</v>
      </c>
      <c r="I31" s="50"/>
      <c r="J31" s="221">
        <f t="shared" si="14"/>
        <v>0</v>
      </c>
      <c r="K31" s="222">
        <v>0</v>
      </c>
      <c r="L31" s="219">
        <f t="shared" si="15"/>
        <v>0</v>
      </c>
      <c r="M31" s="220">
        <f t="shared" si="16"/>
        <v>0</v>
      </c>
      <c r="N31" s="50"/>
      <c r="O31" s="223">
        <f t="shared" si="17"/>
        <v>0</v>
      </c>
      <c r="P31" s="224">
        <f t="shared" si="0"/>
        <v>0</v>
      </c>
      <c r="Q31" s="225"/>
      <c r="R31" s="226">
        <f t="shared" si="18"/>
        <v>0</v>
      </c>
      <c r="S31" s="50"/>
      <c r="T31" s="227">
        <v>0</v>
      </c>
      <c r="U31" s="78"/>
      <c r="V31" s="221">
        <f t="shared" si="19"/>
        <v>0</v>
      </c>
      <c r="W31" s="220">
        <f t="shared" si="20"/>
        <v>579.48099999999999</v>
      </c>
      <c r="X31" s="79"/>
      <c r="AD31" s="228">
        <v>0</v>
      </c>
      <c r="AE31" s="229">
        <v>0</v>
      </c>
      <c r="AF31" s="230">
        <v>0</v>
      </c>
      <c r="AG31" s="231">
        <v>0</v>
      </c>
    </row>
    <row r="32" spans="1:33" s="80" customFormat="1" ht="15" customHeight="1">
      <c r="A32" s="215"/>
      <c r="B32" s="216" t="s">
        <v>222</v>
      </c>
      <c r="C32" s="50"/>
      <c r="D32" s="217" t="s">
        <v>174</v>
      </c>
      <c r="E32" s="218">
        <v>530.6400000000001</v>
      </c>
      <c r="F32" s="219"/>
      <c r="G32" s="219"/>
      <c r="H32" s="220">
        <f t="shared" si="13"/>
        <v>530.6400000000001</v>
      </c>
      <c r="I32" s="50"/>
      <c r="J32" s="221">
        <f t="shared" si="14"/>
        <v>0</v>
      </c>
      <c r="K32" s="222">
        <v>0</v>
      </c>
      <c r="L32" s="219">
        <f t="shared" si="15"/>
        <v>0</v>
      </c>
      <c r="M32" s="220">
        <f t="shared" si="16"/>
        <v>0</v>
      </c>
      <c r="N32" s="50"/>
      <c r="O32" s="223">
        <f t="shared" si="17"/>
        <v>0</v>
      </c>
      <c r="P32" s="224">
        <f t="shared" si="0"/>
        <v>0</v>
      </c>
      <c r="Q32" s="225"/>
      <c r="R32" s="226">
        <f t="shared" si="18"/>
        <v>0</v>
      </c>
      <c r="S32" s="50"/>
      <c r="T32" s="227">
        <v>0</v>
      </c>
      <c r="U32" s="78"/>
      <c r="V32" s="221">
        <f t="shared" si="19"/>
        <v>0</v>
      </c>
      <c r="W32" s="220">
        <f t="shared" si="20"/>
        <v>530.6400000000001</v>
      </c>
      <c r="X32" s="79"/>
      <c r="AD32" s="228">
        <v>0</v>
      </c>
      <c r="AE32" s="229">
        <v>0</v>
      </c>
      <c r="AF32" s="230">
        <v>0</v>
      </c>
      <c r="AG32" s="231">
        <v>0</v>
      </c>
    </row>
    <row r="33" spans="1:33" s="80" customFormat="1" ht="15" customHeight="1">
      <c r="A33" s="215"/>
      <c r="B33" s="216" t="s">
        <v>223</v>
      </c>
      <c r="C33" s="50"/>
      <c r="D33" s="217" t="s">
        <v>174</v>
      </c>
      <c r="E33" s="218">
        <v>0</v>
      </c>
      <c r="F33" s="219"/>
      <c r="G33" s="219"/>
      <c r="H33" s="220">
        <f t="shared" si="13"/>
        <v>0</v>
      </c>
      <c r="I33" s="50"/>
      <c r="J33" s="221">
        <f t="shared" si="14"/>
        <v>0</v>
      </c>
      <c r="K33" s="222">
        <v>0</v>
      </c>
      <c r="L33" s="219">
        <f t="shared" si="15"/>
        <v>0</v>
      </c>
      <c r="M33" s="220">
        <f t="shared" si="16"/>
        <v>0</v>
      </c>
      <c r="N33" s="50"/>
      <c r="O33" s="223">
        <f t="shared" si="17"/>
        <v>0</v>
      </c>
      <c r="P33" s="224" t="str">
        <f t="shared" si="0"/>
        <v/>
      </c>
      <c r="Q33" s="225"/>
      <c r="R33" s="226">
        <f t="shared" si="18"/>
        <v>0</v>
      </c>
      <c r="S33" s="50"/>
      <c r="T33" s="227">
        <v>0</v>
      </c>
      <c r="U33" s="78"/>
      <c r="V33" s="221">
        <f t="shared" si="19"/>
        <v>0</v>
      </c>
      <c r="W33" s="220">
        <f t="shared" si="20"/>
        <v>0</v>
      </c>
      <c r="X33" s="79"/>
      <c r="AD33" s="228">
        <v>0</v>
      </c>
      <c r="AE33" s="229">
        <v>0</v>
      </c>
      <c r="AF33" s="230">
        <v>0</v>
      </c>
      <c r="AG33" s="231">
        <v>0</v>
      </c>
    </row>
    <row r="34" spans="1:33" s="80" customFormat="1" ht="15" customHeight="1" thickBot="1">
      <c r="A34" s="215"/>
      <c r="B34" s="216" t="s">
        <v>224</v>
      </c>
      <c r="C34" s="50"/>
      <c r="D34" s="217" t="s">
        <v>174</v>
      </c>
      <c r="E34" s="218">
        <v>170.05</v>
      </c>
      <c r="F34" s="219"/>
      <c r="G34" s="219"/>
      <c r="H34" s="220">
        <f t="shared" si="13"/>
        <v>170.05</v>
      </c>
      <c r="I34" s="50"/>
      <c r="J34" s="233">
        <f t="shared" si="14"/>
        <v>0</v>
      </c>
      <c r="K34" s="234">
        <v>0</v>
      </c>
      <c r="L34" s="235">
        <f t="shared" si="15"/>
        <v>0</v>
      </c>
      <c r="M34" s="236">
        <f t="shared" si="16"/>
        <v>0</v>
      </c>
      <c r="N34" s="50"/>
      <c r="O34" s="237">
        <f t="shared" si="17"/>
        <v>0</v>
      </c>
      <c r="P34" s="238">
        <f t="shared" si="0"/>
        <v>0</v>
      </c>
      <c r="Q34" s="239"/>
      <c r="R34" s="240">
        <f t="shared" si="18"/>
        <v>0</v>
      </c>
      <c r="S34" s="50"/>
      <c r="T34" s="350">
        <v>170.05</v>
      </c>
      <c r="U34" s="78"/>
      <c r="V34" s="233">
        <f t="shared" si="19"/>
        <v>170.05</v>
      </c>
      <c r="W34" s="236">
        <f t="shared" si="20"/>
        <v>0</v>
      </c>
      <c r="X34" s="79"/>
      <c r="AD34" s="241">
        <v>0</v>
      </c>
      <c r="AE34" s="242">
        <v>0</v>
      </c>
      <c r="AF34" s="243">
        <v>0</v>
      </c>
      <c r="AG34" s="244">
        <v>0</v>
      </c>
    </row>
    <row r="35" spans="1:33" s="76" customFormat="1" ht="19.5" customHeight="1" thickBot="1">
      <c r="A35" s="256" t="s">
        <v>225</v>
      </c>
      <c r="B35" s="257" t="s">
        <v>226</v>
      </c>
      <c r="C35" s="74"/>
      <c r="D35" s="258" t="s">
        <v>174</v>
      </c>
      <c r="E35" s="259">
        <f>SUM(E36:E37)</f>
        <v>133.84</v>
      </c>
      <c r="F35" s="201">
        <f>SUM(F36:F37)</f>
        <v>0</v>
      </c>
      <c r="G35" s="201">
        <f>SUM(G36:G37)</f>
        <v>0</v>
      </c>
      <c r="H35" s="246">
        <f>SUM(H36:H37)</f>
        <v>133.84</v>
      </c>
      <c r="I35" s="74"/>
      <c r="J35" s="245">
        <f>SUM(J36:J37)</f>
        <v>0</v>
      </c>
      <c r="K35" s="260">
        <f>IFERROR(J35/H35,"")</f>
        <v>0</v>
      </c>
      <c r="L35" s="201">
        <f>SUM(L36:L37)</f>
        <v>0</v>
      </c>
      <c r="M35" s="246">
        <f>SUM(M36:M37)</f>
        <v>0</v>
      </c>
      <c r="N35" s="74"/>
      <c r="O35" s="351">
        <f>SUM(O36:O37)</f>
        <v>0</v>
      </c>
      <c r="P35" s="352">
        <f t="shared" si="0"/>
        <v>0</v>
      </c>
      <c r="Q35" s="208">
        <f>SUM(Q36:Q37)</f>
        <v>0</v>
      </c>
      <c r="R35" s="353">
        <f>SUM(R36:R37)</f>
        <v>0</v>
      </c>
      <c r="S35" s="74"/>
      <c r="T35" s="354">
        <f>SUM(T36:T37)</f>
        <v>133.84</v>
      </c>
      <c r="U35" s="90"/>
      <c r="V35" s="245">
        <f>SUM(V36:V37)</f>
        <v>133.84</v>
      </c>
      <c r="W35" s="246">
        <f>SUM(W36:W37)</f>
        <v>0</v>
      </c>
      <c r="X35" s="72"/>
      <c r="AD35" s="252">
        <v>0</v>
      </c>
      <c r="AE35" s="253">
        <v>0</v>
      </c>
      <c r="AF35" s="355">
        <v>0</v>
      </c>
      <c r="AG35" s="255">
        <v>0</v>
      </c>
    </row>
    <row r="36" spans="1:33" s="80" customFormat="1" ht="15" customHeight="1">
      <c r="A36" s="215"/>
      <c r="B36" s="216" t="s">
        <v>227</v>
      </c>
      <c r="C36" s="50"/>
      <c r="D36" s="217" t="s">
        <v>174</v>
      </c>
      <c r="E36" s="218">
        <v>111.74000000000001</v>
      </c>
      <c r="F36" s="219"/>
      <c r="G36" s="219"/>
      <c r="H36" s="220">
        <f t="shared" ref="H36:H37" si="21">SUM(E36:G36)</f>
        <v>111.74000000000001</v>
      </c>
      <c r="I36" s="50"/>
      <c r="J36" s="221">
        <f t="shared" ref="J36:J37" si="22">+H36*K36/100</f>
        <v>0</v>
      </c>
      <c r="K36" s="222">
        <v>0</v>
      </c>
      <c r="L36" s="219">
        <f t="shared" ref="L36:L37" si="23">Q36+AF36</f>
        <v>0</v>
      </c>
      <c r="M36" s="220">
        <f t="shared" ref="M36:M37" si="24">J36-L36</f>
        <v>0</v>
      </c>
      <c r="N36" s="50"/>
      <c r="O36" s="223">
        <f t="shared" ref="O36:O37" si="25">J36-AD36</f>
        <v>0</v>
      </c>
      <c r="P36" s="224">
        <f t="shared" si="0"/>
        <v>0</v>
      </c>
      <c r="Q36" s="225"/>
      <c r="R36" s="226">
        <f t="shared" ref="R36:R37" si="26">O36-Q36</f>
        <v>0</v>
      </c>
      <c r="S36" s="50"/>
      <c r="T36" s="227">
        <v>111.74000000000001</v>
      </c>
      <c r="U36" s="78"/>
      <c r="V36" s="221">
        <f t="shared" ref="V36:V37" si="27">+L36+T36</f>
        <v>111.74000000000001</v>
      </c>
      <c r="W36" s="220">
        <f t="shared" ref="W36:W37" si="28">H36-V36</f>
        <v>0</v>
      </c>
      <c r="X36" s="79"/>
      <c r="AD36" s="228">
        <v>0</v>
      </c>
      <c r="AE36" s="229">
        <v>0</v>
      </c>
      <c r="AF36" s="230">
        <v>0</v>
      </c>
      <c r="AG36" s="231">
        <v>0</v>
      </c>
    </row>
    <row r="37" spans="1:33" s="80" customFormat="1" ht="15" customHeight="1" thickBot="1">
      <c r="A37" s="215"/>
      <c r="B37" s="216" t="s">
        <v>228</v>
      </c>
      <c r="C37" s="50"/>
      <c r="D37" s="217" t="s">
        <v>174</v>
      </c>
      <c r="E37" s="218">
        <v>22.1</v>
      </c>
      <c r="F37" s="219"/>
      <c r="G37" s="219"/>
      <c r="H37" s="220">
        <f t="shared" si="21"/>
        <v>22.1</v>
      </c>
      <c r="I37" s="50"/>
      <c r="J37" s="233">
        <f t="shared" si="22"/>
        <v>0</v>
      </c>
      <c r="K37" s="234">
        <v>0</v>
      </c>
      <c r="L37" s="235">
        <f t="shared" si="23"/>
        <v>0</v>
      </c>
      <c r="M37" s="236">
        <f t="shared" si="24"/>
        <v>0</v>
      </c>
      <c r="N37" s="50"/>
      <c r="O37" s="237">
        <f t="shared" si="25"/>
        <v>0</v>
      </c>
      <c r="P37" s="238">
        <f t="shared" si="0"/>
        <v>0</v>
      </c>
      <c r="Q37" s="239"/>
      <c r="R37" s="240">
        <f t="shared" si="26"/>
        <v>0</v>
      </c>
      <c r="S37" s="50"/>
      <c r="T37" s="350">
        <v>22.1</v>
      </c>
      <c r="U37" s="78"/>
      <c r="V37" s="233">
        <f t="shared" si="27"/>
        <v>22.1</v>
      </c>
      <c r="W37" s="236">
        <f t="shared" si="28"/>
        <v>0</v>
      </c>
      <c r="X37" s="79"/>
      <c r="AD37" s="241">
        <v>0</v>
      </c>
      <c r="AE37" s="242">
        <v>0</v>
      </c>
      <c r="AF37" s="243">
        <v>0</v>
      </c>
      <c r="AG37" s="244">
        <v>0</v>
      </c>
    </row>
    <row r="38" spans="1:33" s="76" customFormat="1" ht="19.5" customHeight="1" thickBot="1">
      <c r="A38" s="256" t="s">
        <v>229</v>
      </c>
      <c r="B38" s="257" t="s">
        <v>230</v>
      </c>
      <c r="C38" s="74"/>
      <c r="D38" s="258" t="s">
        <v>174</v>
      </c>
      <c r="E38" s="259">
        <f>SUM(E39:E40)</f>
        <v>142</v>
      </c>
      <c r="F38" s="201">
        <f>SUM(F39:F40)</f>
        <v>0</v>
      </c>
      <c r="G38" s="201">
        <f>SUM(G39:G40)</f>
        <v>0</v>
      </c>
      <c r="H38" s="246">
        <f>SUM(H39:H40)</f>
        <v>142</v>
      </c>
      <c r="I38" s="74"/>
      <c r="J38" s="245">
        <f>SUM(J39:J40)</f>
        <v>0</v>
      </c>
      <c r="K38" s="260">
        <f>IFERROR(J38/H38,"")</f>
        <v>0</v>
      </c>
      <c r="L38" s="201">
        <f>SUM(L39:L40)</f>
        <v>0</v>
      </c>
      <c r="M38" s="246">
        <f>SUM(M39:M40)</f>
        <v>0</v>
      </c>
      <c r="N38" s="74"/>
      <c r="O38" s="351">
        <f>SUM(O39:O40)</f>
        <v>0</v>
      </c>
      <c r="P38" s="352">
        <f t="shared" si="0"/>
        <v>0</v>
      </c>
      <c r="Q38" s="208">
        <f>SUM(Q39:Q40)</f>
        <v>0</v>
      </c>
      <c r="R38" s="353">
        <f>SUM(R39:R40)</f>
        <v>0</v>
      </c>
      <c r="S38" s="74"/>
      <c r="T38" s="354">
        <f>SUM(T39:T40)</f>
        <v>142</v>
      </c>
      <c r="U38" s="75"/>
      <c r="V38" s="245">
        <f>SUM(V39:V40)</f>
        <v>142</v>
      </c>
      <c r="W38" s="246">
        <f>SUM(W39:W40)</f>
        <v>0</v>
      </c>
      <c r="X38" s="72"/>
      <c r="AD38" s="252">
        <v>0</v>
      </c>
      <c r="AE38" s="253">
        <v>0</v>
      </c>
      <c r="AF38" s="254">
        <v>0</v>
      </c>
      <c r="AG38" s="255">
        <v>0</v>
      </c>
    </row>
    <row r="39" spans="1:33" s="80" customFormat="1" ht="15" customHeight="1">
      <c r="A39" s="215"/>
      <c r="B39" s="216" t="s">
        <v>231</v>
      </c>
      <c r="C39" s="50"/>
      <c r="D39" s="217" t="s">
        <v>174</v>
      </c>
      <c r="E39" s="218">
        <v>84</v>
      </c>
      <c r="F39" s="219"/>
      <c r="G39" s="219"/>
      <c r="H39" s="220">
        <f>SUM(E39:G39)</f>
        <v>84</v>
      </c>
      <c r="I39" s="50"/>
      <c r="J39" s="221">
        <f>+H39*K39/100</f>
        <v>0</v>
      </c>
      <c r="K39" s="222">
        <v>0</v>
      </c>
      <c r="L39" s="219">
        <f>Q39+AF39</f>
        <v>0</v>
      </c>
      <c r="M39" s="220">
        <f>J39-L39</f>
        <v>0</v>
      </c>
      <c r="N39" s="50"/>
      <c r="O39" s="223">
        <f>J39-AD39</f>
        <v>0</v>
      </c>
      <c r="P39" s="224">
        <f t="shared" si="0"/>
        <v>0</v>
      </c>
      <c r="Q39" s="225"/>
      <c r="R39" s="226">
        <f>O39-Q39</f>
        <v>0</v>
      </c>
      <c r="S39" s="50"/>
      <c r="T39" s="227">
        <v>84</v>
      </c>
      <c r="U39" s="78"/>
      <c r="V39" s="221">
        <f>+L39+T39</f>
        <v>84</v>
      </c>
      <c r="W39" s="220">
        <f>H39-V39</f>
        <v>0</v>
      </c>
      <c r="X39" s="79"/>
      <c r="AD39" s="228">
        <v>0</v>
      </c>
      <c r="AE39" s="229">
        <v>0</v>
      </c>
      <c r="AF39" s="230">
        <v>0</v>
      </c>
      <c r="AG39" s="231">
        <v>0</v>
      </c>
    </row>
    <row r="40" spans="1:33" s="80" customFormat="1" ht="15" customHeight="1" thickBot="1">
      <c r="A40" s="215"/>
      <c r="B40" s="216" t="s">
        <v>232</v>
      </c>
      <c r="C40" s="50"/>
      <c r="D40" s="217" t="s">
        <v>174</v>
      </c>
      <c r="E40" s="218">
        <v>58</v>
      </c>
      <c r="F40" s="219"/>
      <c r="G40" s="219"/>
      <c r="H40" s="220">
        <f>SUM(E40:G40)</f>
        <v>58</v>
      </c>
      <c r="I40" s="50"/>
      <c r="J40" s="233">
        <f>+H40*K40/100</f>
        <v>0</v>
      </c>
      <c r="K40" s="234">
        <v>0</v>
      </c>
      <c r="L40" s="235">
        <f>Q40+AF40</f>
        <v>0</v>
      </c>
      <c r="M40" s="236">
        <f>J40-L40</f>
        <v>0</v>
      </c>
      <c r="N40" s="50"/>
      <c r="O40" s="237">
        <f>J40-AD40</f>
        <v>0</v>
      </c>
      <c r="P40" s="238">
        <f t="shared" si="0"/>
        <v>0</v>
      </c>
      <c r="Q40" s="239"/>
      <c r="R40" s="240">
        <f>O40-Q40</f>
        <v>0</v>
      </c>
      <c r="S40" s="50"/>
      <c r="T40" s="350">
        <v>58</v>
      </c>
      <c r="U40" s="78"/>
      <c r="V40" s="233">
        <f>+L40+T40</f>
        <v>58</v>
      </c>
      <c r="W40" s="236">
        <f>H40-V40</f>
        <v>0</v>
      </c>
      <c r="X40" s="79"/>
      <c r="AD40" s="241">
        <v>0</v>
      </c>
      <c r="AE40" s="242">
        <v>0</v>
      </c>
      <c r="AF40" s="243">
        <v>0</v>
      </c>
      <c r="AG40" s="244">
        <v>0</v>
      </c>
    </row>
    <row r="41" spans="1:33" s="76" customFormat="1" ht="19.5" customHeight="1" thickBot="1">
      <c r="A41" s="256" t="s">
        <v>233</v>
      </c>
      <c r="B41" s="257" t="s">
        <v>234</v>
      </c>
      <c r="C41" s="74"/>
      <c r="D41" s="258" t="s">
        <v>174</v>
      </c>
      <c r="E41" s="259">
        <f>SUM(E42:E56)</f>
        <v>182.05</v>
      </c>
      <c r="F41" s="201">
        <f>SUM(F42:F56)</f>
        <v>0</v>
      </c>
      <c r="G41" s="201">
        <f>SUM(G42:G56)</f>
        <v>0</v>
      </c>
      <c r="H41" s="246">
        <f>SUM(H42:H56)</f>
        <v>182.05</v>
      </c>
      <c r="I41" s="74"/>
      <c r="J41" s="245">
        <f>SUM(J42:J56)</f>
        <v>0</v>
      </c>
      <c r="K41" s="260">
        <f>IFERROR(J41/H41,"")</f>
        <v>0</v>
      </c>
      <c r="L41" s="201">
        <f>SUM(L42:L56)</f>
        <v>0</v>
      </c>
      <c r="M41" s="246">
        <f>SUM(M42:M56)</f>
        <v>0</v>
      </c>
      <c r="N41" s="74"/>
      <c r="O41" s="351">
        <f>SUM(O42:O56)</f>
        <v>0</v>
      </c>
      <c r="P41" s="352">
        <f t="shared" si="0"/>
        <v>0</v>
      </c>
      <c r="Q41" s="208">
        <f>SUM(Q42:Q56)</f>
        <v>0</v>
      </c>
      <c r="R41" s="353">
        <f>SUM(R42:R56)</f>
        <v>0</v>
      </c>
      <c r="S41" s="74"/>
      <c r="T41" s="354">
        <f>SUM(T42:T56)</f>
        <v>182.05</v>
      </c>
      <c r="U41" s="75"/>
      <c r="V41" s="245">
        <f>SUM(V42:V56)</f>
        <v>182.05</v>
      </c>
      <c r="W41" s="246">
        <f>SUM(W42:W62)</f>
        <v>0</v>
      </c>
      <c r="X41" s="72"/>
      <c r="AD41" s="252">
        <v>0</v>
      </c>
      <c r="AE41" s="253">
        <v>0</v>
      </c>
      <c r="AF41" s="254">
        <v>0</v>
      </c>
      <c r="AG41" s="255">
        <v>0</v>
      </c>
    </row>
    <row r="42" spans="1:33" s="80" customFormat="1" ht="15" customHeight="1">
      <c r="A42" s="215"/>
      <c r="B42" s="216" t="s">
        <v>235</v>
      </c>
      <c r="C42" s="50"/>
      <c r="D42" s="217" t="s">
        <v>174</v>
      </c>
      <c r="E42" s="218">
        <v>22.04</v>
      </c>
      <c r="F42" s="219"/>
      <c r="G42" s="219"/>
      <c r="H42" s="220">
        <f t="shared" ref="H42:H56" si="29">SUM(E42:G42)</f>
        <v>22.04</v>
      </c>
      <c r="I42" s="50"/>
      <c r="J42" s="221">
        <f t="shared" ref="J42:J56" si="30">+H42*K42/100</f>
        <v>0</v>
      </c>
      <c r="K42" s="222">
        <v>0</v>
      </c>
      <c r="L42" s="219">
        <f t="shared" ref="L42:L56" si="31">Q42+AF42</f>
        <v>0</v>
      </c>
      <c r="M42" s="220">
        <f t="shared" ref="M42:M56" si="32">J42-L42</f>
        <v>0</v>
      </c>
      <c r="N42" s="50"/>
      <c r="O42" s="223">
        <f t="shared" ref="O42:O56" si="33">J42-AD42</f>
        <v>0</v>
      </c>
      <c r="P42" s="224">
        <f t="shared" si="0"/>
        <v>0</v>
      </c>
      <c r="Q42" s="225"/>
      <c r="R42" s="226">
        <f t="shared" ref="R42:R56" si="34">O42-Q42</f>
        <v>0</v>
      </c>
      <c r="S42" s="50"/>
      <c r="T42" s="227">
        <v>22.04</v>
      </c>
      <c r="U42" s="78"/>
      <c r="V42" s="221">
        <f t="shared" ref="V42:V56" si="35">+L42+T42</f>
        <v>22.04</v>
      </c>
      <c r="W42" s="220">
        <f t="shared" ref="W42:W56" si="36">H42-V42</f>
        <v>0</v>
      </c>
      <c r="X42" s="79"/>
      <c r="AD42" s="228">
        <v>0</v>
      </c>
      <c r="AE42" s="229">
        <v>0</v>
      </c>
      <c r="AF42" s="230">
        <v>0</v>
      </c>
      <c r="AG42" s="231">
        <v>0</v>
      </c>
    </row>
    <row r="43" spans="1:33" s="80" customFormat="1" ht="15" customHeight="1">
      <c r="A43" s="215"/>
      <c r="B43" s="216" t="s">
        <v>236</v>
      </c>
      <c r="C43" s="50"/>
      <c r="D43" s="217" t="s">
        <v>174</v>
      </c>
      <c r="E43" s="218">
        <v>0</v>
      </c>
      <c r="F43" s="219"/>
      <c r="G43" s="219"/>
      <c r="H43" s="220">
        <f t="shared" si="29"/>
        <v>0</v>
      </c>
      <c r="I43" s="50"/>
      <c r="J43" s="221">
        <f t="shared" ref="J43:J50" si="37">H43*K43/100</f>
        <v>0</v>
      </c>
      <c r="K43" s="222">
        <v>0</v>
      </c>
      <c r="L43" s="219">
        <f t="shared" si="31"/>
        <v>0</v>
      </c>
      <c r="M43" s="220">
        <f t="shared" si="32"/>
        <v>0</v>
      </c>
      <c r="N43" s="50"/>
      <c r="O43" s="223">
        <f t="shared" si="33"/>
        <v>0</v>
      </c>
      <c r="P43" s="224" t="str">
        <f t="shared" si="0"/>
        <v/>
      </c>
      <c r="Q43" s="225"/>
      <c r="R43" s="226">
        <f t="shared" si="34"/>
        <v>0</v>
      </c>
      <c r="S43" s="50"/>
      <c r="T43" s="227">
        <v>0</v>
      </c>
      <c r="U43" s="78"/>
      <c r="V43" s="221">
        <f t="shared" si="35"/>
        <v>0</v>
      </c>
      <c r="W43" s="220">
        <f t="shared" si="36"/>
        <v>0</v>
      </c>
      <c r="X43" s="79"/>
      <c r="AD43" s="228">
        <v>0</v>
      </c>
      <c r="AE43" s="229">
        <v>0</v>
      </c>
      <c r="AF43" s="230">
        <v>0</v>
      </c>
      <c r="AG43" s="231">
        <v>0</v>
      </c>
    </row>
    <row r="44" spans="1:33" s="80" customFormat="1" ht="15" customHeight="1">
      <c r="A44" s="215"/>
      <c r="B44" s="216" t="s">
        <v>237</v>
      </c>
      <c r="C44" s="50"/>
      <c r="D44" s="217" t="s">
        <v>174</v>
      </c>
      <c r="E44" s="218">
        <v>0</v>
      </c>
      <c r="F44" s="219"/>
      <c r="G44" s="219"/>
      <c r="H44" s="220">
        <f t="shared" si="29"/>
        <v>0</v>
      </c>
      <c r="I44" s="50"/>
      <c r="J44" s="221">
        <f t="shared" si="37"/>
        <v>0</v>
      </c>
      <c r="K44" s="222">
        <v>0</v>
      </c>
      <c r="L44" s="219">
        <f t="shared" si="31"/>
        <v>0</v>
      </c>
      <c r="M44" s="220">
        <f t="shared" si="32"/>
        <v>0</v>
      </c>
      <c r="N44" s="50"/>
      <c r="O44" s="223">
        <f t="shared" si="33"/>
        <v>0</v>
      </c>
      <c r="P44" s="224" t="str">
        <f t="shared" si="0"/>
        <v/>
      </c>
      <c r="Q44" s="225"/>
      <c r="R44" s="226">
        <f t="shared" si="34"/>
        <v>0</v>
      </c>
      <c r="S44" s="50"/>
      <c r="T44" s="227">
        <v>0</v>
      </c>
      <c r="U44" s="78"/>
      <c r="V44" s="221">
        <f t="shared" si="35"/>
        <v>0</v>
      </c>
      <c r="W44" s="220">
        <f t="shared" si="36"/>
        <v>0</v>
      </c>
      <c r="X44" s="79"/>
      <c r="AD44" s="228">
        <v>0</v>
      </c>
      <c r="AE44" s="229">
        <v>0</v>
      </c>
      <c r="AF44" s="230">
        <v>0</v>
      </c>
      <c r="AG44" s="231">
        <v>0</v>
      </c>
    </row>
    <row r="45" spans="1:33" s="80" customFormat="1" ht="15" customHeight="1">
      <c r="A45" s="215"/>
      <c r="B45" s="216" t="s">
        <v>238</v>
      </c>
      <c r="C45" s="50"/>
      <c r="D45" s="217" t="s">
        <v>174</v>
      </c>
      <c r="E45" s="218">
        <v>0</v>
      </c>
      <c r="F45" s="219"/>
      <c r="G45" s="219"/>
      <c r="H45" s="220">
        <f t="shared" si="29"/>
        <v>0</v>
      </c>
      <c r="I45" s="50"/>
      <c r="J45" s="221">
        <f t="shared" si="37"/>
        <v>0</v>
      </c>
      <c r="K45" s="222">
        <v>0</v>
      </c>
      <c r="L45" s="219">
        <f t="shared" si="31"/>
        <v>0</v>
      </c>
      <c r="M45" s="220">
        <f t="shared" si="32"/>
        <v>0</v>
      </c>
      <c r="N45" s="50"/>
      <c r="O45" s="223">
        <f t="shared" si="33"/>
        <v>0</v>
      </c>
      <c r="P45" s="224" t="str">
        <f t="shared" si="0"/>
        <v/>
      </c>
      <c r="Q45" s="225"/>
      <c r="R45" s="226">
        <f t="shared" si="34"/>
        <v>0</v>
      </c>
      <c r="S45" s="50"/>
      <c r="T45" s="227">
        <v>0</v>
      </c>
      <c r="U45" s="78"/>
      <c r="V45" s="221">
        <f t="shared" si="35"/>
        <v>0</v>
      </c>
      <c r="W45" s="220">
        <f t="shared" si="36"/>
        <v>0</v>
      </c>
      <c r="X45" s="79"/>
      <c r="AD45" s="228">
        <v>0</v>
      </c>
      <c r="AE45" s="229">
        <v>0</v>
      </c>
      <c r="AF45" s="230">
        <v>0</v>
      </c>
      <c r="AG45" s="231">
        <v>0</v>
      </c>
    </row>
    <row r="46" spans="1:33" s="80" customFormat="1" ht="15" customHeight="1">
      <c r="A46" s="215"/>
      <c r="B46" s="216" t="s">
        <v>239</v>
      </c>
      <c r="C46" s="50"/>
      <c r="D46" s="217" t="s">
        <v>174</v>
      </c>
      <c r="E46" s="218">
        <v>0</v>
      </c>
      <c r="F46" s="219"/>
      <c r="G46" s="219"/>
      <c r="H46" s="220">
        <f t="shared" si="29"/>
        <v>0</v>
      </c>
      <c r="I46" s="50"/>
      <c r="J46" s="221">
        <f t="shared" si="37"/>
        <v>0</v>
      </c>
      <c r="K46" s="222">
        <v>0</v>
      </c>
      <c r="L46" s="219">
        <f t="shared" si="31"/>
        <v>0</v>
      </c>
      <c r="M46" s="220">
        <f t="shared" si="32"/>
        <v>0</v>
      </c>
      <c r="N46" s="50"/>
      <c r="O46" s="223">
        <f t="shared" si="33"/>
        <v>0</v>
      </c>
      <c r="P46" s="224" t="str">
        <f t="shared" si="0"/>
        <v/>
      </c>
      <c r="Q46" s="225"/>
      <c r="R46" s="226">
        <f t="shared" si="34"/>
        <v>0</v>
      </c>
      <c r="S46" s="50"/>
      <c r="T46" s="227">
        <v>0</v>
      </c>
      <c r="U46" s="78"/>
      <c r="V46" s="221">
        <f t="shared" si="35"/>
        <v>0</v>
      </c>
      <c r="W46" s="220">
        <f t="shared" si="36"/>
        <v>0</v>
      </c>
      <c r="X46" s="79"/>
      <c r="AD46" s="228">
        <v>0</v>
      </c>
      <c r="AE46" s="229">
        <v>0</v>
      </c>
      <c r="AF46" s="230">
        <v>0</v>
      </c>
      <c r="AG46" s="231">
        <v>0</v>
      </c>
    </row>
    <row r="47" spans="1:33" s="80" customFormat="1" ht="15" customHeight="1">
      <c r="A47" s="215"/>
      <c r="B47" s="216" t="s">
        <v>240</v>
      </c>
      <c r="C47" s="50"/>
      <c r="D47" s="217" t="s">
        <v>174</v>
      </c>
      <c r="E47" s="218">
        <v>2.4000000000000004</v>
      </c>
      <c r="F47" s="219"/>
      <c r="G47" s="219"/>
      <c r="H47" s="220">
        <f t="shared" si="29"/>
        <v>2.4000000000000004</v>
      </c>
      <c r="I47" s="50"/>
      <c r="J47" s="221">
        <f t="shared" si="37"/>
        <v>0</v>
      </c>
      <c r="K47" s="222">
        <v>0</v>
      </c>
      <c r="L47" s="219">
        <f t="shared" si="31"/>
        <v>0</v>
      </c>
      <c r="M47" s="220">
        <f t="shared" si="32"/>
        <v>0</v>
      </c>
      <c r="N47" s="50"/>
      <c r="O47" s="223">
        <f t="shared" si="33"/>
        <v>0</v>
      </c>
      <c r="P47" s="224">
        <f t="shared" si="0"/>
        <v>0</v>
      </c>
      <c r="Q47" s="225"/>
      <c r="R47" s="226">
        <f t="shared" si="34"/>
        <v>0</v>
      </c>
      <c r="S47" s="50"/>
      <c r="T47" s="227">
        <v>2.4000000000000004</v>
      </c>
      <c r="U47" s="78"/>
      <c r="V47" s="221">
        <f t="shared" si="35"/>
        <v>2.4000000000000004</v>
      </c>
      <c r="W47" s="220">
        <f t="shared" si="36"/>
        <v>0</v>
      </c>
      <c r="X47" s="79"/>
      <c r="AD47" s="228">
        <v>0</v>
      </c>
      <c r="AE47" s="229">
        <v>0</v>
      </c>
      <c r="AF47" s="230">
        <v>0</v>
      </c>
      <c r="AG47" s="231">
        <v>0</v>
      </c>
    </row>
    <row r="48" spans="1:33" s="80" customFormat="1" ht="15" customHeight="1">
      <c r="A48" s="215"/>
      <c r="B48" s="216" t="s">
        <v>241</v>
      </c>
      <c r="C48" s="50"/>
      <c r="D48" s="217" t="s">
        <v>174</v>
      </c>
      <c r="E48" s="218">
        <v>63</v>
      </c>
      <c r="F48" s="219"/>
      <c r="G48" s="219"/>
      <c r="H48" s="220">
        <f t="shared" si="29"/>
        <v>63</v>
      </c>
      <c r="I48" s="50"/>
      <c r="J48" s="221">
        <f t="shared" si="37"/>
        <v>0</v>
      </c>
      <c r="K48" s="222">
        <v>0</v>
      </c>
      <c r="L48" s="219">
        <f t="shared" si="31"/>
        <v>0</v>
      </c>
      <c r="M48" s="220">
        <f t="shared" si="32"/>
        <v>0</v>
      </c>
      <c r="N48" s="50"/>
      <c r="O48" s="223">
        <f t="shared" si="33"/>
        <v>0</v>
      </c>
      <c r="P48" s="224">
        <f t="shared" si="0"/>
        <v>0</v>
      </c>
      <c r="Q48" s="225"/>
      <c r="R48" s="226">
        <f t="shared" si="34"/>
        <v>0</v>
      </c>
      <c r="S48" s="50"/>
      <c r="T48" s="227">
        <v>63</v>
      </c>
      <c r="U48" s="78"/>
      <c r="V48" s="221">
        <f t="shared" si="35"/>
        <v>63</v>
      </c>
      <c r="W48" s="220">
        <f t="shared" si="36"/>
        <v>0</v>
      </c>
      <c r="X48" s="79"/>
      <c r="AD48" s="228">
        <v>0</v>
      </c>
      <c r="AE48" s="229">
        <v>0</v>
      </c>
      <c r="AF48" s="230">
        <v>0</v>
      </c>
      <c r="AG48" s="231">
        <v>0</v>
      </c>
    </row>
    <row r="49" spans="1:33" s="80" customFormat="1" ht="15" customHeight="1">
      <c r="A49" s="215"/>
      <c r="B49" s="216" t="s">
        <v>242</v>
      </c>
      <c r="C49" s="50"/>
      <c r="D49" s="217" t="s">
        <v>174</v>
      </c>
      <c r="E49" s="218">
        <v>16.5</v>
      </c>
      <c r="F49" s="219"/>
      <c r="G49" s="219"/>
      <c r="H49" s="220">
        <f t="shared" si="29"/>
        <v>16.5</v>
      </c>
      <c r="I49" s="50"/>
      <c r="J49" s="221">
        <f t="shared" si="37"/>
        <v>0</v>
      </c>
      <c r="K49" s="222">
        <v>0</v>
      </c>
      <c r="L49" s="219">
        <f t="shared" si="31"/>
        <v>0</v>
      </c>
      <c r="M49" s="220">
        <f t="shared" si="32"/>
        <v>0</v>
      </c>
      <c r="N49" s="50"/>
      <c r="O49" s="223">
        <f t="shared" si="33"/>
        <v>0</v>
      </c>
      <c r="P49" s="224">
        <f t="shared" si="0"/>
        <v>0</v>
      </c>
      <c r="Q49" s="225"/>
      <c r="R49" s="226">
        <f t="shared" si="34"/>
        <v>0</v>
      </c>
      <c r="S49" s="50"/>
      <c r="T49" s="227">
        <v>16.5</v>
      </c>
      <c r="U49" s="78"/>
      <c r="V49" s="221">
        <f t="shared" si="35"/>
        <v>16.5</v>
      </c>
      <c r="W49" s="220">
        <f t="shared" si="36"/>
        <v>0</v>
      </c>
      <c r="X49" s="79"/>
      <c r="AD49" s="228">
        <v>0</v>
      </c>
      <c r="AE49" s="229">
        <v>0</v>
      </c>
      <c r="AF49" s="230">
        <v>0</v>
      </c>
      <c r="AG49" s="231">
        <v>0</v>
      </c>
    </row>
    <row r="50" spans="1:33" s="80" customFormat="1" ht="15" customHeight="1">
      <c r="A50" s="215"/>
      <c r="B50" s="216" t="s">
        <v>243</v>
      </c>
      <c r="C50" s="50"/>
      <c r="D50" s="217" t="s">
        <v>174</v>
      </c>
      <c r="E50" s="218">
        <v>0</v>
      </c>
      <c r="F50" s="219"/>
      <c r="G50" s="219"/>
      <c r="H50" s="220">
        <f t="shared" si="29"/>
        <v>0</v>
      </c>
      <c r="I50" s="50"/>
      <c r="J50" s="221">
        <f t="shared" si="37"/>
        <v>0</v>
      </c>
      <c r="K50" s="222">
        <v>0</v>
      </c>
      <c r="L50" s="219">
        <f t="shared" si="31"/>
        <v>0</v>
      </c>
      <c r="M50" s="220">
        <f t="shared" si="32"/>
        <v>0</v>
      </c>
      <c r="N50" s="50"/>
      <c r="O50" s="223">
        <f t="shared" si="33"/>
        <v>0</v>
      </c>
      <c r="P50" s="224" t="str">
        <f t="shared" si="0"/>
        <v/>
      </c>
      <c r="Q50" s="225"/>
      <c r="R50" s="226">
        <f t="shared" si="34"/>
        <v>0</v>
      </c>
      <c r="S50" s="50"/>
      <c r="T50" s="227">
        <v>0</v>
      </c>
      <c r="U50" s="78"/>
      <c r="V50" s="221">
        <f t="shared" si="35"/>
        <v>0</v>
      </c>
      <c r="W50" s="220">
        <f t="shared" si="36"/>
        <v>0</v>
      </c>
      <c r="X50" s="79"/>
      <c r="AD50" s="228">
        <v>0</v>
      </c>
      <c r="AE50" s="229">
        <v>0</v>
      </c>
      <c r="AF50" s="230">
        <v>0</v>
      </c>
      <c r="AG50" s="231">
        <v>0</v>
      </c>
    </row>
    <row r="51" spans="1:33" s="80" customFormat="1" ht="15" customHeight="1">
      <c r="A51" s="215"/>
      <c r="B51" s="216" t="s">
        <v>244</v>
      </c>
      <c r="C51" s="50"/>
      <c r="D51" s="217" t="s">
        <v>174</v>
      </c>
      <c r="E51" s="218">
        <v>0</v>
      </c>
      <c r="F51" s="219"/>
      <c r="G51" s="219"/>
      <c r="H51" s="220">
        <f t="shared" si="29"/>
        <v>0</v>
      </c>
      <c r="I51" s="50"/>
      <c r="J51" s="221">
        <f t="shared" si="30"/>
        <v>0</v>
      </c>
      <c r="K51" s="222">
        <v>0</v>
      </c>
      <c r="L51" s="219">
        <f t="shared" si="31"/>
        <v>0</v>
      </c>
      <c r="M51" s="220">
        <f t="shared" si="32"/>
        <v>0</v>
      </c>
      <c r="N51" s="50"/>
      <c r="O51" s="223">
        <f t="shared" si="33"/>
        <v>0</v>
      </c>
      <c r="P51" s="224" t="str">
        <f t="shared" si="0"/>
        <v/>
      </c>
      <c r="Q51" s="225"/>
      <c r="R51" s="226">
        <f t="shared" si="34"/>
        <v>0</v>
      </c>
      <c r="S51" s="50"/>
      <c r="T51" s="227">
        <v>0</v>
      </c>
      <c r="U51" s="78"/>
      <c r="V51" s="221">
        <f t="shared" si="35"/>
        <v>0</v>
      </c>
      <c r="W51" s="220">
        <f t="shared" si="36"/>
        <v>0</v>
      </c>
      <c r="X51" s="79"/>
      <c r="AD51" s="228">
        <v>0</v>
      </c>
      <c r="AE51" s="229">
        <v>0</v>
      </c>
      <c r="AF51" s="230">
        <v>0</v>
      </c>
      <c r="AG51" s="231">
        <v>0</v>
      </c>
    </row>
    <row r="52" spans="1:33" s="80" customFormat="1" ht="15" customHeight="1">
      <c r="A52" s="215"/>
      <c r="B52" s="216" t="s">
        <v>245</v>
      </c>
      <c r="C52" s="50"/>
      <c r="D52" s="217" t="s">
        <v>174</v>
      </c>
      <c r="E52" s="218">
        <v>36.800000000000004</v>
      </c>
      <c r="F52" s="219"/>
      <c r="G52" s="219"/>
      <c r="H52" s="220">
        <f t="shared" si="29"/>
        <v>36.800000000000004</v>
      </c>
      <c r="I52" s="50"/>
      <c r="J52" s="221">
        <f t="shared" si="30"/>
        <v>0</v>
      </c>
      <c r="K52" s="222">
        <v>0</v>
      </c>
      <c r="L52" s="219">
        <f t="shared" si="31"/>
        <v>0</v>
      </c>
      <c r="M52" s="220">
        <f t="shared" si="32"/>
        <v>0</v>
      </c>
      <c r="N52" s="50"/>
      <c r="O52" s="223">
        <f t="shared" si="33"/>
        <v>0</v>
      </c>
      <c r="P52" s="224">
        <f t="shared" si="0"/>
        <v>0</v>
      </c>
      <c r="Q52" s="225"/>
      <c r="R52" s="226">
        <f t="shared" si="34"/>
        <v>0</v>
      </c>
      <c r="S52" s="50"/>
      <c r="T52" s="227">
        <v>36.800000000000004</v>
      </c>
      <c r="U52" s="78"/>
      <c r="V52" s="221">
        <f t="shared" si="35"/>
        <v>36.800000000000004</v>
      </c>
      <c r="W52" s="220">
        <f t="shared" si="36"/>
        <v>0</v>
      </c>
      <c r="X52" s="79"/>
      <c r="AD52" s="228">
        <v>0</v>
      </c>
      <c r="AE52" s="229">
        <v>0</v>
      </c>
      <c r="AF52" s="230">
        <v>0</v>
      </c>
      <c r="AG52" s="231">
        <v>0</v>
      </c>
    </row>
    <row r="53" spans="1:33" s="80" customFormat="1" ht="15" customHeight="1">
      <c r="A53" s="215"/>
      <c r="B53" s="216" t="s">
        <v>246</v>
      </c>
      <c r="C53" s="50"/>
      <c r="D53" s="217" t="s">
        <v>174</v>
      </c>
      <c r="E53" s="218">
        <v>0</v>
      </c>
      <c r="F53" s="219"/>
      <c r="G53" s="219"/>
      <c r="H53" s="220">
        <f t="shared" si="29"/>
        <v>0</v>
      </c>
      <c r="I53" s="50"/>
      <c r="J53" s="221">
        <f t="shared" si="30"/>
        <v>0</v>
      </c>
      <c r="K53" s="222">
        <v>0</v>
      </c>
      <c r="L53" s="219">
        <f t="shared" si="31"/>
        <v>0</v>
      </c>
      <c r="M53" s="220">
        <f t="shared" si="32"/>
        <v>0</v>
      </c>
      <c r="N53" s="50"/>
      <c r="O53" s="223">
        <f t="shared" si="33"/>
        <v>0</v>
      </c>
      <c r="P53" s="224" t="str">
        <f t="shared" si="0"/>
        <v/>
      </c>
      <c r="Q53" s="225"/>
      <c r="R53" s="226">
        <f t="shared" si="34"/>
        <v>0</v>
      </c>
      <c r="S53" s="50"/>
      <c r="T53" s="227">
        <v>0</v>
      </c>
      <c r="U53" s="78"/>
      <c r="V53" s="221">
        <f t="shared" si="35"/>
        <v>0</v>
      </c>
      <c r="W53" s="220">
        <f t="shared" si="36"/>
        <v>0</v>
      </c>
      <c r="X53" s="79"/>
      <c r="AD53" s="228">
        <v>0</v>
      </c>
      <c r="AE53" s="229">
        <v>0</v>
      </c>
      <c r="AF53" s="230">
        <v>0</v>
      </c>
      <c r="AG53" s="231">
        <v>0</v>
      </c>
    </row>
    <row r="54" spans="1:33" s="80" customFormat="1" ht="15" customHeight="1">
      <c r="A54" s="215"/>
      <c r="B54" s="216" t="s">
        <v>247</v>
      </c>
      <c r="C54" s="50"/>
      <c r="D54" s="217" t="s">
        <v>174</v>
      </c>
      <c r="E54" s="218">
        <v>0</v>
      </c>
      <c r="F54" s="219"/>
      <c r="G54" s="219"/>
      <c r="H54" s="220">
        <f t="shared" si="29"/>
        <v>0</v>
      </c>
      <c r="I54" s="50"/>
      <c r="J54" s="221">
        <f t="shared" si="30"/>
        <v>0</v>
      </c>
      <c r="K54" s="222">
        <v>0</v>
      </c>
      <c r="L54" s="219">
        <f t="shared" si="31"/>
        <v>0</v>
      </c>
      <c r="M54" s="220">
        <f t="shared" si="32"/>
        <v>0</v>
      </c>
      <c r="N54" s="50"/>
      <c r="O54" s="223">
        <f t="shared" si="33"/>
        <v>0</v>
      </c>
      <c r="P54" s="224" t="str">
        <f t="shared" si="0"/>
        <v/>
      </c>
      <c r="Q54" s="225"/>
      <c r="R54" s="226">
        <f t="shared" si="34"/>
        <v>0</v>
      </c>
      <c r="S54" s="50"/>
      <c r="T54" s="227">
        <v>0</v>
      </c>
      <c r="U54" s="78"/>
      <c r="V54" s="221">
        <f t="shared" si="35"/>
        <v>0</v>
      </c>
      <c r="W54" s="220">
        <f t="shared" si="36"/>
        <v>0</v>
      </c>
      <c r="X54" s="79"/>
      <c r="AD54" s="228">
        <v>0</v>
      </c>
      <c r="AE54" s="229">
        <v>0</v>
      </c>
      <c r="AF54" s="230">
        <v>0</v>
      </c>
      <c r="AG54" s="231">
        <v>0</v>
      </c>
    </row>
    <row r="55" spans="1:33" s="80" customFormat="1" ht="15" customHeight="1">
      <c r="A55" s="215"/>
      <c r="B55" s="216" t="s">
        <v>248</v>
      </c>
      <c r="C55" s="50"/>
      <c r="D55" s="217" t="s">
        <v>174</v>
      </c>
      <c r="E55" s="218">
        <v>41.31</v>
      </c>
      <c r="F55" s="219"/>
      <c r="G55" s="219"/>
      <c r="H55" s="220">
        <f t="shared" si="29"/>
        <v>41.31</v>
      </c>
      <c r="I55" s="50"/>
      <c r="J55" s="221">
        <f t="shared" si="30"/>
        <v>0</v>
      </c>
      <c r="K55" s="222">
        <v>0</v>
      </c>
      <c r="L55" s="219">
        <f t="shared" si="31"/>
        <v>0</v>
      </c>
      <c r="M55" s="220">
        <f t="shared" si="32"/>
        <v>0</v>
      </c>
      <c r="N55" s="50"/>
      <c r="O55" s="223">
        <f t="shared" si="33"/>
        <v>0</v>
      </c>
      <c r="P55" s="224">
        <f t="shared" si="0"/>
        <v>0</v>
      </c>
      <c r="Q55" s="225"/>
      <c r="R55" s="226">
        <f t="shared" si="34"/>
        <v>0</v>
      </c>
      <c r="S55" s="50"/>
      <c r="T55" s="227">
        <v>41.31</v>
      </c>
      <c r="U55" s="78"/>
      <c r="V55" s="221">
        <f t="shared" si="35"/>
        <v>41.31</v>
      </c>
      <c r="W55" s="220">
        <f t="shared" si="36"/>
        <v>0</v>
      </c>
      <c r="X55" s="79"/>
      <c r="AD55" s="228">
        <v>0</v>
      </c>
      <c r="AE55" s="229">
        <v>0</v>
      </c>
      <c r="AF55" s="230">
        <v>0</v>
      </c>
      <c r="AG55" s="231">
        <v>0</v>
      </c>
    </row>
    <row r="56" spans="1:33" s="80" customFormat="1" ht="15" customHeight="1" thickBot="1">
      <c r="A56" s="215"/>
      <c r="B56" s="216" t="s">
        <v>249</v>
      </c>
      <c r="C56" s="50"/>
      <c r="D56" s="217" t="s">
        <v>174</v>
      </c>
      <c r="E56" s="218">
        <v>0</v>
      </c>
      <c r="F56" s="219"/>
      <c r="G56" s="219"/>
      <c r="H56" s="220">
        <f t="shared" si="29"/>
        <v>0</v>
      </c>
      <c r="I56" s="50"/>
      <c r="J56" s="233">
        <f t="shared" si="30"/>
        <v>0</v>
      </c>
      <c r="K56" s="234">
        <v>0</v>
      </c>
      <c r="L56" s="235">
        <f t="shared" si="31"/>
        <v>0</v>
      </c>
      <c r="M56" s="236">
        <f t="shared" si="32"/>
        <v>0</v>
      </c>
      <c r="N56" s="50"/>
      <c r="O56" s="237">
        <f t="shared" si="33"/>
        <v>0</v>
      </c>
      <c r="P56" s="238" t="str">
        <f t="shared" si="0"/>
        <v/>
      </c>
      <c r="Q56" s="239"/>
      <c r="R56" s="240">
        <f t="shared" si="34"/>
        <v>0</v>
      </c>
      <c r="S56" s="50"/>
      <c r="T56" s="350">
        <v>0</v>
      </c>
      <c r="U56" s="78"/>
      <c r="V56" s="233">
        <f t="shared" si="35"/>
        <v>0</v>
      </c>
      <c r="W56" s="236">
        <f t="shared" si="36"/>
        <v>0</v>
      </c>
      <c r="X56" s="79"/>
      <c r="AD56" s="241">
        <v>0</v>
      </c>
      <c r="AE56" s="242">
        <v>0</v>
      </c>
      <c r="AF56" s="243">
        <v>0</v>
      </c>
      <c r="AG56" s="244">
        <v>0</v>
      </c>
    </row>
    <row r="57" spans="1:33" s="76" customFormat="1" ht="19.5" customHeight="1" thickBot="1">
      <c r="A57" s="256" t="s">
        <v>250</v>
      </c>
      <c r="B57" s="257" t="s">
        <v>251</v>
      </c>
      <c r="C57" s="74"/>
      <c r="D57" s="258" t="s">
        <v>174</v>
      </c>
      <c r="E57" s="259">
        <f>SUM(E58:E60)</f>
        <v>0</v>
      </c>
      <c r="F57" s="201">
        <f>SUM(F58:F60)</f>
        <v>0</v>
      </c>
      <c r="G57" s="201">
        <f>SUM(G58:G60)</f>
        <v>0</v>
      </c>
      <c r="H57" s="246">
        <f>SUM(H58:H60)</f>
        <v>0</v>
      </c>
      <c r="I57" s="74"/>
      <c r="J57" s="245">
        <f>SUM(J58:J60)</f>
        <v>0</v>
      </c>
      <c r="K57" s="260" t="str">
        <f>IFERROR(J57/H57,"")</f>
        <v/>
      </c>
      <c r="L57" s="201">
        <f>SUM(L58:L60)</f>
        <v>0</v>
      </c>
      <c r="M57" s="246">
        <f>SUM(M58:M60)</f>
        <v>0</v>
      </c>
      <c r="N57" s="74"/>
      <c r="O57" s="351">
        <f>SUM(O58:O60)</f>
        <v>0</v>
      </c>
      <c r="P57" s="352" t="str">
        <f t="shared" si="0"/>
        <v/>
      </c>
      <c r="Q57" s="208">
        <f>SUM(Q58:Q60)</f>
        <v>0</v>
      </c>
      <c r="R57" s="353">
        <f>SUM(R58:R60)</f>
        <v>0</v>
      </c>
      <c r="S57" s="74"/>
      <c r="T57" s="354">
        <f>SUM(T58:T60)</f>
        <v>0</v>
      </c>
      <c r="U57" s="75"/>
      <c r="V57" s="245">
        <f>SUM(V58:V60)</f>
        <v>0</v>
      </c>
      <c r="W57" s="246">
        <f>SUM(W58:W60)</f>
        <v>0</v>
      </c>
      <c r="X57" s="72"/>
      <c r="AD57" s="252">
        <v>0</v>
      </c>
      <c r="AE57" s="253" t="s">
        <v>67</v>
      </c>
      <c r="AF57" s="355">
        <v>0</v>
      </c>
      <c r="AG57" s="255">
        <v>0</v>
      </c>
    </row>
    <row r="58" spans="1:33" s="80" customFormat="1" ht="15" customHeight="1">
      <c r="A58" s="215"/>
      <c r="B58" s="216" t="s">
        <v>252</v>
      </c>
      <c r="C58" s="50"/>
      <c r="D58" s="217" t="s">
        <v>174</v>
      </c>
      <c r="E58" s="218">
        <v>0</v>
      </c>
      <c r="F58" s="219"/>
      <c r="G58" s="219"/>
      <c r="H58" s="220">
        <f>SUM(E58:G58)</f>
        <v>0</v>
      </c>
      <c r="I58" s="50"/>
      <c r="J58" s="221">
        <f t="shared" ref="J58:J60" si="38">+H58*K58/100</f>
        <v>0</v>
      </c>
      <c r="K58" s="222">
        <v>0</v>
      </c>
      <c r="L58" s="219">
        <f>Q58+AF58</f>
        <v>0</v>
      </c>
      <c r="M58" s="220">
        <f>J58-L58</f>
        <v>0</v>
      </c>
      <c r="N58" s="50"/>
      <c r="O58" s="223">
        <f>J58-AD58</f>
        <v>0</v>
      </c>
      <c r="P58" s="224" t="str">
        <f t="shared" si="0"/>
        <v/>
      </c>
      <c r="Q58" s="225"/>
      <c r="R58" s="226">
        <f>O58-Q58</f>
        <v>0</v>
      </c>
      <c r="S58" s="50"/>
      <c r="T58" s="227">
        <v>0</v>
      </c>
      <c r="U58" s="78"/>
      <c r="V58" s="221">
        <f t="shared" ref="V58:V60" si="39">+L58+T58</f>
        <v>0</v>
      </c>
      <c r="W58" s="220">
        <f>H58-V58</f>
        <v>0</v>
      </c>
      <c r="X58" s="79"/>
      <c r="AD58" s="228">
        <v>0</v>
      </c>
      <c r="AE58" s="229">
        <v>0</v>
      </c>
      <c r="AF58" s="230">
        <v>0</v>
      </c>
      <c r="AG58" s="231">
        <v>0</v>
      </c>
    </row>
    <row r="59" spans="1:33" s="80" customFormat="1" ht="15" customHeight="1">
      <c r="A59" s="215"/>
      <c r="B59" s="216" t="s">
        <v>252</v>
      </c>
      <c r="C59" s="50"/>
      <c r="D59" s="217" t="s">
        <v>174</v>
      </c>
      <c r="E59" s="218">
        <v>0</v>
      </c>
      <c r="F59" s="219"/>
      <c r="G59" s="219"/>
      <c r="H59" s="220">
        <f>SUM(E59:G59)</f>
        <v>0</v>
      </c>
      <c r="I59" s="50"/>
      <c r="J59" s="221">
        <f t="shared" si="38"/>
        <v>0</v>
      </c>
      <c r="K59" s="222">
        <v>0</v>
      </c>
      <c r="L59" s="219">
        <f>Q59+AF59</f>
        <v>0</v>
      </c>
      <c r="M59" s="220">
        <f>J59-L59</f>
        <v>0</v>
      </c>
      <c r="N59" s="50"/>
      <c r="O59" s="223">
        <f>J59-AD59</f>
        <v>0</v>
      </c>
      <c r="P59" s="224" t="str">
        <f t="shared" si="0"/>
        <v/>
      </c>
      <c r="Q59" s="225"/>
      <c r="R59" s="226">
        <f>O59-Q59</f>
        <v>0</v>
      </c>
      <c r="S59" s="50"/>
      <c r="T59" s="227">
        <v>0</v>
      </c>
      <c r="U59" s="78"/>
      <c r="V59" s="221">
        <f t="shared" si="39"/>
        <v>0</v>
      </c>
      <c r="W59" s="220">
        <f>H59-V59</f>
        <v>0</v>
      </c>
      <c r="X59" s="79"/>
      <c r="AD59" s="228">
        <v>0</v>
      </c>
      <c r="AE59" s="229">
        <v>0</v>
      </c>
      <c r="AF59" s="230">
        <v>0</v>
      </c>
      <c r="AG59" s="231">
        <v>0</v>
      </c>
    </row>
    <row r="60" spans="1:33" s="80" customFormat="1" ht="15" customHeight="1" thickBot="1">
      <c r="A60" s="261"/>
      <c r="B60" s="262" t="s">
        <v>253</v>
      </c>
      <c r="C60" s="50"/>
      <c r="D60" s="263" t="s">
        <v>174</v>
      </c>
      <c r="E60" s="264">
        <v>0</v>
      </c>
      <c r="F60" s="265"/>
      <c r="G60" s="265"/>
      <c r="H60" s="266">
        <f>SUM(E60:G60)</f>
        <v>0</v>
      </c>
      <c r="I60" s="50"/>
      <c r="J60" s="267">
        <f t="shared" si="38"/>
        <v>0</v>
      </c>
      <c r="K60" s="268">
        <v>0</v>
      </c>
      <c r="L60" s="265">
        <f>Q60+AF60</f>
        <v>0</v>
      </c>
      <c r="M60" s="266">
        <f>J60-L60</f>
        <v>0</v>
      </c>
      <c r="N60" s="50"/>
      <c r="O60" s="269">
        <f>J60-AD60</f>
        <v>0</v>
      </c>
      <c r="P60" s="270" t="str">
        <f t="shared" si="0"/>
        <v/>
      </c>
      <c r="Q60" s="271"/>
      <c r="R60" s="272">
        <f>O60-Q60</f>
        <v>0</v>
      </c>
      <c r="S60" s="50"/>
      <c r="T60" s="273">
        <v>0</v>
      </c>
      <c r="U60" s="78"/>
      <c r="V60" s="267">
        <f t="shared" si="39"/>
        <v>0</v>
      </c>
      <c r="W60" s="266">
        <f>H60-V60</f>
        <v>0</v>
      </c>
      <c r="X60" s="79"/>
      <c r="AD60" s="274">
        <v>0</v>
      </c>
      <c r="AE60" s="275">
        <v>0</v>
      </c>
      <c r="AF60" s="276">
        <v>0</v>
      </c>
      <c r="AG60" s="277">
        <v>0</v>
      </c>
    </row>
    <row r="61" spans="1:33">
      <c r="R61" s="91"/>
    </row>
    <row r="62" spans="1:33">
      <c r="R62" s="91"/>
    </row>
    <row r="64" spans="1:33">
      <c r="J64" s="92"/>
      <c r="M64" s="37"/>
    </row>
    <row r="65" spans="1:33">
      <c r="L65" s="37"/>
      <c r="M65" s="37"/>
    </row>
    <row r="66" spans="1:33" ht="13.5" customHeight="1" thickBot="1">
      <c r="A66" s="49"/>
      <c r="B66" s="49"/>
      <c r="C66" s="50"/>
      <c r="E66" s="51"/>
      <c r="F66" s="52"/>
      <c r="G66" s="52"/>
      <c r="H66" s="52"/>
      <c r="I66" s="50"/>
      <c r="J66" s="53"/>
      <c r="K66" s="53"/>
      <c r="L66" s="49"/>
      <c r="M66" s="49"/>
      <c r="N66" s="50"/>
      <c r="O66" s="49"/>
      <c r="P66" s="53"/>
      <c r="Q66" s="49"/>
      <c r="R66" s="49"/>
      <c r="S66" s="50"/>
      <c r="T66" s="49"/>
      <c r="U66" s="54"/>
      <c r="V66" s="49"/>
      <c r="W66" s="49"/>
      <c r="X66" s="55"/>
      <c r="AD66" s="53"/>
      <c r="AE66" s="53"/>
      <c r="AF66" s="49"/>
      <c r="AG66" s="49"/>
    </row>
    <row r="67" spans="1:33" s="73" customFormat="1" ht="19.5" customHeight="1" thickBot="1">
      <c r="A67" s="278"/>
      <c r="B67" s="279" t="s">
        <v>198</v>
      </c>
      <c r="C67" s="69"/>
      <c r="D67" s="280" t="s">
        <v>174</v>
      </c>
      <c r="E67" s="281">
        <f>E68+E79+E87+E90+E93+E109</f>
        <v>13182.436</v>
      </c>
      <c r="F67" s="282">
        <f>F68+F79+F87+F90+F93+F109</f>
        <v>0</v>
      </c>
      <c r="G67" s="282">
        <f>G68+G79+G87+G90+G93+G109</f>
        <v>0</v>
      </c>
      <c r="H67" s="283">
        <f>H68+H79+H87+H90+H93+H109</f>
        <v>13182.436</v>
      </c>
      <c r="I67" s="69"/>
      <c r="J67" s="186">
        <f>J68+J79+J87+J90+J93+J109</f>
        <v>4001.4360000000006</v>
      </c>
      <c r="K67" s="187">
        <f>IFERROR(J67/H67,"")</f>
        <v>0.30354298704731059</v>
      </c>
      <c r="L67" s="284">
        <f>L68+L79+L87+L90+L93+L109</f>
        <v>6760.2879999999996</v>
      </c>
      <c r="M67" s="189">
        <f>M68+M79+M87+M90+M93+M109</f>
        <v>-2758.8519999999999</v>
      </c>
      <c r="N67" s="69"/>
      <c r="O67" s="285">
        <f>O68+O79+O87+O90+O93+O109</f>
        <v>0</v>
      </c>
      <c r="P67" s="286">
        <f t="shared" ref="P67:P112" si="40">IFERROR(O67/H67,"")</f>
        <v>0</v>
      </c>
      <c r="Q67" s="287">
        <f>Q68+Q79+Q87+Q90+Q93+Q109</f>
        <v>0</v>
      </c>
      <c r="R67" s="288">
        <f>R68+R79+R87+R90+R93+R109</f>
        <v>0</v>
      </c>
      <c r="S67" s="69"/>
      <c r="T67" s="289">
        <f>T68+T79+T87+T90+T93+T109</f>
        <v>13788.350392951661</v>
      </c>
      <c r="U67" s="71"/>
      <c r="V67" s="290">
        <f>V68+V79+V87+V90+V93+V109</f>
        <v>20548.63839295166</v>
      </c>
      <c r="W67" s="283">
        <f>W68+W79+W87+W90+W93+W109</f>
        <v>-7366.2023929516599</v>
      </c>
      <c r="X67" s="72"/>
      <c r="AD67" s="291">
        <v>4001.4360000000006</v>
      </c>
      <c r="AE67" s="292">
        <v>0.30354298704731059</v>
      </c>
      <c r="AF67" s="293">
        <v>6760.2879999999996</v>
      </c>
      <c r="AG67" s="294">
        <v>-2758.8519999999999</v>
      </c>
    </row>
    <row r="68" spans="1:33" s="76" customFormat="1" ht="19.5" customHeight="1" thickBot="1">
      <c r="A68" s="256" t="s">
        <v>518</v>
      </c>
      <c r="B68" s="257" t="s">
        <v>519</v>
      </c>
      <c r="C68" s="74"/>
      <c r="D68" s="258" t="s">
        <v>174</v>
      </c>
      <c r="E68" s="259">
        <f>SUM(E69:E78)</f>
        <v>3506.7999999999997</v>
      </c>
      <c r="F68" s="201">
        <f>SUM(F69:F78)</f>
        <v>0</v>
      </c>
      <c r="G68" s="201">
        <f>SUM(G69:G78)</f>
        <v>0</v>
      </c>
      <c r="H68" s="246">
        <f>SUM(H69:H78)</f>
        <v>3506.7999999999997</v>
      </c>
      <c r="I68" s="74"/>
      <c r="J68" s="202">
        <f>SUM(J69:J78)</f>
        <v>3367.3560000000007</v>
      </c>
      <c r="K68" s="203">
        <f>IFERROR(J68/H68,"")</f>
        <v>0.96023611269533504</v>
      </c>
      <c r="L68" s="204">
        <f>SUM(L69:L78)</f>
        <v>5634.8679999999995</v>
      </c>
      <c r="M68" s="205">
        <f>SUM(M69:M78)</f>
        <v>-2267.5119999999997</v>
      </c>
      <c r="N68" s="74"/>
      <c r="O68" s="206">
        <f>SUM(O69:O78)</f>
        <v>0</v>
      </c>
      <c r="P68" s="207">
        <f t="shared" si="40"/>
        <v>0</v>
      </c>
      <c r="Q68" s="208">
        <f>SUM(Q69:Q78)</f>
        <v>0</v>
      </c>
      <c r="R68" s="209">
        <f>SUM(R69:R78)</f>
        <v>0</v>
      </c>
      <c r="S68" s="74"/>
      <c r="T68" s="210">
        <f>SUM(T69:T78)</f>
        <v>86.28</v>
      </c>
      <c r="U68" s="75"/>
      <c r="V68" s="202">
        <f>SUM(V69:V78)</f>
        <v>5721.1479999999992</v>
      </c>
      <c r="W68" s="205">
        <f>SUM(W69:W78)</f>
        <v>-2214.3479999999995</v>
      </c>
      <c r="X68" s="72"/>
      <c r="AD68" s="211">
        <v>3367.3560000000007</v>
      </c>
      <c r="AE68" s="212">
        <v>0.96023611269533504</v>
      </c>
      <c r="AF68" s="213">
        <v>5634.8679999999995</v>
      </c>
      <c r="AG68" s="214">
        <v>-2267.5119999999997</v>
      </c>
    </row>
    <row r="69" spans="1:33" s="80" customFormat="1" ht="15" customHeight="1">
      <c r="A69" s="215"/>
      <c r="B69" s="216" t="s">
        <v>202</v>
      </c>
      <c r="C69" s="50"/>
      <c r="D69" s="217" t="s">
        <v>174</v>
      </c>
      <c r="E69" s="218">
        <v>340</v>
      </c>
      <c r="F69" s="219"/>
      <c r="G69" s="219"/>
      <c r="H69" s="220">
        <f>SUM(E69:G69)</f>
        <v>340</v>
      </c>
      <c r="I69" s="50"/>
      <c r="J69" s="221">
        <f>H69*K69/100</f>
        <v>329.8</v>
      </c>
      <c r="K69" s="222">
        <v>97</v>
      </c>
      <c r="L69" s="219">
        <f>Q69+AF69</f>
        <v>331.00299999999999</v>
      </c>
      <c r="M69" s="220">
        <f>J69-L69</f>
        <v>-1.2029999999999745</v>
      </c>
      <c r="N69" s="50"/>
      <c r="O69" s="223">
        <f>J69-AD69</f>
        <v>0</v>
      </c>
      <c r="P69" s="224">
        <f t="shared" si="40"/>
        <v>0</v>
      </c>
      <c r="Q69" s="225"/>
      <c r="R69" s="226">
        <f>O69-Q69</f>
        <v>0</v>
      </c>
      <c r="S69" s="50"/>
      <c r="T69" s="227">
        <v>8.9700000000000006</v>
      </c>
      <c r="U69" s="78"/>
      <c r="V69" s="221">
        <f>+L69+T69</f>
        <v>339.97300000000001</v>
      </c>
      <c r="W69" s="220">
        <f>H69-V69</f>
        <v>2.6999999999986812E-2</v>
      </c>
      <c r="X69" s="79"/>
      <c r="AD69" s="228">
        <v>329.8</v>
      </c>
      <c r="AE69" s="229">
        <v>97</v>
      </c>
      <c r="AF69" s="230">
        <v>331.00299999999999</v>
      </c>
      <c r="AG69" s="231">
        <v>-1.2029999999999745</v>
      </c>
    </row>
    <row r="70" spans="1:33" s="80" customFormat="1" ht="15" customHeight="1">
      <c r="A70" s="215"/>
      <c r="B70" s="216" t="s">
        <v>203</v>
      </c>
      <c r="C70" s="50"/>
      <c r="D70" s="217" t="s">
        <v>174</v>
      </c>
      <c r="E70" s="218">
        <v>45.6</v>
      </c>
      <c r="F70" s="219"/>
      <c r="G70" s="219"/>
      <c r="H70" s="220">
        <f t="shared" ref="H70:H76" si="41">SUM(E70:G70)</f>
        <v>45.6</v>
      </c>
      <c r="I70" s="50"/>
      <c r="J70" s="221">
        <f t="shared" ref="J70:J76" si="42">H70*K70/100</f>
        <v>45.6</v>
      </c>
      <c r="K70" s="222">
        <v>100</v>
      </c>
      <c r="L70" s="219">
        <f t="shared" ref="L70:L76" si="43">Q70+AF70</f>
        <v>10.758000000000001</v>
      </c>
      <c r="M70" s="220">
        <f t="shared" ref="M70:M76" si="44">J70-L70</f>
        <v>34.841999999999999</v>
      </c>
      <c r="N70" s="50"/>
      <c r="O70" s="223">
        <f t="shared" ref="O70:O76" si="45">J70-AD70</f>
        <v>0</v>
      </c>
      <c r="P70" s="224">
        <f t="shared" si="40"/>
        <v>0</v>
      </c>
      <c r="Q70" s="225"/>
      <c r="R70" s="226">
        <f t="shared" ref="R70:R76" si="46">O70-Q70</f>
        <v>0</v>
      </c>
      <c r="S70" s="50"/>
      <c r="T70" s="227">
        <v>0</v>
      </c>
      <c r="U70" s="78"/>
      <c r="V70" s="221">
        <f t="shared" ref="V70:V76" si="47">+L70+T70</f>
        <v>10.758000000000001</v>
      </c>
      <c r="W70" s="220">
        <f t="shared" ref="W70:W76" si="48">H70-V70</f>
        <v>34.841999999999999</v>
      </c>
      <c r="X70" s="79"/>
      <c r="AD70" s="228">
        <v>45.6</v>
      </c>
      <c r="AE70" s="229">
        <v>100</v>
      </c>
      <c r="AF70" s="230">
        <v>10.758000000000001</v>
      </c>
      <c r="AG70" s="231">
        <v>34.841999999999999</v>
      </c>
    </row>
    <row r="71" spans="1:33" s="80" customFormat="1" ht="15" customHeight="1">
      <c r="A71" s="215"/>
      <c r="B71" s="216" t="s">
        <v>204</v>
      </c>
      <c r="C71" s="50"/>
      <c r="D71" s="217" t="s">
        <v>174</v>
      </c>
      <c r="E71" s="218"/>
      <c r="F71" s="219"/>
      <c r="G71" s="219"/>
      <c r="H71" s="220">
        <f t="shared" si="41"/>
        <v>0</v>
      </c>
      <c r="I71" s="50"/>
      <c r="J71" s="221">
        <f t="shared" si="42"/>
        <v>0</v>
      </c>
      <c r="K71" s="222">
        <v>0</v>
      </c>
      <c r="L71" s="219">
        <f t="shared" si="43"/>
        <v>2382.37</v>
      </c>
      <c r="M71" s="220">
        <f t="shared" si="44"/>
        <v>-2382.37</v>
      </c>
      <c r="N71" s="50"/>
      <c r="O71" s="223">
        <f t="shared" si="45"/>
        <v>0</v>
      </c>
      <c r="P71" s="224" t="str">
        <f t="shared" si="40"/>
        <v/>
      </c>
      <c r="Q71" s="225"/>
      <c r="R71" s="226">
        <f t="shared" si="46"/>
        <v>0</v>
      </c>
      <c r="S71" s="50"/>
      <c r="T71" s="227">
        <v>0</v>
      </c>
      <c r="U71" s="78"/>
      <c r="V71" s="221">
        <f t="shared" si="47"/>
        <v>2382.37</v>
      </c>
      <c r="W71" s="220">
        <f t="shared" si="48"/>
        <v>-2382.37</v>
      </c>
      <c r="X71" s="79"/>
      <c r="AD71" s="228">
        <v>0</v>
      </c>
      <c r="AE71" s="229">
        <v>0</v>
      </c>
      <c r="AF71" s="230">
        <v>2382.37</v>
      </c>
      <c r="AG71" s="231">
        <v>-2382.37</v>
      </c>
    </row>
    <row r="72" spans="1:33" s="80" customFormat="1" ht="15" customHeight="1">
      <c r="A72" s="215"/>
      <c r="B72" s="216" t="s">
        <v>205</v>
      </c>
      <c r="C72" s="50"/>
      <c r="D72" s="217" t="s">
        <v>174</v>
      </c>
      <c r="E72" s="218">
        <v>300</v>
      </c>
      <c r="F72" s="219"/>
      <c r="G72" s="219"/>
      <c r="H72" s="220">
        <f t="shared" si="41"/>
        <v>300</v>
      </c>
      <c r="I72" s="50"/>
      <c r="J72" s="221">
        <f t="shared" si="42"/>
        <v>270</v>
      </c>
      <c r="K72" s="222">
        <v>90</v>
      </c>
      <c r="L72" s="219">
        <f t="shared" si="43"/>
        <v>51.5</v>
      </c>
      <c r="M72" s="220">
        <f t="shared" si="44"/>
        <v>218.5</v>
      </c>
      <c r="N72" s="50"/>
      <c r="O72" s="223">
        <f t="shared" si="45"/>
        <v>0</v>
      </c>
      <c r="P72" s="224">
        <f t="shared" si="40"/>
        <v>0</v>
      </c>
      <c r="Q72" s="225"/>
      <c r="R72" s="226">
        <f t="shared" si="46"/>
        <v>0</v>
      </c>
      <c r="S72" s="50"/>
      <c r="T72" s="227">
        <v>5.6</v>
      </c>
      <c r="U72" s="78"/>
      <c r="V72" s="221">
        <f t="shared" si="47"/>
        <v>57.1</v>
      </c>
      <c r="W72" s="220">
        <f t="shared" si="48"/>
        <v>242.9</v>
      </c>
      <c r="X72" s="79"/>
      <c r="AD72" s="228">
        <v>270</v>
      </c>
      <c r="AE72" s="229">
        <v>90</v>
      </c>
      <c r="AF72" s="230">
        <v>51.5</v>
      </c>
      <c r="AG72" s="231">
        <v>218.5</v>
      </c>
    </row>
    <row r="73" spans="1:33" s="80" customFormat="1" ht="15" customHeight="1">
      <c r="A73" s="215"/>
      <c r="B73" s="216" t="s">
        <v>206</v>
      </c>
      <c r="C73" s="50"/>
      <c r="D73" s="217" t="s">
        <v>174</v>
      </c>
      <c r="E73" s="218">
        <v>1578</v>
      </c>
      <c r="F73" s="219"/>
      <c r="G73" s="219"/>
      <c r="H73" s="220">
        <f t="shared" si="41"/>
        <v>1578</v>
      </c>
      <c r="I73" s="50"/>
      <c r="J73" s="221">
        <f t="shared" si="42"/>
        <v>1530.66</v>
      </c>
      <c r="K73" s="222">
        <v>97</v>
      </c>
      <c r="L73" s="219">
        <f t="shared" si="43"/>
        <v>1579.857</v>
      </c>
      <c r="M73" s="220">
        <f t="shared" si="44"/>
        <v>-49.196999999999889</v>
      </c>
      <c r="N73" s="50"/>
      <c r="O73" s="223">
        <f t="shared" si="45"/>
        <v>0</v>
      </c>
      <c r="P73" s="224">
        <f t="shared" si="40"/>
        <v>0</v>
      </c>
      <c r="Q73" s="225"/>
      <c r="R73" s="226">
        <f t="shared" si="46"/>
        <v>0</v>
      </c>
      <c r="S73" s="50"/>
      <c r="T73" s="227">
        <v>24.78</v>
      </c>
      <c r="U73" s="78"/>
      <c r="V73" s="221">
        <f t="shared" si="47"/>
        <v>1604.6369999999999</v>
      </c>
      <c r="W73" s="220">
        <f t="shared" si="48"/>
        <v>-26.636999999999944</v>
      </c>
      <c r="X73" s="79"/>
      <c r="AD73" s="228">
        <v>1530.66</v>
      </c>
      <c r="AE73" s="229">
        <v>97</v>
      </c>
      <c r="AF73" s="230">
        <v>1579.857</v>
      </c>
      <c r="AG73" s="231">
        <v>-49.196999999999889</v>
      </c>
    </row>
    <row r="74" spans="1:33" s="80" customFormat="1" ht="15" customHeight="1">
      <c r="A74" s="215"/>
      <c r="B74" s="216" t="s">
        <v>207</v>
      </c>
      <c r="C74" s="50"/>
      <c r="D74" s="217" t="s">
        <v>174</v>
      </c>
      <c r="E74" s="218">
        <v>414</v>
      </c>
      <c r="F74" s="219"/>
      <c r="G74" s="219"/>
      <c r="H74" s="220">
        <f t="shared" si="41"/>
        <v>414</v>
      </c>
      <c r="I74" s="50"/>
      <c r="J74" s="221">
        <f t="shared" si="42"/>
        <v>405.72</v>
      </c>
      <c r="K74" s="222">
        <v>98</v>
      </c>
      <c r="L74" s="219">
        <f t="shared" si="43"/>
        <v>209.273</v>
      </c>
      <c r="M74" s="220">
        <f t="shared" si="44"/>
        <v>196.44700000000003</v>
      </c>
      <c r="N74" s="50"/>
      <c r="O74" s="223">
        <f t="shared" si="45"/>
        <v>0</v>
      </c>
      <c r="P74" s="224">
        <f t="shared" si="40"/>
        <v>0</v>
      </c>
      <c r="Q74" s="225"/>
      <c r="R74" s="226">
        <f t="shared" si="46"/>
        <v>0</v>
      </c>
      <c r="S74" s="50"/>
      <c r="T74" s="227">
        <v>4.1399999999999997</v>
      </c>
      <c r="U74" s="78"/>
      <c r="V74" s="221">
        <f t="shared" si="47"/>
        <v>213.41299999999998</v>
      </c>
      <c r="W74" s="220">
        <f t="shared" si="48"/>
        <v>200.58700000000002</v>
      </c>
      <c r="X74" s="79"/>
      <c r="AD74" s="228">
        <v>405.72</v>
      </c>
      <c r="AE74" s="229">
        <v>98</v>
      </c>
      <c r="AF74" s="230">
        <v>209.273</v>
      </c>
      <c r="AG74" s="231">
        <v>196.44700000000003</v>
      </c>
    </row>
    <row r="75" spans="1:33" s="80" customFormat="1" ht="15" customHeight="1">
      <c r="A75" s="215"/>
      <c r="B75" s="216" t="s">
        <v>208</v>
      </c>
      <c r="C75" s="50"/>
      <c r="D75" s="217" t="s">
        <v>174</v>
      </c>
      <c r="E75" s="218">
        <v>26</v>
      </c>
      <c r="F75" s="219"/>
      <c r="G75" s="219"/>
      <c r="H75" s="220">
        <f t="shared" si="41"/>
        <v>26</v>
      </c>
      <c r="I75" s="50"/>
      <c r="J75" s="221">
        <f t="shared" si="42"/>
        <v>20.8</v>
      </c>
      <c r="K75" s="222">
        <v>80</v>
      </c>
      <c r="L75" s="219">
        <f t="shared" si="43"/>
        <v>25</v>
      </c>
      <c r="M75" s="220">
        <f t="shared" si="44"/>
        <v>-4.1999999999999993</v>
      </c>
      <c r="N75" s="50"/>
      <c r="O75" s="223">
        <f t="shared" si="45"/>
        <v>0</v>
      </c>
      <c r="P75" s="224">
        <f t="shared" si="40"/>
        <v>0</v>
      </c>
      <c r="Q75" s="225"/>
      <c r="R75" s="226">
        <f t="shared" si="46"/>
        <v>0</v>
      </c>
      <c r="S75" s="50"/>
      <c r="T75" s="227">
        <v>6.35</v>
      </c>
      <c r="U75" s="78"/>
      <c r="V75" s="221">
        <f t="shared" si="47"/>
        <v>31.35</v>
      </c>
      <c r="W75" s="220">
        <f t="shared" si="48"/>
        <v>-5.3500000000000014</v>
      </c>
      <c r="X75" s="79"/>
      <c r="AD75" s="228">
        <v>20.8</v>
      </c>
      <c r="AE75" s="229">
        <v>80</v>
      </c>
      <c r="AF75" s="230">
        <v>25</v>
      </c>
      <c r="AG75" s="231">
        <v>-4.1999999999999993</v>
      </c>
    </row>
    <row r="76" spans="1:33" s="80" customFormat="1" ht="15" customHeight="1">
      <c r="A76" s="215"/>
      <c r="B76" s="216" t="s">
        <v>209</v>
      </c>
      <c r="C76" s="50"/>
      <c r="D76" s="217" t="s">
        <v>174</v>
      </c>
      <c r="E76" s="218">
        <v>172</v>
      </c>
      <c r="F76" s="219"/>
      <c r="G76" s="219"/>
      <c r="H76" s="220">
        <f t="shared" si="41"/>
        <v>172</v>
      </c>
      <c r="I76" s="50"/>
      <c r="J76" s="221">
        <f t="shared" si="42"/>
        <v>146.19999999999999</v>
      </c>
      <c r="K76" s="222">
        <v>85</v>
      </c>
      <c r="L76" s="219">
        <f t="shared" si="43"/>
        <v>117.5</v>
      </c>
      <c r="M76" s="220">
        <f t="shared" si="44"/>
        <v>28.699999999999989</v>
      </c>
      <c r="N76" s="50"/>
      <c r="O76" s="223">
        <f t="shared" si="45"/>
        <v>0</v>
      </c>
      <c r="P76" s="224">
        <f t="shared" si="40"/>
        <v>0</v>
      </c>
      <c r="Q76" s="225"/>
      <c r="R76" s="226">
        <f t="shared" si="46"/>
        <v>0</v>
      </c>
      <c r="S76" s="50"/>
      <c r="T76" s="227">
        <v>20.74</v>
      </c>
      <c r="U76" s="78"/>
      <c r="V76" s="221">
        <f t="shared" si="47"/>
        <v>138.24</v>
      </c>
      <c r="W76" s="220">
        <f t="shared" si="48"/>
        <v>33.759999999999991</v>
      </c>
      <c r="X76" s="79"/>
      <c r="AD76" s="228">
        <v>146.19999999999999</v>
      </c>
      <c r="AE76" s="229">
        <v>85</v>
      </c>
      <c r="AF76" s="230">
        <v>117.5</v>
      </c>
      <c r="AG76" s="231">
        <v>28.699999999999989</v>
      </c>
    </row>
    <row r="77" spans="1:33" s="80" customFormat="1" ht="15" customHeight="1">
      <c r="A77" s="215"/>
      <c r="B77" s="216" t="s">
        <v>210</v>
      </c>
      <c r="C77" s="50"/>
      <c r="D77" s="217" t="s">
        <v>174</v>
      </c>
      <c r="E77" s="218">
        <v>631.19999999999993</v>
      </c>
      <c r="F77" s="219"/>
      <c r="G77" s="219"/>
      <c r="H77" s="220">
        <f>SUM(E77:G77)</f>
        <v>631.19999999999993</v>
      </c>
      <c r="I77" s="50"/>
      <c r="J77" s="221">
        <f>H77*K77/100</f>
        <v>618.57599999999991</v>
      </c>
      <c r="K77" s="222">
        <v>98</v>
      </c>
      <c r="L77" s="219">
        <f>Q77+AF77</f>
        <v>629.60699999999997</v>
      </c>
      <c r="M77" s="220">
        <f>J77-L77</f>
        <v>-11.031000000000063</v>
      </c>
      <c r="N77" s="50"/>
      <c r="O77" s="223">
        <f>J77-AD77</f>
        <v>0</v>
      </c>
      <c r="P77" s="224">
        <f t="shared" si="40"/>
        <v>0</v>
      </c>
      <c r="Q77" s="225"/>
      <c r="R77" s="226">
        <f>O77-Q77</f>
        <v>0</v>
      </c>
      <c r="S77" s="50"/>
      <c r="T77" s="227">
        <v>15.7</v>
      </c>
      <c r="U77" s="78"/>
      <c r="V77" s="221">
        <f>+L77+T77</f>
        <v>645.30700000000002</v>
      </c>
      <c r="W77" s="220">
        <f>H77-V77</f>
        <v>-14.107000000000085</v>
      </c>
      <c r="X77" s="79"/>
      <c r="AD77" s="228">
        <v>618.57599999999991</v>
      </c>
      <c r="AE77" s="229">
        <v>98</v>
      </c>
      <c r="AF77" s="230">
        <v>629.60699999999997</v>
      </c>
      <c r="AG77" s="231">
        <v>-11.031000000000063</v>
      </c>
    </row>
    <row r="78" spans="1:33" s="80" customFormat="1" ht="15" customHeight="1" thickBot="1">
      <c r="A78" s="215"/>
      <c r="B78" s="216" t="s">
        <v>212</v>
      </c>
      <c r="C78" s="50"/>
      <c r="D78" s="217" t="s">
        <v>174</v>
      </c>
      <c r="E78" s="218">
        <v>0</v>
      </c>
      <c r="F78" s="219"/>
      <c r="G78" s="219"/>
      <c r="H78" s="220">
        <f>SUM(E78:G78)</f>
        <v>0</v>
      </c>
      <c r="I78" s="50"/>
      <c r="J78" s="233">
        <f>H78*K78/100</f>
        <v>0</v>
      </c>
      <c r="K78" s="234">
        <v>100</v>
      </c>
      <c r="L78" s="235">
        <f>Q78+AF78</f>
        <v>298</v>
      </c>
      <c r="M78" s="236">
        <f>J78-L78</f>
        <v>-298</v>
      </c>
      <c r="N78" s="50"/>
      <c r="O78" s="237">
        <f>J78-AD78</f>
        <v>0</v>
      </c>
      <c r="P78" s="238" t="str">
        <f t="shared" si="40"/>
        <v/>
      </c>
      <c r="Q78" s="225"/>
      <c r="R78" s="240">
        <f>O78-Q78</f>
        <v>0</v>
      </c>
      <c r="S78" s="50"/>
      <c r="T78" s="350">
        <v>0</v>
      </c>
      <c r="U78" s="78"/>
      <c r="V78" s="233">
        <f>+L78+T78</f>
        <v>298</v>
      </c>
      <c r="W78" s="236">
        <f>H78-V78</f>
        <v>-298</v>
      </c>
      <c r="X78" s="79"/>
      <c r="AD78" s="241">
        <v>0</v>
      </c>
      <c r="AE78" s="242">
        <v>100</v>
      </c>
      <c r="AF78" s="243">
        <v>298</v>
      </c>
      <c r="AG78" s="244">
        <v>-298</v>
      </c>
    </row>
    <row r="79" spans="1:33" s="76" customFormat="1" ht="19.5" customHeight="1" thickBot="1">
      <c r="A79" s="256" t="s">
        <v>520</v>
      </c>
      <c r="B79" s="257" t="s">
        <v>521</v>
      </c>
      <c r="C79" s="74"/>
      <c r="D79" s="258" t="s">
        <v>174</v>
      </c>
      <c r="E79" s="259">
        <f>SUM(E80:E86)</f>
        <v>9106.8860000000004</v>
      </c>
      <c r="F79" s="201">
        <f>SUM(F80:F86)</f>
        <v>0</v>
      </c>
      <c r="G79" s="201">
        <f>SUM(G80:G86)</f>
        <v>0</v>
      </c>
      <c r="H79" s="246">
        <f>SUM(H80:H86)</f>
        <v>9106.8860000000004</v>
      </c>
      <c r="I79" s="74"/>
      <c r="J79" s="245">
        <f>SUM(J80:J86)</f>
        <v>634.08000000000004</v>
      </c>
      <c r="K79" s="260">
        <f>IFERROR(J79/H79,"")</f>
        <v>6.9626434326728145E-2</v>
      </c>
      <c r="L79" s="201">
        <f>SUM(L80:L86)</f>
        <v>1125.42</v>
      </c>
      <c r="M79" s="246">
        <f>SUM(M80:M86)</f>
        <v>-491.34000000000003</v>
      </c>
      <c r="N79" s="74"/>
      <c r="O79" s="351">
        <f>SUM(O80:O86)</f>
        <v>0</v>
      </c>
      <c r="P79" s="352">
        <f t="shared" si="40"/>
        <v>0</v>
      </c>
      <c r="Q79" s="208">
        <f>SUM(Q80:Q86)</f>
        <v>0</v>
      </c>
      <c r="R79" s="353">
        <f>SUM(R80:R86)</f>
        <v>0</v>
      </c>
      <c r="S79" s="74"/>
      <c r="T79" s="354">
        <f>SUM(T80:T86)</f>
        <v>13133.32039295166</v>
      </c>
      <c r="U79" s="75"/>
      <c r="V79" s="245">
        <f>SUM(V80:V86)</f>
        <v>14258.74039295166</v>
      </c>
      <c r="W79" s="246">
        <f>SUM(W80:W86)</f>
        <v>-5151.85439295166</v>
      </c>
      <c r="X79" s="72"/>
      <c r="AD79" s="252">
        <v>634.08000000000004</v>
      </c>
      <c r="AE79" s="253">
        <v>6.9626434326728145E-2</v>
      </c>
      <c r="AF79" s="254">
        <v>1125.42</v>
      </c>
      <c r="AG79" s="255">
        <v>-491.34000000000003</v>
      </c>
    </row>
    <row r="80" spans="1:33" s="80" customFormat="1" ht="15" customHeight="1">
      <c r="A80" s="215"/>
      <c r="B80" s="216" t="s">
        <v>215</v>
      </c>
      <c r="C80" s="50"/>
      <c r="D80" s="217" t="s">
        <v>174</v>
      </c>
      <c r="E80" s="218">
        <v>604</v>
      </c>
      <c r="F80" s="219"/>
      <c r="G80" s="219"/>
      <c r="H80" s="220">
        <f t="shared" ref="H80:H86" si="49">SUM(E80:G80)</f>
        <v>604</v>
      </c>
      <c r="I80" s="50"/>
      <c r="J80" s="221">
        <f t="shared" ref="J80:J86" si="50">+H80*K80/100</f>
        <v>72.48</v>
      </c>
      <c r="K80" s="222">
        <v>12</v>
      </c>
      <c r="L80" s="219">
        <f t="shared" ref="L80:L83" si="51">Q80+AF80</f>
        <v>82.842999999999989</v>
      </c>
      <c r="M80" s="220">
        <f t="shared" ref="M80:M83" si="52">J80-L80</f>
        <v>-10.362999999999985</v>
      </c>
      <c r="N80" s="50"/>
      <c r="O80" s="223">
        <f t="shared" ref="O80:O83" si="53">J80-AD80</f>
        <v>0</v>
      </c>
      <c r="P80" s="224">
        <f t="shared" si="40"/>
        <v>0</v>
      </c>
      <c r="Q80" s="225"/>
      <c r="R80" s="226">
        <f t="shared" ref="R80:R83" si="54">O80-Q80</f>
        <v>0</v>
      </c>
      <c r="S80" s="50"/>
      <c r="T80" s="227">
        <v>621.27</v>
      </c>
      <c r="U80" s="78"/>
      <c r="V80" s="221">
        <f t="shared" ref="V80:V83" si="55">+L80+T80</f>
        <v>704.11299999999994</v>
      </c>
      <c r="W80" s="220">
        <f t="shared" ref="W80:W83" si="56">H80-V80</f>
        <v>-100.11299999999994</v>
      </c>
      <c r="X80" s="79"/>
      <c r="AD80" s="228">
        <v>72.48</v>
      </c>
      <c r="AE80" s="229">
        <v>12</v>
      </c>
      <c r="AF80" s="230">
        <v>82.842999999999989</v>
      </c>
      <c r="AG80" s="231">
        <v>-10.362999999999985</v>
      </c>
    </row>
    <row r="81" spans="1:33" s="80" customFormat="1" ht="15" customHeight="1">
      <c r="A81" s="215"/>
      <c r="B81" s="216" t="s">
        <v>216</v>
      </c>
      <c r="C81" s="50"/>
      <c r="D81" s="217" t="s">
        <v>174</v>
      </c>
      <c r="E81" s="218">
        <v>2240</v>
      </c>
      <c r="F81" s="219"/>
      <c r="G81" s="219"/>
      <c r="H81" s="220">
        <f t="shared" si="49"/>
        <v>2240</v>
      </c>
      <c r="I81" s="50"/>
      <c r="J81" s="221">
        <f t="shared" si="50"/>
        <v>403.2</v>
      </c>
      <c r="K81" s="222">
        <v>18</v>
      </c>
      <c r="L81" s="219">
        <f t="shared" si="51"/>
        <v>548.61699999999996</v>
      </c>
      <c r="M81" s="220">
        <f t="shared" si="52"/>
        <v>-145.41699999999997</v>
      </c>
      <c r="N81" s="50"/>
      <c r="O81" s="223">
        <f t="shared" si="53"/>
        <v>0</v>
      </c>
      <c r="P81" s="224">
        <f t="shared" si="40"/>
        <v>0</v>
      </c>
      <c r="Q81" s="225"/>
      <c r="R81" s="226">
        <f t="shared" si="54"/>
        <v>0</v>
      </c>
      <c r="S81" s="50"/>
      <c r="T81" s="227">
        <v>2573.0414560000049</v>
      </c>
      <c r="U81" s="78"/>
      <c r="V81" s="221">
        <f t="shared" si="55"/>
        <v>3121.6584560000047</v>
      </c>
      <c r="W81" s="220">
        <f t="shared" si="56"/>
        <v>-881.65845600000466</v>
      </c>
      <c r="X81" s="79"/>
      <c r="AD81" s="228">
        <v>403.2</v>
      </c>
      <c r="AE81" s="229">
        <v>18</v>
      </c>
      <c r="AF81" s="230">
        <v>548.61699999999996</v>
      </c>
      <c r="AG81" s="231">
        <v>-145.41699999999997</v>
      </c>
    </row>
    <row r="82" spans="1:33" s="80" customFormat="1" ht="15" customHeight="1">
      <c r="A82" s="215"/>
      <c r="B82" s="216" t="s">
        <v>217</v>
      </c>
      <c r="C82" s="50"/>
      <c r="D82" s="217" t="s">
        <v>174</v>
      </c>
      <c r="E82" s="218">
        <v>476</v>
      </c>
      <c r="F82" s="219"/>
      <c r="G82" s="219"/>
      <c r="H82" s="220">
        <f t="shared" si="49"/>
        <v>476</v>
      </c>
      <c r="I82" s="50"/>
      <c r="J82" s="221">
        <f t="shared" si="50"/>
        <v>0</v>
      </c>
      <c r="K82" s="222">
        <v>0</v>
      </c>
      <c r="L82" s="219">
        <f t="shared" si="51"/>
        <v>0</v>
      </c>
      <c r="M82" s="220">
        <f t="shared" si="52"/>
        <v>0</v>
      </c>
      <c r="N82" s="50"/>
      <c r="O82" s="223">
        <f t="shared" si="53"/>
        <v>0</v>
      </c>
      <c r="P82" s="224">
        <f t="shared" si="40"/>
        <v>0</v>
      </c>
      <c r="Q82" s="225"/>
      <c r="R82" s="226">
        <f t="shared" si="54"/>
        <v>0</v>
      </c>
      <c r="S82" s="50"/>
      <c r="T82" s="227">
        <v>476</v>
      </c>
      <c r="U82" s="78"/>
      <c r="V82" s="221">
        <f t="shared" si="55"/>
        <v>476</v>
      </c>
      <c r="W82" s="220">
        <f t="shared" si="56"/>
        <v>0</v>
      </c>
      <c r="X82" s="79"/>
      <c r="AD82" s="228">
        <v>0</v>
      </c>
      <c r="AE82" s="229">
        <v>0</v>
      </c>
      <c r="AF82" s="230">
        <v>0</v>
      </c>
      <c r="AG82" s="231">
        <v>0</v>
      </c>
    </row>
    <row r="83" spans="1:33" s="80" customFormat="1" ht="15" customHeight="1">
      <c r="A83" s="215"/>
      <c r="B83" s="216" t="s">
        <v>218</v>
      </c>
      <c r="C83" s="50"/>
      <c r="D83" s="217" t="s">
        <v>174</v>
      </c>
      <c r="E83" s="218">
        <v>1654</v>
      </c>
      <c r="F83" s="219"/>
      <c r="G83" s="219"/>
      <c r="H83" s="220">
        <f t="shared" si="49"/>
        <v>1654</v>
      </c>
      <c r="I83" s="50"/>
      <c r="J83" s="221">
        <f t="shared" si="50"/>
        <v>0</v>
      </c>
      <c r="K83" s="222">
        <v>0</v>
      </c>
      <c r="L83" s="219">
        <f t="shared" si="51"/>
        <v>0</v>
      </c>
      <c r="M83" s="220">
        <f t="shared" si="52"/>
        <v>0</v>
      </c>
      <c r="N83" s="50"/>
      <c r="O83" s="223">
        <f t="shared" si="53"/>
        <v>0</v>
      </c>
      <c r="P83" s="224">
        <f t="shared" si="40"/>
        <v>0</v>
      </c>
      <c r="Q83" s="225"/>
      <c r="R83" s="226">
        <f t="shared" si="54"/>
        <v>0</v>
      </c>
      <c r="S83" s="50"/>
      <c r="T83" s="227">
        <v>1654</v>
      </c>
      <c r="U83" s="78"/>
      <c r="V83" s="221">
        <f t="shared" si="55"/>
        <v>1654</v>
      </c>
      <c r="W83" s="220">
        <f t="shared" si="56"/>
        <v>0</v>
      </c>
      <c r="X83" s="79"/>
      <c r="AD83" s="228">
        <v>0</v>
      </c>
      <c r="AE83" s="229">
        <v>0</v>
      </c>
      <c r="AF83" s="230">
        <v>0</v>
      </c>
      <c r="AG83" s="231">
        <v>0</v>
      </c>
    </row>
    <row r="84" spans="1:33" s="80" customFormat="1" ht="15" customHeight="1">
      <c r="A84" s="215"/>
      <c r="B84" s="216" t="s">
        <v>219</v>
      </c>
      <c r="C84" s="50"/>
      <c r="D84" s="217" t="s">
        <v>174</v>
      </c>
      <c r="E84" s="218">
        <v>1980</v>
      </c>
      <c r="F84" s="219"/>
      <c r="G84" s="219"/>
      <c r="H84" s="220">
        <f t="shared" si="49"/>
        <v>1980</v>
      </c>
      <c r="I84" s="50"/>
      <c r="J84" s="221">
        <f t="shared" si="50"/>
        <v>158.4</v>
      </c>
      <c r="K84" s="222">
        <v>8</v>
      </c>
      <c r="L84" s="219">
        <f>Q84+AF84</f>
        <v>493.96000000000004</v>
      </c>
      <c r="M84" s="220">
        <f>J84-L84</f>
        <v>-335.56000000000006</v>
      </c>
      <c r="N84" s="50"/>
      <c r="O84" s="223">
        <f>J84-AD84</f>
        <v>0</v>
      </c>
      <c r="P84" s="224">
        <f t="shared" si="40"/>
        <v>0</v>
      </c>
      <c r="Q84" s="225"/>
      <c r="R84" s="226">
        <f>O84-Q84</f>
        <v>0</v>
      </c>
      <c r="S84" s="50"/>
      <c r="T84" s="227">
        <v>5656.122936951655</v>
      </c>
      <c r="U84" s="78"/>
      <c r="V84" s="221">
        <f>+L84+T84</f>
        <v>6150.082936951655</v>
      </c>
      <c r="W84" s="220">
        <f>H84-V84</f>
        <v>-4170.082936951655</v>
      </c>
      <c r="X84" s="79"/>
      <c r="AD84" s="228">
        <v>158.4</v>
      </c>
      <c r="AE84" s="229">
        <v>8</v>
      </c>
      <c r="AF84" s="230">
        <v>493.96000000000004</v>
      </c>
      <c r="AG84" s="231">
        <v>-335.56000000000006</v>
      </c>
    </row>
    <row r="85" spans="1:33" s="80" customFormat="1" ht="15" customHeight="1">
      <c r="A85" s="215"/>
      <c r="B85" s="295" t="s">
        <v>522</v>
      </c>
      <c r="C85" s="50"/>
      <c r="D85" s="217" t="s">
        <v>174</v>
      </c>
      <c r="E85" s="218">
        <v>1947.6859999999999</v>
      </c>
      <c r="F85" s="219"/>
      <c r="G85" s="219"/>
      <c r="H85" s="220">
        <f t="shared" si="49"/>
        <v>1947.6859999999999</v>
      </c>
      <c r="I85" s="50"/>
      <c r="J85" s="221">
        <f t="shared" si="50"/>
        <v>0</v>
      </c>
      <c r="K85" s="222">
        <v>0</v>
      </c>
      <c r="L85" s="219">
        <f t="shared" ref="L85:L86" si="57">Q85+AF85</f>
        <v>0</v>
      </c>
      <c r="M85" s="220">
        <f t="shared" ref="M85:M86" si="58">J85-L85</f>
        <v>0</v>
      </c>
      <c r="N85" s="50"/>
      <c r="O85" s="223">
        <f t="shared" ref="O85:O86" si="59">J85-AD85</f>
        <v>0</v>
      </c>
      <c r="P85" s="224">
        <f t="shared" si="40"/>
        <v>0</v>
      </c>
      <c r="Q85" s="225"/>
      <c r="R85" s="226">
        <f t="shared" ref="R85:R86" si="60">O85-Q85</f>
        <v>0</v>
      </c>
      <c r="S85" s="50"/>
      <c r="T85" s="227">
        <v>1947.6859999999999</v>
      </c>
      <c r="U85" s="78"/>
      <c r="V85" s="221">
        <f t="shared" ref="V85:V86" si="61">+L85+T85</f>
        <v>1947.6859999999999</v>
      </c>
      <c r="W85" s="220">
        <f t="shared" ref="W85:W86" si="62">H85-V85</f>
        <v>0</v>
      </c>
      <c r="X85" s="79"/>
      <c r="AD85" s="228">
        <v>0</v>
      </c>
      <c r="AE85" s="229">
        <v>0</v>
      </c>
      <c r="AF85" s="230">
        <v>0</v>
      </c>
      <c r="AG85" s="231">
        <v>0</v>
      </c>
    </row>
    <row r="86" spans="1:33" s="80" customFormat="1" ht="15" customHeight="1" thickBot="1">
      <c r="A86" s="215"/>
      <c r="B86" s="295" t="s">
        <v>224</v>
      </c>
      <c r="C86" s="50"/>
      <c r="D86" s="217" t="s">
        <v>174</v>
      </c>
      <c r="E86" s="218">
        <v>205.2</v>
      </c>
      <c r="F86" s="219"/>
      <c r="G86" s="219"/>
      <c r="H86" s="220">
        <f t="shared" si="49"/>
        <v>205.2</v>
      </c>
      <c r="I86" s="50"/>
      <c r="J86" s="233">
        <f t="shared" si="50"/>
        <v>0</v>
      </c>
      <c r="K86" s="234">
        <v>0</v>
      </c>
      <c r="L86" s="235">
        <f t="shared" si="57"/>
        <v>0</v>
      </c>
      <c r="M86" s="236">
        <f t="shared" si="58"/>
        <v>0</v>
      </c>
      <c r="N86" s="50"/>
      <c r="O86" s="237">
        <f t="shared" si="59"/>
        <v>0</v>
      </c>
      <c r="P86" s="238">
        <f t="shared" si="40"/>
        <v>0</v>
      </c>
      <c r="Q86" s="225"/>
      <c r="R86" s="240">
        <f t="shared" si="60"/>
        <v>0</v>
      </c>
      <c r="S86" s="50"/>
      <c r="T86" s="350">
        <v>205.2</v>
      </c>
      <c r="U86" s="78"/>
      <c r="V86" s="233">
        <f t="shared" si="61"/>
        <v>205.2</v>
      </c>
      <c r="W86" s="236">
        <f t="shared" si="62"/>
        <v>0</v>
      </c>
      <c r="X86" s="79"/>
      <c r="AD86" s="241">
        <v>0</v>
      </c>
      <c r="AE86" s="242">
        <v>0</v>
      </c>
      <c r="AF86" s="243">
        <v>0</v>
      </c>
      <c r="AG86" s="244">
        <v>0</v>
      </c>
    </row>
    <row r="87" spans="1:33" s="76" customFormat="1" ht="19.5" customHeight="1" thickBot="1">
      <c r="A87" s="256" t="s">
        <v>523</v>
      </c>
      <c r="B87" s="257" t="s">
        <v>524</v>
      </c>
      <c r="C87" s="74"/>
      <c r="D87" s="258" t="s">
        <v>174</v>
      </c>
      <c r="E87" s="259">
        <f>SUM(E88:E89)</f>
        <v>158.44</v>
      </c>
      <c r="F87" s="201">
        <f>SUM(F88:F89)</f>
        <v>0</v>
      </c>
      <c r="G87" s="201">
        <f>SUM(G88:G89)</f>
        <v>0</v>
      </c>
      <c r="H87" s="246">
        <f>SUM(H88:H89)</f>
        <v>158.44</v>
      </c>
      <c r="I87" s="74"/>
      <c r="J87" s="245">
        <f>SUM(J88:J89)</f>
        <v>0</v>
      </c>
      <c r="K87" s="260">
        <f>IFERROR(J87/H87,"")</f>
        <v>0</v>
      </c>
      <c r="L87" s="201">
        <f>SUM(L88:L89)</f>
        <v>0</v>
      </c>
      <c r="M87" s="246">
        <f>SUM(M88:M89)</f>
        <v>0</v>
      </c>
      <c r="N87" s="74"/>
      <c r="O87" s="351">
        <f>SUM(O88:O89)</f>
        <v>0</v>
      </c>
      <c r="P87" s="352">
        <f t="shared" si="40"/>
        <v>0</v>
      </c>
      <c r="Q87" s="208">
        <f>SUM(Q88:Q89)</f>
        <v>0</v>
      </c>
      <c r="R87" s="353">
        <f>SUM(R88:R89)</f>
        <v>0</v>
      </c>
      <c r="S87" s="74"/>
      <c r="T87" s="354">
        <f>SUM(T88:T89)</f>
        <v>158.44</v>
      </c>
      <c r="U87" s="75"/>
      <c r="V87" s="245">
        <f>SUM(V88:V89)</f>
        <v>158.44</v>
      </c>
      <c r="W87" s="246">
        <f>SUM(W88:W89)</f>
        <v>0</v>
      </c>
      <c r="X87" s="72"/>
      <c r="AD87" s="252">
        <v>0</v>
      </c>
      <c r="AE87" s="253">
        <v>0</v>
      </c>
      <c r="AF87" s="355">
        <v>0</v>
      </c>
      <c r="AG87" s="255">
        <v>0</v>
      </c>
    </row>
    <row r="88" spans="1:33" s="80" customFormat="1" ht="15" customHeight="1">
      <c r="A88" s="215"/>
      <c r="B88" s="216" t="s">
        <v>227</v>
      </c>
      <c r="C88" s="50"/>
      <c r="D88" s="217" t="s">
        <v>174</v>
      </c>
      <c r="E88" s="218">
        <v>132.28</v>
      </c>
      <c r="F88" s="219"/>
      <c r="G88" s="219"/>
      <c r="H88" s="220">
        <f t="shared" ref="H88:H89" si="63">SUM(E88:G88)</f>
        <v>132.28</v>
      </c>
      <c r="I88" s="50"/>
      <c r="J88" s="221">
        <f t="shared" ref="J88:J89" si="64">+H88*K88/100</f>
        <v>0</v>
      </c>
      <c r="K88" s="222">
        <v>0</v>
      </c>
      <c r="L88" s="219">
        <f t="shared" ref="L88:L89" si="65">Q88+AF88</f>
        <v>0</v>
      </c>
      <c r="M88" s="220">
        <f t="shared" ref="M88:M89" si="66">J88-L88</f>
        <v>0</v>
      </c>
      <c r="N88" s="50"/>
      <c r="O88" s="223">
        <f t="shared" ref="O88:O89" si="67">J88-AD88</f>
        <v>0</v>
      </c>
      <c r="P88" s="224">
        <f t="shared" si="40"/>
        <v>0</v>
      </c>
      <c r="Q88" s="225"/>
      <c r="R88" s="226">
        <f t="shared" ref="R88:R89" si="68">O88-Q88</f>
        <v>0</v>
      </c>
      <c r="S88" s="50"/>
      <c r="T88" s="227">
        <v>132.28</v>
      </c>
      <c r="U88" s="78"/>
      <c r="V88" s="221">
        <f t="shared" ref="V88:V89" si="69">+L88+T88</f>
        <v>132.28</v>
      </c>
      <c r="W88" s="220">
        <f t="shared" ref="W88:W89" si="70">H88-V88</f>
        <v>0</v>
      </c>
      <c r="X88" s="79"/>
      <c r="AD88" s="228">
        <v>0</v>
      </c>
      <c r="AE88" s="229">
        <v>0</v>
      </c>
      <c r="AF88" s="230">
        <v>0</v>
      </c>
      <c r="AG88" s="231">
        <v>0</v>
      </c>
    </row>
    <row r="89" spans="1:33" s="80" customFormat="1" ht="15" customHeight="1" thickBot="1">
      <c r="A89" s="215"/>
      <c r="B89" s="216" t="s">
        <v>228</v>
      </c>
      <c r="C89" s="50"/>
      <c r="D89" s="217" t="s">
        <v>174</v>
      </c>
      <c r="E89" s="218">
        <v>26.16</v>
      </c>
      <c r="F89" s="219"/>
      <c r="G89" s="219"/>
      <c r="H89" s="220">
        <f t="shared" si="63"/>
        <v>26.16</v>
      </c>
      <c r="I89" s="50"/>
      <c r="J89" s="233">
        <f t="shared" si="64"/>
        <v>0</v>
      </c>
      <c r="K89" s="234">
        <v>0</v>
      </c>
      <c r="L89" s="235">
        <f t="shared" si="65"/>
        <v>0</v>
      </c>
      <c r="M89" s="236">
        <f t="shared" si="66"/>
        <v>0</v>
      </c>
      <c r="N89" s="50"/>
      <c r="O89" s="237">
        <f t="shared" si="67"/>
        <v>0</v>
      </c>
      <c r="P89" s="238">
        <f t="shared" si="40"/>
        <v>0</v>
      </c>
      <c r="Q89" s="239"/>
      <c r="R89" s="240">
        <f t="shared" si="68"/>
        <v>0</v>
      </c>
      <c r="S89" s="50"/>
      <c r="T89" s="350">
        <v>26.16</v>
      </c>
      <c r="U89" s="78"/>
      <c r="V89" s="233">
        <f t="shared" si="69"/>
        <v>26.16</v>
      </c>
      <c r="W89" s="236">
        <f t="shared" si="70"/>
        <v>0</v>
      </c>
      <c r="X89" s="79"/>
      <c r="AD89" s="241">
        <v>0</v>
      </c>
      <c r="AE89" s="242">
        <v>0</v>
      </c>
      <c r="AF89" s="243">
        <v>0</v>
      </c>
      <c r="AG89" s="244">
        <v>0</v>
      </c>
    </row>
    <row r="90" spans="1:33" s="76" customFormat="1" ht="19.5" customHeight="1" thickBot="1">
      <c r="A90" s="256" t="s">
        <v>525</v>
      </c>
      <c r="B90" s="257" t="s">
        <v>526</v>
      </c>
      <c r="C90" s="74"/>
      <c r="D90" s="258" t="s">
        <v>174</v>
      </c>
      <c r="E90" s="259">
        <f>SUM(E91:E92)</f>
        <v>189</v>
      </c>
      <c r="F90" s="201">
        <f>SUM(F91:F92)</f>
        <v>0</v>
      </c>
      <c r="G90" s="201">
        <f>SUM(G91:G92)</f>
        <v>0</v>
      </c>
      <c r="H90" s="246">
        <f>SUM(H91:H92)</f>
        <v>189</v>
      </c>
      <c r="I90" s="74"/>
      <c r="J90" s="245">
        <f>SUM(J91:J92)</f>
        <v>0</v>
      </c>
      <c r="K90" s="260">
        <f>IFERROR(J90/H90,"")</f>
        <v>0</v>
      </c>
      <c r="L90" s="201">
        <f>SUM(L91:L92)</f>
        <v>0</v>
      </c>
      <c r="M90" s="246">
        <f>SUM(M91:M92)</f>
        <v>0</v>
      </c>
      <c r="N90" s="74"/>
      <c r="O90" s="351">
        <f>SUM(O91:O92)</f>
        <v>0</v>
      </c>
      <c r="P90" s="352">
        <f t="shared" si="40"/>
        <v>0</v>
      </c>
      <c r="Q90" s="208">
        <f>SUM(Q91:Q92)</f>
        <v>0</v>
      </c>
      <c r="R90" s="353">
        <f>SUM(R91:R92)</f>
        <v>0</v>
      </c>
      <c r="S90" s="74"/>
      <c r="T90" s="354">
        <f>SUM(T91:T92)</f>
        <v>189</v>
      </c>
      <c r="U90" s="75"/>
      <c r="V90" s="245">
        <f>SUM(V91:V92)</f>
        <v>189</v>
      </c>
      <c r="W90" s="246">
        <f>SUM(W91:W92)</f>
        <v>0</v>
      </c>
      <c r="X90" s="72"/>
      <c r="AD90" s="252">
        <v>0</v>
      </c>
      <c r="AE90" s="253">
        <v>0</v>
      </c>
      <c r="AF90" s="254">
        <v>0</v>
      </c>
      <c r="AG90" s="255">
        <v>0</v>
      </c>
    </row>
    <row r="91" spans="1:33" s="80" customFormat="1" ht="15" customHeight="1">
      <c r="A91" s="215"/>
      <c r="B91" s="216" t="s">
        <v>231</v>
      </c>
      <c r="C91" s="50"/>
      <c r="D91" s="217" t="s">
        <v>174</v>
      </c>
      <c r="E91" s="356">
        <v>112</v>
      </c>
      <c r="F91" s="219"/>
      <c r="G91" s="219"/>
      <c r="H91" s="220">
        <f>SUM(E91:G91)</f>
        <v>112</v>
      </c>
      <c r="I91" s="50"/>
      <c r="J91" s="221">
        <f>+H91*K91/100</f>
        <v>0</v>
      </c>
      <c r="K91" s="222">
        <v>0</v>
      </c>
      <c r="L91" s="219">
        <f>Q91+AF91</f>
        <v>0</v>
      </c>
      <c r="M91" s="220">
        <f>J91-L91</f>
        <v>0</v>
      </c>
      <c r="N91" s="50"/>
      <c r="O91" s="223">
        <f>J91-AD91</f>
        <v>0</v>
      </c>
      <c r="P91" s="224">
        <f t="shared" si="40"/>
        <v>0</v>
      </c>
      <c r="Q91" s="225"/>
      <c r="R91" s="226">
        <f>O91-Q91</f>
        <v>0</v>
      </c>
      <c r="S91" s="50"/>
      <c r="T91" s="227">
        <v>112</v>
      </c>
      <c r="U91" s="78"/>
      <c r="V91" s="221">
        <f>+L91+T91</f>
        <v>112</v>
      </c>
      <c r="W91" s="220">
        <f>H91-V91</f>
        <v>0</v>
      </c>
      <c r="X91" s="79"/>
      <c r="AD91" s="228">
        <v>0</v>
      </c>
      <c r="AE91" s="229">
        <v>0</v>
      </c>
      <c r="AF91" s="230">
        <v>0</v>
      </c>
      <c r="AG91" s="231">
        <v>0</v>
      </c>
    </row>
    <row r="92" spans="1:33" s="80" customFormat="1" ht="15" customHeight="1" thickBot="1">
      <c r="A92" s="215"/>
      <c r="B92" s="216" t="s">
        <v>232</v>
      </c>
      <c r="C92" s="50"/>
      <c r="D92" s="217" t="s">
        <v>174</v>
      </c>
      <c r="E92" s="356">
        <v>77</v>
      </c>
      <c r="F92" s="219"/>
      <c r="G92" s="219"/>
      <c r="H92" s="220">
        <f>SUM(E92:G92)</f>
        <v>77</v>
      </c>
      <c r="I92" s="50"/>
      <c r="J92" s="233">
        <f>+H92*K92/100</f>
        <v>0</v>
      </c>
      <c r="K92" s="234">
        <v>0</v>
      </c>
      <c r="L92" s="235">
        <f>Q92+AF92</f>
        <v>0</v>
      </c>
      <c r="M92" s="236">
        <f>J92-L92</f>
        <v>0</v>
      </c>
      <c r="N92" s="50"/>
      <c r="O92" s="237">
        <f>J92-AD92</f>
        <v>0</v>
      </c>
      <c r="P92" s="238">
        <f t="shared" si="40"/>
        <v>0</v>
      </c>
      <c r="Q92" s="239"/>
      <c r="R92" s="240">
        <f>O92-Q92</f>
        <v>0</v>
      </c>
      <c r="S92" s="50"/>
      <c r="T92" s="350">
        <v>77</v>
      </c>
      <c r="U92" s="78"/>
      <c r="V92" s="233">
        <f>+L92+T92</f>
        <v>77</v>
      </c>
      <c r="W92" s="236">
        <f>H92-V92</f>
        <v>0</v>
      </c>
      <c r="X92" s="79"/>
      <c r="AD92" s="241">
        <v>0</v>
      </c>
      <c r="AE92" s="242">
        <v>0</v>
      </c>
      <c r="AF92" s="243">
        <v>0</v>
      </c>
      <c r="AG92" s="244">
        <v>0</v>
      </c>
    </row>
    <row r="93" spans="1:33" s="76" customFormat="1" ht="19.5" customHeight="1" thickBot="1">
      <c r="A93" s="256" t="s">
        <v>527</v>
      </c>
      <c r="B93" s="257" t="s">
        <v>528</v>
      </c>
      <c r="C93" s="74"/>
      <c r="D93" s="258" t="s">
        <v>174</v>
      </c>
      <c r="E93" s="259">
        <f>SUM(E94:E108)</f>
        <v>221.31</v>
      </c>
      <c r="F93" s="201">
        <f>SUM(F94:F108)</f>
        <v>0</v>
      </c>
      <c r="G93" s="201">
        <f>SUM(G94:G108)</f>
        <v>0</v>
      </c>
      <c r="H93" s="246">
        <f>SUM(H94:H108)</f>
        <v>221.31</v>
      </c>
      <c r="I93" s="74"/>
      <c r="J93" s="245">
        <f>SUM(J94:J108)</f>
        <v>0</v>
      </c>
      <c r="K93" s="260">
        <f>IFERROR(J93/H93,"")</f>
        <v>0</v>
      </c>
      <c r="L93" s="201">
        <f>SUM(L94:L108)</f>
        <v>0</v>
      </c>
      <c r="M93" s="246">
        <f>SUM(M94:M108)</f>
        <v>0</v>
      </c>
      <c r="N93" s="74"/>
      <c r="O93" s="351">
        <f>SUM(O94:O108)</f>
        <v>0</v>
      </c>
      <c r="P93" s="352">
        <f t="shared" si="40"/>
        <v>0</v>
      </c>
      <c r="Q93" s="208">
        <f>SUM(Q94:Q108)</f>
        <v>0</v>
      </c>
      <c r="R93" s="353">
        <f>SUM(R94:R108)</f>
        <v>0</v>
      </c>
      <c r="S93" s="74"/>
      <c r="T93" s="354">
        <f>SUM(T94:T108)</f>
        <v>221.31</v>
      </c>
      <c r="U93" s="75"/>
      <c r="V93" s="245">
        <f>SUM(V94:V108)</f>
        <v>221.31</v>
      </c>
      <c r="W93" s="246">
        <f>SUM(W94:W118)</f>
        <v>0</v>
      </c>
      <c r="X93" s="72"/>
      <c r="AD93" s="252">
        <v>0</v>
      </c>
      <c r="AE93" s="253">
        <v>0</v>
      </c>
      <c r="AF93" s="254">
        <v>0</v>
      </c>
      <c r="AG93" s="255">
        <v>0</v>
      </c>
    </row>
    <row r="94" spans="1:33" s="80" customFormat="1" ht="15" customHeight="1">
      <c r="A94" s="215"/>
      <c r="B94" s="216" t="s">
        <v>235</v>
      </c>
      <c r="C94" s="50"/>
      <c r="D94" s="217" t="s">
        <v>174</v>
      </c>
      <c r="E94" s="356">
        <v>27.28</v>
      </c>
      <c r="F94" s="219"/>
      <c r="G94" s="219"/>
      <c r="H94" s="220">
        <f t="shared" ref="H94:H108" si="71">SUM(E94:G94)</f>
        <v>27.28</v>
      </c>
      <c r="I94" s="50"/>
      <c r="J94" s="221">
        <f t="shared" ref="J94" si="72">+H94*K94/100</f>
        <v>0</v>
      </c>
      <c r="K94" s="222">
        <v>0</v>
      </c>
      <c r="L94" s="219">
        <f t="shared" ref="L94:L108" si="73">Q94+AF94</f>
        <v>0</v>
      </c>
      <c r="M94" s="220">
        <f t="shared" ref="M94:M108" si="74">J94-L94</f>
        <v>0</v>
      </c>
      <c r="N94" s="50"/>
      <c r="O94" s="223">
        <f t="shared" ref="O94:O108" si="75">J94-AD94</f>
        <v>0</v>
      </c>
      <c r="P94" s="224">
        <f t="shared" si="40"/>
        <v>0</v>
      </c>
      <c r="Q94" s="225"/>
      <c r="R94" s="226">
        <f t="shared" ref="R94:R108" si="76">O94-Q94</f>
        <v>0</v>
      </c>
      <c r="S94" s="50"/>
      <c r="T94" s="227">
        <v>27.28</v>
      </c>
      <c r="U94" s="78"/>
      <c r="V94" s="221">
        <f t="shared" ref="V94:V108" si="77">+L94+T94</f>
        <v>27.28</v>
      </c>
      <c r="W94" s="220">
        <f t="shared" ref="W94:W108" si="78">H94-V94</f>
        <v>0</v>
      </c>
      <c r="X94" s="79"/>
      <c r="AD94" s="228">
        <v>0</v>
      </c>
      <c r="AE94" s="229">
        <v>0</v>
      </c>
      <c r="AF94" s="230">
        <v>0</v>
      </c>
      <c r="AG94" s="231">
        <v>0</v>
      </c>
    </row>
    <row r="95" spans="1:33" s="80" customFormat="1" ht="15" customHeight="1">
      <c r="A95" s="215"/>
      <c r="B95" s="216" t="s">
        <v>236</v>
      </c>
      <c r="C95" s="50"/>
      <c r="D95" s="217" t="s">
        <v>174</v>
      </c>
      <c r="E95" s="356">
        <v>0</v>
      </c>
      <c r="F95" s="219"/>
      <c r="G95" s="219"/>
      <c r="H95" s="220">
        <f t="shared" si="71"/>
        <v>0</v>
      </c>
      <c r="I95" s="50"/>
      <c r="J95" s="221">
        <f t="shared" ref="J95:J102" si="79">H95*K95/100</f>
        <v>0</v>
      </c>
      <c r="K95" s="222">
        <v>0</v>
      </c>
      <c r="L95" s="219">
        <f t="shared" si="73"/>
        <v>0</v>
      </c>
      <c r="M95" s="220">
        <f t="shared" si="74"/>
        <v>0</v>
      </c>
      <c r="N95" s="50"/>
      <c r="O95" s="223">
        <f t="shared" si="75"/>
        <v>0</v>
      </c>
      <c r="P95" s="224" t="str">
        <f t="shared" si="40"/>
        <v/>
      </c>
      <c r="Q95" s="225"/>
      <c r="R95" s="226">
        <f t="shared" si="76"/>
        <v>0</v>
      </c>
      <c r="S95" s="50"/>
      <c r="T95" s="227">
        <v>0</v>
      </c>
      <c r="U95" s="78"/>
      <c r="V95" s="221">
        <f t="shared" si="77"/>
        <v>0</v>
      </c>
      <c r="W95" s="220">
        <f t="shared" si="78"/>
        <v>0</v>
      </c>
      <c r="X95" s="79"/>
      <c r="AD95" s="228">
        <v>0</v>
      </c>
      <c r="AE95" s="229">
        <v>0</v>
      </c>
      <c r="AF95" s="230">
        <v>0</v>
      </c>
      <c r="AG95" s="231">
        <v>0</v>
      </c>
    </row>
    <row r="96" spans="1:33" s="80" customFormat="1" ht="15" customHeight="1">
      <c r="A96" s="215"/>
      <c r="B96" s="216" t="s">
        <v>237</v>
      </c>
      <c r="C96" s="50"/>
      <c r="D96" s="217" t="s">
        <v>174</v>
      </c>
      <c r="E96" s="356">
        <v>0</v>
      </c>
      <c r="F96" s="219"/>
      <c r="G96" s="219"/>
      <c r="H96" s="220">
        <f t="shared" si="71"/>
        <v>0</v>
      </c>
      <c r="I96" s="50"/>
      <c r="J96" s="221">
        <f t="shared" si="79"/>
        <v>0</v>
      </c>
      <c r="K96" s="222">
        <v>0</v>
      </c>
      <c r="L96" s="219">
        <f t="shared" si="73"/>
        <v>0</v>
      </c>
      <c r="M96" s="220">
        <f t="shared" si="74"/>
        <v>0</v>
      </c>
      <c r="N96" s="50"/>
      <c r="O96" s="223">
        <f t="shared" si="75"/>
        <v>0</v>
      </c>
      <c r="P96" s="224" t="str">
        <f t="shared" si="40"/>
        <v/>
      </c>
      <c r="Q96" s="225"/>
      <c r="R96" s="226">
        <f t="shared" si="76"/>
        <v>0</v>
      </c>
      <c r="S96" s="50"/>
      <c r="T96" s="227">
        <v>0</v>
      </c>
      <c r="U96" s="78"/>
      <c r="V96" s="221">
        <f t="shared" si="77"/>
        <v>0</v>
      </c>
      <c r="W96" s="220">
        <f t="shared" si="78"/>
        <v>0</v>
      </c>
      <c r="X96" s="79"/>
      <c r="AD96" s="228">
        <v>0</v>
      </c>
      <c r="AE96" s="229">
        <v>0</v>
      </c>
      <c r="AF96" s="230">
        <v>0</v>
      </c>
      <c r="AG96" s="231">
        <v>0</v>
      </c>
    </row>
    <row r="97" spans="1:33" s="80" customFormat="1" ht="15" customHeight="1">
      <c r="A97" s="215"/>
      <c r="B97" s="216" t="s">
        <v>238</v>
      </c>
      <c r="C97" s="50"/>
      <c r="D97" s="217" t="s">
        <v>174</v>
      </c>
      <c r="E97" s="356">
        <v>0</v>
      </c>
      <c r="F97" s="219"/>
      <c r="G97" s="219"/>
      <c r="H97" s="220">
        <f t="shared" si="71"/>
        <v>0</v>
      </c>
      <c r="I97" s="50"/>
      <c r="J97" s="221">
        <f t="shared" si="79"/>
        <v>0</v>
      </c>
      <c r="K97" s="222">
        <v>0</v>
      </c>
      <c r="L97" s="219">
        <f t="shared" si="73"/>
        <v>0</v>
      </c>
      <c r="M97" s="220">
        <f t="shared" si="74"/>
        <v>0</v>
      </c>
      <c r="N97" s="50"/>
      <c r="O97" s="223">
        <f t="shared" si="75"/>
        <v>0</v>
      </c>
      <c r="P97" s="224" t="str">
        <f t="shared" si="40"/>
        <v/>
      </c>
      <c r="Q97" s="225"/>
      <c r="R97" s="226">
        <f t="shared" si="76"/>
        <v>0</v>
      </c>
      <c r="S97" s="50"/>
      <c r="T97" s="227">
        <v>0</v>
      </c>
      <c r="U97" s="78"/>
      <c r="V97" s="221">
        <f t="shared" si="77"/>
        <v>0</v>
      </c>
      <c r="W97" s="220">
        <f t="shared" si="78"/>
        <v>0</v>
      </c>
      <c r="X97" s="79"/>
      <c r="AD97" s="228">
        <v>0</v>
      </c>
      <c r="AE97" s="229">
        <v>0</v>
      </c>
      <c r="AF97" s="230">
        <v>0</v>
      </c>
      <c r="AG97" s="231">
        <v>0</v>
      </c>
    </row>
    <row r="98" spans="1:33" s="80" customFormat="1" ht="15" customHeight="1">
      <c r="A98" s="215"/>
      <c r="B98" s="216" t="s">
        <v>239</v>
      </c>
      <c r="C98" s="50"/>
      <c r="D98" s="217" t="s">
        <v>174</v>
      </c>
      <c r="E98" s="356">
        <v>0</v>
      </c>
      <c r="F98" s="219"/>
      <c r="G98" s="219"/>
      <c r="H98" s="220">
        <f t="shared" si="71"/>
        <v>0</v>
      </c>
      <c r="I98" s="50"/>
      <c r="J98" s="221">
        <f t="shared" si="79"/>
        <v>0</v>
      </c>
      <c r="K98" s="222">
        <v>0</v>
      </c>
      <c r="L98" s="219">
        <f t="shared" si="73"/>
        <v>0</v>
      </c>
      <c r="M98" s="220">
        <f t="shared" si="74"/>
        <v>0</v>
      </c>
      <c r="N98" s="50"/>
      <c r="O98" s="223">
        <f t="shared" si="75"/>
        <v>0</v>
      </c>
      <c r="P98" s="224" t="str">
        <f t="shared" si="40"/>
        <v/>
      </c>
      <c r="Q98" s="225"/>
      <c r="R98" s="226">
        <f t="shared" si="76"/>
        <v>0</v>
      </c>
      <c r="S98" s="50"/>
      <c r="T98" s="227">
        <v>0</v>
      </c>
      <c r="U98" s="78"/>
      <c r="V98" s="221">
        <f t="shared" si="77"/>
        <v>0</v>
      </c>
      <c r="W98" s="220">
        <f t="shared" si="78"/>
        <v>0</v>
      </c>
      <c r="X98" s="79"/>
      <c r="AD98" s="228">
        <v>0</v>
      </c>
      <c r="AE98" s="229">
        <v>0</v>
      </c>
      <c r="AF98" s="230">
        <v>0</v>
      </c>
      <c r="AG98" s="231">
        <v>0</v>
      </c>
    </row>
    <row r="99" spans="1:33" s="80" customFormat="1" ht="15" customHeight="1">
      <c r="A99" s="215"/>
      <c r="B99" s="216" t="s">
        <v>240</v>
      </c>
      <c r="C99" s="50"/>
      <c r="D99" s="217" t="s">
        <v>174</v>
      </c>
      <c r="E99" s="356">
        <v>3.2</v>
      </c>
      <c r="F99" s="219"/>
      <c r="G99" s="219"/>
      <c r="H99" s="220">
        <f t="shared" si="71"/>
        <v>3.2</v>
      </c>
      <c r="I99" s="50"/>
      <c r="J99" s="221">
        <f t="shared" si="79"/>
        <v>0</v>
      </c>
      <c r="K99" s="222">
        <v>0</v>
      </c>
      <c r="L99" s="219">
        <f t="shared" si="73"/>
        <v>0</v>
      </c>
      <c r="M99" s="220">
        <f t="shared" si="74"/>
        <v>0</v>
      </c>
      <c r="N99" s="50"/>
      <c r="O99" s="223">
        <f t="shared" si="75"/>
        <v>0</v>
      </c>
      <c r="P99" s="224">
        <f t="shared" si="40"/>
        <v>0</v>
      </c>
      <c r="Q99" s="225"/>
      <c r="R99" s="226">
        <f t="shared" si="76"/>
        <v>0</v>
      </c>
      <c r="S99" s="50"/>
      <c r="T99" s="227">
        <v>3.2</v>
      </c>
      <c r="U99" s="78"/>
      <c r="V99" s="221">
        <f t="shared" si="77"/>
        <v>3.2</v>
      </c>
      <c r="W99" s="220">
        <f t="shared" si="78"/>
        <v>0</v>
      </c>
      <c r="X99" s="79"/>
      <c r="AD99" s="228">
        <v>0</v>
      </c>
      <c r="AE99" s="229">
        <v>0</v>
      </c>
      <c r="AF99" s="230">
        <v>0</v>
      </c>
      <c r="AG99" s="231">
        <v>0</v>
      </c>
    </row>
    <row r="100" spans="1:33" s="80" customFormat="1" ht="15" customHeight="1">
      <c r="A100" s="215"/>
      <c r="B100" s="216" t="s">
        <v>241</v>
      </c>
      <c r="C100" s="50"/>
      <c r="D100" s="217" t="s">
        <v>174</v>
      </c>
      <c r="E100" s="356">
        <v>78.400000000000006</v>
      </c>
      <c r="F100" s="219"/>
      <c r="G100" s="219"/>
      <c r="H100" s="220">
        <f t="shared" si="71"/>
        <v>78.400000000000006</v>
      </c>
      <c r="I100" s="50"/>
      <c r="J100" s="221">
        <f t="shared" si="79"/>
        <v>0</v>
      </c>
      <c r="K100" s="222">
        <v>0</v>
      </c>
      <c r="L100" s="219">
        <f t="shared" si="73"/>
        <v>0</v>
      </c>
      <c r="M100" s="220">
        <f t="shared" si="74"/>
        <v>0</v>
      </c>
      <c r="N100" s="50"/>
      <c r="O100" s="223">
        <f t="shared" si="75"/>
        <v>0</v>
      </c>
      <c r="P100" s="224">
        <f t="shared" si="40"/>
        <v>0</v>
      </c>
      <c r="Q100" s="225"/>
      <c r="R100" s="226">
        <f t="shared" si="76"/>
        <v>0</v>
      </c>
      <c r="S100" s="50"/>
      <c r="T100" s="227">
        <v>78.400000000000006</v>
      </c>
      <c r="U100" s="78"/>
      <c r="V100" s="221">
        <f t="shared" si="77"/>
        <v>78.400000000000006</v>
      </c>
      <c r="W100" s="220">
        <f t="shared" si="78"/>
        <v>0</v>
      </c>
      <c r="X100" s="79"/>
      <c r="AD100" s="228">
        <v>0</v>
      </c>
      <c r="AE100" s="229">
        <v>0</v>
      </c>
      <c r="AF100" s="230">
        <v>0</v>
      </c>
      <c r="AG100" s="231">
        <v>0</v>
      </c>
    </row>
    <row r="101" spans="1:33" s="80" customFormat="1" ht="15" customHeight="1">
      <c r="A101" s="215"/>
      <c r="B101" s="216" t="s">
        <v>242</v>
      </c>
      <c r="C101" s="50"/>
      <c r="D101" s="217" t="s">
        <v>174</v>
      </c>
      <c r="E101" s="356">
        <v>15.6</v>
      </c>
      <c r="F101" s="219"/>
      <c r="G101" s="219"/>
      <c r="H101" s="220">
        <f t="shared" si="71"/>
        <v>15.6</v>
      </c>
      <c r="I101" s="50"/>
      <c r="J101" s="221">
        <f t="shared" si="79"/>
        <v>0</v>
      </c>
      <c r="K101" s="222">
        <v>0</v>
      </c>
      <c r="L101" s="219">
        <f t="shared" si="73"/>
        <v>0</v>
      </c>
      <c r="M101" s="220">
        <f t="shared" si="74"/>
        <v>0</v>
      </c>
      <c r="N101" s="50"/>
      <c r="O101" s="223">
        <f t="shared" si="75"/>
        <v>0</v>
      </c>
      <c r="P101" s="224">
        <f t="shared" si="40"/>
        <v>0</v>
      </c>
      <c r="Q101" s="225"/>
      <c r="R101" s="226">
        <f t="shared" si="76"/>
        <v>0</v>
      </c>
      <c r="S101" s="50"/>
      <c r="T101" s="227">
        <v>15.6</v>
      </c>
      <c r="U101" s="78"/>
      <c r="V101" s="221">
        <f t="shared" si="77"/>
        <v>15.6</v>
      </c>
      <c r="W101" s="220">
        <f t="shared" si="78"/>
        <v>0</v>
      </c>
      <c r="X101" s="79"/>
      <c r="AD101" s="228">
        <v>0</v>
      </c>
      <c r="AE101" s="229">
        <v>0</v>
      </c>
      <c r="AF101" s="230">
        <v>0</v>
      </c>
      <c r="AG101" s="231">
        <v>0</v>
      </c>
    </row>
    <row r="102" spans="1:33" s="80" customFormat="1" ht="15" customHeight="1">
      <c r="A102" s="215"/>
      <c r="B102" s="216" t="s">
        <v>243</v>
      </c>
      <c r="C102" s="50"/>
      <c r="D102" s="217" t="s">
        <v>174</v>
      </c>
      <c r="E102" s="356">
        <v>0</v>
      </c>
      <c r="F102" s="219"/>
      <c r="G102" s="219"/>
      <c r="H102" s="220">
        <f t="shared" si="71"/>
        <v>0</v>
      </c>
      <c r="I102" s="50"/>
      <c r="J102" s="221">
        <f t="shared" si="79"/>
        <v>0</v>
      </c>
      <c r="K102" s="222">
        <v>0</v>
      </c>
      <c r="L102" s="219">
        <f t="shared" si="73"/>
        <v>0</v>
      </c>
      <c r="M102" s="220">
        <f t="shared" si="74"/>
        <v>0</v>
      </c>
      <c r="N102" s="50"/>
      <c r="O102" s="223">
        <f t="shared" si="75"/>
        <v>0</v>
      </c>
      <c r="P102" s="224" t="str">
        <f t="shared" si="40"/>
        <v/>
      </c>
      <c r="Q102" s="225"/>
      <c r="R102" s="226">
        <f t="shared" si="76"/>
        <v>0</v>
      </c>
      <c r="S102" s="50"/>
      <c r="T102" s="227">
        <v>0</v>
      </c>
      <c r="U102" s="78"/>
      <c r="V102" s="221">
        <f t="shared" si="77"/>
        <v>0</v>
      </c>
      <c r="W102" s="220">
        <f t="shared" si="78"/>
        <v>0</v>
      </c>
      <c r="X102" s="79"/>
      <c r="AD102" s="228">
        <v>0</v>
      </c>
      <c r="AE102" s="229">
        <v>0</v>
      </c>
      <c r="AF102" s="230">
        <v>0</v>
      </c>
      <c r="AG102" s="231">
        <v>0</v>
      </c>
    </row>
    <row r="103" spans="1:33" s="80" customFormat="1" ht="15" customHeight="1">
      <c r="A103" s="215"/>
      <c r="B103" s="216" t="s">
        <v>244</v>
      </c>
      <c r="C103" s="50"/>
      <c r="D103" s="217" t="s">
        <v>174</v>
      </c>
      <c r="E103" s="356">
        <v>0</v>
      </c>
      <c r="F103" s="219"/>
      <c r="G103" s="219"/>
      <c r="H103" s="220">
        <f t="shared" si="71"/>
        <v>0</v>
      </c>
      <c r="I103" s="50"/>
      <c r="J103" s="221">
        <f t="shared" ref="J103:J108" si="80">+H103*K103/100</f>
        <v>0</v>
      </c>
      <c r="K103" s="222">
        <v>0</v>
      </c>
      <c r="L103" s="219">
        <f t="shared" si="73"/>
        <v>0</v>
      </c>
      <c r="M103" s="220">
        <f t="shared" si="74"/>
        <v>0</v>
      </c>
      <c r="N103" s="50"/>
      <c r="O103" s="223">
        <f t="shared" si="75"/>
        <v>0</v>
      </c>
      <c r="P103" s="224" t="str">
        <f t="shared" si="40"/>
        <v/>
      </c>
      <c r="Q103" s="225"/>
      <c r="R103" s="226">
        <f t="shared" si="76"/>
        <v>0</v>
      </c>
      <c r="S103" s="50"/>
      <c r="T103" s="227">
        <v>0</v>
      </c>
      <c r="U103" s="78"/>
      <c r="V103" s="221">
        <f t="shared" si="77"/>
        <v>0</v>
      </c>
      <c r="W103" s="220">
        <f t="shared" si="78"/>
        <v>0</v>
      </c>
      <c r="X103" s="79"/>
      <c r="AD103" s="228">
        <v>0</v>
      </c>
      <c r="AE103" s="229">
        <v>0</v>
      </c>
      <c r="AF103" s="230">
        <v>0</v>
      </c>
      <c r="AG103" s="231">
        <v>0</v>
      </c>
    </row>
    <row r="104" spans="1:33" s="80" customFormat="1" ht="15" customHeight="1">
      <c r="A104" s="215"/>
      <c r="B104" s="216" t="s">
        <v>245</v>
      </c>
      <c r="C104" s="50"/>
      <c r="D104" s="217" t="s">
        <v>174</v>
      </c>
      <c r="E104" s="356">
        <v>45.800000000000004</v>
      </c>
      <c r="F104" s="219"/>
      <c r="G104" s="219"/>
      <c r="H104" s="220">
        <f t="shared" si="71"/>
        <v>45.800000000000004</v>
      </c>
      <c r="I104" s="50"/>
      <c r="J104" s="221">
        <f t="shared" si="80"/>
        <v>0</v>
      </c>
      <c r="K104" s="222">
        <v>0</v>
      </c>
      <c r="L104" s="219">
        <f t="shared" si="73"/>
        <v>0</v>
      </c>
      <c r="M104" s="220">
        <f t="shared" si="74"/>
        <v>0</v>
      </c>
      <c r="N104" s="50"/>
      <c r="O104" s="223">
        <f t="shared" si="75"/>
        <v>0</v>
      </c>
      <c r="P104" s="224">
        <f t="shared" si="40"/>
        <v>0</v>
      </c>
      <c r="Q104" s="225"/>
      <c r="R104" s="226">
        <f t="shared" si="76"/>
        <v>0</v>
      </c>
      <c r="S104" s="50"/>
      <c r="T104" s="227">
        <v>45.800000000000004</v>
      </c>
      <c r="U104" s="78"/>
      <c r="V104" s="221">
        <f t="shared" si="77"/>
        <v>45.800000000000004</v>
      </c>
      <c r="W104" s="220">
        <f t="shared" si="78"/>
        <v>0</v>
      </c>
      <c r="X104" s="79"/>
      <c r="AD104" s="228">
        <v>0</v>
      </c>
      <c r="AE104" s="229">
        <v>0</v>
      </c>
      <c r="AF104" s="230">
        <v>0</v>
      </c>
      <c r="AG104" s="231">
        <v>0</v>
      </c>
    </row>
    <row r="105" spans="1:33" s="80" customFormat="1" ht="15" customHeight="1">
      <c r="A105" s="215"/>
      <c r="B105" s="216" t="s">
        <v>246</v>
      </c>
      <c r="C105" s="50"/>
      <c r="D105" s="217" t="s">
        <v>174</v>
      </c>
      <c r="E105" s="356">
        <v>0</v>
      </c>
      <c r="F105" s="219"/>
      <c r="G105" s="219"/>
      <c r="H105" s="220">
        <f t="shared" si="71"/>
        <v>0</v>
      </c>
      <c r="I105" s="50"/>
      <c r="J105" s="221">
        <f t="shared" si="80"/>
        <v>0</v>
      </c>
      <c r="K105" s="222">
        <v>0</v>
      </c>
      <c r="L105" s="219">
        <f t="shared" si="73"/>
        <v>0</v>
      </c>
      <c r="M105" s="220">
        <f t="shared" si="74"/>
        <v>0</v>
      </c>
      <c r="N105" s="50"/>
      <c r="O105" s="223">
        <f t="shared" si="75"/>
        <v>0</v>
      </c>
      <c r="P105" s="224" t="str">
        <f t="shared" si="40"/>
        <v/>
      </c>
      <c r="Q105" s="225"/>
      <c r="R105" s="226">
        <f t="shared" si="76"/>
        <v>0</v>
      </c>
      <c r="S105" s="50"/>
      <c r="T105" s="227">
        <v>0</v>
      </c>
      <c r="U105" s="78"/>
      <c r="V105" s="221">
        <f t="shared" si="77"/>
        <v>0</v>
      </c>
      <c r="W105" s="220">
        <f t="shared" si="78"/>
        <v>0</v>
      </c>
      <c r="X105" s="79"/>
      <c r="AD105" s="228">
        <v>0</v>
      </c>
      <c r="AE105" s="229">
        <v>0</v>
      </c>
      <c r="AF105" s="230">
        <v>0</v>
      </c>
      <c r="AG105" s="231">
        <v>0</v>
      </c>
    </row>
    <row r="106" spans="1:33" s="80" customFormat="1" ht="15" customHeight="1">
      <c r="A106" s="215"/>
      <c r="B106" s="216" t="s">
        <v>247</v>
      </c>
      <c r="C106" s="50"/>
      <c r="D106" s="217" t="s">
        <v>174</v>
      </c>
      <c r="E106" s="356">
        <v>0</v>
      </c>
      <c r="F106" s="219"/>
      <c r="G106" s="219"/>
      <c r="H106" s="220">
        <f t="shared" si="71"/>
        <v>0</v>
      </c>
      <c r="I106" s="50"/>
      <c r="J106" s="221">
        <f t="shared" si="80"/>
        <v>0</v>
      </c>
      <c r="K106" s="222">
        <v>0</v>
      </c>
      <c r="L106" s="219">
        <f t="shared" si="73"/>
        <v>0</v>
      </c>
      <c r="M106" s="220">
        <f t="shared" si="74"/>
        <v>0</v>
      </c>
      <c r="N106" s="50"/>
      <c r="O106" s="223">
        <f t="shared" si="75"/>
        <v>0</v>
      </c>
      <c r="P106" s="224" t="str">
        <f t="shared" si="40"/>
        <v/>
      </c>
      <c r="Q106" s="225"/>
      <c r="R106" s="226">
        <f t="shared" si="76"/>
        <v>0</v>
      </c>
      <c r="S106" s="50"/>
      <c r="T106" s="227">
        <v>0</v>
      </c>
      <c r="U106" s="78"/>
      <c r="V106" s="221">
        <f t="shared" si="77"/>
        <v>0</v>
      </c>
      <c r="W106" s="220">
        <f t="shared" si="78"/>
        <v>0</v>
      </c>
      <c r="X106" s="79"/>
      <c r="AD106" s="228">
        <v>0</v>
      </c>
      <c r="AE106" s="229">
        <v>0</v>
      </c>
      <c r="AF106" s="230">
        <v>0</v>
      </c>
      <c r="AG106" s="231">
        <v>0</v>
      </c>
    </row>
    <row r="107" spans="1:33" s="80" customFormat="1" ht="15" customHeight="1">
      <c r="A107" s="215"/>
      <c r="B107" s="216" t="s">
        <v>248</v>
      </c>
      <c r="C107" s="50"/>
      <c r="D107" s="217" t="s">
        <v>174</v>
      </c>
      <c r="E107" s="356">
        <v>51.03</v>
      </c>
      <c r="F107" s="219"/>
      <c r="G107" s="219"/>
      <c r="H107" s="220">
        <f t="shared" si="71"/>
        <v>51.03</v>
      </c>
      <c r="I107" s="50"/>
      <c r="J107" s="221">
        <f t="shared" si="80"/>
        <v>0</v>
      </c>
      <c r="K107" s="222">
        <v>0</v>
      </c>
      <c r="L107" s="219">
        <f t="shared" si="73"/>
        <v>0</v>
      </c>
      <c r="M107" s="220">
        <f t="shared" si="74"/>
        <v>0</v>
      </c>
      <c r="N107" s="50"/>
      <c r="O107" s="223">
        <f t="shared" si="75"/>
        <v>0</v>
      </c>
      <c r="P107" s="224">
        <f t="shared" si="40"/>
        <v>0</v>
      </c>
      <c r="Q107" s="225"/>
      <c r="R107" s="226">
        <f t="shared" si="76"/>
        <v>0</v>
      </c>
      <c r="S107" s="50"/>
      <c r="T107" s="227">
        <v>51.03</v>
      </c>
      <c r="U107" s="78"/>
      <c r="V107" s="221">
        <f t="shared" si="77"/>
        <v>51.03</v>
      </c>
      <c r="W107" s="220">
        <f t="shared" si="78"/>
        <v>0</v>
      </c>
      <c r="X107" s="79"/>
      <c r="AD107" s="228">
        <v>0</v>
      </c>
      <c r="AE107" s="229">
        <v>0</v>
      </c>
      <c r="AF107" s="230">
        <v>0</v>
      </c>
      <c r="AG107" s="231">
        <v>0</v>
      </c>
    </row>
    <row r="108" spans="1:33" s="80" customFormat="1" ht="15" customHeight="1" thickBot="1">
      <c r="A108" s="215"/>
      <c r="B108" s="216" t="s">
        <v>249</v>
      </c>
      <c r="C108" s="50"/>
      <c r="D108" s="217" t="s">
        <v>174</v>
      </c>
      <c r="E108" s="356">
        <v>0</v>
      </c>
      <c r="F108" s="219"/>
      <c r="G108" s="219"/>
      <c r="H108" s="220">
        <f t="shared" si="71"/>
        <v>0</v>
      </c>
      <c r="I108" s="50"/>
      <c r="J108" s="233">
        <f t="shared" si="80"/>
        <v>0</v>
      </c>
      <c r="K108" s="234">
        <v>0</v>
      </c>
      <c r="L108" s="235">
        <f t="shared" si="73"/>
        <v>0</v>
      </c>
      <c r="M108" s="236">
        <f t="shared" si="74"/>
        <v>0</v>
      </c>
      <c r="N108" s="50"/>
      <c r="O108" s="237">
        <f t="shared" si="75"/>
        <v>0</v>
      </c>
      <c r="P108" s="238" t="str">
        <f t="shared" si="40"/>
        <v/>
      </c>
      <c r="Q108" s="239"/>
      <c r="R108" s="240">
        <f t="shared" si="76"/>
        <v>0</v>
      </c>
      <c r="S108" s="50"/>
      <c r="T108" s="350">
        <v>0</v>
      </c>
      <c r="U108" s="78"/>
      <c r="V108" s="233">
        <f t="shared" si="77"/>
        <v>0</v>
      </c>
      <c r="W108" s="236">
        <f t="shared" si="78"/>
        <v>0</v>
      </c>
      <c r="X108" s="79"/>
      <c r="AD108" s="241">
        <v>0</v>
      </c>
      <c r="AE108" s="242">
        <v>0</v>
      </c>
      <c r="AF108" s="243">
        <v>0</v>
      </c>
      <c r="AG108" s="244">
        <v>0</v>
      </c>
    </row>
    <row r="109" spans="1:33" s="76" customFormat="1" ht="19.5" customHeight="1" thickBot="1">
      <c r="A109" s="256" t="s">
        <v>529</v>
      </c>
      <c r="B109" s="257" t="s">
        <v>530</v>
      </c>
      <c r="C109" s="74"/>
      <c r="D109" s="258" t="s">
        <v>174</v>
      </c>
      <c r="E109" s="259">
        <f>SUM(E110:E112)</f>
        <v>0</v>
      </c>
      <c r="F109" s="201">
        <f>SUM(F110:F112)</f>
        <v>0</v>
      </c>
      <c r="G109" s="201">
        <f>SUM(G110:G112)</f>
        <v>0</v>
      </c>
      <c r="H109" s="246">
        <f>SUM(H110:H112)</f>
        <v>0</v>
      </c>
      <c r="I109" s="74"/>
      <c r="J109" s="245">
        <f>SUM(J110:J112)</f>
        <v>0</v>
      </c>
      <c r="K109" s="260" t="str">
        <f>IFERROR(J109/H109,"")</f>
        <v/>
      </c>
      <c r="L109" s="201">
        <f>SUM(L110:L112)</f>
        <v>0</v>
      </c>
      <c r="M109" s="246">
        <f>SUM(M110:M112)</f>
        <v>0</v>
      </c>
      <c r="N109" s="74"/>
      <c r="O109" s="351">
        <f>SUM(O110:O112)</f>
        <v>0</v>
      </c>
      <c r="P109" s="352" t="str">
        <f t="shared" si="40"/>
        <v/>
      </c>
      <c r="Q109" s="208">
        <f>SUM(Q110:Q112)</f>
        <v>0</v>
      </c>
      <c r="R109" s="353">
        <f>SUM(R110:R112)</f>
        <v>0</v>
      </c>
      <c r="S109" s="74"/>
      <c r="T109" s="354">
        <f>SUM(T110:T112)</f>
        <v>0</v>
      </c>
      <c r="U109" s="75"/>
      <c r="V109" s="245">
        <f>SUM(V110:V112)</f>
        <v>0</v>
      </c>
      <c r="W109" s="246">
        <f>SUM(W110:W112)</f>
        <v>0</v>
      </c>
      <c r="X109" s="72"/>
      <c r="AD109" s="252">
        <v>0</v>
      </c>
      <c r="AE109" s="253" t="s">
        <v>67</v>
      </c>
      <c r="AF109" s="355">
        <v>0</v>
      </c>
      <c r="AG109" s="255">
        <v>0</v>
      </c>
    </row>
    <row r="110" spans="1:33" s="80" customFormat="1" ht="15" customHeight="1">
      <c r="A110" s="215"/>
      <c r="B110" s="216" t="s">
        <v>252</v>
      </c>
      <c r="C110" s="50"/>
      <c r="D110" s="217" t="s">
        <v>174</v>
      </c>
      <c r="E110" s="218">
        <v>0</v>
      </c>
      <c r="F110" s="219"/>
      <c r="G110" s="219"/>
      <c r="H110" s="220">
        <f>SUM(E110:G110)</f>
        <v>0</v>
      </c>
      <c r="I110" s="50"/>
      <c r="J110" s="221">
        <f t="shared" ref="J110:J112" si="81">+H110*K110/100</f>
        <v>0</v>
      </c>
      <c r="K110" s="222">
        <v>0</v>
      </c>
      <c r="L110" s="219">
        <f>Q110+AF110</f>
        <v>0</v>
      </c>
      <c r="M110" s="220">
        <f>J110-L110</f>
        <v>0</v>
      </c>
      <c r="N110" s="50"/>
      <c r="O110" s="223">
        <f>J110-AD110</f>
        <v>0</v>
      </c>
      <c r="P110" s="224" t="str">
        <f t="shared" si="40"/>
        <v/>
      </c>
      <c r="Q110" s="225"/>
      <c r="R110" s="226">
        <f>O110-Q110</f>
        <v>0</v>
      </c>
      <c r="S110" s="50"/>
      <c r="T110" s="227">
        <v>0</v>
      </c>
      <c r="U110" s="78"/>
      <c r="V110" s="221">
        <f t="shared" ref="V110:V112" si="82">+L110+T110</f>
        <v>0</v>
      </c>
      <c r="W110" s="220">
        <f>H110-V110</f>
        <v>0</v>
      </c>
      <c r="X110" s="79"/>
      <c r="AD110" s="228">
        <v>0</v>
      </c>
      <c r="AE110" s="229">
        <v>0</v>
      </c>
      <c r="AF110" s="230">
        <v>0</v>
      </c>
      <c r="AG110" s="231">
        <v>0</v>
      </c>
    </row>
    <row r="111" spans="1:33" s="80" customFormat="1" ht="15" customHeight="1">
      <c r="A111" s="215"/>
      <c r="B111" s="216" t="s">
        <v>252</v>
      </c>
      <c r="C111" s="50"/>
      <c r="D111" s="217" t="s">
        <v>174</v>
      </c>
      <c r="E111" s="218">
        <v>0</v>
      </c>
      <c r="F111" s="219"/>
      <c r="G111" s="219"/>
      <c r="H111" s="220">
        <f>SUM(E111:G111)</f>
        <v>0</v>
      </c>
      <c r="I111" s="50"/>
      <c r="J111" s="221">
        <f t="shared" si="81"/>
        <v>0</v>
      </c>
      <c r="K111" s="222">
        <v>0</v>
      </c>
      <c r="L111" s="219">
        <f>Q111+AF111</f>
        <v>0</v>
      </c>
      <c r="M111" s="220">
        <f>J111-L111</f>
        <v>0</v>
      </c>
      <c r="N111" s="50"/>
      <c r="O111" s="223">
        <f>J111-AD111</f>
        <v>0</v>
      </c>
      <c r="P111" s="224" t="str">
        <f t="shared" si="40"/>
        <v/>
      </c>
      <c r="Q111" s="225"/>
      <c r="R111" s="226">
        <f>O111-Q111</f>
        <v>0</v>
      </c>
      <c r="S111" s="50"/>
      <c r="T111" s="227">
        <v>0</v>
      </c>
      <c r="U111" s="78"/>
      <c r="V111" s="221">
        <f t="shared" si="82"/>
        <v>0</v>
      </c>
      <c r="W111" s="220">
        <f>H111-V111</f>
        <v>0</v>
      </c>
      <c r="X111" s="79"/>
      <c r="AD111" s="228">
        <v>0</v>
      </c>
      <c r="AE111" s="229">
        <v>0</v>
      </c>
      <c r="AF111" s="230">
        <v>0</v>
      </c>
      <c r="AG111" s="231">
        <v>0</v>
      </c>
    </row>
    <row r="112" spans="1:33" s="80" customFormat="1" ht="15" customHeight="1" thickBot="1">
      <c r="A112" s="261"/>
      <c r="B112" s="262" t="s">
        <v>253</v>
      </c>
      <c r="C112" s="50"/>
      <c r="D112" s="263" t="s">
        <v>174</v>
      </c>
      <c r="E112" s="264">
        <v>0</v>
      </c>
      <c r="F112" s="265"/>
      <c r="G112" s="265"/>
      <c r="H112" s="266">
        <f>SUM(E112:G112)</f>
        <v>0</v>
      </c>
      <c r="I112" s="50"/>
      <c r="J112" s="267">
        <f t="shared" si="81"/>
        <v>0</v>
      </c>
      <c r="K112" s="268">
        <v>0</v>
      </c>
      <c r="L112" s="265">
        <f>Q112+AF112</f>
        <v>0</v>
      </c>
      <c r="M112" s="266">
        <f>J112-L112</f>
        <v>0</v>
      </c>
      <c r="N112" s="50"/>
      <c r="O112" s="269">
        <f>J112-AD112</f>
        <v>0</v>
      </c>
      <c r="P112" s="270" t="str">
        <f t="shared" si="40"/>
        <v/>
      </c>
      <c r="Q112" s="271"/>
      <c r="R112" s="272">
        <f>O112-Q112</f>
        <v>0</v>
      </c>
      <c r="S112" s="50"/>
      <c r="T112" s="273">
        <v>0</v>
      </c>
      <c r="U112" s="78"/>
      <c r="V112" s="267">
        <f t="shared" si="82"/>
        <v>0</v>
      </c>
      <c r="W112" s="266">
        <f>H112-V112</f>
        <v>0</v>
      </c>
      <c r="X112" s="79"/>
      <c r="AD112" s="274">
        <v>0</v>
      </c>
      <c r="AE112" s="275">
        <v>0</v>
      </c>
      <c r="AF112" s="276">
        <v>0</v>
      </c>
      <c r="AG112" s="277">
        <v>0</v>
      </c>
    </row>
    <row r="118" spans="1:33" ht="13.5" thickBot="1"/>
    <row r="119" spans="1:33" s="73" customFormat="1" ht="19.5" customHeight="1" thickBot="1">
      <c r="A119" s="298" t="s">
        <v>188</v>
      </c>
      <c r="B119" s="279" t="s">
        <v>325</v>
      </c>
      <c r="C119" s="69"/>
      <c r="D119" s="280" t="s">
        <v>174</v>
      </c>
      <c r="E119" s="299">
        <f>SUM(E120:E123)</f>
        <v>0</v>
      </c>
      <c r="F119" s="300">
        <f t="shared" ref="F119:J119" si="83">SUM(F120:F123)</f>
        <v>0</v>
      </c>
      <c r="G119" s="300">
        <f t="shared" si="83"/>
        <v>0</v>
      </c>
      <c r="H119" s="301">
        <f t="shared" si="83"/>
        <v>0</v>
      </c>
      <c r="I119" s="69"/>
      <c r="J119" s="302">
        <f t="shared" si="83"/>
        <v>0</v>
      </c>
      <c r="K119" s="303" t="str">
        <f>IFERROR(J119/H119,"")</f>
        <v/>
      </c>
      <c r="L119" s="304">
        <f t="shared" ref="L119" si="84">SUM(L120:L123)</f>
        <v>100.306</v>
      </c>
      <c r="M119" s="189">
        <f t="shared" ref="M119:O119" si="85">SUM(M120:M123)</f>
        <v>-100.306</v>
      </c>
      <c r="N119" s="69"/>
      <c r="O119" s="285">
        <f t="shared" si="85"/>
        <v>0</v>
      </c>
      <c r="P119" s="305" t="str">
        <f t="shared" ref="P119:P123" si="86">IFERROR(O119/H119,"")</f>
        <v/>
      </c>
      <c r="Q119" s="287">
        <f>SUM(Q120:Q123)</f>
        <v>0</v>
      </c>
      <c r="R119" s="306">
        <f>SUM(R120:R123)</f>
        <v>0</v>
      </c>
      <c r="S119" s="69"/>
      <c r="T119" s="289">
        <f>SUM(T120:T124)</f>
        <v>0</v>
      </c>
      <c r="U119" s="93"/>
      <c r="V119" s="290">
        <f t="shared" ref="V119:W119" si="87">SUM(V120:V123)</f>
        <v>0</v>
      </c>
      <c r="W119" s="283">
        <f t="shared" si="87"/>
        <v>0</v>
      </c>
      <c r="X119" s="72"/>
      <c r="AD119" s="291">
        <v>0</v>
      </c>
      <c r="AE119" s="292" t="s">
        <v>67</v>
      </c>
      <c r="AF119" s="293">
        <v>100.306</v>
      </c>
      <c r="AG119" s="294">
        <v>-100.306</v>
      </c>
    </row>
    <row r="120" spans="1:33" s="80" customFormat="1" ht="15" customHeight="1">
      <c r="A120" s="215" t="s">
        <v>313</v>
      </c>
      <c r="B120" s="216" t="s">
        <v>89</v>
      </c>
      <c r="C120" s="50"/>
      <c r="D120" s="217" t="s">
        <v>174</v>
      </c>
      <c r="E120" s="357">
        <v>0</v>
      </c>
      <c r="F120" s="230"/>
      <c r="G120" s="230"/>
      <c r="H120" s="220">
        <f t="shared" ref="H120:H123" si="88">SUM(E120:G120)</f>
        <v>0</v>
      </c>
      <c r="I120" s="50"/>
      <c r="J120" s="307">
        <f t="shared" ref="J120:J123" si="89">H120*K120/100</f>
        <v>0</v>
      </c>
      <c r="K120" s="308">
        <v>0</v>
      </c>
      <c r="L120" s="219">
        <f t="shared" ref="L120:L123" si="90">Q120+AF120</f>
        <v>23.88</v>
      </c>
      <c r="M120" s="309">
        <f t="shared" ref="M120:M123" si="91">J120-L120</f>
        <v>-23.88</v>
      </c>
      <c r="N120" s="89"/>
      <c r="O120" s="223">
        <f t="shared" ref="O120:O123" si="92">J120-AD120</f>
        <v>0</v>
      </c>
      <c r="P120" s="310" t="str">
        <f t="shared" si="86"/>
        <v/>
      </c>
      <c r="Q120" s="311"/>
      <c r="R120" s="232">
        <f t="shared" ref="R120:R123" si="93">O120-Q120</f>
        <v>0</v>
      </c>
      <c r="S120" s="50"/>
      <c r="T120" s="312"/>
      <c r="U120" s="54"/>
      <c r="V120" s="221"/>
      <c r="W120" s="220"/>
      <c r="X120" s="79"/>
      <c r="AD120" s="228">
        <v>0</v>
      </c>
      <c r="AE120" s="313">
        <v>0</v>
      </c>
      <c r="AF120" s="230">
        <v>23.88</v>
      </c>
      <c r="AG120" s="231">
        <v>-23.88</v>
      </c>
    </row>
    <row r="121" spans="1:33" s="80" customFormat="1" ht="15" customHeight="1">
      <c r="A121" s="215" t="s">
        <v>314</v>
      </c>
      <c r="B121" s="216" t="s">
        <v>315</v>
      </c>
      <c r="C121" s="50"/>
      <c r="D121" s="217" t="s">
        <v>174</v>
      </c>
      <c r="E121" s="357">
        <v>0</v>
      </c>
      <c r="F121" s="230"/>
      <c r="G121" s="230"/>
      <c r="H121" s="220">
        <f t="shared" si="88"/>
        <v>0</v>
      </c>
      <c r="I121" s="50"/>
      <c r="J121" s="180">
        <f t="shared" si="89"/>
        <v>0</v>
      </c>
      <c r="K121" s="308">
        <v>0</v>
      </c>
      <c r="L121" s="219">
        <f t="shared" si="90"/>
        <v>0</v>
      </c>
      <c r="M121" s="309">
        <f t="shared" si="91"/>
        <v>0</v>
      </c>
      <c r="N121" s="89"/>
      <c r="O121" s="223">
        <f t="shared" si="92"/>
        <v>0</v>
      </c>
      <c r="P121" s="310" t="str">
        <f t="shared" si="86"/>
        <v/>
      </c>
      <c r="Q121" s="358"/>
      <c r="R121" s="232">
        <f t="shared" si="93"/>
        <v>0</v>
      </c>
      <c r="S121" s="50"/>
      <c r="T121" s="312"/>
      <c r="U121" s="54"/>
      <c r="V121" s="221"/>
      <c r="W121" s="220"/>
      <c r="X121" s="79"/>
      <c r="AD121" s="228">
        <v>0</v>
      </c>
      <c r="AE121" s="313">
        <v>0</v>
      </c>
      <c r="AF121" s="230">
        <v>0</v>
      </c>
      <c r="AG121" s="231">
        <v>0</v>
      </c>
    </row>
    <row r="122" spans="1:33" s="80" customFormat="1" ht="15" customHeight="1">
      <c r="A122" s="215" t="s">
        <v>313</v>
      </c>
      <c r="B122" s="216" t="s">
        <v>316</v>
      </c>
      <c r="C122" s="50"/>
      <c r="D122" s="217" t="s">
        <v>174</v>
      </c>
      <c r="E122" s="357">
        <v>0</v>
      </c>
      <c r="F122" s="230"/>
      <c r="G122" s="230"/>
      <c r="H122" s="220">
        <f t="shared" si="88"/>
        <v>0</v>
      </c>
      <c r="I122" s="50"/>
      <c r="J122" s="180">
        <f t="shared" si="89"/>
        <v>0</v>
      </c>
      <c r="K122" s="308">
        <v>0</v>
      </c>
      <c r="L122" s="219">
        <f t="shared" si="90"/>
        <v>2</v>
      </c>
      <c r="M122" s="309">
        <f t="shared" si="91"/>
        <v>-2</v>
      </c>
      <c r="N122" s="89"/>
      <c r="O122" s="223">
        <f t="shared" si="92"/>
        <v>0</v>
      </c>
      <c r="P122" s="310" t="str">
        <f t="shared" si="86"/>
        <v/>
      </c>
      <c r="Q122" s="358"/>
      <c r="R122" s="232">
        <f t="shared" si="93"/>
        <v>0</v>
      </c>
      <c r="S122" s="50"/>
      <c r="T122" s="312"/>
      <c r="U122" s="54"/>
      <c r="V122" s="221"/>
      <c r="W122" s="220"/>
      <c r="X122" s="79"/>
      <c r="AD122" s="228">
        <v>0</v>
      </c>
      <c r="AE122" s="313">
        <v>0</v>
      </c>
      <c r="AF122" s="230">
        <v>2</v>
      </c>
      <c r="AG122" s="231">
        <v>-2</v>
      </c>
    </row>
    <row r="123" spans="1:33" s="80" customFormat="1" ht="15" customHeight="1" thickBot="1">
      <c r="A123" s="261" t="s">
        <v>317</v>
      </c>
      <c r="B123" s="262" t="s">
        <v>318</v>
      </c>
      <c r="C123" s="50"/>
      <c r="D123" s="263" t="s">
        <v>174</v>
      </c>
      <c r="E123" s="359">
        <v>0</v>
      </c>
      <c r="F123" s="337"/>
      <c r="G123" s="337"/>
      <c r="H123" s="266">
        <f t="shared" si="88"/>
        <v>0</v>
      </c>
      <c r="I123" s="50"/>
      <c r="J123" s="360">
        <f t="shared" si="89"/>
        <v>0</v>
      </c>
      <c r="K123" s="361">
        <v>0</v>
      </c>
      <c r="L123" s="265">
        <f t="shared" si="90"/>
        <v>74.426000000000002</v>
      </c>
      <c r="M123" s="362">
        <f t="shared" si="91"/>
        <v>-74.426000000000002</v>
      </c>
      <c r="N123" s="89"/>
      <c r="O123" s="269">
        <f t="shared" si="92"/>
        <v>0</v>
      </c>
      <c r="P123" s="332" t="str">
        <f t="shared" si="86"/>
        <v/>
      </c>
      <c r="Q123" s="363"/>
      <c r="R123" s="333">
        <f t="shared" si="93"/>
        <v>0</v>
      </c>
      <c r="S123" s="50"/>
      <c r="U123" s="54"/>
      <c r="V123" s="267"/>
      <c r="W123" s="266"/>
      <c r="X123" s="79"/>
      <c r="AD123" s="274">
        <v>0</v>
      </c>
      <c r="AE123" s="364">
        <v>0</v>
      </c>
      <c r="AF123" s="276">
        <v>74.426000000000002</v>
      </c>
      <c r="AG123" s="277">
        <v>-74.426000000000002</v>
      </c>
    </row>
    <row r="124" spans="1:33" ht="13.5" thickBot="1">
      <c r="J124" s="33"/>
      <c r="K124" s="33"/>
      <c r="T124" s="334"/>
    </row>
    <row r="125" spans="1:33">
      <c r="J125" s="33"/>
      <c r="K125" s="33"/>
    </row>
    <row r="126" spans="1:33">
      <c r="J126" s="33"/>
      <c r="K126" s="33"/>
    </row>
    <row r="127" spans="1:33">
      <c r="J127" s="33"/>
      <c r="K127" s="33"/>
    </row>
    <row r="128" spans="1:33">
      <c r="J128" s="33"/>
      <c r="K128" s="33"/>
    </row>
    <row r="129" spans="10:11">
      <c r="J129" s="33"/>
      <c r="K129" s="33"/>
    </row>
    <row r="130" spans="10:11">
      <c r="J130" s="33"/>
      <c r="K130" s="33"/>
    </row>
    <row r="131" spans="10:11">
      <c r="J131" s="33"/>
      <c r="K131" s="33"/>
    </row>
    <row r="132" spans="10:11">
      <c r="J132" s="33"/>
      <c r="K132" s="33"/>
    </row>
    <row r="133" spans="10:11">
      <c r="J133" s="33"/>
      <c r="K133" s="33"/>
    </row>
    <row r="134" spans="10:11">
      <c r="J134" s="33"/>
      <c r="K134" s="33"/>
    </row>
    <row r="135" spans="10:11">
      <c r="J135" s="33"/>
      <c r="K135" s="33"/>
    </row>
    <row r="136" spans="10:11">
      <c r="J136" s="33"/>
      <c r="K136" s="33"/>
    </row>
    <row r="137" spans="10:11">
      <c r="J137" s="33"/>
      <c r="K137" s="33"/>
    </row>
    <row r="138" spans="10:11">
      <c r="J138" s="33"/>
      <c r="K138" s="33"/>
    </row>
    <row r="139" spans="10:11">
      <c r="J139" s="33"/>
      <c r="K139" s="33"/>
    </row>
    <row r="140" spans="10:11">
      <c r="J140" s="33"/>
      <c r="K140" s="33"/>
    </row>
    <row r="141" spans="10:11">
      <c r="J141" s="33"/>
      <c r="K141" s="33"/>
    </row>
    <row r="142" spans="10:11">
      <c r="J142" s="33"/>
      <c r="K142" s="33"/>
    </row>
    <row r="143" spans="10:11">
      <c r="J143" s="33"/>
      <c r="K143" s="33"/>
    </row>
    <row r="144" spans="10:11">
      <c r="J144" s="33"/>
      <c r="K144" s="33"/>
    </row>
    <row r="145" spans="7:11">
      <c r="G145" s="94"/>
      <c r="J145" s="33"/>
      <c r="K145" s="33"/>
    </row>
    <row r="146" spans="7:11">
      <c r="G146" s="94"/>
      <c r="J146" s="33"/>
      <c r="K146" s="33"/>
    </row>
    <row r="147" spans="7:11">
      <c r="G147" s="94"/>
      <c r="J147" s="33"/>
      <c r="K147" s="33"/>
    </row>
    <row r="148" spans="7:11">
      <c r="J148" s="33"/>
      <c r="K148" s="33"/>
    </row>
    <row r="149" spans="7:11">
      <c r="J149" s="33"/>
      <c r="K149" s="33"/>
    </row>
    <row r="150" spans="7:11">
      <c r="J150" s="33"/>
      <c r="K150" s="3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" right="0" top="0.39370078740157483" bottom="0.39370078740157483" header="0" footer="0"/>
  <pageSetup paperSize="8" scale="84" orientation="landscape"/>
  <rowBreaks count="1" manualBreakCount="1">
    <brk id="63" max="22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>
    <tabColor rgb="FF00B0F0"/>
  </sheetPr>
  <dimension ref="A1:AG149"/>
  <sheetViews>
    <sheetView showGridLines="0" workbookViewId="0">
      <pane xSplit="4" ySplit="10" topLeftCell="E11" activePane="bottomRight" state="frozen"/>
      <selection activeCell="B15" sqref="B15"/>
      <selection pane="topRight" activeCell="B15" sqref="B15"/>
      <selection pane="bottomLeft" activeCell="B15" sqref="B15"/>
      <selection pane="bottomRight" activeCell="E16" sqref="E16"/>
    </sheetView>
  </sheetViews>
  <sheetFormatPr baseColWidth="10" defaultColWidth="10.85546875" defaultRowHeight="12.75"/>
  <cols>
    <col min="1" max="1" width="25.7109375" style="32" customWidth="1"/>
    <col min="2" max="2" width="40.7109375" style="32" customWidth="1"/>
    <col min="3" max="3" width="2.140625" style="33" customWidth="1"/>
    <col min="4" max="4" width="5.140625" style="32" customWidth="1"/>
    <col min="5" max="8" width="10.7109375" style="32" customWidth="1"/>
    <col min="9" max="9" width="2.7109375" style="33" customWidth="1"/>
    <col min="10" max="13" width="10.7109375" style="32" customWidth="1"/>
    <col min="14" max="14" width="2.7109375" style="33" customWidth="1"/>
    <col min="15" max="18" width="10.7109375" style="32" customWidth="1"/>
    <col min="19" max="19" width="2.7109375" style="33" customWidth="1"/>
    <col min="20" max="20" width="10.7109375" style="32" customWidth="1"/>
    <col min="21" max="21" width="2.7109375" style="34" customWidth="1"/>
    <col min="22" max="23" width="10.7109375" style="32" customWidth="1"/>
    <col min="24" max="24" width="2.7109375" style="35" customWidth="1"/>
    <col min="25" max="28" width="10.7109375" style="32" customWidth="1"/>
    <col min="29" max="29" width="2.7109375" style="32" customWidth="1"/>
    <col min="30" max="33" width="10.7109375" style="32" customWidth="1"/>
    <col min="34" max="16384" width="10.85546875" style="32"/>
  </cols>
  <sheetData>
    <row r="1" spans="1:33" ht="15" customHeight="1">
      <c r="A1" s="31"/>
    </row>
    <row r="2" spans="1:33" ht="15" customHeight="1" thickBot="1">
      <c r="B2" s="36"/>
      <c r="G2" s="37"/>
    </row>
    <row r="3" spans="1:33" ht="23.25" customHeight="1" thickBot="1">
      <c r="A3" s="2049" t="s">
        <v>326</v>
      </c>
      <c r="B3" s="2050"/>
      <c r="C3" s="2050"/>
      <c r="D3" s="2050"/>
      <c r="E3" s="2050"/>
      <c r="F3" s="2050"/>
      <c r="G3" s="2050"/>
      <c r="H3" s="2050"/>
      <c r="I3" s="2050"/>
      <c r="J3" s="2050"/>
      <c r="K3" s="2050"/>
      <c r="L3" s="2050"/>
      <c r="M3" s="2050"/>
      <c r="N3" s="2050"/>
      <c r="O3" s="2050"/>
      <c r="P3" s="2050"/>
      <c r="Q3" s="2050"/>
      <c r="R3" s="2050"/>
      <c r="S3" s="2050"/>
      <c r="T3" s="2050"/>
      <c r="U3" s="2050"/>
      <c r="V3" s="2050"/>
      <c r="W3" s="2051"/>
      <c r="X3" s="38"/>
    </row>
    <row r="4" spans="1:33" ht="13.5" customHeight="1" thickBot="1"/>
    <row r="5" spans="1:33" s="36" customFormat="1" ht="13.5" customHeight="1" thickBot="1">
      <c r="B5" s="39" t="s">
        <v>179</v>
      </c>
      <c r="C5" s="40"/>
      <c r="E5" s="181">
        <v>7150</v>
      </c>
      <c r="F5" s="181">
        <v>7150</v>
      </c>
      <c r="G5" s="181">
        <v>7150</v>
      </c>
      <c r="H5" s="181">
        <v>7150</v>
      </c>
      <c r="I5" s="41"/>
      <c r="J5" s="181">
        <f>H5</f>
        <v>7150</v>
      </c>
      <c r="K5" s="42"/>
      <c r="L5" s="181">
        <f>IFERROR(L6/(L11+L67),"")</f>
        <v>22929.445995739236</v>
      </c>
      <c r="M5" s="181">
        <f>IFERROR(J5-L5,"")</f>
        <v>-15779.445995739236</v>
      </c>
      <c r="N5" s="41"/>
      <c r="O5" s="181">
        <f>H5</f>
        <v>7150</v>
      </c>
      <c r="P5" s="42"/>
      <c r="Q5" s="181" t="str">
        <f>IFERROR(Q6/(Q11+Q67),"")</f>
        <v/>
      </c>
      <c r="R5" s="181" t="str">
        <f>IFERROR(O5-Q5,"")</f>
        <v/>
      </c>
      <c r="S5" s="41"/>
      <c r="T5" s="181">
        <f>H5</f>
        <v>7150</v>
      </c>
      <c r="U5" s="43"/>
      <c r="V5" s="181">
        <f>IFERROR(V6/(V11+V67),"")</f>
        <v>9674.8228985486476</v>
      </c>
      <c r="W5" s="181">
        <f>IFERROR(H5-V5,"")</f>
        <v>-2524.8228985486476</v>
      </c>
      <c r="X5" s="44"/>
      <c r="AD5" s="181">
        <v>7150</v>
      </c>
      <c r="AE5" s="42"/>
      <c r="AF5" s="181">
        <v>22929.445995739236</v>
      </c>
      <c r="AG5" s="181">
        <v>-15779.445995739236</v>
      </c>
    </row>
    <row r="6" spans="1:33" s="37" customFormat="1" ht="13.5" customHeight="1" thickBot="1">
      <c r="B6" s="45" t="s">
        <v>170</v>
      </c>
      <c r="C6" s="46"/>
      <c r="E6" s="182">
        <f>IFERROR(E5*(E11+E67),"")</f>
        <v>22502671.491914112</v>
      </c>
      <c r="F6" s="182">
        <f>IFERROR(F5*(F11+F67),"")</f>
        <v>0</v>
      </c>
      <c r="G6" s="182">
        <f>IFERROR(G5*(G11+G67),"")</f>
        <v>0</v>
      </c>
      <c r="H6" s="182">
        <f>IFERROR(H5*(H11+H67),"")</f>
        <v>22502671.491914112</v>
      </c>
      <c r="I6" s="46"/>
      <c r="J6" s="182">
        <f>IFERROR(J5*(J11+J67),"")</f>
        <v>3520734.9320000005</v>
      </c>
      <c r="L6" s="182">
        <f>IFERROR(Q6+AF6,"")</f>
        <v>10946036</v>
      </c>
      <c r="M6" s="182">
        <f>IFERROR(J6-L6,"")</f>
        <v>-7425301.068</v>
      </c>
      <c r="N6" s="46"/>
      <c r="O6" s="182">
        <f>IFERROR(O5*(O11+O67),"")</f>
        <v>0</v>
      </c>
      <c r="Q6" s="183"/>
      <c r="R6" s="182">
        <f>IFERROR(O6-Q6,"")</f>
        <v>0</v>
      </c>
      <c r="S6" s="46"/>
      <c r="T6" s="182">
        <f>IFERROR(T5*(T11+T67),"")</f>
        <v>17918671.789031062</v>
      </c>
      <c r="U6" s="47"/>
      <c r="V6" s="182">
        <f>IFERROR(L6+T6,"")</f>
        <v>28864707.789031062</v>
      </c>
      <c r="W6" s="182">
        <f>IFERROR(H6-V6,"")</f>
        <v>-6362036.2971169502</v>
      </c>
      <c r="X6" s="48"/>
      <c r="AD6" s="182">
        <v>3520734.9320000005</v>
      </c>
      <c r="AF6" s="182">
        <v>10946036</v>
      </c>
      <c r="AG6" s="182">
        <v>-7425301.068</v>
      </c>
    </row>
    <row r="7" spans="1:33" ht="13.5" customHeight="1" thickBot="1">
      <c r="A7" s="49"/>
      <c r="B7" s="49"/>
      <c r="C7" s="50"/>
      <c r="E7" s="51"/>
      <c r="F7" s="52"/>
      <c r="G7" s="52"/>
      <c r="H7" s="52"/>
      <c r="I7" s="50"/>
      <c r="J7" s="53" t="s">
        <v>180</v>
      </c>
      <c r="K7" s="53" t="s">
        <v>180</v>
      </c>
      <c r="L7" s="49"/>
      <c r="M7" s="49"/>
      <c r="N7" s="50"/>
      <c r="O7" s="49"/>
      <c r="P7" s="53" t="s">
        <v>180</v>
      </c>
      <c r="Q7" s="49"/>
      <c r="R7" s="49"/>
      <c r="S7" s="50"/>
      <c r="T7" s="49"/>
      <c r="U7" s="54"/>
      <c r="V7" s="49"/>
      <c r="W7" s="49"/>
      <c r="X7" s="55"/>
      <c r="AD7" s="53" t="s">
        <v>180</v>
      </c>
      <c r="AE7" s="53" t="s">
        <v>180</v>
      </c>
      <c r="AF7" s="49"/>
      <c r="AG7" s="49"/>
    </row>
    <row r="8" spans="1:33" ht="18" customHeight="1" thickBot="1">
      <c r="A8" s="49"/>
      <c r="B8" s="56"/>
      <c r="C8" s="57"/>
      <c r="E8" s="339" t="s">
        <v>181</v>
      </c>
      <c r="F8" s="340" t="s">
        <v>182</v>
      </c>
      <c r="G8" s="340" t="s">
        <v>71</v>
      </c>
      <c r="H8" s="341" t="s">
        <v>181</v>
      </c>
      <c r="I8" s="58"/>
      <c r="J8" s="2052" t="s">
        <v>183</v>
      </c>
      <c r="K8" s="2053"/>
      <c r="L8" s="2053"/>
      <c r="M8" s="2054"/>
      <c r="N8" s="57"/>
      <c r="O8" s="2055" t="s">
        <v>184</v>
      </c>
      <c r="P8" s="2056"/>
      <c r="Q8" s="2056"/>
      <c r="R8" s="2057"/>
      <c r="S8" s="57"/>
      <c r="T8" s="342" t="s">
        <v>185</v>
      </c>
      <c r="U8" s="59"/>
      <c r="V8" s="2058" t="s">
        <v>186</v>
      </c>
      <c r="W8" s="2059"/>
      <c r="X8" s="60"/>
      <c r="AD8" s="2060" t="s">
        <v>187</v>
      </c>
      <c r="AE8" s="2061"/>
      <c r="AF8" s="2061"/>
      <c r="AG8" s="2062"/>
    </row>
    <row r="9" spans="1:33">
      <c r="A9" s="2063" t="s">
        <v>188</v>
      </c>
      <c r="B9" s="2065" t="s">
        <v>189</v>
      </c>
      <c r="C9" s="57" t="s">
        <v>190</v>
      </c>
      <c r="D9" s="343" t="s">
        <v>191</v>
      </c>
      <c r="E9" s="2067" t="s">
        <v>167</v>
      </c>
      <c r="F9" s="2068" t="s">
        <v>167</v>
      </c>
      <c r="G9" s="2068" t="s">
        <v>167</v>
      </c>
      <c r="H9" s="2041" t="s">
        <v>167</v>
      </c>
      <c r="I9" s="57" t="s">
        <v>190</v>
      </c>
      <c r="J9" s="2043" t="s">
        <v>192</v>
      </c>
      <c r="K9" s="2044"/>
      <c r="L9" s="344" t="s">
        <v>193</v>
      </c>
      <c r="M9" s="345" t="s">
        <v>194</v>
      </c>
      <c r="N9" s="57" t="s">
        <v>190</v>
      </c>
      <c r="O9" s="2045" t="s">
        <v>192</v>
      </c>
      <c r="P9" s="2046"/>
      <c r="Q9" s="346" t="s">
        <v>193</v>
      </c>
      <c r="R9" s="347" t="s">
        <v>194</v>
      </c>
      <c r="S9" s="57" t="s">
        <v>190</v>
      </c>
      <c r="T9" s="2047" t="s">
        <v>195</v>
      </c>
      <c r="U9" s="59" t="s">
        <v>190</v>
      </c>
      <c r="V9" s="1768" t="s">
        <v>193</v>
      </c>
      <c r="W9" s="345" t="s">
        <v>196</v>
      </c>
      <c r="X9" s="60"/>
      <c r="AD9" s="2045" t="s">
        <v>192</v>
      </c>
      <c r="AE9" s="2044"/>
      <c r="AF9" s="344" t="s">
        <v>193</v>
      </c>
      <c r="AG9" s="348" t="s">
        <v>194</v>
      </c>
    </row>
    <row r="10" spans="1:33" ht="13.5" customHeight="1" thickBot="1">
      <c r="A10" s="2064"/>
      <c r="B10" s="2066"/>
      <c r="C10" s="50"/>
      <c r="D10" s="184" t="s">
        <v>197</v>
      </c>
      <c r="E10" s="2064"/>
      <c r="F10" s="2069"/>
      <c r="G10" s="2069"/>
      <c r="H10" s="2042"/>
      <c r="I10" s="50"/>
      <c r="J10" s="185" t="s">
        <v>167</v>
      </c>
      <c r="K10" s="61" t="s">
        <v>43</v>
      </c>
      <c r="L10" s="62" t="s">
        <v>167</v>
      </c>
      <c r="M10" s="349" t="s">
        <v>167</v>
      </c>
      <c r="N10" s="50"/>
      <c r="O10" s="63" t="s">
        <v>167</v>
      </c>
      <c r="P10" s="64" t="s">
        <v>43</v>
      </c>
      <c r="Q10" s="65" t="s">
        <v>167</v>
      </c>
      <c r="R10" s="66" t="s">
        <v>167</v>
      </c>
      <c r="S10" s="50"/>
      <c r="T10" s="2048"/>
      <c r="U10" s="54"/>
      <c r="V10" s="185" t="s">
        <v>167</v>
      </c>
      <c r="W10" s="349" t="s">
        <v>167</v>
      </c>
      <c r="X10" s="60"/>
      <c r="AD10" s="67" t="s">
        <v>167</v>
      </c>
      <c r="AE10" s="62" t="s">
        <v>43</v>
      </c>
      <c r="AF10" s="62" t="s">
        <v>167</v>
      </c>
      <c r="AG10" s="68" t="s">
        <v>167</v>
      </c>
    </row>
    <row r="11" spans="1:33" s="73" customFormat="1" ht="19.5" customHeight="1" thickBot="1">
      <c r="A11" s="278"/>
      <c r="B11" s="279" t="s">
        <v>198</v>
      </c>
      <c r="C11" s="69"/>
      <c r="D11" s="280" t="s">
        <v>327</v>
      </c>
      <c r="E11" s="281">
        <f>E12+E24+E35+E38+E41+E57</f>
        <v>1756.2611488343557</v>
      </c>
      <c r="F11" s="282">
        <f>F12+F24+F35+F38+F41+F57</f>
        <v>0</v>
      </c>
      <c r="G11" s="282">
        <f>G12+G24+G35+G38+G41+G57</f>
        <v>0</v>
      </c>
      <c r="H11" s="283">
        <f>H12+H24+H35+H38+H41+H57</f>
        <v>1756.2611488343557</v>
      </c>
      <c r="I11" s="70"/>
      <c r="J11" s="186">
        <f>J12+J24+J35+J38+J41+J57</f>
        <v>6.7332000000000001</v>
      </c>
      <c r="K11" s="187">
        <f>IFERROR(J11/H11,"")</f>
        <v>3.8338261963312675E-3</v>
      </c>
      <c r="L11" s="188">
        <f>L12+L24+L35+L38+L41+L57</f>
        <v>162.28199999999998</v>
      </c>
      <c r="M11" s="189">
        <f>M12+M24+M35+M38+M41+M57</f>
        <v>-155.5488</v>
      </c>
      <c r="N11" s="70"/>
      <c r="O11" s="190">
        <f>O12+O24+O35+O38+O41+O57</f>
        <v>0</v>
      </c>
      <c r="P11" s="191">
        <f>IFERROR(O11/H11,"")</f>
        <v>0</v>
      </c>
      <c r="Q11" s="192">
        <f>Q12+Q24+Q35+Q38+Q41+Q57</f>
        <v>0</v>
      </c>
      <c r="R11" s="193">
        <f>R12+R24+R35+R38+R41+R57</f>
        <v>0</v>
      </c>
      <c r="S11" s="70"/>
      <c r="T11" s="194">
        <f>T12+T24+T35+T38+T41+T57</f>
        <v>1379.3850418408545</v>
      </c>
      <c r="U11" s="71"/>
      <c r="V11" s="195">
        <f>V12+V24+V35+V38+V41+V57</f>
        <v>1541.6670418408544</v>
      </c>
      <c r="W11" s="196">
        <f>W12+W24+W35+W38+W41+W57</f>
        <v>214.59410699350121</v>
      </c>
      <c r="X11" s="72"/>
      <c r="AD11" s="197">
        <v>6.7332000000000001</v>
      </c>
      <c r="AE11" s="198">
        <v>6.8131788929897148E-3</v>
      </c>
      <c r="AF11" s="199">
        <v>162.28199999999998</v>
      </c>
      <c r="AG11" s="200">
        <v>-155.5488</v>
      </c>
    </row>
    <row r="12" spans="1:33" s="76" customFormat="1" ht="19.5" customHeight="1" thickBot="1">
      <c r="A12" s="256" t="s">
        <v>200</v>
      </c>
      <c r="B12" s="257" t="s">
        <v>201</v>
      </c>
      <c r="C12" s="74"/>
      <c r="D12" s="258" t="s">
        <v>327</v>
      </c>
      <c r="E12" s="259">
        <f>SUM(E13:E23)</f>
        <v>943.03539999999998</v>
      </c>
      <c r="F12" s="201">
        <f>SUM(F13:F23)</f>
        <v>0</v>
      </c>
      <c r="G12" s="201">
        <f>SUM(G13:G23)</f>
        <v>0</v>
      </c>
      <c r="H12" s="246">
        <f>SUM(H13:H23)</f>
        <v>943.03539999999998</v>
      </c>
      <c r="I12" s="75"/>
      <c r="J12" s="202">
        <f>SUM(J13:J23)</f>
        <v>6.7332000000000001</v>
      </c>
      <c r="K12" s="203">
        <f>IFERROR(J12/H12,"")</f>
        <v>7.1399228491316443E-3</v>
      </c>
      <c r="L12" s="204">
        <f>SUM(L13:L23)</f>
        <v>151.93799999999999</v>
      </c>
      <c r="M12" s="205">
        <f>SUM(M13:M23)</f>
        <v>-145.20480000000001</v>
      </c>
      <c r="N12" s="75"/>
      <c r="O12" s="206">
        <f>SUM(O13:O23)</f>
        <v>0</v>
      </c>
      <c r="P12" s="207">
        <f t="shared" ref="P12:P60" si="0">IFERROR(O12/H12,"")</f>
        <v>0</v>
      </c>
      <c r="Q12" s="208">
        <f>SUM(Q13:Q23)</f>
        <v>0</v>
      </c>
      <c r="R12" s="209">
        <f>SUM(R13:R23)</f>
        <v>0</v>
      </c>
      <c r="S12" s="75"/>
      <c r="T12" s="210">
        <f>SUM(T13:T23)</f>
        <v>87.298680049254372</v>
      </c>
      <c r="U12" s="75"/>
      <c r="V12" s="202">
        <f>SUM(V13:V23)</f>
        <v>239.2366800492544</v>
      </c>
      <c r="W12" s="205">
        <f>SUM(W13:W23)</f>
        <v>703.79871995074552</v>
      </c>
      <c r="X12" s="72"/>
      <c r="AD12" s="211">
        <v>6.7332000000000001</v>
      </c>
      <c r="AE12" s="212">
        <v>3.846764711595483E-2</v>
      </c>
      <c r="AF12" s="213">
        <v>151.93799999999999</v>
      </c>
      <c r="AG12" s="214">
        <v>-145.20480000000001</v>
      </c>
    </row>
    <row r="13" spans="1:33" s="80" customFormat="1" ht="15" customHeight="1">
      <c r="A13" s="215"/>
      <c r="B13" s="216" t="s">
        <v>202</v>
      </c>
      <c r="C13" s="50"/>
      <c r="D13" s="217" t="s">
        <v>327</v>
      </c>
      <c r="E13" s="218">
        <v>0</v>
      </c>
      <c r="F13" s="219"/>
      <c r="G13" s="219"/>
      <c r="H13" s="220">
        <f>SUM(E13:G13)</f>
        <v>0</v>
      </c>
      <c r="I13" s="77"/>
      <c r="J13" s="221">
        <f>H13*K13/100</f>
        <v>0</v>
      </c>
      <c r="K13" s="222">
        <f>'BETON Qte'!K13</f>
        <v>71</v>
      </c>
      <c r="L13" s="219">
        <f>Q13+AF13</f>
        <v>0</v>
      </c>
      <c r="M13" s="220">
        <f>J13-L13</f>
        <v>0</v>
      </c>
      <c r="N13" s="77"/>
      <c r="O13" s="223">
        <f>J13-AD13</f>
        <v>0</v>
      </c>
      <c r="P13" s="224" t="str">
        <f t="shared" si="0"/>
        <v/>
      </c>
      <c r="Q13" s="225"/>
      <c r="R13" s="226">
        <f>O13-Q13</f>
        <v>0</v>
      </c>
      <c r="S13" s="77"/>
      <c r="T13" s="227">
        <v>0</v>
      </c>
      <c r="U13" s="78"/>
      <c r="V13" s="221">
        <f>L13+T13</f>
        <v>0</v>
      </c>
      <c r="W13" s="220">
        <f>H13-V13</f>
        <v>0</v>
      </c>
      <c r="X13" s="79"/>
      <c r="AD13" s="228">
        <v>0</v>
      </c>
      <c r="AE13" s="229">
        <v>71</v>
      </c>
      <c r="AF13" s="230">
        <v>0</v>
      </c>
      <c r="AG13" s="231">
        <v>0</v>
      </c>
    </row>
    <row r="14" spans="1:33" s="80" customFormat="1" ht="15" customHeight="1">
      <c r="A14" s="215"/>
      <c r="B14" s="216" t="s">
        <v>203</v>
      </c>
      <c r="C14" s="50"/>
      <c r="D14" s="217" t="s">
        <v>327</v>
      </c>
      <c r="E14" s="218">
        <v>0</v>
      </c>
      <c r="F14" s="219"/>
      <c r="G14" s="219"/>
      <c r="H14" s="220">
        <f t="shared" ref="H14:H23" si="1">SUM(E14:G14)</f>
        <v>0</v>
      </c>
      <c r="I14" s="77"/>
      <c r="J14" s="221">
        <f t="shared" ref="J14:J23" si="2">H14*K14/100</f>
        <v>0</v>
      </c>
      <c r="K14" s="222">
        <f>'BETON Qte'!K14</f>
        <v>67</v>
      </c>
      <c r="L14" s="219">
        <f t="shared" ref="L14:L23" si="3">Q14+AF14</f>
        <v>0</v>
      </c>
      <c r="M14" s="220">
        <f t="shared" ref="M14:M23" si="4">J14-L14</f>
        <v>0</v>
      </c>
      <c r="N14" s="77"/>
      <c r="O14" s="223">
        <f t="shared" ref="O14:O23" si="5">J14-AD14</f>
        <v>0</v>
      </c>
      <c r="P14" s="224" t="str">
        <f t="shared" si="0"/>
        <v/>
      </c>
      <c r="Q14" s="225"/>
      <c r="R14" s="226">
        <f t="shared" ref="R14:R23" si="6">O14-Q14</f>
        <v>0</v>
      </c>
      <c r="S14" s="77"/>
      <c r="T14" s="227">
        <v>0</v>
      </c>
      <c r="U14" s="78"/>
      <c r="V14" s="221">
        <f t="shared" ref="V14:V23" si="7">L14+T14</f>
        <v>0</v>
      </c>
      <c r="W14" s="220">
        <f t="shared" ref="W14:W23" si="8">H14-V14</f>
        <v>0</v>
      </c>
      <c r="X14" s="79"/>
      <c r="AD14" s="228">
        <v>0</v>
      </c>
      <c r="AE14" s="229">
        <v>67</v>
      </c>
      <c r="AF14" s="230">
        <v>0</v>
      </c>
      <c r="AG14" s="231">
        <v>0</v>
      </c>
    </row>
    <row r="15" spans="1:33" s="80" customFormat="1" ht="15" customHeight="1">
      <c r="A15" s="215"/>
      <c r="B15" s="216" t="s">
        <v>204</v>
      </c>
      <c r="C15" s="50"/>
      <c r="D15" s="217" t="s">
        <v>327</v>
      </c>
      <c r="E15" s="218">
        <v>768</v>
      </c>
      <c r="F15" s="219"/>
      <c r="G15" s="219"/>
      <c r="H15" s="220">
        <f t="shared" si="1"/>
        <v>768</v>
      </c>
      <c r="I15" s="77"/>
      <c r="J15" s="221">
        <f t="shared" si="2"/>
        <v>0</v>
      </c>
      <c r="K15" s="222">
        <f>'BETON Qte'!K15</f>
        <v>0</v>
      </c>
      <c r="L15" s="219">
        <f t="shared" si="3"/>
        <v>0</v>
      </c>
      <c r="M15" s="220">
        <f t="shared" si="4"/>
        <v>0</v>
      </c>
      <c r="N15" s="77"/>
      <c r="O15" s="223">
        <f t="shared" si="5"/>
        <v>0</v>
      </c>
      <c r="P15" s="224">
        <f t="shared" si="0"/>
        <v>0</v>
      </c>
      <c r="Q15" s="225"/>
      <c r="R15" s="226">
        <f t="shared" si="6"/>
        <v>0</v>
      </c>
      <c r="S15" s="77"/>
      <c r="T15" s="227">
        <v>0</v>
      </c>
      <c r="U15" s="78"/>
      <c r="V15" s="221">
        <f t="shared" si="7"/>
        <v>0</v>
      </c>
      <c r="W15" s="220">
        <f t="shared" si="8"/>
        <v>768</v>
      </c>
      <c r="X15" s="79"/>
      <c r="AD15" s="228">
        <v>0</v>
      </c>
      <c r="AE15" s="229">
        <v>0</v>
      </c>
      <c r="AF15" s="230">
        <v>0</v>
      </c>
      <c r="AG15" s="231">
        <v>0</v>
      </c>
    </row>
    <row r="16" spans="1:33" s="80" customFormat="1" ht="15" customHeight="1">
      <c r="A16" s="215"/>
      <c r="B16" s="216" t="s">
        <v>205</v>
      </c>
      <c r="C16" s="50"/>
      <c r="D16" s="217" t="s">
        <v>327</v>
      </c>
      <c r="E16" s="218">
        <v>0</v>
      </c>
      <c r="F16" s="219"/>
      <c r="G16" s="219"/>
      <c r="H16" s="220">
        <f t="shared" si="1"/>
        <v>0</v>
      </c>
      <c r="I16" s="77"/>
      <c r="J16" s="221">
        <f t="shared" si="2"/>
        <v>0</v>
      </c>
      <c r="K16" s="222">
        <f>'BETON Qte'!K16</f>
        <v>49</v>
      </c>
      <c r="L16" s="219">
        <f t="shared" si="3"/>
        <v>0.6</v>
      </c>
      <c r="M16" s="220">
        <f t="shared" si="4"/>
        <v>-0.6</v>
      </c>
      <c r="N16" s="77"/>
      <c r="O16" s="223">
        <f t="shared" si="5"/>
        <v>0</v>
      </c>
      <c r="P16" s="224" t="str">
        <f t="shared" si="0"/>
        <v/>
      </c>
      <c r="Q16" s="225"/>
      <c r="R16" s="226">
        <f t="shared" si="6"/>
        <v>0</v>
      </c>
      <c r="S16" s="77"/>
      <c r="T16" s="227">
        <v>0.62986839999999999</v>
      </c>
      <c r="U16" s="78"/>
      <c r="V16" s="221">
        <f t="shared" si="7"/>
        <v>1.2298684</v>
      </c>
      <c r="W16" s="220">
        <f t="shared" si="8"/>
        <v>-1.2298684</v>
      </c>
      <c r="X16" s="79"/>
      <c r="AD16" s="228">
        <v>0</v>
      </c>
      <c r="AE16" s="229">
        <v>49</v>
      </c>
      <c r="AF16" s="230">
        <v>0.6</v>
      </c>
      <c r="AG16" s="231">
        <v>-0.6</v>
      </c>
    </row>
    <row r="17" spans="1:33" s="80" customFormat="1" ht="15" customHeight="1">
      <c r="A17" s="215"/>
      <c r="B17" s="216" t="s">
        <v>206</v>
      </c>
      <c r="C17" s="50"/>
      <c r="D17" s="217" t="s">
        <v>327</v>
      </c>
      <c r="E17" s="218">
        <v>0</v>
      </c>
      <c r="F17" s="219"/>
      <c r="G17" s="219"/>
      <c r="H17" s="220">
        <f t="shared" si="1"/>
        <v>0</v>
      </c>
      <c r="I17" s="77"/>
      <c r="J17" s="221">
        <f t="shared" si="2"/>
        <v>0</v>
      </c>
      <c r="K17" s="222">
        <f>'BETON Qte'!K17</f>
        <v>79</v>
      </c>
      <c r="L17" s="219">
        <f t="shared" si="3"/>
        <v>12.343</v>
      </c>
      <c r="M17" s="220">
        <f t="shared" si="4"/>
        <v>-12.343</v>
      </c>
      <c r="N17" s="77"/>
      <c r="O17" s="223">
        <f t="shared" si="5"/>
        <v>0</v>
      </c>
      <c r="P17" s="224" t="str">
        <f t="shared" si="0"/>
        <v/>
      </c>
      <c r="Q17" s="225"/>
      <c r="R17" s="226">
        <f t="shared" si="6"/>
        <v>0</v>
      </c>
      <c r="S17" s="77"/>
      <c r="T17" s="227">
        <v>3.7100624999999998</v>
      </c>
      <c r="U17" s="78"/>
      <c r="V17" s="221">
        <f t="shared" si="7"/>
        <v>16.053062499999999</v>
      </c>
      <c r="W17" s="220">
        <f t="shared" si="8"/>
        <v>-16.053062499999999</v>
      </c>
      <c r="X17" s="79"/>
      <c r="AD17" s="228">
        <v>0</v>
      </c>
      <c r="AE17" s="229">
        <v>79</v>
      </c>
      <c r="AF17" s="230">
        <v>12.343</v>
      </c>
      <c r="AG17" s="231">
        <v>-12.343</v>
      </c>
    </row>
    <row r="18" spans="1:33" s="80" customFormat="1" ht="15" customHeight="1">
      <c r="A18" s="215"/>
      <c r="B18" s="216" t="s">
        <v>207</v>
      </c>
      <c r="C18" s="50"/>
      <c r="D18" s="217" t="s">
        <v>327</v>
      </c>
      <c r="E18" s="218">
        <v>0</v>
      </c>
      <c r="F18" s="219"/>
      <c r="G18" s="219"/>
      <c r="H18" s="220">
        <f t="shared" si="1"/>
        <v>0</v>
      </c>
      <c r="I18" s="77"/>
      <c r="J18" s="221">
        <f t="shared" si="2"/>
        <v>0</v>
      </c>
      <c r="K18" s="222">
        <f>'BETON Qte'!K18</f>
        <v>62</v>
      </c>
      <c r="L18" s="219">
        <f t="shared" si="3"/>
        <v>28.321999999999999</v>
      </c>
      <c r="M18" s="220">
        <f t="shared" si="4"/>
        <v>-28.321999999999999</v>
      </c>
      <c r="N18" s="77"/>
      <c r="O18" s="223">
        <f t="shared" si="5"/>
        <v>0</v>
      </c>
      <c r="P18" s="224" t="str">
        <f t="shared" si="0"/>
        <v/>
      </c>
      <c r="Q18" s="225"/>
      <c r="R18" s="226">
        <f t="shared" si="6"/>
        <v>0</v>
      </c>
      <c r="S18" s="77"/>
      <c r="T18" s="227">
        <v>18.414269999999998</v>
      </c>
      <c r="U18" s="78"/>
      <c r="V18" s="221">
        <f t="shared" si="7"/>
        <v>46.736269999999998</v>
      </c>
      <c r="W18" s="220">
        <f t="shared" si="8"/>
        <v>-46.736269999999998</v>
      </c>
      <c r="X18" s="79"/>
      <c r="AD18" s="228">
        <v>0</v>
      </c>
      <c r="AE18" s="229">
        <v>62</v>
      </c>
      <c r="AF18" s="230">
        <v>28.321999999999999</v>
      </c>
      <c r="AG18" s="231">
        <v>-28.321999999999999</v>
      </c>
    </row>
    <row r="19" spans="1:33" s="80" customFormat="1" ht="15" customHeight="1">
      <c r="A19" s="215"/>
      <c r="B19" s="216" t="s">
        <v>208</v>
      </c>
      <c r="C19" s="50"/>
      <c r="D19" s="217" t="s">
        <v>327</v>
      </c>
      <c r="E19" s="218">
        <v>0</v>
      </c>
      <c r="F19" s="219"/>
      <c r="G19" s="219"/>
      <c r="H19" s="220">
        <f t="shared" si="1"/>
        <v>0</v>
      </c>
      <c r="I19" s="77"/>
      <c r="J19" s="221">
        <f t="shared" si="2"/>
        <v>0</v>
      </c>
      <c r="K19" s="222">
        <f>'BETON Qte'!K19</f>
        <v>80</v>
      </c>
      <c r="L19" s="219">
        <f t="shared" si="3"/>
        <v>13.9</v>
      </c>
      <c r="M19" s="220">
        <f t="shared" si="4"/>
        <v>-13.9</v>
      </c>
      <c r="N19" s="77"/>
      <c r="O19" s="223">
        <f t="shared" si="5"/>
        <v>0</v>
      </c>
      <c r="P19" s="224" t="str">
        <f t="shared" si="0"/>
        <v/>
      </c>
      <c r="Q19" s="225"/>
      <c r="R19" s="226">
        <f t="shared" si="6"/>
        <v>0</v>
      </c>
      <c r="S19" s="77"/>
      <c r="T19" s="227">
        <v>4.3240645777811801</v>
      </c>
      <c r="U19" s="78"/>
      <c r="V19" s="221">
        <f t="shared" si="7"/>
        <v>18.224064577781181</v>
      </c>
      <c r="W19" s="220">
        <f t="shared" si="8"/>
        <v>-18.224064577781181</v>
      </c>
      <c r="X19" s="79"/>
      <c r="AD19" s="228">
        <v>0</v>
      </c>
      <c r="AE19" s="229">
        <v>80</v>
      </c>
      <c r="AF19" s="230">
        <v>13.9</v>
      </c>
      <c r="AG19" s="231">
        <v>-13.9</v>
      </c>
    </row>
    <row r="20" spans="1:33" s="80" customFormat="1" ht="15" customHeight="1">
      <c r="A20" s="215"/>
      <c r="B20" s="216" t="s">
        <v>209</v>
      </c>
      <c r="C20" s="50"/>
      <c r="D20" s="217" t="s">
        <v>327</v>
      </c>
      <c r="E20" s="218">
        <v>0</v>
      </c>
      <c r="F20" s="219"/>
      <c r="G20" s="219"/>
      <c r="H20" s="220">
        <f t="shared" si="1"/>
        <v>0</v>
      </c>
      <c r="I20" s="77"/>
      <c r="J20" s="221">
        <f t="shared" si="2"/>
        <v>0</v>
      </c>
      <c r="K20" s="222">
        <f>'BETON Qte'!K20</f>
        <v>58</v>
      </c>
      <c r="L20" s="219">
        <f t="shared" si="3"/>
        <v>13.925000000000001</v>
      </c>
      <c r="M20" s="220">
        <f t="shared" si="4"/>
        <v>-13.925000000000001</v>
      </c>
      <c r="N20" s="77"/>
      <c r="O20" s="223">
        <f t="shared" si="5"/>
        <v>0</v>
      </c>
      <c r="P20" s="224" t="str">
        <f t="shared" si="0"/>
        <v/>
      </c>
      <c r="Q20" s="225"/>
      <c r="R20" s="226">
        <f t="shared" si="6"/>
        <v>0</v>
      </c>
      <c r="S20" s="77"/>
      <c r="T20" s="227">
        <v>12.520180399999999</v>
      </c>
      <c r="U20" s="78"/>
      <c r="V20" s="221">
        <f t="shared" si="7"/>
        <v>26.445180399999998</v>
      </c>
      <c r="W20" s="220">
        <f t="shared" si="8"/>
        <v>-26.445180399999998</v>
      </c>
      <c r="X20" s="79"/>
      <c r="AD20" s="228">
        <v>0</v>
      </c>
      <c r="AE20" s="229">
        <v>58</v>
      </c>
      <c r="AF20" s="230">
        <v>13.925000000000001</v>
      </c>
      <c r="AG20" s="231">
        <v>-13.925000000000001</v>
      </c>
    </row>
    <row r="21" spans="1:33" s="80" customFormat="1" ht="15" customHeight="1">
      <c r="A21" s="215"/>
      <c r="B21" s="216" t="s">
        <v>210</v>
      </c>
      <c r="C21" s="50"/>
      <c r="D21" s="217" t="s">
        <v>327</v>
      </c>
      <c r="E21" s="218">
        <v>8.82</v>
      </c>
      <c r="F21" s="219"/>
      <c r="G21" s="219"/>
      <c r="H21" s="220">
        <f t="shared" si="1"/>
        <v>8.82</v>
      </c>
      <c r="I21" s="77"/>
      <c r="J21" s="221">
        <f t="shared" si="2"/>
        <v>2.2932000000000001</v>
      </c>
      <c r="K21" s="222">
        <f>'BETON Qte'!K21</f>
        <v>26</v>
      </c>
      <c r="L21" s="219">
        <f t="shared" si="3"/>
        <v>4.6870000000000003</v>
      </c>
      <c r="M21" s="220">
        <f t="shared" si="4"/>
        <v>-2.3938000000000001</v>
      </c>
      <c r="N21" s="77"/>
      <c r="O21" s="223">
        <f t="shared" si="5"/>
        <v>0</v>
      </c>
      <c r="P21" s="224">
        <f t="shared" si="0"/>
        <v>0</v>
      </c>
      <c r="Q21" s="225"/>
      <c r="R21" s="226">
        <f t="shared" si="6"/>
        <v>0</v>
      </c>
      <c r="S21" s="77"/>
      <c r="T21" s="227">
        <v>14.4025741714732</v>
      </c>
      <c r="U21" s="78"/>
      <c r="V21" s="221">
        <f t="shared" si="7"/>
        <v>19.089574171473199</v>
      </c>
      <c r="W21" s="220">
        <f t="shared" si="8"/>
        <v>-10.269574171473199</v>
      </c>
      <c r="X21" s="79"/>
      <c r="AD21" s="228">
        <v>2.2932000000000001</v>
      </c>
      <c r="AE21" s="229">
        <v>26</v>
      </c>
      <c r="AF21" s="230">
        <v>4.6870000000000003</v>
      </c>
      <c r="AG21" s="231">
        <v>-2.3938000000000001</v>
      </c>
    </row>
    <row r="22" spans="1:33" s="80" customFormat="1" ht="15" customHeight="1">
      <c r="A22" s="215"/>
      <c r="B22" s="216" t="s">
        <v>211</v>
      </c>
      <c r="C22" s="50"/>
      <c r="D22" s="217" t="s">
        <v>327</v>
      </c>
      <c r="E22" s="218">
        <v>5.92</v>
      </c>
      <c r="F22" s="219"/>
      <c r="G22" s="219"/>
      <c r="H22" s="220">
        <f t="shared" si="1"/>
        <v>5.92</v>
      </c>
      <c r="I22" s="77"/>
      <c r="J22" s="221">
        <f t="shared" si="2"/>
        <v>4.4400000000000004</v>
      </c>
      <c r="K22" s="222">
        <f>'BETON Qte'!K22</f>
        <v>75</v>
      </c>
      <c r="L22" s="219">
        <f t="shared" si="3"/>
        <v>78.161000000000001</v>
      </c>
      <c r="M22" s="220">
        <f t="shared" si="4"/>
        <v>-73.721000000000004</v>
      </c>
      <c r="N22" s="81"/>
      <c r="O22" s="223">
        <f t="shared" si="5"/>
        <v>0</v>
      </c>
      <c r="P22" s="224">
        <f t="shared" si="0"/>
        <v>0</v>
      </c>
      <c r="Q22" s="225"/>
      <c r="R22" s="232">
        <f t="shared" si="6"/>
        <v>0</v>
      </c>
      <c r="S22" s="77"/>
      <c r="T22" s="227">
        <v>33.29766</v>
      </c>
      <c r="U22" s="78"/>
      <c r="V22" s="221">
        <f t="shared" si="7"/>
        <v>111.45866000000001</v>
      </c>
      <c r="W22" s="220">
        <f t="shared" si="8"/>
        <v>-105.53866000000001</v>
      </c>
      <c r="X22" s="79"/>
      <c r="AD22" s="228">
        <v>4.4400000000000004</v>
      </c>
      <c r="AE22" s="229">
        <v>75</v>
      </c>
      <c r="AF22" s="230">
        <v>78.161000000000001</v>
      </c>
      <c r="AG22" s="231">
        <v>-73.721000000000004</v>
      </c>
    </row>
    <row r="23" spans="1:33" s="80" customFormat="1" ht="15" customHeight="1" thickBot="1">
      <c r="A23" s="215"/>
      <c r="B23" s="216" t="s">
        <v>212</v>
      </c>
      <c r="C23" s="50"/>
      <c r="D23" s="217" t="s">
        <v>327</v>
      </c>
      <c r="E23" s="218">
        <v>160.2954</v>
      </c>
      <c r="F23" s="219"/>
      <c r="G23" s="219"/>
      <c r="H23" s="220">
        <f t="shared" si="1"/>
        <v>160.2954</v>
      </c>
      <c r="I23" s="77"/>
      <c r="J23" s="233">
        <f t="shared" si="2"/>
        <v>0</v>
      </c>
      <c r="K23" s="234">
        <f>'BETON Qte'!K23</f>
        <v>0</v>
      </c>
      <c r="L23" s="235">
        <f t="shared" si="3"/>
        <v>0</v>
      </c>
      <c r="M23" s="236">
        <f t="shared" si="4"/>
        <v>0</v>
      </c>
      <c r="N23" s="77"/>
      <c r="O23" s="237">
        <f t="shared" si="5"/>
        <v>0</v>
      </c>
      <c r="P23" s="238">
        <f t="shared" si="0"/>
        <v>0</v>
      </c>
      <c r="Q23" s="239"/>
      <c r="R23" s="240">
        <f t="shared" si="6"/>
        <v>0</v>
      </c>
      <c r="S23" s="77"/>
      <c r="T23" s="350">
        <v>0</v>
      </c>
      <c r="U23" s="78"/>
      <c r="V23" s="233">
        <f t="shared" si="7"/>
        <v>0</v>
      </c>
      <c r="W23" s="236">
        <f t="shared" si="8"/>
        <v>160.2954</v>
      </c>
      <c r="X23" s="79"/>
      <c r="AD23" s="241">
        <v>0</v>
      </c>
      <c r="AE23" s="242">
        <v>0</v>
      </c>
      <c r="AF23" s="243">
        <v>0</v>
      </c>
      <c r="AG23" s="244">
        <v>0</v>
      </c>
    </row>
    <row r="24" spans="1:33" s="76" customFormat="1" ht="19.5" customHeight="1" thickBot="1">
      <c r="A24" s="256" t="s">
        <v>213</v>
      </c>
      <c r="B24" s="257" t="s">
        <v>214</v>
      </c>
      <c r="C24" s="74"/>
      <c r="D24" s="258" t="s">
        <v>327</v>
      </c>
      <c r="E24" s="259">
        <f>SUM(E25:E34)</f>
        <v>762.78395999999998</v>
      </c>
      <c r="F24" s="201">
        <f>SUM(F25:F34)</f>
        <v>0</v>
      </c>
      <c r="G24" s="201">
        <f>SUM(G25:G34)</f>
        <v>0</v>
      </c>
      <c r="H24" s="246">
        <f>SUM(H25:H34)</f>
        <v>762.78395999999998</v>
      </c>
      <c r="I24" s="75"/>
      <c r="J24" s="245">
        <f>SUM(J25:J34)</f>
        <v>0</v>
      </c>
      <c r="K24" s="260">
        <f>IFERROR(J24/H24,"")</f>
        <v>0</v>
      </c>
      <c r="L24" s="201">
        <f>SUM(L25:L34)</f>
        <v>10.343999999999999</v>
      </c>
      <c r="M24" s="246">
        <f>SUM(M25:M34)</f>
        <v>-10.343999999999999</v>
      </c>
      <c r="N24" s="75"/>
      <c r="O24" s="351">
        <f>SUM(O25:O34)</f>
        <v>0</v>
      </c>
      <c r="P24" s="352">
        <f t="shared" si="0"/>
        <v>0</v>
      </c>
      <c r="Q24" s="208">
        <f>SUM(Q25:Q34)</f>
        <v>0</v>
      </c>
      <c r="R24" s="353">
        <f>SUM(R25:R34)</f>
        <v>0</v>
      </c>
      <c r="S24" s="75"/>
      <c r="T24" s="354">
        <f>SUM(T25:T34)</f>
        <v>1241.6445729572442</v>
      </c>
      <c r="U24" s="75"/>
      <c r="V24" s="245">
        <f>SUM(V25:V34)</f>
        <v>1251.9885729572443</v>
      </c>
      <c r="W24" s="246">
        <f>SUM(W25:W34)</f>
        <v>-489.20461295724431</v>
      </c>
      <c r="X24" s="72"/>
      <c r="AD24" s="252">
        <v>0</v>
      </c>
      <c r="AE24" s="253">
        <v>0</v>
      </c>
      <c r="AF24" s="254">
        <v>10.343999999999999</v>
      </c>
      <c r="AG24" s="255">
        <v>-10.343999999999999</v>
      </c>
    </row>
    <row r="25" spans="1:33" s="80" customFormat="1" ht="15" customHeight="1">
      <c r="A25" s="215"/>
      <c r="B25" s="216" t="s">
        <v>215</v>
      </c>
      <c r="C25" s="50"/>
      <c r="D25" s="217" t="s">
        <v>327</v>
      </c>
      <c r="E25" s="218">
        <v>0</v>
      </c>
      <c r="F25" s="219"/>
      <c r="G25" s="219"/>
      <c r="H25" s="220">
        <f t="shared" ref="H25:H34" si="9">SUM(E25:G25)</f>
        <v>0</v>
      </c>
      <c r="I25" s="77"/>
      <c r="J25" s="221">
        <f t="shared" ref="J25:J34" si="10">H25*K25/100</f>
        <v>0</v>
      </c>
      <c r="K25" s="222">
        <f>'BETON Qte'!K25</f>
        <v>1</v>
      </c>
      <c r="L25" s="219">
        <f t="shared" ref="L25:L34" si="11">Q25+AF25</f>
        <v>0.2</v>
      </c>
      <c r="M25" s="220">
        <f t="shared" ref="M25:M34" si="12">J25-L25</f>
        <v>-0.2</v>
      </c>
      <c r="N25" s="77"/>
      <c r="O25" s="223">
        <f t="shared" ref="O25:O34" si="13">J25-AD25</f>
        <v>0</v>
      </c>
      <c r="P25" s="224" t="str">
        <f t="shared" si="0"/>
        <v/>
      </c>
      <c r="Q25" s="225"/>
      <c r="R25" s="226">
        <f t="shared" ref="R25:R34" si="14">O25-Q25</f>
        <v>0</v>
      </c>
      <c r="S25" s="77"/>
      <c r="T25" s="227">
        <v>67.316066317243298</v>
      </c>
      <c r="U25" s="78"/>
      <c r="V25" s="221">
        <f t="shared" ref="V25:V34" si="15">L25+T25</f>
        <v>67.5160663172433</v>
      </c>
      <c r="W25" s="220">
        <f t="shared" ref="W25:W34" si="16">H25-V25</f>
        <v>-67.5160663172433</v>
      </c>
      <c r="X25" s="79"/>
      <c r="AD25" s="228">
        <v>0</v>
      </c>
      <c r="AE25" s="229">
        <v>1</v>
      </c>
      <c r="AF25" s="230">
        <v>0.2</v>
      </c>
      <c r="AG25" s="231">
        <v>-0.2</v>
      </c>
    </row>
    <row r="26" spans="1:33" s="80" customFormat="1" ht="15" customHeight="1">
      <c r="A26" s="215"/>
      <c r="B26" s="216" t="s">
        <v>216</v>
      </c>
      <c r="C26" s="50"/>
      <c r="D26" s="217" t="s">
        <v>327</v>
      </c>
      <c r="E26" s="218">
        <v>0</v>
      </c>
      <c r="F26" s="219"/>
      <c r="G26" s="219"/>
      <c r="H26" s="220">
        <f t="shared" si="9"/>
        <v>0</v>
      </c>
      <c r="I26" s="77"/>
      <c r="J26" s="221">
        <f t="shared" si="10"/>
        <v>0</v>
      </c>
      <c r="K26" s="222">
        <f>'BETON Qte'!K26</f>
        <v>3</v>
      </c>
      <c r="L26" s="219">
        <f t="shared" si="11"/>
        <v>10.144</v>
      </c>
      <c r="M26" s="220">
        <f t="shared" si="12"/>
        <v>-10.144</v>
      </c>
      <c r="N26" s="77"/>
      <c r="O26" s="223">
        <f t="shared" si="13"/>
        <v>0</v>
      </c>
      <c r="P26" s="224" t="str">
        <f t="shared" si="0"/>
        <v/>
      </c>
      <c r="Q26" s="225"/>
      <c r="R26" s="226">
        <f t="shared" si="14"/>
        <v>0</v>
      </c>
      <c r="S26" s="77"/>
      <c r="T26" s="227">
        <v>411.54454664000099</v>
      </c>
      <c r="U26" s="78"/>
      <c r="V26" s="221">
        <f t="shared" si="15"/>
        <v>421.68854664000099</v>
      </c>
      <c r="W26" s="220">
        <f t="shared" si="16"/>
        <v>-421.68854664000099</v>
      </c>
      <c r="X26" s="79"/>
      <c r="AD26" s="228">
        <v>0</v>
      </c>
      <c r="AE26" s="229">
        <v>3</v>
      </c>
      <c r="AF26" s="230">
        <v>10.144</v>
      </c>
      <c r="AG26" s="231">
        <v>-10.144</v>
      </c>
    </row>
    <row r="27" spans="1:33" s="80" customFormat="1" ht="15" customHeight="1">
      <c r="A27" s="215"/>
      <c r="B27" s="216" t="s">
        <v>217</v>
      </c>
      <c r="C27" s="50"/>
      <c r="D27" s="217" t="s">
        <v>327</v>
      </c>
      <c r="E27" s="218">
        <v>0</v>
      </c>
      <c r="F27" s="219"/>
      <c r="G27" s="219"/>
      <c r="H27" s="220">
        <f t="shared" si="9"/>
        <v>0</v>
      </c>
      <c r="I27" s="77"/>
      <c r="J27" s="221">
        <f t="shared" si="10"/>
        <v>0</v>
      </c>
      <c r="K27" s="222">
        <f>'BETON Qte'!K27</f>
        <v>0</v>
      </c>
      <c r="L27" s="219">
        <f t="shared" si="11"/>
        <v>0</v>
      </c>
      <c r="M27" s="220">
        <f t="shared" si="12"/>
        <v>0</v>
      </c>
      <c r="N27" s="77"/>
      <c r="O27" s="223">
        <f t="shared" si="13"/>
        <v>0</v>
      </c>
      <c r="P27" s="224" t="str">
        <f t="shared" si="0"/>
        <v/>
      </c>
      <c r="Q27" s="225"/>
      <c r="R27" s="226">
        <f t="shared" si="14"/>
        <v>0</v>
      </c>
      <c r="S27" s="77"/>
      <c r="T27" s="227">
        <v>0</v>
      </c>
      <c r="U27" s="78"/>
      <c r="V27" s="221">
        <f t="shared" si="15"/>
        <v>0</v>
      </c>
      <c r="W27" s="220">
        <f t="shared" si="16"/>
        <v>0</v>
      </c>
      <c r="X27" s="79"/>
      <c r="AD27" s="228">
        <v>0</v>
      </c>
      <c r="AE27" s="229">
        <v>0</v>
      </c>
      <c r="AF27" s="230">
        <v>0</v>
      </c>
      <c r="AG27" s="231">
        <v>0</v>
      </c>
    </row>
    <row r="28" spans="1:33" s="80" customFormat="1" ht="15" customHeight="1">
      <c r="A28" s="215"/>
      <c r="B28" s="216" t="s">
        <v>218</v>
      </c>
      <c r="C28" s="50"/>
      <c r="D28" s="217" t="s">
        <v>327</v>
      </c>
      <c r="E28" s="218">
        <v>0</v>
      </c>
      <c r="F28" s="219"/>
      <c r="G28" s="219"/>
      <c r="H28" s="220">
        <f t="shared" si="9"/>
        <v>0</v>
      </c>
      <c r="I28" s="77"/>
      <c r="J28" s="221">
        <f t="shared" si="10"/>
        <v>0</v>
      </c>
      <c r="K28" s="222">
        <f>'BETON Qte'!K28</f>
        <v>0</v>
      </c>
      <c r="L28" s="219">
        <f t="shared" si="11"/>
        <v>0</v>
      </c>
      <c r="M28" s="220">
        <f t="shared" si="12"/>
        <v>0</v>
      </c>
      <c r="N28" s="77"/>
      <c r="O28" s="223">
        <f t="shared" si="13"/>
        <v>0</v>
      </c>
      <c r="P28" s="224" t="str">
        <f t="shared" si="0"/>
        <v/>
      </c>
      <c r="Q28" s="225"/>
      <c r="R28" s="226">
        <f t="shared" si="14"/>
        <v>0</v>
      </c>
      <c r="S28" s="77"/>
      <c r="T28" s="227">
        <v>0</v>
      </c>
      <c r="U28" s="78"/>
      <c r="V28" s="221">
        <f t="shared" si="15"/>
        <v>0</v>
      </c>
      <c r="W28" s="220">
        <f t="shared" si="16"/>
        <v>0</v>
      </c>
      <c r="X28" s="79"/>
      <c r="AD28" s="228">
        <v>0</v>
      </c>
      <c r="AE28" s="229">
        <v>0</v>
      </c>
      <c r="AF28" s="230">
        <v>0</v>
      </c>
      <c r="AG28" s="231">
        <v>0</v>
      </c>
    </row>
    <row r="29" spans="1:33" s="80" customFormat="1" ht="15" customHeight="1">
      <c r="A29" s="215"/>
      <c r="B29" s="216" t="s">
        <v>219</v>
      </c>
      <c r="C29" s="50"/>
      <c r="D29" s="217" t="s">
        <v>327</v>
      </c>
      <c r="E29" s="218">
        <v>731.85245999999995</v>
      </c>
      <c r="F29" s="219"/>
      <c r="G29" s="219"/>
      <c r="H29" s="220">
        <f t="shared" si="9"/>
        <v>731.85245999999995</v>
      </c>
      <c r="I29" s="77"/>
      <c r="J29" s="221">
        <f t="shared" si="10"/>
        <v>0</v>
      </c>
      <c r="K29" s="222">
        <f>'BETON Qte'!K29</f>
        <v>0</v>
      </c>
      <c r="L29" s="219">
        <f t="shared" si="11"/>
        <v>0</v>
      </c>
      <c r="M29" s="220">
        <f t="shared" si="12"/>
        <v>0</v>
      </c>
      <c r="N29" s="77"/>
      <c r="O29" s="223">
        <f t="shared" si="13"/>
        <v>0</v>
      </c>
      <c r="P29" s="224">
        <f t="shared" si="0"/>
        <v>0</v>
      </c>
      <c r="Q29" s="225"/>
      <c r="R29" s="226">
        <f t="shared" si="14"/>
        <v>0</v>
      </c>
      <c r="S29" s="77"/>
      <c r="T29" s="227">
        <v>731.85245999999995</v>
      </c>
      <c r="U29" s="78"/>
      <c r="V29" s="221">
        <f t="shared" si="15"/>
        <v>731.85245999999995</v>
      </c>
      <c r="W29" s="220">
        <f t="shared" si="16"/>
        <v>0</v>
      </c>
      <c r="X29" s="79"/>
      <c r="AD29" s="228">
        <v>0</v>
      </c>
      <c r="AE29" s="229">
        <v>0</v>
      </c>
      <c r="AF29" s="230">
        <v>0</v>
      </c>
      <c r="AG29" s="231">
        <v>0</v>
      </c>
    </row>
    <row r="30" spans="1:33" s="80" customFormat="1" ht="15" customHeight="1">
      <c r="A30" s="215"/>
      <c r="B30" s="216" t="s">
        <v>220</v>
      </c>
      <c r="C30" s="50"/>
      <c r="D30" s="217" t="s">
        <v>327</v>
      </c>
      <c r="E30" s="218">
        <v>6.4567500000000004</v>
      </c>
      <c r="F30" s="219"/>
      <c r="G30" s="219"/>
      <c r="H30" s="220">
        <f t="shared" si="9"/>
        <v>6.4567500000000004</v>
      </c>
      <c r="I30" s="77"/>
      <c r="J30" s="221">
        <f t="shared" si="10"/>
        <v>0</v>
      </c>
      <c r="K30" s="222">
        <f>'BETON Qte'!K30</f>
        <v>0</v>
      </c>
      <c r="L30" s="219">
        <f t="shared" si="11"/>
        <v>0</v>
      </c>
      <c r="M30" s="220">
        <f t="shared" si="12"/>
        <v>0</v>
      </c>
      <c r="N30" s="77"/>
      <c r="O30" s="223">
        <f t="shared" si="13"/>
        <v>0</v>
      </c>
      <c r="P30" s="224">
        <f t="shared" si="0"/>
        <v>0</v>
      </c>
      <c r="Q30" s="225"/>
      <c r="R30" s="226">
        <f t="shared" si="14"/>
        <v>0</v>
      </c>
      <c r="S30" s="77"/>
      <c r="T30" s="227">
        <v>6.4567500000000004</v>
      </c>
      <c r="U30" s="78"/>
      <c r="V30" s="221">
        <f t="shared" si="15"/>
        <v>6.4567500000000004</v>
      </c>
      <c r="W30" s="220">
        <f t="shared" si="16"/>
        <v>0</v>
      </c>
      <c r="X30" s="79"/>
      <c r="AD30" s="228">
        <v>0</v>
      </c>
      <c r="AE30" s="229">
        <v>0</v>
      </c>
      <c r="AF30" s="230">
        <v>0</v>
      </c>
      <c r="AG30" s="231">
        <v>0</v>
      </c>
    </row>
    <row r="31" spans="1:33" s="80" customFormat="1" ht="15" customHeight="1">
      <c r="A31" s="215"/>
      <c r="B31" s="216" t="s">
        <v>221</v>
      </c>
      <c r="C31" s="50"/>
      <c r="D31" s="217" t="s">
        <v>327</v>
      </c>
      <c r="E31" s="218">
        <v>3.2677499999999999</v>
      </c>
      <c r="F31" s="219"/>
      <c r="G31" s="219"/>
      <c r="H31" s="220">
        <f t="shared" si="9"/>
        <v>3.2677499999999999</v>
      </c>
      <c r="I31" s="77"/>
      <c r="J31" s="221">
        <f t="shared" si="10"/>
        <v>0</v>
      </c>
      <c r="K31" s="222">
        <f>'BETON Qte'!K31</f>
        <v>0</v>
      </c>
      <c r="L31" s="219">
        <f t="shared" si="11"/>
        <v>0</v>
      </c>
      <c r="M31" s="220">
        <f t="shared" si="12"/>
        <v>0</v>
      </c>
      <c r="N31" s="77"/>
      <c r="O31" s="223">
        <f t="shared" si="13"/>
        <v>0</v>
      </c>
      <c r="P31" s="224">
        <f t="shared" si="0"/>
        <v>0</v>
      </c>
      <c r="Q31" s="225"/>
      <c r="R31" s="226">
        <f t="shared" si="14"/>
        <v>0</v>
      </c>
      <c r="S31" s="77"/>
      <c r="T31" s="227">
        <v>3.2677499999999999</v>
      </c>
      <c r="U31" s="78"/>
      <c r="V31" s="221">
        <f t="shared" si="15"/>
        <v>3.2677499999999999</v>
      </c>
      <c r="W31" s="220">
        <f t="shared" si="16"/>
        <v>0</v>
      </c>
      <c r="X31" s="79"/>
      <c r="AD31" s="228">
        <v>0</v>
      </c>
      <c r="AE31" s="229">
        <v>0</v>
      </c>
      <c r="AF31" s="230">
        <v>0</v>
      </c>
      <c r="AG31" s="231">
        <v>0</v>
      </c>
    </row>
    <row r="32" spans="1:33" s="80" customFormat="1" ht="15" customHeight="1">
      <c r="A32" s="215"/>
      <c r="B32" s="216" t="s">
        <v>222</v>
      </c>
      <c r="C32" s="50"/>
      <c r="D32" s="217" t="s">
        <v>327</v>
      </c>
      <c r="E32" s="218">
        <v>2.4119999999999999</v>
      </c>
      <c r="F32" s="219"/>
      <c r="G32" s="219"/>
      <c r="H32" s="220">
        <f t="shared" si="9"/>
        <v>2.4119999999999999</v>
      </c>
      <c r="I32" s="77"/>
      <c r="J32" s="221">
        <f t="shared" si="10"/>
        <v>0</v>
      </c>
      <c r="K32" s="222">
        <f>'BETON Qte'!K32</f>
        <v>0</v>
      </c>
      <c r="L32" s="219">
        <f t="shared" si="11"/>
        <v>0</v>
      </c>
      <c r="M32" s="220">
        <f t="shared" si="12"/>
        <v>0</v>
      </c>
      <c r="N32" s="77"/>
      <c r="O32" s="223">
        <f t="shared" si="13"/>
        <v>0</v>
      </c>
      <c r="P32" s="224">
        <f t="shared" si="0"/>
        <v>0</v>
      </c>
      <c r="Q32" s="225"/>
      <c r="R32" s="226">
        <f t="shared" si="14"/>
        <v>0</v>
      </c>
      <c r="S32" s="77"/>
      <c r="T32" s="227">
        <v>2.4119999999999999</v>
      </c>
      <c r="U32" s="78"/>
      <c r="V32" s="221">
        <f t="shared" si="15"/>
        <v>2.4119999999999999</v>
      </c>
      <c r="W32" s="220">
        <f t="shared" si="16"/>
        <v>0</v>
      </c>
      <c r="X32" s="79"/>
      <c r="AD32" s="228">
        <v>0</v>
      </c>
      <c r="AE32" s="229">
        <v>0</v>
      </c>
      <c r="AF32" s="230">
        <v>0</v>
      </c>
      <c r="AG32" s="231">
        <v>0</v>
      </c>
    </row>
    <row r="33" spans="1:33" s="80" customFormat="1" ht="15" customHeight="1">
      <c r="A33" s="215"/>
      <c r="B33" s="216" t="s">
        <v>223</v>
      </c>
      <c r="C33" s="50"/>
      <c r="D33" s="217" t="s">
        <v>327</v>
      </c>
      <c r="E33" s="218">
        <v>0</v>
      </c>
      <c r="F33" s="219"/>
      <c r="G33" s="219"/>
      <c r="H33" s="220">
        <f t="shared" si="9"/>
        <v>0</v>
      </c>
      <c r="I33" s="77"/>
      <c r="J33" s="221">
        <f t="shared" si="10"/>
        <v>0</v>
      </c>
      <c r="K33" s="222">
        <f>'BETON Qte'!K33</f>
        <v>0</v>
      </c>
      <c r="L33" s="219">
        <f t="shared" si="11"/>
        <v>0</v>
      </c>
      <c r="M33" s="220">
        <f t="shared" si="12"/>
        <v>0</v>
      </c>
      <c r="N33" s="77"/>
      <c r="O33" s="223">
        <f t="shared" si="13"/>
        <v>0</v>
      </c>
      <c r="P33" s="224" t="str">
        <f t="shared" si="0"/>
        <v/>
      </c>
      <c r="Q33" s="225"/>
      <c r="R33" s="226">
        <f t="shared" si="14"/>
        <v>0</v>
      </c>
      <c r="S33" s="77"/>
      <c r="T33" s="227">
        <v>0</v>
      </c>
      <c r="U33" s="78"/>
      <c r="V33" s="221">
        <f t="shared" si="15"/>
        <v>0</v>
      </c>
      <c r="W33" s="220">
        <f t="shared" si="16"/>
        <v>0</v>
      </c>
      <c r="X33" s="79"/>
      <c r="AD33" s="228">
        <v>0</v>
      </c>
      <c r="AE33" s="229">
        <v>0</v>
      </c>
      <c r="AF33" s="230">
        <v>0</v>
      </c>
      <c r="AG33" s="231">
        <v>0</v>
      </c>
    </row>
    <row r="34" spans="1:33" s="80" customFormat="1" ht="15" customHeight="1" thickBot="1">
      <c r="A34" s="215"/>
      <c r="B34" s="216" t="s">
        <v>224</v>
      </c>
      <c r="C34" s="50"/>
      <c r="D34" s="217" t="s">
        <v>327</v>
      </c>
      <c r="E34" s="218">
        <v>18.795000000000002</v>
      </c>
      <c r="F34" s="219"/>
      <c r="G34" s="219"/>
      <c r="H34" s="220">
        <f t="shared" si="9"/>
        <v>18.795000000000002</v>
      </c>
      <c r="I34" s="77"/>
      <c r="J34" s="233">
        <f t="shared" si="10"/>
        <v>0</v>
      </c>
      <c r="K34" s="234">
        <f>'BETON Qte'!K34</f>
        <v>0</v>
      </c>
      <c r="L34" s="235">
        <f t="shared" si="11"/>
        <v>0</v>
      </c>
      <c r="M34" s="236">
        <f t="shared" si="12"/>
        <v>0</v>
      </c>
      <c r="N34" s="77"/>
      <c r="O34" s="237">
        <f t="shared" si="13"/>
        <v>0</v>
      </c>
      <c r="P34" s="238">
        <f t="shared" si="0"/>
        <v>0</v>
      </c>
      <c r="Q34" s="239"/>
      <c r="R34" s="240">
        <f t="shared" si="14"/>
        <v>0</v>
      </c>
      <c r="S34" s="77"/>
      <c r="T34" s="350">
        <v>18.795000000000002</v>
      </c>
      <c r="U34" s="78"/>
      <c r="V34" s="233">
        <f t="shared" si="15"/>
        <v>18.795000000000002</v>
      </c>
      <c r="W34" s="236">
        <f t="shared" si="16"/>
        <v>0</v>
      </c>
      <c r="X34" s="79"/>
      <c r="AD34" s="241">
        <v>0</v>
      </c>
      <c r="AE34" s="242">
        <v>0</v>
      </c>
      <c r="AF34" s="243">
        <v>0</v>
      </c>
      <c r="AG34" s="244">
        <v>0</v>
      </c>
    </row>
    <row r="35" spans="1:33" s="76" customFormat="1" ht="19.5" customHeight="1" thickBot="1">
      <c r="A35" s="256" t="s">
        <v>225</v>
      </c>
      <c r="B35" s="257" t="s">
        <v>226</v>
      </c>
      <c r="C35" s="74"/>
      <c r="D35" s="258" t="s">
        <v>327</v>
      </c>
      <c r="E35" s="259">
        <f>SUM(E36:E37)</f>
        <v>5.5101599999999999</v>
      </c>
      <c r="F35" s="201">
        <f>SUM(F36:F37)</f>
        <v>0</v>
      </c>
      <c r="G35" s="201">
        <f>SUM(G36:G37)</f>
        <v>0</v>
      </c>
      <c r="H35" s="246">
        <f>SUM(H36:H37)</f>
        <v>5.5101599999999999</v>
      </c>
      <c r="I35" s="75"/>
      <c r="J35" s="245">
        <f>SUM(J36:J37)</f>
        <v>0</v>
      </c>
      <c r="K35" s="260">
        <f>IFERROR(J35/H35,"")</f>
        <v>0</v>
      </c>
      <c r="L35" s="201">
        <f>SUM(L36:L37)</f>
        <v>0</v>
      </c>
      <c r="M35" s="246">
        <f>SUM(M36:M37)</f>
        <v>0</v>
      </c>
      <c r="N35" s="75"/>
      <c r="O35" s="351">
        <f>SUM(O36:O37)</f>
        <v>0</v>
      </c>
      <c r="P35" s="352">
        <f t="shared" si="0"/>
        <v>0</v>
      </c>
      <c r="Q35" s="208">
        <f>SUM(Q36:Q37)</f>
        <v>0</v>
      </c>
      <c r="R35" s="353">
        <f>SUM(R36:R37)</f>
        <v>0</v>
      </c>
      <c r="S35" s="75"/>
      <c r="T35" s="354">
        <f>SUM(T36:T37)</f>
        <v>5.5101599999999999</v>
      </c>
      <c r="U35" s="90"/>
      <c r="V35" s="245">
        <f>SUM(V36:V37)</f>
        <v>5.5101599999999999</v>
      </c>
      <c r="W35" s="246">
        <f>SUM(W36:W37)</f>
        <v>0</v>
      </c>
      <c r="X35" s="72"/>
      <c r="AD35" s="252">
        <v>0</v>
      </c>
      <c r="AE35" s="253">
        <v>0</v>
      </c>
      <c r="AF35" s="355">
        <v>0</v>
      </c>
      <c r="AG35" s="255">
        <v>0</v>
      </c>
    </row>
    <row r="36" spans="1:33" s="80" customFormat="1" ht="15" customHeight="1">
      <c r="A36" s="215"/>
      <c r="B36" s="216" t="s">
        <v>227</v>
      </c>
      <c r="C36" s="50"/>
      <c r="D36" s="217" t="s">
        <v>327</v>
      </c>
      <c r="E36" s="218">
        <v>4.6372099999999996</v>
      </c>
      <c r="F36" s="219"/>
      <c r="G36" s="219"/>
      <c r="H36" s="220">
        <f t="shared" ref="H36:H37" si="17">SUM(E36:G36)</f>
        <v>4.6372099999999996</v>
      </c>
      <c r="I36" s="77"/>
      <c r="J36" s="221">
        <f t="shared" ref="J36:J37" si="18">H36*K36/100</f>
        <v>0</v>
      </c>
      <c r="K36" s="222">
        <f>'BETON Qte'!K36</f>
        <v>0</v>
      </c>
      <c r="L36" s="219">
        <f t="shared" ref="L36:L37" si="19">Q36+AF36</f>
        <v>0</v>
      </c>
      <c r="M36" s="220">
        <f t="shared" ref="M36:M37" si="20">J36-L36</f>
        <v>0</v>
      </c>
      <c r="N36" s="77"/>
      <c r="O36" s="223">
        <f t="shared" ref="O36:O37" si="21">J36-AD36</f>
        <v>0</v>
      </c>
      <c r="P36" s="224">
        <f t="shared" si="0"/>
        <v>0</v>
      </c>
      <c r="Q36" s="225"/>
      <c r="R36" s="226">
        <f t="shared" ref="R36:R37" si="22">O36-Q36</f>
        <v>0</v>
      </c>
      <c r="S36" s="77"/>
      <c r="T36" s="227">
        <v>4.6372099999999996</v>
      </c>
      <c r="U36" s="78"/>
      <c r="V36" s="221">
        <f t="shared" ref="V36:V37" si="23">L36+T36</f>
        <v>4.6372099999999996</v>
      </c>
      <c r="W36" s="220">
        <f t="shared" ref="W36:W37" si="24">H36-V36</f>
        <v>0</v>
      </c>
      <c r="X36" s="79"/>
      <c r="AD36" s="228">
        <v>0</v>
      </c>
      <c r="AE36" s="229">
        <v>0</v>
      </c>
      <c r="AF36" s="230">
        <v>0</v>
      </c>
      <c r="AG36" s="231">
        <v>0</v>
      </c>
    </row>
    <row r="37" spans="1:33" s="80" customFormat="1" ht="15" customHeight="1" thickBot="1">
      <c r="A37" s="215"/>
      <c r="B37" s="216" t="s">
        <v>228</v>
      </c>
      <c r="C37" s="50"/>
      <c r="D37" s="217" t="s">
        <v>327</v>
      </c>
      <c r="E37" s="218">
        <v>0.87295</v>
      </c>
      <c r="F37" s="219"/>
      <c r="G37" s="219"/>
      <c r="H37" s="220">
        <f t="shared" si="17"/>
        <v>0.87295</v>
      </c>
      <c r="I37" s="77"/>
      <c r="J37" s="233">
        <f t="shared" si="18"/>
        <v>0</v>
      </c>
      <c r="K37" s="234">
        <f>'BETON Qte'!K37</f>
        <v>0</v>
      </c>
      <c r="L37" s="235">
        <f t="shared" si="19"/>
        <v>0</v>
      </c>
      <c r="M37" s="236">
        <f t="shared" si="20"/>
        <v>0</v>
      </c>
      <c r="N37" s="77"/>
      <c r="O37" s="237">
        <f t="shared" si="21"/>
        <v>0</v>
      </c>
      <c r="P37" s="238">
        <f t="shared" si="0"/>
        <v>0</v>
      </c>
      <c r="Q37" s="239"/>
      <c r="R37" s="240">
        <f t="shared" si="22"/>
        <v>0</v>
      </c>
      <c r="S37" s="77"/>
      <c r="T37" s="350">
        <v>0.87295</v>
      </c>
      <c r="U37" s="78"/>
      <c r="V37" s="233">
        <f t="shared" si="23"/>
        <v>0.87295</v>
      </c>
      <c r="W37" s="236">
        <f t="shared" si="24"/>
        <v>0</v>
      </c>
      <c r="X37" s="79"/>
      <c r="AD37" s="241">
        <v>0</v>
      </c>
      <c r="AE37" s="242">
        <v>0</v>
      </c>
      <c r="AF37" s="243">
        <v>0</v>
      </c>
      <c r="AG37" s="244">
        <v>0</v>
      </c>
    </row>
    <row r="38" spans="1:33" s="76" customFormat="1" ht="19.5" customHeight="1" thickBot="1">
      <c r="A38" s="256" t="s">
        <v>229</v>
      </c>
      <c r="B38" s="257" t="s">
        <v>230</v>
      </c>
      <c r="C38" s="74"/>
      <c r="D38" s="258" t="s">
        <v>327</v>
      </c>
      <c r="E38" s="259">
        <f>SUM(E39:E40)</f>
        <v>0</v>
      </c>
      <c r="F38" s="201">
        <f>SUM(F39:F40)</f>
        <v>0</v>
      </c>
      <c r="G38" s="201">
        <f>SUM(G39:G40)</f>
        <v>0</v>
      </c>
      <c r="H38" s="246">
        <f>SUM(H39:H40)</f>
        <v>0</v>
      </c>
      <c r="I38" s="75"/>
      <c r="J38" s="245">
        <f>SUM(J39:J40)</f>
        <v>0</v>
      </c>
      <c r="K38" s="260" t="str">
        <f>IFERROR(J38/H38,"")</f>
        <v/>
      </c>
      <c r="L38" s="201">
        <f>SUM(L39:L40)</f>
        <v>0</v>
      </c>
      <c r="M38" s="246">
        <f>SUM(M39:M40)</f>
        <v>0</v>
      </c>
      <c r="N38" s="75"/>
      <c r="O38" s="351">
        <f>SUM(O39:O40)</f>
        <v>0</v>
      </c>
      <c r="P38" s="352" t="str">
        <f t="shared" si="0"/>
        <v/>
      </c>
      <c r="Q38" s="208">
        <f>SUM(Q39:Q40)</f>
        <v>0</v>
      </c>
      <c r="R38" s="353">
        <f>SUM(R39:R40)</f>
        <v>0</v>
      </c>
      <c r="S38" s="75"/>
      <c r="T38" s="354">
        <f>SUM(T39:T40)</f>
        <v>0</v>
      </c>
      <c r="U38" s="75"/>
      <c r="V38" s="245">
        <f>SUM(V39:V40)</f>
        <v>0</v>
      </c>
      <c r="W38" s="246">
        <f>SUM(W39:W40)</f>
        <v>0</v>
      </c>
      <c r="X38" s="72"/>
      <c r="AD38" s="252">
        <v>0</v>
      </c>
      <c r="AE38" s="253" t="s">
        <v>67</v>
      </c>
      <c r="AF38" s="254">
        <v>0</v>
      </c>
      <c r="AG38" s="255">
        <v>0</v>
      </c>
    </row>
    <row r="39" spans="1:33" s="80" customFormat="1" ht="15" customHeight="1">
      <c r="A39" s="215"/>
      <c r="B39" s="216" t="s">
        <v>231</v>
      </c>
      <c r="C39" s="50"/>
      <c r="D39" s="217" t="s">
        <v>327</v>
      </c>
      <c r="E39" s="218">
        <v>0</v>
      </c>
      <c r="F39" s="219"/>
      <c r="G39" s="219"/>
      <c r="H39" s="220">
        <f>SUM(E39:G39)</f>
        <v>0</v>
      </c>
      <c r="I39" s="77"/>
      <c r="J39" s="221">
        <f>H39*K39/100</f>
        <v>0</v>
      </c>
      <c r="K39" s="222">
        <f>'BETON Qte'!K39</f>
        <v>0</v>
      </c>
      <c r="L39" s="219">
        <f>Q39+AF39</f>
        <v>0</v>
      </c>
      <c r="M39" s="220">
        <f>J39-L39</f>
        <v>0</v>
      </c>
      <c r="N39" s="77"/>
      <c r="O39" s="223">
        <f>J39-AD39</f>
        <v>0</v>
      </c>
      <c r="P39" s="224" t="str">
        <f t="shared" si="0"/>
        <v/>
      </c>
      <c r="Q39" s="225"/>
      <c r="R39" s="226">
        <f>O39-Q39</f>
        <v>0</v>
      </c>
      <c r="S39" s="77"/>
      <c r="T39" s="227">
        <v>0</v>
      </c>
      <c r="U39" s="78"/>
      <c r="V39" s="221">
        <f t="shared" ref="V39:V40" si="25">L39+T39</f>
        <v>0</v>
      </c>
      <c r="W39" s="220">
        <f t="shared" ref="W39:W40" si="26">H39-V39</f>
        <v>0</v>
      </c>
      <c r="X39" s="79"/>
      <c r="AD39" s="228">
        <v>0</v>
      </c>
      <c r="AE39" s="229">
        <v>0</v>
      </c>
      <c r="AF39" s="230">
        <v>0</v>
      </c>
      <c r="AG39" s="231">
        <v>0</v>
      </c>
    </row>
    <row r="40" spans="1:33" s="80" customFormat="1" ht="15" customHeight="1" thickBot="1">
      <c r="A40" s="215"/>
      <c r="B40" s="216" t="s">
        <v>232</v>
      </c>
      <c r="C40" s="50"/>
      <c r="D40" s="217" t="s">
        <v>327</v>
      </c>
      <c r="E40" s="218">
        <v>0</v>
      </c>
      <c r="F40" s="219"/>
      <c r="G40" s="219"/>
      <c r="H40" s="220">
        <f>SUM(E40:G40)</f>
        <v>0</v>
      </c>
      <c r="I40" s="77"/>
      <c r="J40" s="233">
        <f>H40*K40/100</f>
        <v>0</v>
      </c>
      <c r="K40" s="234">
        <f>'BETON Qte'!K40</f>
        <v>0</v>
      </c>
      <c r="L40" s="235">
        <f>Q40+AF40</f>
        <v>0</v>
      </c>
      <c r="M40" s="236">
        <f>J40-L40</f>
        <v>0</v>
      </c>
      <c r="N40" s="77"/>
      <c r="O40" s="237">
        <f>J40-AD40</f>
        <v>0</v>
      </c>
      <c r="P40" s="238" t="str">
        <f t="shared" si="0"/>
        <v/>
      </c>
      <c r="Q40" s="239"/>
      <c r="R40" s="240">
        <f>O40-Q40</f>
        <v>0</v>
      </c>
      <c r="S40" s="77"/>
      <c r="T40" s="350">
        <v>0</v>
      </c>
      <c r="U40" s="78"/>
      <c r="V40" s="233">
        <f t="shared" si="25"/>
        <v>0</v>
      </c>
      <c r="W40" s="236">
        <f t="shared" si="26"/>
        <v>0</v>
      </c>
      <c r="X40" s="79"/>
      <c r="AD40" s="241">
        <v>0</v>
      </c>
      <c r="AE40" s="242">
        <v>0</v>
      </c>
      <c r="AF40" s="243">
        <v>0</v>
      </c>
      <c r="AG40" s="244">
        <v>0</v>
      </c>
    </row>
    <row r="41" spans="1:33" s="76" customFormat="1" ht="19.5" customHeight="1" thickBot="1">
      <c r="A41" s="256" t="s">
        <v>233</v>
      </c>
      <c r="B41" s="257" t="s">
        <v>234</v>
      </c>
      <c r="C41" s="74"/>
      <c r="D41" s="258" t="s">
        <v>327</v>
      </c>
      <c r="E41" s="259">
        <f>SUM(E42:E56)</f>
        <v>10.698499999999999</v>
      </c>
      <c r="F41" s="201">
        <f>SUM(F42:F56)</f>
        <v>0</v>
      </c>
      <c r="G41" s="201">
        <f>SUM(G42:G56)</f>
        <v>0</v>
      </c>
      <c r="H41" s="246">
        <f>SUM(H42:H56)</f>
        <v>10.698499999999999</v>
      </c>
      <c r="I41" s="75"/>
      <c r="J41" s="245">
        <f>SUM(J42:J56)</f>
        <v>0</v>
      </c>
      <c r="K41" s="260">
        <f>IFERROR(J41/H41,"")</f>
        <v>0</v>
      </c>
      <c r="L41" s="201">
        <f>SUM(L42:L56)</f>
        <v>0</v>
      </c>
      <c r="M41" s="246">
        <f>SUM(M42:M56)</f>
        <v>0</v>
      </c>
      <c r="N41" s="75"/>
      <c r="O41" s="351">
        <f>SUM(O42:O56)</f>
        <v>0</v>
      </c>
      <c r="P41" s="352">
        <f t="shared" si="0"/>
        <v>0</v>
      </c>
      <c r="Q41" s="208">
        <f>SUM(Q42:Q56)</f>
        <v>0</v>
      </c>
      <c r="R41" s="353">
        <f>SUM(R42:R56)</f>
        <v>0</v>
      </c>
      <c r="S41" s="75"/>
      <c r="T41" s="354">
        <f>SUM(T42:T56)</f>
        <v>10.698499999999999</v>
      </c>
      <c r="U41" s="75"/>
      <c r="V41" s="245">
        <f>SUM(V42:V56)</f>
        <v>10.698499999999999</v>
      </c>
      <c r="W41" s="246">
        <f>SUM(W42:W56)</f>
        <v>0</v>
      </c>
      <c r="X41" s="72"/>
      <c r="AD41" s="252">
        <v>0</v>
      </c>
      <c r="AE41" s="253">
        <v>0</v>
      </c>
      <c r="AF41" s="254">
        <v>0</v>
      </c>
      <c r="AG41" s="255">
        <v>0</v>
      </c>
    </row>
    <row r="42" spans="1:33" s="80" customFormat="1" ht="15" customHeight="1">
      <c r="A42" s="215"/>
      <c r="B42" s="216" t="s">
        <v>235</v>
      </c>
      <c r="C42" s="50"/>
      <c r="D42" s="217" t="s">
        <v>327</v>
      </c>
      <c r="E42" s="218">
        <v>0.82650000000000001</v>
      </c>
      <c r="F42" s="219"/>
      <c r="G42" s="219"/>
      <c r="H42" s="220">
        <f t="shared" ref="H42:H56" si="27">SUM(E42:G42)</f>
        <v>0.82650000000000001</v>
      </c>
      <c r="I42" s="77"/>
      <c r="J42" s="221">
        <f t="shared" ref="J42:J56" si="28">H42*K42/100</f>
        <v>0</v>
      </c>
      <c r="K42" s="222">
        <f>'BETON Qte'!K42</f>
        <v>0</v>
      </c>
      <c r="L42" s="219">
        <f t="shared" ref="L42:L56" si="29">Q42+AF42</f>
        <v>0</v>
      </c>
      <c r="M42" s="220">
        <f t="shared" ref="M42:M56" si="30">J42-L42</f>
        <v>0</v>
      </c>
      <c r="N42" s="77"/>
      <c r="O42" s="223">
        <f t="shared" ref="O42:O56" si="31">J42-AD42</f>
        <v>0</v>
      </c>
      <c r="P42" s="224">
        <f t="shared" si="0"/>
        <v>0</v>
      </c>
      <c r="Q42" s="225"/>
      <c r="R42" s="226">
        <f t="shared" ref="R42:R56" si="32">O42-Q42</f>
        <v>0</v>
      </c>
      <c r="S42" s="77"/>
      <c r="T42" s="227">
        <v>0.82650000000000001</v>
      </c>
      <c r="U42" s="78"/>
      <c r="V42" s="221">
        <f t="shared" ref="V42:V56" si="33">L42+T42</f>
        <v>0.82650000000000001</v>
      </c>
      <c r="W42" s="220">
        <f t="shared" ref="W42:W56" si="34">H42-V42</f>
        <v>0</v>
      </c>
      <c r="X42" s="79"/>
      <c r="AD42" s="228">
        <v>0</v>
      </c>
      <c r="AE42" s="229">
        <v>0</v>
      </c>
      <c r="AF42" s="230">
        <v>0</v>
      </c>
      <c r="AG42" s="231">
        <v>0</v>
      </c>
    </row>
    <row r="43" spans="1:33" s="80" customFormat="1" ht="15" customHeight="1">
      <c r="A43" s="215"/>
      <c r="B43" s="216" t="s">
        <v>236</v>
      </c>
      <c r="C43" s="50"/>
      <c r="D43" s="217" t="s">
        <v>327</v>
      </c>
      <c r="E43" s="218">
        <v>0</v>
      </c>
      <c r="F43" s="219"/>
      <c r="G43" s="219"/>
      <c r="H43" s="220">
        <f t="shared" si="27"/>
        <v>0</v>
      </c>
      <c r="I43" s="77"/>
      <c r="J43" s="221">
        <f t="shared" si="28"/>
        <v>0</v>
      </c>
      <c r="K43" s="222">
        <f>'BETON Qte'!K43</f>
        <v>0</v>
      </c>
      <c r="L43" s="219">
        <f t="shared" si="29"/>
        <v>0</v>
      </c>
      <c r="M43" s="220">
        <f t="shared" si="30"/>
        <v>0</v>
      </c>
      <c r="N43" s="77"/>
      <c r="O43" s="223">
        <f t="shared" si="31"/>
        <v>0</v>
      </c>
      <c r="P43" s="224" t="str">
        <f t="shared" si="0"/>
        <v/>
      </c>
      <c r="Q43" s="225"/>
      <c r="R43" s="226">
        <f t="shared" si="32"/>
        <v>0</v>
      </c>
      <c r="S43" s="77"/>
      <c r="T43" s="227">
        <v>0</v>
      </c>
      <c r="U43" s="78"/>
      <c r="V43" s="221">
        <f t="shared" si="33"/>
        <v>0</v>
      </c>
      <c r="W43" s="220">
        <f t="shared" si="34"/>
        <v>0</v>
      </c>
      <c r="X43" s="79"/>
      <c r="AD43" s="228">
        <v>0</v>
      </c>
      <c r="AE43" s="229">
        <v>0</v>
      </c>
      <c r="AF43" s="230">
        <v>0</v>
      </c>
      <c r="AG43" s="231">
        <v>0</v>
      </c>
    </row>
    <row r="44" spans="1:33" s="80" customFormat="1" ht="15" customHeight="1">
      <c r="A44" s="215"/>
      <c r="B44" s="216" t="s">
        <v>237</v>
      </c>
      <c r="C44" s="50"/>
      <c r="D44" s="217" t="s">
        <v>327</v>
      </c>
      <c r="E44" s="218">
        <v>0</v>
      </c>
      <c r="F44" s="219"/>
      <c r="G44" s="219"/>
      <c r="H44" s="220">
        <f t="shared" si="27"/>
        <v>0</v>
      </c>
      <c r="I44" s="77"/>
      <c r="J44" s="221">
        <f t="shared" si="28"/>
        <v>0</v>
      </c>
      <c r="K44" s="222">
        <f>'BETON Qte'!K44</f>
        <v>0</v>
      </c>
      <c r="L44" s="219">
        <f t="shared" si="29"/>
        <v>0</v>
      </c>
      <c r="M44" s="220">
        <f t="shared" si="30"/>
        <v>0</v>
      </c>
      <c r="N44" s="77"/>
      <c r="O44" s="223">
        <f t="shared" si="31"/>
        <v>0</v>
      </c>
      <c r="P44" s="224" t="str">
        <f t="shared" si="0"/>
        <v/>
      </c>
      <c r="Q44" s="225"/>
      <c r="R44" s="226">
        <f t="shared" si="32"/>
        <v>0</v>
      </c>
      <c r="S44" s="77"/>
      <c r="T44" s="227">
        <v>0</v>
      </c>
      <c r="U44" s="78"/>
      <c r="V44" s="221">
        <f t="shared" si="33"/>
        <v>0</v>
      </c>
      <c r="W44" s="220">
        <f t="shared" si="34"/>
        <v>0</v>
      </c>
      <c r="X44" s="79"/>
      <c r="AD44" s="228">
        <v>0</v>
      </c>
      <c r="AE44" s="229">
        <v>0</v>
      </c>
      <c r="AF44" s="230">
        <v>0</v>
      </c>
      <c r="AG44" s="231">
        <v>0</v>
      </c>
    </row>
    <row r="45" spans="1:33" s="80" customFormat="1" ht="15" customHeight="1">
      <c r="A45" s="215"/>
      <c r="B45" s="216" t="s">
        <v>238</v>
      </c>
      <c r="C45" s="50"/>
      <c r="D45" s="217" t="s">
        <v>327</v>
      </c>
      <c r="E45" s="218">
        <v>0</v>
      </c>
      <c r="F45" s="219"/>
      <c r="G45" s="219"/>
      <c r="H45" s="220">
        <f t="shared" si="27"/>
        <v>0</v>
      </c>
      <c r="I45" s="77"/>
      <c r="J45" s="221">
        <f t="shared" si="28"/>
        <v>0</v>
      </c>
      <c r="K45" s="222">
        <f>'BETON Qte'!K45</f>
        <v>0</v>
      </c>
      <c r="L45" s="219">
        <f t="shared" si="29"/>
        <v>0</v>
      </c>
      <c r="M45" s="220">
        <f t="shared" si="30"/>
        <v>0</v>
      </c>
      <c r="N45" s="77"/>
      <c r="O45" s="223">
        <f t="shared" si="31"/>
        <v>0</v>
      </c>
      <c r="P45" s="224" t="str">
        <f t="shared" si="0"/>
        <v/>
      </c>
      <c r="Q45" s="225"/>
      <c r="R45" s="226">
        <f t="shared" si="32"/>
        <v>0</v>
      </c>
      <c r="S45" s="77"/>
      <c r="T45" s="227">
        <v>0</v>
      </c>
      <c r="U45" s="78"/>
      <c r="V45" s="221">
        <f t="shared" si="33"/>
        <v>0</v>
      </c>
      <c r="W45" s="220">
        <f t="shared" si="34"/>
        <v>0</v>
      </c>
      <c r="X45" s="79"/>
      <c r="AD45" s="228">
        <v>0</v>
      </c>
      <c r="AE45" s="229">
        <v>0</v>
      </c>
      <c r="AF45" s="230">
        <v>0</v>
      </c>
      <c r="AG45" s="231">
        <v>0</v>
      </c>
    </row>
    <row r="46" spans="1:33" s="80" customFormat="1" ht="15" customHeight="1">
      <c r="A46" s="215"/>
      <c r="B46" s="216" t="s">
        <v>239</v>
      </c>
      <c r="C46" s="50"/>
      <c r="D46" s="217" t="s">
        <v>327</v>
      </c>
      <c r="E46" s="218">
        <v>0</v>
      </c>
      <c r="F46" s="219"/>
      <c r="G46" s="219"/>
      <c r="H46" s="220">
        <f t="shared" si="27"/>
        <v>0</v>
      </c>
      <c r="I46" s="77"/>
      <c r="J46" s="221">
        <f t="shared" si="28"/>
        <v>0</v>
      </c>
      <c r="K46" s="222">
        <f>'BETON Qte'!K46</f>
        <v>0</v>
      </c>
      <c r="L46" s="219">
        <f t="shared" si="29"/>
        <v>0</v>
      </c>
      <c r="M46" s="220">
        <f t="shared" si="30"/>
        <v>0</v>
      </c>
      <c r="N46" s="77"/>
      <c r="O46" s="223">
        <f t="shared" si="31"/>
        <v>0</v>
      </c>
      <c r="P46" s="224" t="str">
        <f t="shared" si="0"/>
        <v/>
      </c>
      <c r="Q46" s="225"/>
      <c r="R46" s="226">
        <f t="shared" si="32"/>
        <v>0</v>
      </c>
      <c r="S46" s="77"/>
      <c r="T46" s="227">
        <v>0</v>
      </c>
      <c r="U46" s="78"/>
      <c r="V46" s="221">
        <f t="shared" si="33"/>
        <v>0</v>
      </c>
      <c r="W46" s="220">
        <f t="shared" si="34"/>
        <v>0</v>
      </c>
      <c r="X46" s="79"/>
      <c r="AD46" s="228">
        <v>0</v>
      </c>
      <c r="AE46" s="229">
        <v>0</v>
      </c>
      <c r="AF46" s="230">
        <v>0</v>
      </c>
      <c r="AG46" s="231">
        <v>0</v>
      </c>
    </row>
    <row r="47" spans="1:33" s="80" customFormat="1" ht="15" customHeight="1">
      <c r="A47" s="215"/>
      <c r="B47" s="216" t="s">
        <v>240</v>
      </c>
      <c r="C47" s="50"/>
      <c r="D47" s="217" t="s">
        <v>327</v>
      </c>
      <c r="E47" s="218">
        <v>0.12</v>
      </c>
      <c r="F47" s="219"/>
      <c r="G47" s="219"/>
      <c r="H47" s="220">
        <f t="shared" si="27"/>
        <v>0.12</v>
      </c>
      <c r="I47" s="77"/>
      <c r="J47" s="221">
        <f t="shared" si="28"/>
        <v>0</v>
      </c>
      <c r="K47" s="222">
        <f>'BETON Qte'!K47</f>
        <v>0</v>
      </c>
      <c r="L47" s="219">
        <f t="shared" si="29"/>
        <v>0</v>
      </c>
      <c r="M47" s="220">
        <f t="shared" si="30"/>
        <v>0</v>
      </c>
      <c r="N47" s="77"/>
      <c r="O47" s="223">
        <f t="shared" si="31"/>
        <v>0</v>
      </c>
      <c r="P47" s="224">
        <f t="shared" si="0"/>
        <v>0</v>
      </c>
      <c r="Q47" s="225"/>
      <c r="R47" s="226">
        <f t="shared" si="32"/>
        <v>0</v>
      </c>
      <c r="S47" s="77"/>
      <c r="T47" s="227">
        <v>0.12</v>
      </c>
      <c r="U47" s="78"/>
      <c r="V47" s="221">
        <f t="shared" si="33"/>
        <v>0.12</v>
      </c>
      <c r="W47" s="220">
        <f t="shared" si="34"/>
        <v>0</v>
      </c>
      <c r="X47" s="79"/>
      <c r="AD47" s="228">
        <v>0</v>
      </c>
      <c r="AE47" s="229">
        <v>0</v>
      </c>
      <c r="AF47" s="230">
        <v>0</v>
      </c>
      <c r="AG47" s="231">
        <v>0</v>
      </c>
    </row>
    <row r="48" spans="1:33" s="80" customFormat="1" ht="15" customHeight="1">
      <c r="A48" s="215"/>
      <c r="B48" s="216" t="s">
        <v>241</v>
      </c>
      <c r="C48" s="50"/>
      <c r="D48" s="217" t="s">
        <v>327</v>
      </c>
      <c r="E48" s="218">
        <v>3.15</v>
      </c>
      <c r="F48" s="219"/>
      <c r="G48" s="219"/>
      <c r="H48" s="220">
        <f t="shared" si="27"/>
        <v>3.15</v>
      </c>
      <c r="I48" s="77"/>
      <c r="J48" s="221">
        <f t="shared" si="28"/>
        <v>0</v>
      </c>
      <c r="K48" s="222">
        <f>'BETON Qte'!K48</f>
        <v>0</v>
      </c>
      <c r="L48" s="219">
        <f t="shared" si="29"/>
        <v>0</v>
      </c>
      <c r="M48" s="220">
        <f t="shared" si="30"/>
        <v>0</v>
      </c>
      <c r="N48" s="77"/>
      <c r="O48" s="223">
        <f t="shared" si="31"/>
        <v>0</v>
      </c>
      <c r="P48" s="224">
        <f t="shared" si="0"/>
        <v>0</v>
      </c>
      <c r="Q48" s="225"/>
      <c r="R48" s="226">
        <f t="shared" si="32"/>
        <v>0</v>
      </c>
      <c r="S48" s="77"/>
      <c r="T48" s="227">
        <v>3.15</v>
      </c>
      <c r="U48" s="78"/>
      <c r="V48" s="221">
        <f t="shared" si="33"/>
        <v>3.15</v>
      </c>
      <c r="W48" s="220">
        <f t="shared" si="34"/>
        <v>0</v>
      </c>
      <c r="X48" s="79"/>
      <c r="AD48" s="228">
        <v>0</v>
      </c>
      <c r="AE48" s="229">
        <v>0</v>
      </c>
      <c r="AF48" s="230">
        <v>0</v>
      </c>
      <c r="AG48" s="231">
        <v>0</v>
      </c>
    </row>
    <row r="49" spans="1:33" s="80" customFormat="1" ht="15" customHeight="1">
      <c r="A49" s="215"/>
      <c r="B49" s="216" t="s">
        <v>242</v>
      </c>
      <c r="C49" s="50"/>
      <c r="D49" s="217" t="s">
        <v>327</v>
      </c>
      <c r="E49" s="218">
        <v>0.82499999999999996</v>
      </c>
      <c r="F49" s="219"/>
      <c r="G49" s="219"/>
      <c r="H49" s="220">
        <f t="shared" si="27"/>
        <v>0.82499999999999996</v>
      </c>
      <c r="I49" s="77"/>
      <c r="J49" s="221">
        <f t="shared" si="28"/>
        <v>0</v>
      </c>
      <c r="K49" s="222">
        <f>'BETON Qte'!K49</f>
        <v>0</v>
      </c>
      <c r="L49" s="219">
        <f t="shared" si="29"/>
        <v>0</v>
      </c>
      <c r="M49" s="220">
        <f t="shared" si="30"/>
        <v>0</v>
      </c>
      <c r="N49" s="77"/>
      <c r="O49" s="223">
        <f t="shared" si="31"/>
        <v>0</v>
      </c>
      <c r="P49" s="224">
        <f t="shared" si="0"/>
        <v>0</v>
      </c>
      <c r="Q49" s="225"/>
      <c r="R49" s="226">
        <f t="shared" si="32"/>
        <v>0</v>
      </c>
      <c r="S49" s="77"/>
      <c r="T49" s="227">
        <v>0.82499999999999996</v>
      </c>
      <c r="U49" s="78"/>
      <c r="V49" s="221">
        <f t="shared" si="33"/>
        <v>0.82499999999999996</v>
      </c>
      <c r="W49" s="220">
        <f t="shared" si="34"/>
        <v>0</v>
      </c>
      <c r="X49" s="79"/>
      <c r="AD49" s="228">
        <v>0</v>
      </c>
      <c r="AE49" s="229">
        <v>0</v>
      </c>
      <c r="AF49" s="230">
        <v>0</v>
      </c>
      <c r="AG49" s="231">
        <v>0</v>
      </c>
    </row>
    <row r="50" spans="1:33" s="80" customFormat="1" ht="15" customHeight="1">
      <c r="A50" s="215"/>
      <c r="B50" s="216" t="s">
        <v>243</v>
      </c>
      <c r="C50" s="50"/>
      <c r="D50" s="217" t="s">
        <v>327</v>
      </c>
      <c r="E50" s="218">
        <v>0</v>
      </c>
      <c r="F50" s="219"/>
      <c r="G50" s="219"/>
      <c r="H50" s="220">
        <f t="shared" si="27"/>
        <v>0</v>
      </c>
      <c r="I50" s="77"/>
      <c r="J50" s="221">
        <f t="shared" si="28"/>
        <v>0</v>
      </c>
      <c r="K50" s="222">
        <f>'BETON Qte'!K50</f>
        <v>0</v>
      </c>
      <c r="L50" s="219">
        <f t="shared" si="29"/>
        <v>0</v>
      </c>
      <c r="M50" s="220">
        <f t="shared" si="30"/>
        <v>0</v>
      </c>
      <c r="N50" s="77"/>
      <c r="O50" s="223">
        <f t="shared" si="31"/>
        <v>0</v>
      </c>
      <c r="P50" s="224" t="str">
        <f t="shared" si="0"/>
        <v/>
      </c>
      <c r="Q50" s="225"/>
      <c r="R50" s="226">
        <f t="shared" si="32"/>
        <v>0</v>
      </c>
      <c r="S50" s="77"/>
      <c r="T50" s="227">
        <v>0</v>
      </c>
      <c r="U50" s="78"/>
      <c r="V50" s="221">
        <f t="shared" si="33"/>
        <v>0</v>
      </c>
      <c r="W50" s="220">
        <f t="shared" si="34"/>
        <v>0</v>
      </c>
      <c r="X50" s="79"/>
      <c r="AD50" s="228">
        <v>0</v>
      </c>
      <c r="AE50" s="229">
        <v>0</v>
      </c>
      <c r="AF50" s="230">
        <v>0</v>
      </c>
      <c r="AG50" s="231">
        <v>0</v>
      </c>
    </row>
    <row r="51" spans="1:33" s="80" customFormat="1" ht="15" customHeight="1">
      <c r="A51" s="215"/>
      <c r="B51" s="216" t="s">
        <v>244</v>
      </c>
      <c r="C51" s="50"/>
      <c r="D51" s="217" t="s">
        <v>327</v>
      </c>
      <c r="E51" s="218">
        <v>0</v>
      </c>
      <c r="F51" s="219"/>
      <c r="G51" s="219"/>
      <c r="H51" s="220">
        <f t="shared" si="27"/>
        <v>0</v>
      </c>
      <c r="I51" s="77"/>
      <c r="J51" s="221">
        <f t="shared" si="28"/>
        <v>0</v>
      </c>
      <c r="K51" s="222">
        <f>'BETON Qte'!K51</f>
        <v>0</v>
      </c>
      <c r="L51" s="219">
        <f t="shared" si="29"/>
        <v>0</v>
      </c>
      <c r="M51" s="220">
        <f t="shared" si="30"/>
        <v>0</v>
      </c>
      <c r="N51" s="77"/>
      <c r="O51" s="223">
        <f t="shared" si="31"/>
        <v>0</v>
      </c>
      <c r="P51" s="224" t="str">
        <f t="shared" si="0"/>
        <v/>
      </c>
      <c r="Q51" s="225"/>
      <c r="R51" s="226">
        <f t="shared" si="32"/>
        <v>0</v>
      </c>
      <c r="S51" s="77"/>
      <c r="T51" s="227">
        <v>0</v>
      </c>
      <c r="U51" s="78"/>
      <c r="V51" s="221">
        <f t="shared" si="33"/>
        <v>0</v>
      </c>
      <c r="W51" s="220">
        <f t="shared" si="34"/>
        <v>0</v>
      </c>
      <c r="X51" s="79"/>
      <c r="AD51" s="228">
        <v>0</v>
      </c>
      <c r="AE51" s="229">
        <v>0</v>
      </c>
      <c r="AF51" s="230">
        <v>0</v>
      </c>
      <c r="AG51" s="231">
        <v>0</v>
      </c>
    </row>
    <row r="52" spans="1:33" s="80" customFormat="1" ht="15" customHeight="1">
      <c r="A52" s="215"/>
      <c r="B52" s="216" t="s">
        <v>245</v>
      </c>
      <c r="C52" s="50"/>
      <c r="D52" s="217" t="s">
        <v>327</v>
      </c>
      <c r="E52" s="218">
        <v>3.3119999999999998</v>
      </c>
      <c r="F52" s="219"/>
      <c r="G52" s="219"/>
      <c r="H52" s="220">
        <f t="shared" si="27"/>
        <v>3.3119999999999998</v>
      </c>
      <c r="I52" s="77"/>
      <c r="J52" s="221">
        <f t="shared" si="28"/>
        <v>0</v>
      </c>
      <c r="K52" s="222">
        <f>'BETON Qte'!K52</f>
        <v>0</v>
      </c>
      <c r="L52" s="219">
        <f t="shared" si="29"/>
        <v>0</v>
      </c>
      <c r="M52" s="220">
        <f t="shared" si="30"/>
        <v>0</v>
      </c>
      <c r="N52" s="77"/>
      <c r="O52" s="223">
        <f t="shared" si="31"/>
        <v>0</v>
      </c>
      <c r="P52" s="224">
        <f t="shared" si="0"/>
        <v>0</v>
      </c>
      <c r="Q52" s="225"/>
      <c r="R52" s="226">
        <f t="shared" si="32"/>
        <v>0</v>
      </c>
      <c r="S52" s="77"/>
      <c r="T52" s="227">
        <v>3.3119999999999998</v>
      </c>
      <c r="U52" s="78"/>
      <c r="V52" s="221">
        <f t="shared" si="33"/>
        <v>3.3119999999999998</v>
      </c>
      <c r="W52" s="220">
        <f t="shared" si="34"/>
        <v>0</v>
      </c>
      <c r="X52" s="79"/>
      <c r="AD52" s="228">
        <v>0</v>
      </c>
      <c r="AE52" s="229">
        <v>0</v>
      </c>
      <c r="AF52" s="230">
        <v>0</v>
      </c>
      <c r="AG52" s="231">
        <v>0</v>
      </c>
    </row>
    <row r="53" spans="1:33" s="80" customFormat="1" ht="15" customHeight="1">
      <c r="A53" s="215"/>
      <c r="B53" s="216" t="s">
        <v>246</v>
      </c>
      <c r="C53" s="50"/>
      <c r="D53" s="217" t="s">
        <v>327</v>
      </c>
      <c r="E53" s="218">
        <v>0</v>
      </c>
      <c r="F53" s="219"/>
      <c r="G53" s="219"/>
      <c r="H53" s="220">
        <f t="shared" si="27"/>
        <v>0</v>
      </c>
      <c r="I53" s="77"/>
      <c r="J53" s="221">
        <f t="shared" si="28"/>
        <v>0</v>
      </c>
      <c r="K53" s="222">
        <f>'BETON Qte'!K53</f>
        <v>0</v>
      </c>
      <c r="L53" s="219">
        <f t="shared" si="29"/>
        <v>0</v>
      </c>
      <c r="M53" s="220">
        <f t="shared" si="30"/>
        <v>0</v>
      </c>
      <c r="N53" s="77"/>
      <c r="O53" s="223">
        <f t="shared" si="31"/>
        <v>0</v>
      </c>
      <c r="P53" s="224" t="str">
        <f t="shared" si="0"/>
        <v/>
      </c>
      <c r="Q53" s="225"/>
      <c r="R53" s="226">
        <f t="shared" si="32"/>
        <v>0</v>
      </c>
      <c r="S53" s="77"/>
      <c r="T53" s="227">
        <v>0</v>
      </c>
      <c r="U53" s="78"/>
      <c r="V53" s="221">
        <f t="shared" si="33"/>
        <v>0</v>
      </c>
      <c r="W53" s="220">
        <f t="shared" si="34"/>
        <v>0</v>
      </c>
      <c r="X53" s="79"/>
      <c r="AD53" s="228">
        <v>0</v>
      </c>
      <c r="AE53" s="229">
        <v>0</v>
      </c>
      <c r="AF53" s="230">
        <v>0</v>
      </c>
      <c r="AG53" s="231">
        <v>0</v>
      </c>
    </row>
    <row r="54" spans="1:33" s="80" customFormat="1" ht="15" customHeight="1">
      <c r="A54" s="215"/>
      <c r="B54" s="216" t="s">
        <v>247</v>
      </c>
      <c r="C54" s="50"/>
      <c r="D54" s="217" t="s">
        <v>327</v>
      </c>
      <c r="E54" s="218">
        <v>0</v>
      </c>
      <c r="F54" s="219"/>
      <c r="G54" s="219"/>
      <c r="H54" s="220">
        <f t="shared" si="27"/>
        <v>0</v>
      </c>
      <c r="I54" s="77"/>
      <c r="J54" s="221">
        <f t="shared" si="28"/>
        <v>0</v>
      </c>
      <c r="K54" s="222">
        <f>'BETON Qte'!K54</f>
        <v>0</v>
      </c>
      <c r="L54" s="219">
        <f t="shared" si="29"/>
        <v>0</v>
      </c>
      <c r="M54" s="220">
        <f t="shared" si="30"/>
        <v>0</v>
      </c>
      <c r="N54" s="77"/>
      <c r="O54" s="223">
        <f t="shared" si="31"/>
        <v>0</v>
      </c>
      <c r="P54" s="224" t="str">
        <f t="shared" si="0"/>
        <v/>
      </c>
      <c r="Q54" s="225"/>
      <c r="R54" s="226">
        <f t="shared" si="32"/>
        <v>0</v>
      </c>
      <c r="S54" s="77"/>
      <c r="T54" s="227">
        <v>0</v>
      </c>
      <c r="U54" s="78"/>
      <c r="V54" s="221">
        <f t="shared" si="33"/>
        <v>0</v>
      </c>
      <c r="W54" s="220">
        <f t="shared" si="34"/>
        <v>0</v>
      </c>
      <c r="X54" s="79"/>
      <c r="AD54" s="228">
        <v>0</v>
      </c>
      <c r="AE54" s="229">
        <v>0</v>
      </c>
      <c r="AF54" s="230">
        <v>0</v>
      </c>
      <c r="AG54" s="231">
        <v>0</v>
      </c>
    </row>
    <row r="55" spans="1:33" s="80" customFormat="1" ht="15" customHeight="1">
      <c r="A55" s="215"/>
      <c r="B55" s="216" t="s">
        <v>248</v>
      </c>
      <c r="C55" s="50"/>
      <c r="D55" s="217" t="s">
        <v>327</v>
      </c>
      <c r="E55" s="218">
        <v>2.4649999999999999</v>
      </c>
      <c r="F55" s="219"/>
      <c r="G55" s="219"/>
      <c r="H55" s="220">
        <f t="shared" si="27"/>
        <v>2.4649999999999999</v>
      </c>
      <c r="I55" s="77"/>
      <c r="J55" s="221">
        <f t="shared" si="28"/>
        <v>0</v>
      </c>
      <c r="K55" s="222">
        <f>'BETON Qte'!K55</f>
        <v>0</v>
      </c>
      <c r="L55" s="219">
        <f t="shared" si="29"/>
        <v>0</v>
      </c>
      <c r="M55" s="220">
        <f t="shared" si="30"/>
        <v>0</v>
      </c>
      <c r="N55" s="77"/>
      <c r="O55" s="223">
        <f t="shared" si="31"/>
        <v>0</v>
      </c>
      <c r="P55" s="224">
        <f t="shared" si="0"/>
        <v>0</v>
      </c>
      <c r="Q55" s="225"/>
      <c r="R55" s="226">
        <f t="shared" si="32"/>
        <v>0</v>
      </c>
      <c r="S55" s="77"/>
      <c r="T55" s="227">
        <v>2.4649999999999999</v>
      </c>
      <c r="U55" s="78"/>
      <c r="V55" s="221">
        <f t="shared" si="33"/>
        <v>2.4649999999999999</v>
      </c>
      <c r="W55" s="220">
        <f t="shared" si="34"/>
        <v>0</v>
      </c>
      <c r="X55" s="79"/>
      <c r="AD55" s="228">
        <v>0</v>
      </c>
      <c r="AE55" s="229">
        <v>0</v>
      </c>
      <c r="AF55" s="230">
        <v>0</v>
      </c>
      <c r="AG55" s="231">
        <v>0</v>
      </c>
    </row>
    <row r="56" spans="1:33" s="80" customFormat="1" ht="15" customHeight="1" thickBot="1">
      <c r="A56" s="215"/>
      <c r="B56" s="216" t="s">
        <v>249</v>
      </c>
      <c r="C56" s="50"/>
      <c r="D56" s="217" t="s">
        <v>327</v>
      </c>
      <c r="E56" s="218">
        <v>0</v>
      </c>
      <c r="F56" s="219"/>
      <c r="G56" s="219"/>
      <c r="H56" s="220">
        <f t="shared" si="27"/>
        <v>0</v>
      </c>
      <c r="I56" s="77"/>
      <c r="J56" s="233">
        <f t="shared" si="28"/>
        <v>0</v>
      </c>
      <c r="K56" s="234">
        <f>'BETON Qte'!K56</f>
        <v>0</v>
      </c>
      <c r="L56" s="235">
        <f t="shared" si="29"/>
        <v>0</v>
      </c>
      <c r="M56" s="236">
        <f t="shared" si="30"/>
        <v>0</v>
      </c>
      <c r="N56" s="77"/>
      <c r="O56" s="237">
        <f t="shared" si="31"/>
        <v>0</v>
      </c>
      <c r="P56" s="238" t="str">
        <f t="shared" si="0"/>
        <v/>
      </c>
      <c r="Q56" s="239"/>
      <c r="R56" s="240">
        <f t="shared" si="32"/>
        <v>0</v>
      </c>
      <c r="S56" s="77"/>
      <c r="T56" s="350">
        <v>0</v>
      </c>
      <c r="U56" s="78"/>
      <c r="V56" s="233">
        <f t="shared" si="33"/>
        <v>0</v>
      </c>
      <c r="W56" s="236">
        <f t="shared" si="34"/>
        <v>0</v>
      </c>
      <c r="X56" s="79"/>
      <c r="AD56" s="241">
        <v>0</v>
      </c>
      <c r="AE56" s="242">
        <v>0</v>
      </c>
      <c r="AF56" s="243">
        <v>0</v>
      </c>
      <c r="AG56" s="244">
        <v>0</v>
      </c>
    </row>
    <row r="57" spans="1:33" s="76" customFormat="1" ht="19.5" customHeight="1" thickBot="1">
      <c r="A57" s="256" t="s">
        <v>250</v>
      </c>
      <c r="B57" s="257" t="s">
        <v>251</v>
      </c>
      <c r="C57" s="74"/>
      <c r="D57" s="258" t="s">
        <v>327</v>
      </c>
      <c r="E57" s="259">
        <f>SUM(E58:E60)</f>
        <v>34.233128834355824</v>
      </c>
      <c r="F57" s="201">
        <f>SUM(F58:F60)</f>
        <v>0</v>
      </c>
      <c r="G57" s="201">
        <f>SUM(G58:G60)</f>
        <v>0</v>
      </c>
      <c r="H57" s="246">
        <f>SUM(H58:H60)</f>
        <v>34.233128834355824</v>
      </c>
      <c r="I57" s="75"/>
      <c r="J57" s="245">
        <f>SUM(J58:J60)</f>
        <v>0</v>
      </c>
      <c r="K57" s="260">
        <f>IFERROR(J57/H57,"")</f>
        <v>0</v>
      </c>
      <c r="L57" s="201">
        <f>SUM(L58:L60)</f>
        <v>0</v>
      </c>
      <c r="M57" s="246">
        <f>SUM(M58:M60)</f>
        <v>0</v>
      </c>
      <c r="N57" s="75"/>
      <c r="O57" s="351">
        <f>SUM(O58:O60)</f>
        <v>0</v>
      </c>
      <c r="P57" s="352">
        <f t="shared" si="0"/>
        <v>0</v>
      </c>
      <c r="Q57" s="208">
        <f>SUM(Q58:Q60)</f>
        <v>0</v>
      </c>
      <c r="R57" s="353">
        <f>SUM(R58:R60)</f>
        <v>0</v>
      </c>
      <c r="S57" s="75"/>
      <c r="T57" s="354">
        <f>SUM(T58:T60)</f>
        <v>34.233128834355824</v>
      </c>
      <c r="U57" s="75"/>
      <c r="V57" s="245">
        <f>SUM(V58:V60)</f>
        <v>34.233128834355824</v>
      </c>
      <c r="W57" s="246">
        <f>SUM(W58:W60)</f>
        <v>0</v>
      </c>
      <c r="X57" s="72"/>
      <c r="AD57" s="252">
        <v>0</v>
      </c>
      <c r="AE57" s="253">
        <v>0</v>
      </c>
      <c r="AF57" s="355">
        <v>0</v>
      </c>
      <c r="AG57" s="255">
        <v>0</v>
      </c>
    </row>
    <row r="58" spans="1:33" s="80" customFormat="1" ht="15" customHeight="1">
      <c r="A58" s="215"/>
      <c r="B58" s="216" t="s">
        <v>252</v>
      </c>
      <c r="C58" s="50"/>
      <c r="D58" s="217" t="s">
        <v>327</v>
      </c>
      <c r="E58" s="218">
        <v>0</v>
      </c>
      <c r="F58" s="219"/>
      <c r="G58" s="219"/>
      <c r="H58" s="220">
        <f>SUM(E58:G58)</f>
        <v>0</v>
      </c>
      <c r="I58" s="77"/>
      <c r="J58" s="221">
        <f>H58*K58/100</f>
        <v>0</v>
      </c>
      <c r="K58" s="222">
        <f>'BETON Qte'!K58</f>
        <v>0</v>
      </c>
      <c r="L58" s="219">
        <f>Q58+AF58</f>
        <v>0</v>
      </c>
      <c r="M58" s="220">
        <f>J58-L58</f>
        <v>0</v>
      </c>
      <c r="N58" s="77"/>
      <c r="O58" s="223">
        <f>J58-AD58</f>
        <v>0</v>
      </c>
      <c r="P58" s="224" t="str">
        <f t="shared" si="0"/>
        <v/>
      </c>
      <c r="Q58" s="225"/>
      <c r="R58" s="226">
        <f>O58-Q58</f>
        <v>0</v>
      </c>
      <c r="S58" s="77"/>
      <c r="T58" s="227">
        <v>0</v>
      </c>
      <c r="U58" s="78"/>
      <c r="V58" s="221">
        <f t="shared" ref="V58:V60" si="35">L58+T58</f>
        <v>0</v>
      </c>
      <c r="W58" s="220">
        <f t="shared" ref="W58:W60" si="36">H58-V58</f>
        <v>0</v>
      </c>
      <c r="X58" s="79"/>
      <c r="AD58" s="228">
        <v>0</v>
      </c>
      <c r="AE58" s="229">
        <v>0</v>
      </c>
      <c r="AF58" s="230">
        <v>0</v>
      </c>
      <c r="AG58" s="231">
        <v>0</v>
      </c>
    </row>
    <row r="59" spans="1:33" s="80" customFormat="1" ht="15" customHeight="1">
      <c r="A59" s="215"/>
      <c r="B59" s="216" t="s">
        <v>252</v>
      </c>
      <c r="C59" s="50"/>
      <c r="D59" s="217" t="s">
        <v>327</v>
      </c>
      <c r="E59" s="218">
        <v>0</v>
      </c>
      <c r="F59" s="219"/>
      <c r="G59" s="219"/>
      <c r="H59" s="220">
        <f t="shared" ref="H59:H60" si="37">SUM(E59:G59)</f>
        <v>0</v>
      </c>
      <c r="I59" s="77"/>
      <c r="J59" s="221">
        <f t="shared" ref="J59:J60" si="38">H59*K59/100</f>
        <v>0</v>
      </c>
      <c r="K59" s="222">
        <f>'BETON Qte'!K59</f>
        <v>0</v>
      </c>
      <c r="L59" s="219">
        <f t="shared" ref="L59:L60" si="39">Q59+AF59</f>
        <v>0</v>
      </c>
      <c r="M59" s="220">
        <f t="shared" ref="M59:M60" si="40">J59-L59</f>
        <v>0</v>
      </c>
      <c r="N59" s="77"/>
      <c r="O59" s="223">
        <f t="shared" ref="O59:O60" si="41">J59-AD59</f>
        <v>0</v>
      </c>
      <c r="P59" s="224" t="str">
        <f t="shared" si="0"/>
        <v/>
      </c>
      <c r="Q59" s="225"/>
      <c r="R59" s="226">
        <f t="shared" ref="R59:R60" si="42">O59-Q59</f>
        <v>0</v>
      </c>
      <c r="S59" s="77"/>
      <c r="T59" s="227">
        <v>0</v>
      </c>
      <c r="U59" s="78"/>
      <c r="V59" s="221">
        <f t="shared" si="35"/>
        <v>0</v>
      </c>
      <c r="W59" s="220">
        <f t="shared" si="36"/>
        <v>0</v>
      </c>
      <c r="X59" s="79"/>
      <c r="AD59" s="228">
        <v>0</v>
      </c>
      <c r="AE59" s="229">
        <v>0</v>
      </c>
      <c r="AF59" s="230">
        <v>0</v>
      </c>
      <c r="AG59" s="231">
        <v>0</v>
      </c>
    </row>
    <row r="60" spans="1:33" s="80" customFormat="1" ht="15" customHeight="1" thickBot="1">
      <c r="A60" s="261"/>
      <c r="B60" s="262" t="s">
        <v>253</v>
      </c>
      <c r="C60" s="50"/>
      <c r="D60" s="263" t="s">
        <v>327</v>
      </c>
      <c r="E60" s="264">
        <v>34.233128834355824</v>
      </c>
      <c r="F60" s="265"/>
      <c r="G60" s="265"/>
      <c r="H60" s="266">
        <f t="shared" si="37"/>
        <v>34.233128834355824</v>
      </c>
      <c r="I60" s="77"/>
      <c r="J60" s="267">
        <f t="shared" si="38"/>
        <v>0</v>
      </c>
      <c r="K60" s="268">
        <f>'BETON Qte'!K60</f>
        <v>0</v>
      </c>
      <c r="L60" s="265">
        <f t="shared" si="39"/>
        <v>0</v>
      </c>
      <c r="M60" s="266">
        <f t="shared" si="40"/>
        <v>0</v>
      </c>
      <c r="N60" s="77"/>
      <c r="O60" s="269">
        <f t="shared" si="41"/>
        <v>0</v>
      </c>
      <c r="P60" s="270">
        <f t="shared" si="0"/>
        <v>0</v>
      </c>
      <c r="Q60" s="271"/>
      <c r="R60" s="272">
        <f t="shared" si="42"/>
        <v>0</v>
      </c>
      <c r="S60" s="77"/>
      <c r="T60" s="273">
        <v>34.233128834355824</v>
      </c>
      <c r="U60" s="78"/>
      <c r="V60" s="267">
        <f t="shared" si="35"/>
        <v>34.233128834355824</v>
      </c>
      <c r="W60" s="266">
        <f t="shared" si="36"/>
        <v>0</v>
      </c>
      <c r="X60" s="79"/>
      <c r="AD60" s="274">
        <v>0</v>
      </c>
      <c r="AE60" s="275">
        <v>0</v>
      </c>
      <c r="AF60" s="276">
        <v>0</v>
      </c>
      <c r="AG60" s="277">
        <v>0</v>
      </c>
    </row>
    <row r="66" spans="1:33" ht="13.5" customHeight="1" thickBot="1">
      <c r="A66" s="49"/>
      <c r="B66" s="49"/>
      <c r="C66" s="50"/>
      <c r="E66" s="52"/>
      <c r="F66" s="52"/>
      <c r="G66" s="52"/>
      <c r="H66" s="52"/>
      <c r="I66" s="50"/>
      <c r="J66" s="53" t="s">
        <v>180</v>
      </c>
      <c r="K66" s="53" t="s">
        <v>180</v>
      </c>
      <c r="L66" s="49"/>
      <c r="M66" s="49"/>
      <c r="N66" s="50"/>
      <c r="O66" s="49"/>
      <c r="P66" s="53" t="s">
        <v>180</v>
      </c>
      <c r="Q66" s="49"/>
      <c r="R66" s="49"/>
      <c r="S66" s="50"/>
      <c r="T66" s="49"/>
      <c r="U66" s="54"/>
      <c r="V66" s="49"/>
      <c r="W66" s="49"/>
      <c r="X66" s="55"/>
      <c r="AD66" s="53" t="s">
        <v>180</v>
      </c>
      <c r="AE66" s="53" t="s">
        <v>180</v>
      </c>
      <c r="AF66" s="49"/>
      <c r="AG66" s="49"/>
    </row>
    <row r="67" spans="1:33" s="73" customFormat="1" ht="19.5" customHeight="1" thickBot="1">
      <c r="A67" s="278"/>
      <c r="B67" s="279" t="s">
        <v>198</v>
      </c>
      <c r="C67" s="69"/>
      <c r="D67" s="280" t="s">
        <v>327</v>
      </c>
      <c r="E67" s="281">
        <f>E68+E79+E87+E90+E93+E109</f>
        <v>1390.965633251534</v>
      </c>
      <c r="F67" s="282">
        <f>F68+F79+F87+F90+F93+F109</f>
        <v>0</v>
      </c>
      <c r="G67" s="282">
        <f>G68+G79+G87+G90+G93+G109</f>
        <v>0</v>
      </c>
      <c r="H67" s="283">
        <f>H68+H79+H87+H90+H93+H109</f>
        <v>1390.965633251534</v>
      </c>
      <c r="I67" s="70"/>
      <c r="J67" s="186">
        <f>J68+J79+J87+J90+J93+J109</f>
        <v>485.67728000000005</v>
      </c>
      <c r="K67" s="187">
        <f>IFERROR(J67/H67,"")</f>
        <v>0.34916554973732628</v>
      </c>
      <c r="L67" s="284">
        <f>L68+L79+L87+L90+L93+L109</f>
        <v>315.09699999999998</v>
      </c>
      <c r="M67" s="189">
        <f>M68+M79+M87+M90+M93+M109</f>
        <v>170.58028000000002</v>
      </c>
      <c r="N67" s="70"/>
      <c r="O67" s="285">
        <f>O68+O79+O87+O90+O93+O109</f>
        <v>0</v>
      </c>
      <c r="P67" s="286">
        <f t="shared" ref="P67:P112" si="43">IFERROR(O67/H67,"")</f>
        <v>0</v>
      </c>
      <c r="Q67" s="287">
        <f>Q68+Q79+Q87+Q90+Q93+Q109</f>
        <v>0</v>
      </c>
      <c r="R67" s="288">
        <f>R68+R79+R87+R90+R93+R109</f>
        <v>0</v>
      </c>
      <c r="S67" s="70"/>
      <c r="T67" s="289">
        <f>T68+T79+T87+T90+T93+T109</f>
        <v>1126.7229006809723</v>
      </c>
      <c r="U67" s="71"/>
      <c r="V67" s="290">
        <f>V68+V79+V87+V90+V93+V109</f>
        <v>1441.8199006809725</v>
      </c>
      <c r="W67" s="283">
        <f>W68+W79+W87+W90+W93+W109</f>
        <v>-50.854267429438323</v>
      </c>
      <c r="X67" s="72"/>
      <c r="AD67" s="291">
        <v>485.67728000000005</v>
      </c>
      <c r="AE67" s="292">
        <v>0.34916554973732628</v>
      </c>
      <c r="AF67" s="293">
        <v>315.09699999999998</v>
      </c>
      <c r="AG67" s="294">
        <v>170.58028000000002</v>
      </c>
    </row>
    <row r="68" spans="1:33" s="76" customFormat="1" ht="19.5" customHeight="1" thickBot="1">
      <c r="A68" s="256" t="s">
        <v>518</v>
      </c>
      <c r="B68" s="257" t="s">
        <v>519</v>
      </c>
      <c r="C68" s="74"/>
      <c r="D68" s="258" t="s">
        <v>327</v>
      </c>
      <c r="E68" s="259">
        <f>SUM(E69:E78)</f>
        <v>415.83199999999999</v>
      </c>
      <c r="F68" s="201">
        <f>SUM(F69:F78)</f>
        <v>0</v>
      </c>
      <c r="G68" s="201">
        <f>SUM(G69:G78)</f>
        <v>0</v>
      </c>
      <c r="H68" s="246">
        <f>SUM(H69:H78)</f>
        <v>415.83199999999999</v>
      </c>
      <c r="I68" s="75"/>
      <c r="J68" s="202">
        <f>SUM(J69:J78)</f>
        <v>415.39016000000004</v>
      </c>
      <c r="K68" s="203">
        <f>IFERROR(J68/H68,"")</f>
        <v>0.99893745551087954</v>
      </c>
      <c r="L68" s="204">
        <f>SUM(L69:L78)</f>
        <v>191.465</v>
      </c>
      <c r="M68" s="205">
        <f>SUM(M69:M78)</f>
        <v>223.92516000000001</v>
      </c>
      <c r="N68" s="75"/>
      <c r="O68" s="206">
        <f>SUM(O69:O78)</f>
        <v>0</v>
      </c>
      <c r="P68" s="207">
        <f t="shared" si="43"/>
        <v>0</v>
      </c>
      <c r="Q68" s="208">
        <f>SUM(Q69:Q78)</f>
        <v>0</v>
      </c>
      <c r="R68" s="209">
        <f>SUM(R69:R78)</f>
        <v>0</v>
      </c>
      <c r="S68" s="75"/>
      <c r="T68" s="210">
        <f>SUM(T69:T78)</f>
        <v>12.378807098269418</v>
      </c>
      <c r="U68" s="75"/>
      <c r="V68" s="202">
        <f>SUM(V69:V78)</f>
        <v>203.84380709826939</v>
      </c>
      <c r="W68" s="205">
        <f>SUM(W69:W78)</f>
        <v>211.9881929017306</v>
      </c>
      <c r="X68" s="72"/>
      <c r="AD68" s="211">
        <v>415.39016000000004</v>
      </c>
      <c r="AE68" s="212">
        <v>0.99893745551087954</v>
      </c>
      <c r="AF68" s="213">
        <v>191.465</v>
      </c>
      <c r="AG68" s="214">
        <v>223.92516000000001</v>
      </c>
    </row>
    <row r="69" spans="1:33" s="80" customFormat="1" ht="15" customHeight="1">
      <c r="A69" s="215"/>
      <c r="B69" s="216" t="s">
        <v>202</v>
      </c>
      <c r="C69" s="50"/>
      <c r="D69" s="217" t="s">
        <v>327</v>
      </c>
      <c r="E69" s="296">
        <v>0</v>
      </c>
      <c r="F69" s="219"/>
      <c r="G69" s="219"/>
      <c r="H69" s="220">
        <f>SUM(E69:G69)</f>
        <v>0</v>
      </c>
      <c r="I69" s="77"/>
      <c r="J69" s="221">
        <f>H69*K69/100</f>
        <v>0</v>
      </c>
      <c r="K69" s="222">
        <f>'BETON Qte'!K69</f>
        <v>97</v>
      </c>
      <c r="L69" s="219">
        <f>Q69+AF69</f>
        <v>0</v>
      </c>
      <c r="M69" s="220">
        <f>J69-L69</f>
        <v>0</v>
      </c>
      <c r="N69" s="77"/>
      <c r="O69" s="223">
        <f>J69-AD69</f>
        <v>0</v>
      </c>
      <c r="P69" s="224" t="str">
        <f t="shared" si="43"/>
        <v/>
      </c>
      <c r="Q69" s="225"/>
      <c r="R69" s="226">
        <f>O69-Q69</f>
        <v>0</v>
      </c>
      <c r="S69" s="77"/>
      <c r="T69" s="227">
        <v>0</v>
      </c>
      <c r="U69" s="78"/>
      <c r="V69" s="221">
        <f>L69+T69</f>
        <v>0</v>
      </c>
      <c r="W69" s="220">
        <f>H69-V69</f>
        <v>0</v>
      </c>
      <c r="X69" s="79"/>
      <c r="AD69" s="228">
        <v>0</v>
      </c>
      <c r="AE69" s="229">
        <v>97</v>
      </c>
      <c r="AF69" s="230">
        <v>0</v>
      </c>
      <c r="AG69" s="231">
        <v>0</v>
      </c>
    </row>
    <row r="70" spans="1:33" s="80" customFormat="1" ht="15" customHeight="1">
      <c r="A70" s="215"/>
      <c r="B70" s="216" t="s">
        <v>203</v>
      </c>
      <c r="C70" s="50"/>
      <c r="D70" s="217" t="s">
        <v>327</v>
      </c>
      <c r="E70" s="296">
        <v>0</v>
      </c>
      <c r="F70" s="219"/>
      <c r="G70" s="219"/>
      <c r="H70" s="220">
        <f t="shared" ref="H70:H78" si="44">SUM(E70:G70)</f>
        <v>0</v>
      </c>
      <c r="I70" s="77"/>
      <c r="J70" s="221">
        <f t="shared" ref="J70:J78" si="45">H70*K70/100</f>
        <v>0</v>
      </c>
      <c r="K70" s="222">
        <f>'BETON Qte'!K70</f>
        <v>100</v>
      </c>
      <c r="L70" s="219">
        <f t="shared" ref="L70:L78" si="46">Q70+AF70</f>
        <v>0</v>
      </c>
      <c r="M70" s="220">
        <f t="shared" ref="M70:M78" si="47">J70-L70</f>
        <v>0</v>
      </c>
      <c r="N70" s="77"/>
      <c r="O70" s="223">
        <f t="shared" ref="O70:O78" si="48">J70-AD70</f>
        <v>0</v>
      </c>
      <c r="P70" s="224" t="str">
        <f t="shared" si="43"/>
        <v/>
      </c>
      <c r="Q70" s="225"/>
      <c r="R70" s="226">
        <f t="shared" ref="R70:R78" si="49">O70-Q70</f>
        <v>0</v>
      </c>
      <c r="S70" s="77"/>
      <c r="T70" s="227">
        <v>0</v>
      </c>
      <c r="U70" s="78"/>
      <c r="V70" s="221">
        <f t="shared" ref="V70:V78" si="50">L70+T70</f>
        <v>0</v>
      </c>
      <c r="W70" s="220">
        <f t="shared" ref="W70:W78" si="51">H70-V70</f>
        <v>0</v>
      </c>
      <c r="X70" s="79"/>
      <c r="AD70" s="228">
        <v>0</v>
      </c>
      <c r="AE70" s="229">
        <v>100</v>
      </c>
      <c r="AF70" s="230">
        <v>0</v>
      </c>
      <c r="AG70" s="231">
        <v>0</v>
      </c>
    </row>
    <row r="71" spans="1:33" s="80" customFormat="1" ht="15" customHeight="1">
      <c r="A71" s="215"/>
      <c r="B71" s="216" t="s">
        <v>204</v>
      </c>
      <c r="C71" s="50"/>
      <c r="D71" s="217" t="s">
        <v>327</v>
      </c>
      <c r="E71" s="218"/>
      <c r="F71" s="219"/>
      <c r="G71" s="219"/>
      <c r="H71" s="220">
        <f t="shared" si="44"/>
        <v>0</v>
      </c>
      <c r="I71" s="77"/>
      <c r="J71" s="221">
        <f t="shared" si="45"/>
        <v>0</v>
      </c>
      <c r="K71" s="222">
        <f>'BETON Qte'!K71</f>
        <v>0</v>
      </c>
      <c r="L71" s="219">
        <f t="shared" si="46"/>
        <v>0</v>
      </c>
      <c r="M71" s="220">
        <f t="shared" si="47"/>
        <v>0</v>
      </c>
      <c r="N71" s="77"/>
      <c r="O71" s="223">
        <f t="shared" si="48"/>
        <v>0</v>
      </c>
      <c r="P71" s="224" t="str">
        <f t="shared" si="43"/>
        <v/>
      </c>
      <c r="Q71" s="225"/>
      <c r="R71" s="226">
        <f t="shared" si="49"/>
        <v>0</v>
      </c>
      <c r="S71" s="77"/>
      <c r="T71" s="227">
        <v>0</v>
      </c>
      <c r="U71" s="78"/>
      <c r="V71" s="221">
        <f t="shared" si="50"/>
        <v>0</v>
      </c>
      <c r="W71" s="220">
        <f t="shared" si="51"/>
        <v>0</v>
      </c>
      <c r="X71" s="79"/>
      <c r="AD71" s="228">
        <v>0</v>
      </c>
      <c r="AE71" s="229">
        <v>0</v>
      </c>
      <c r="AF71" s="230">
        <v>0</v>
      </c>
      <c r="AG71" s="231">
        <v>0</v>
      </c>
    </row>
    <row r="72" spans="1:33" s="80" customFormat="1" ht="15" customHeight="1">
      <c r="A72" s="215"/>
      <c r="B72" s="216" t="s">
        <v>205</v>
      </c>
      <c r="C72" s="50"/>
      <c r="D72" s="217" t="s">
        <v>327</v>
      </c>
      <c r="E72" s="296">
        <v>0</v>
      </c>
      <c r="F72" s="219"/>
      <c r="G72" s="219"/>
      <c r="H72" s="220">
        <f t="shared" si="44"/>
        <v>0</v>
      </c>
      <c r="I72" s="77"/>
      <c r="J72" s="221">
        <f t="shared" si="45"/>
        <v>0</v>
      </c>
      <c r="K72" s="222">
        <f>'BETON Qte'!K72</f>
        <v>90</v>
      </c>
      <c r="L72" s="219">
        <f t="shared" si="46"/>
        <v>0</v>
      </c>
      <c r="M72" s="220">
        <f t="shared" si="47"/>
        <v>0</v>
      </c>
      <c r="N72" s="77"/>
      <c r="O72" s="223">
        <f t="shared" si="48"/>
        <v>0</v>
      </c>
      <c r="P72" s="224" t="str">
        <f t="shared" si="43"/>
        <v/>
      </c>
      <c r="Q72" s="225"/>
      <c r="R72" s="226">
        <f t="shared" si="49"/>
        <v>0</v>
      </c>
      <c r="S72" s="77"/>
      <c r="T72" s="227">
        <v>0.16239999999999999</v>
      </c>
      <c r="U72" s="78"/>
      <c r="V72" s="221">
        <f t="shared" si="50"/>
        <v>0.16239999999999999</v>
      </c>
      <c r="W72" s="220">
        <f t="shared" si="51"/>
        <v>-0.16239999999999999</v>
      </c>
      <c r="X72" s="79"/>
      <c r="AD72" s="228">
        <v>0</v>
      </c>
      <c r="AE72" s="229">
        <v>90</v>
      </c>
      <c r="AF72" s="230">
        <v>0</v>
      </c>
      <c r="AG72" s="231">
        <v>0</v>
      </c>
    </row>
    <row r="73" spans="1:33" s="80" customFormat="1" ht="15" customHeight="1">
      <c r="A73" s="215"/>
      <c r="B73" s="216" t="s">
        <v>206</v>
      </c>
      <c r="C73" s="50"/>
      <c r="D73" s="217" t="s">
        <v>327</v>
      </c>
      <c r="E73" s="296">
        <v>0</v>
      </c>
      <c r="F73" s="219"/>
      <c r="G73" s="219"/>
      <c r="H73" s="220">
        <f t="shared" si="44"/>
        <v>0</v>
      </c>
      <c r="I73" s="77"/>
      <c r="J73" s="221">
        <f t="shared" si="45"/>
        <v>0</v>
      </c>
      <c r="K73" s="222">
        <f>'BETON Qte'!K73</f>
        <v>97</v>
      </c>
      <c r="L73" s="219">
        <f t="shared" si="46"/>
        <v>42.683999999999997</v>
      </c>
      <c r="M73" s="220">
        <f t="shared" si="47"/>
        <v>-42.683999999999997</v>
      </c>
      <c r="N73" s="77"/>
      <c r="O73" s="223">
        <f t="shared" si="48"/>
        <v>0</v>
      </c>
      <c r="P73" s="224" t="str">
        <f t="shared" si="43"/>
        <v/>
      </c>
      <c r="Q73" s="225"/>
      <c r="R73" s="226">
        <f t="shared" si="49"/>
        <v>0</v>
      </c>
      <c r="S73" s="77"/>
      <c r="T73" s="227">
        <v>1.16466</v>
      </c>
      <c r="U73" s="78"/>
      <c r="V73" s="221">
        <f t="shared" si="50"/>
        <v>43.848659999999995</v>
      </c>
      <c r="W73" s="220">
        <f t="shared" si="51"/>
        <v>-43.848659999999995</v>
      </c>
      <c r="X73" s="79"/>
      <c r="AD73" s="228">
        <v>0</v>
      </c>
      <c r="AE73" s="229">
        <v>97</v>
      </c>
      <c r="AF73" s="230">
        <v>42.683999999999997</v>
      </c>
      <c r="AG73" s="231">
        <v>-42.683999999999997</v>
      </c>
    </row>
    <row r="74" spans="1:33" s="80" customFormat="1" ht="15" customHeight="1">
      <c r="A74" s="215"/>
      <c r="B74" s="216" t="s">
        <v>207</v>
      </c>
      <c r="C74" s="50"/>
      <c r="D74" s="217" t="s">
        <v>327</v>
      </c>
      <c r="E74" s="296">
        <v>0</v>
      </c>
      <c r="F74" s="219"/>
      <c r="G74" s="219"/>
      <c r="H74" s="220">
        <f t="shared" si="44"/>
        <v>0</v>
      </c>
      <c r="I74" s="77"/>
      <c r="J74" s="221">
        <f t="shared" si="45"/>
        <v>0</v>
      </c>
      <c r="K74" s="222">
        <f>'BETON Qte'!K74</f>
        <v>98</v>
      </c>
      <c r="L74" s="219">
        <f t="shared" si="46"/>
        <v>17.253999999999998</v>
      </c>
      <c r="M74" s="220">
        <f t="shared" si="47"/>
        <v>-17.253999999999998</v>
      </c>
      <c r="N74" s="77"/>
      <c r="O74" s="223">
        <f t="shared" si="48"/>
        <v>0</v>
      </c>
      <c r="P74" s="224" t="str">
        <f t="shared" si="43"/>
        <v/>
      </c>
      <c r="Q74" s="225"/>
      <c r="R74" s="226">
        <f t="shared" si="49"/>
        <v>0</v>
      </c>
      <c r="S74" s="77"/>
      <c r="T74" s="227">
        <v>0.43460549999999798</v>
      </c>
      <c r="U74" s="78"/>
      <c r="V74" s="221">
        <f t="shared" si="50"/>
        <v>17.688605499999994</v>
      </c>
      <c r="W74" s="220">
        <f t="shared" si="51"/>
        <v>-17.688605499999994</v>
      </c>
      <c r="X74" s="79"/>
      <c r="AD74" s="228">
        <v>0</v>
      </c>
      <c r="AE74" s="229">
        <v>98</v>
      </c>
      <c r="AF74" s="230">
        <v>17.253999999999998</v>
      </c>
      <c r="AG74" s="231">
        <v>-17.253999999999998</v>
      </c>
    </row>
    <row r="75" spans="1:33" s="80" customFormat="1" ht="15" customHeight="1">
      <c r="A75" s="215"/>
      <c r="B75" s="216" t="s">
        <v>208</v>
      </c>
      <c r="C75" s="50"/>
      <c r="D75" s="217" t="s">
        <v>327</v>
      </c>
      <c r="E75" s="296">
        <v>0</v>
      </c>
      <c r="F75" s="219"/>
      <c r="G75" s="219"/>
      <c r="H75" s="220">
        <f t="shared" si="44"/>
        <v>0</v>
      </c>
      <c r="I75" s="77"/>
      <c r="J75" s="221">
        <f t="shared" si="45"/>
        <v>0</v>
      </c>
      <c r="K75" s="222">
        <f>'BETON Qte'!K75</f>
        <v>80</v>
      </c>
      <c r="L75" s="219">
        <f t="shared" si="46"/>
        <v>16.486000000000001</v>
      </c>
      <c r="M75" s="220">
        <f t="shared" si="47"/>
        <v>-16.486000000000001</v>
      </c>
      <c r="N75" s="77"/>
      <c r="O75" s="223">
        <f t="shared" si="48"/>
        <v>0</v>
      </c>
      <c r="P75" s="224" t="str">
        <f t="shared" si="43"/>
        <v/>
      </c>
      <c r="Q75" s="225"/>
      <c r="R75" s="226">
        <f t="shared" si="49"/>
        <v>0</v>
      </c>
      <c r="S75" s="77"/>
      <c r="T75" s="227">
        <v>4.3477012333435203</v>
      </c>
      <c r="U75" s="78"/>
      <c r="V75" s="221">
        <f t="shared" si="50"/>
        <v>20.833701233343522</v>
      </c>
      <c r="W75" s="220">
        <f t="shared" si="51"/>
        <v>-20.833701233343522</v>
      </c>
      <c r="X75" s="79"/>
      <c r="AD75" s="228">
        <v>0</v>
      </c>
      <c r="AE75" s="229">
        <v>80</v>
      </c>
      <c r="AF75" s="230">
        <v>16.486000000000001</v>
      </c>
      <c r="AG75" s="231">
        <v>-16.486000000000001</v>
      </c>
    </row>
    <row r="76" spans="1:33" s="80" customFormat="1" ht="15" customHeight="1">
      <c r="A76" s="215"/>
      <c r="B76" s="216" t="s">
        <v>209</v>
      </c>
      <c r="C76" s="50"/>
      <c r="D76" s="217" t="s">
        <v>327</v>
      </c>
      <c r="E76" s="296">
        <v>0</v>
      </c>
      <c r="F76" s="219"/>
      <c r="G76" s="219"/>
      <c r="H76" s="220">
        <f t="shared" si="44"/>
        <v>0</v>
      </c>
      <c r="I76" s="77"/>
      <c r="J76" s="221">
        <f t="shared" si="45"/>
        <v>0</v>
      </c>
      <c r="K76" s="222">
        <f>'BETON Qte'!K76</f>
        <v>85</v>
      </c>
      <c r="L76" s="219">
        <f t="shared" si="46"/>
        <v>31.373000000000001</v>
      </c>
      <c r="M76" s="220">
        <f t="shared" si="47"/>
        <v>-31.373000000000001</v>
      </c>
      <c r="N76" s="77"/>
      <c r="O76" s="223">
        <f t="shared" si="48"/>
        <v>0</v>
      </c>
      <c r="P76" s="224" t="str">
        <f t="shared" si="43"/>
        <v/>
      </c>
      <c r="Q76" s="225"/>
      <c r="R76" s="226">
        <f t="shared" si="49"/>
        <v>0</v>
      </c>
      <c r="S76" s="77"/>
      <c r="T76" s="227">
        <v>5.6413343999999999</v>
      </c>
      <c r="U76" s="78"/>
      <c r="V76" s="221">
        <f t="shared" si="50"/>
        <v>37.014334400000003</v>
      </c>
      <c r="W76" s="220">
        <f t="shared" si="51"/>
        <v>-37.014334400000003</v>
      </c>
      <c r="X76" s="79"/>
      <c r="AD76" s="228">
        <v>0</v>
      </c>
      <c r="AE76" s="229">
        <v>85</v>
      </c>
      <c r="AF76" s="230">
        <v>31.373000000000001</v>
      </c>
      <c r="AG76" s="231">
        <v>-31.373000000000001</v>
      </c>
    </row>
    <row r="77" spans="1:33" s="80" customFormat="1" ht="15" customHeight="1">
      <c r="A77" s="215"/>
      <c r="B77" s="216" t="s">
        <v>210</v>
      </c>
      <c r="C77" s="50"/>
      <c r="D77" s="217" t="s">
        <v>327</v>
      </c>
      <c r="E77" s="296">
        <v>22.091999999999999</v>
      </c>
      <c r="F77" s="219"/>
      <c r="G77" s="219"/>
      <c r="H77" s="220">
        <f t="shared" si="44"/>
        <v>22.091999999999999</v>
      </c>
      <c r="I77" s="77"/>
      <c r="J77" s="221">
        <f t="shared" si="45"/>
        <v>21.65016</v>
      </c>
      <c r="K77" s="222">
        <f>'BETON Qte'!K77</f>
        <v>98</v>
      </c>
      <c r="L77" s="219">
        <f t="shared" si="46"/>
        <v>14.64</v>
      </c>
      <c r="M77" s="220">
        <f t="shared" si="47"/>
        <v>7.0101599999999991</v>
      </c>
      <c r="N77" s="77"/>
      <c r="O77" s="223">
        <f t="shared" si="48"/>
        <v>0</v>
      </c>
      <c r="P77" s="224">
        <f t="shared" si="43"/>
        <v>0</v>
      </c>
      <c r="Q77" s="225"/>
      <c r="R77" s="226">
        <f t="shared" si="49"/>
        <v>0</v>
      </c>
      <c r="S77" s="77"/>
      <c r="T77" s="227">
        <v>0.62810596492589899</v>
      </c>
      <c r="U77" s="78"/>
      <c r="V77" s="221">
        <f t="shared" si="50"/>
        <v>15.268105964925899</v>
      </c>
      <c r="W77" s="220">
        <f t="shared" si="51"/>
        <v>6.8238940350740993</v>
      </c>
      <c r="X77" s="79"/>
      <c r="AD77" s="228">
        <v>21.65016</v>
      </c>
      <c r="AE77" s="229">
        <v>98</v>
      </c>
      <c r="AF77" s="230">
        <v>14.64</v>
      </c>
      <c r="AG77" s="231">
        <v>7.0101599999999991</v>
      </c>
    </row>
    <row r="78" spans="1:33" s="80" customFormat="1" ht="15" customHeight="1" thickBot="1">
      <c r="A78" s="215"/>
      <c r="B78" s="216" t="s">
        <v>212</v>
      </c>
      <c r="C78" s="50"/>
      <c r="D78" s="217" t="s">
        <v>327</v>
      </c>
      <c r="E78" s="296">
        <v>393.74</v>
      </c>
      <c r="F78" s="219"/>
      <c r="G78" s="219"/>
      <c r="H78" s="220">
        <f t="shared" si="44"/>
        <v>393.74</v>
      </c>
      <c r="I78" s="77"/>
      <c r="J78" s="233">
        <f t="shared" si="45"/>
        <v>393.74</v>
      </c>
      <c r="K78" s="234">
        <f>'BETON Qte'!K78</f>
        <v>100</v>
      </c>
      <c r="L78" s="235">
        <f t="shared" si="46"/>
        <v>69.028000000000006</v>
      </c>
      <c r="M78" s="236">
        <f t="shared" si="47"/>
        <v>324.71199999999999</v>
      </c>
      <c r="N78" s="77"/>
      <c r="O78" s="237">
        <f t="shared" si="48"/>
        <v>0</v>
      </c>
      <c r="P78" s="238">
        <f t="shared" si="43"/>
        <v>0</v>
      </c>
      <c r="Q78" s="239"/>
      <c r="R78" s="240">
        <f t="shared" si="49"/>
        <v>0</v>
      </c>
      <c r="S78" s="77"/>
      <c r="T78" s="350">
        <v>0</v>
      </c>
      <c r="U78" s="78"/>
      <c r="V78" s="233">
        <f t="shared" si="50"/>
        <v>69.028000000000006</v>
      </c>
      <c r="W78" s="236">
        <f t="shared" si="51"/>
        <v>324.71199999999999</v>
      </c>
      <c r="X78" s="79"/>
      <c r="AD78" s="241">
        <v>393.74</v>
      </c>
      <c r="AE78" s="242">
        <v>100</v>
      </c>
      <c r="AF78" s="243">
        <v>69.028000000000006</v>
      </c>
      <c r="AG78" s="244">
        <v>324.71199999999999</v>
      </c>
    </row>
    <row r="79" spans="1:33" s="76" customFormat="1" ht="19.5" customHeight="1" thickBot="1">
      <c r="A79" s="256" t="s">
        <v>520</v>
      </c>
      <c r="B79" s="257" t="s">
        <v>521</v>
      </c>
      <c r="C79" s="74"/>
      <c r="D79" s="258" t="s">
        <v>327</v>
      </c>
      <c r="E79" s="259">
        <f>SUM(E80:E86)</f>
        <v>914.21100000000001</v>
      </c>
      <c r="F79" s="201">
        <f>SUM(F80:F86)</f>
        <v>0</v>
      </c>
      <c r="G79" s="201">
        <f>SUM(G80:G86)</f>
        <v>0</v>
      </c>
      <c r="H79" s="246">
        <f>SUM(H80:H86)</f>
        <v>914.21100000000001</v>
      </c>
      <c r="I79" s="75"/>
      <c r="J79" s="245">
        <f>SUM(J80:J86)</f>
        <v>70.287120000000002</v>
      </c>
      <c r="K79" s="260">
        <f>IFERROR(J79/H79,"")</f>
        <v>7.6882820267968777E-2</v>
      </c>
      <c r="L79" s="201">
        <f>SUM(L80:L86)</f>
        <v>123.63200000000001</v>
      </c>
      <c r="M79" s="246">
        <f>SUM(M80:M86)</f>
        <v>-53.344879999999996</v>
      </c>
      <c r="N79" s="75"/>
      <c r="O79" s="351">
        <f>SUM(O80:O86)</f>
        <v>0</v>
      </c>
      <c r="P79" s="352">
        <f t="shared" si="43"/>
        <v>0</v>
      </c>
      <c r="Q79" s="208">
        <f>SUM(Q80:Q86)</f>
        <v>0</v>
      </c>
      <c r="R79" s="353">
        <f>SUM(R80:R86)</f>
        <v>0</v>
      </c>
      <c r="S79" s="75"/>
      <c r="T79" s="354">
        <f>SUM(T80:T86)</f>
        <v>1053.4214603311691</v>
      </c>
      <c r="U79" s="75"/>
      <c r="V79" s="245">
        <f>SUM(V80:V86)</f>
        <v>1177.0534603311692</v>
      </c>
      <c r="W79" s="246">
        <f>SUM(W80:W86)</f>
        <v>-262.84246033116892</v>
      </c>
      <c r="X79" s="72"/>
      <c r="AD79" s="252">
        <v>70.287120000000002</v>
      </c>
      <c r="AE79" s="253">
        <v>7.6882820267968777E-2</v>
      </c>
      <c r="AF79" s="254">
        <v>123.63200000000001</v>
      </c>
      <c r="AG79" s="255">
        <v>-53.344879999999996</v>
      </c>
    </row>
    <row r="80" spans="1:33" s="80" customFormat="1" ht="15" customHeight="1">
      <c r="A80" s="215"/>
      <c r="B80" s="216" t="s">
        <v>215</v>
      </c>
      <c r="C80" s="50"/>
      <c r="D80" s="217" t="s">
        <v>327</v>
      </c>
      <c r="E80" s="296">
        <v>0</v>
      </c>
      <c r="F80" s="219"/>
      <c r="G80" s="219"/>
      <c r="H80" s="220">
        <f t="shared" ref="H80:H86" si="52">SUM(E80:G80)</f>
        <v>0</v>
      </c>
      <c r="I80" s="77"/>
      <c r="J80" s="221">
        <f t="shared" ref="J80:J86" si="53">H80*K80/100</f>
        <v>0</v>
      </c>
      <c r="K80" s="222">
        <f>'BETON Qte'!K80</f>
        <v>12</v>
      </c>
      <c r="L80" s="219">
        <f t="shared" ref="L80:L86" si="54">Q80+AF80</f>
        <v>16.738</v>
      </c>
      <c r="M80" s="220">
        <f t="shared" ref="M80:M86" si="55">J80-L80</f>
        <v>-16.738</v>
      </c>
      <c r="N80" s="77"/>
      <c r="O80" s="223">
        <f t="shared" ref="O80:O86" si="56">J80-AD80</f>
        <v>0</v>
      </c>
      <c r="P80" s="224" t="str">
        <f t="shared" si="43"/>
        <v/>
      </c>
      <c r="Q80" s="225"/>
      <c r="R80" s="226">
        <f t="shared" ref="R80:R86" si="57">O80-Q80</f>
        <v>0</v>
      </c>
      <c r="S80" s="77"/>
      <c r="T80" s="227">
        <v>123.011905227168</v>
      </c>
      <c r="U80" s="78"/>
      <c r="V80" s="221">
        <f t="shared" ref="V80:V86" si="58">L80+T80</f>
        <v>139.749905227168</v>
      </c>
      <c r="W80" s="220">
        <f t="shared" ref="W80:W86" si="59">H80-V80</f>
        <v>-139.749905227168</v>
      </c>
      <c r="X80" s="79"/>
      <c r="AD80" s="228">
        <v>0</v>
      </c>
      <c r="AE80" s="229">
        <v>12</v>
      </c>
      <c r="AF80" s="230">
        <v>16.738</v>
      </c>
      <c r="AG80" s="231">
        <v>-16.738</v>
      </c>
    </row>
    <row r="81" spans="1:33" s="80" customFormat="1" ht="15" customHeight="1">
      <c r="A81" s="215"/>
      <c r="B81" s="216" t="s">
        <v>216</v>
      </c>
      <c r="C81" s="50"/>
      <c r="D81" s="217" t="s">
        <v>327</v>
      </c>
      <c r="E81" s="296">
        <v>0</v>
      </c>
      <c r="F81" s="219"/>
      <c r="G81" s="219"/>
      <c r="H81" s="220">
        <f t="shared" si="52"/>
        <v>0</v>
      </c>
      <c r="I81" s="77"/>
      <c r="J81" s="221">
        <f t="shared" si="53"/>
        <v>0</v>
      </c>
      <c r="K81" s="222">
        <f>'BETON Qte'!K81</f>
        <v>18</v>
      </c>
      <c r="L81" s="219">
        <f t="shared" si="54"/>
        <v>65.608999999999995</v>
      </c>
      <c r="M81" s="220">
        <f t="shared" si="55"/>
        <v>-65.608999999999995</v>
      </c>
      <c r="N81" s="77"/>
      <c r="O81" s="223">
        <f t="shared" si="56"/>
        <v>0</v>
      </c>
      <c r="P81" s="224" t="str">
        <f t="shared" si="43"/>
        <v/>
      </c>
      <c r="Q81" s="225"/>
      <c r="R81" s="226">
        <f t="shared" si="57"/>
        <v>0</v>
      </c>
      <c r="S81" s="77"/>
      <c r="T81" s="227">
        <v>344.787555104001</v>
      </c>
      <c r="U81" s="78"/>
      <c r="V81" s="221">
        <f t="shared" si="58"/>
        <v>410.39655510400098</v>
      </c>
      <c r="W81" s="220">
        <f t="shared" si="59"/>
        <v>-410.39655510400098</v>
      </c>
      <c r="X81" s="79"/>
      <c r="AD81" s="228">
        <v>0</v>
      </c>
      <c r="AE81" s="229">
        <v>18</v>
      </c>
      <c r="AF81" s="230">
        <v>65.608999999999995</v>
      </c>
      <c r="AG81" s="231">
        <v>-65.608999999999995</v>
      </c>
    </row>
    <row r="82" spans="1:33" s="80" customFormat="1" ht="15" customHeight="1">
      <c r="A82" s="215"/>
      <c r="B82" s="216" t="s">
        <v>217</v>
      </c>
      <c r="C82" s="50"/>
      <c r="D82" s="217" t="s">
        <v>327</v>
      </c>
      <c r="E82" s="296">
        <v>0</v>
      </c>
      <c r="F82" s="219"/>
      <c r="G82" s="219"/>
      <c r="H82" s="220">
        <f t="shared" si="52"/>
        <v>0</v>
      </c>
      <c r="I82" s="77"/>
      <c r="J82" s="221">
        <f t="shared" si="53"/>
        <v>0</v>
      </c>
      <c r="K82" s="222">
        <f>'BETON Qte'!K82</f>
        <v>0</v>
      </c>
      <c r="L82" s="219">
        <f t="shared" si="54"/>
        <v>0</v>
      </c>
      <c r="M82" s="220">
        <f t="shared" si="55"/>
        <v>0</v>
      </c>
      <c r="N82" s="77"/>
      <c r="O82" s="223">
        <f t="shared" si="56"/>
        <v>0</v>
      </c>
      <c r="P82" s="224" t="str">
        <f t="shared" si="43"/>
        <v/>
      </c>
      <c r="Q82" s="225"/>
      <c r="R82" s="226">
        <f t="shared" si="57"/>
        <v>0</v>
      </c>
      <c r="S82" s="77"/>
      <c r="T82" s="227">
        <v>0</v>
      </c>
      <c r="U82" s="78"/>
      <c r="V82" s="221">
        <f t="shared" si="58"/>
        <v>0</v>
      </c>
      <c r="W82" s="220">
        <f t="shared" si="59"/>
        <v>0</v>
      </c>
      <c r="X82" s="79"/>
      <c r="AD82" s="228">
        <v>0</v>
      </c>
      <c r="AE82" s="229">
        <v>0</v>
      </c>
      <c r="AF82" s="230">
        <v>0</v>
      </c>
      <c r="AG82" s="231">
        <v>0</v>
      </c>
    </row>
    <row r="83" spans="1:33" s="80" customFormat="1" ht="15" customHeight="1">
      <c r="A83" s="215"/>
      <c r="B83" s="216" t="s">
        <v>218</v>
      </c>
      <c r="C83" s="50"/>
      <c r="D83" s="217" t="s">
        <v>327</v>
      </c>
      <c r="E83" s="296">
        <v>0</v>
      </c>
      <c r="F83" s="219"/>
      <c r="G83" s="219"/>
      <c r="H83" s="220">
        <f t="shared" si="52"/>
        <v>0</v>
      </c>
      <c r="I83" s="77"/>
      <c r="J83" s="221">
        <f t="shared" si="53"/>
        <v>0</v>
      </c>
      <c r="K83" s="222">
        <f>'BETON Qte'!K83</f>
        <v>0</v>
      </c>
      <c r="L83" s="219">
        <f t="shared" si="54"/>
        <v>0</v>
      </c>
      <c r="M83" s="220">
        <f t="shared" si="55"/>
        <v>0</v>
      </c>
      <c r="N83" s="77"/>
      <c r="O83" s="223">
        <f t="shared" si="56"/>
        <v>0</v>
      </c>
      <c r="P83" s="224" t="str">
        <f t="shared" si="43"/>
        <v/>
      </c>
      <c r="Q83" s="225"/>
      <c r="R83" s="226">
        <f t="shared" si="57"/>
        <v>0</v>
      </c>
      <c r="S83" s="77"/>
      <c r="T83" s="227">
        <v>0</v>
      </c>
      <c r="U83" s="78"/>
      <c r="V83" s="221">
        <f t="shared" si="58"/>
        <v>0</v>
      </c>
      <c r="W83" s="220">
        <f t="shared" si="59"/>
        <v>0</v>
      </c>
      <c r="X83" s="79"/>
      <c r="AD83" s="228">
        <v>0</v>
      </c>
      <c r="AE83" s="229">
        <v>0</v>
      </c>
      <c r="AF83" s="230">
        <v>0</v>
      </c>
      <c r="AG83" s="231">
        <v>0</v>
      </c>
    </row>
    <row r="84" spans="1:33" s="80" customFormat="1" ht="15" customHeight="1">
      <c r="A84" s="215"/>
      <c r="B84" s="216" t="s">
        <v>219</v>
      </c>
      <c r="C84" s="50"/>
      <c r="D84" s="217" t="s">
        <v>327</v>
      </c>
      <c r="E84" s="296">
        <v>878.58900000000006</v>
      </c>
      <c r="F84" s="219"/>
      <c r="G84" s="219"/>
      <c r="H84" s="220">
        <f t="shared" si="52"/>
        <v>878.58900000000006</v>
      </c>
      <c r="I84" s="77"/>
      <c r="J84" s="221">
        <f t="shared" si="53"/>
        <v>70.287120000000002</v>
      </c>
      <c r="K84" s="222">
        <f>'BETON Qte'!K84</f>
        <v>8</v>
      </c>
      <c r="L84" s="219">
        <f t="shared" si="54"/>
        <v>41.285000000000004</v>
      </c>
      <c r="M84" s="220">
        <f t="shared" si="55"/>
        <v>29.002119999999998</v>
      </c>
      <c r="N84" s="77"/>
      <c r="O84" s="223">
        <f t="shared" si="56"/>
        <v>0</v>
      </c>
      <c r="P84" s="224">
        <f t="shared" si="43"/>
        <v>0</v>
      </c>
      <c r="Q84" s="225"/>
      <c r="R84" s="226">
        <f t="shared" si="57"/>
        <v>0</v>
      </c>
      <c r="S84" s="77"/>
      <c r="T84" s="227">
        <v>550</v>
      </c>
      <c r="U84" s="78"/>
      <c r="V84" s="221">
        <f t="shared" si="58"/>
        <v>591.28499999999997</v>
      </c>
      <c r="W84" s="220">
        <f t="shared" si="59"/>
        <v>287.30400000000009</v>
      </c>
      <c r="X84" s="79"/>
      <c r="AD84" s="228">
        <v>70.287120000000002</v>
      </c>
      <c r="AE84" s="229">
        <v>8</v>
      </c>
      <c r="AF84" s="230">
        <v>41.285000000000004</v>
      </c>
      <c r="AG84" s="231">
        <v>29.002119999999998</v>
      </c>
    </row>
    <row r="85" spans="1:33" s="80" customFormat="1" ht="15" customHeight="1">
      <c r="A85" s="215"/>
      <c r="B85" s="295" t="s">
        <v>522</v>
      </c>
      <c r="C85" s="50"/>
      <c r="D85" s="217" t="s">
        <v>327</v>
      </c>
      <c r="E85" s="296">
        <v>12.942</v>
      </c>
      <c r="F85" s="219"/>
      <c r="G85" s="219"/>
      <c r="H85" s="220">
        <f t="shared" si="52"/>
        <v>12.942</v>
      </c>
      <c r="I85" s="77"/>
      <c r="J85" s="221">
        <f t="shared" si="53"/>
        <v>0</v>
      </c>
      <c r="K85" s="222">
        <f>'BETON Qte'!K85</f>
        <v>0</v>
      </c>
      <c r="L85" s="219">
        <f t="shared" si="54"/>
        <v>0</v>
      </c>
      <c r="M85" s="220">
        <f t="shared" si="55"/>
        <v>0</v>
      </c>
      <c r="N85" s="77"/>
      <c r="O85" s="223">
        <f t="shared" si="56"/>
        <v>0</v>
      </c>
      <c r="P85" s="224">
        <f t="shared" si="43"/>
        <v>0</v>
      </c>
      <c r="Q85" s="225"/>
      <c r="R85" s="226">
        <f t="shared" si="57"/>
        <v>0</v>
      </c>
      <c r="S85" s="77"/>
      <c r="T85" s="227">
        <v>12.942</v>
      </c>
      <c r="U85" s="78"/>
      <c r="V85" s="221">
        <f t="shared" si="58"/>
        <v>12.942</v>
      </c>
      <c r="W85" s="220">
        <f t="shared" si="59"/>
        <v>0</v>
      </c>
      <c r="X85" s="79"/>
      <c r="AD85" s="228">
        <v>0</v>
      </c>
      <c r="AE85" s="229">
        <v>0</v>
      </c>
      <c r="AF85" s="230">
        <v>0</v>
      </c>
      <c r="AG85" s="231">
        <v>0</v>
      </c>
    </row>
    <row r="86" spans="1:33" s="80" customFormat="1" ht="15" customHeight="1" thickBot="1">
      <c r="A86" s="215"/>
      <c r="B86" s="295" t="s">
        <v>224</v>
      </c>
      <c r="C86" s="50"/>
      <c r="D86" s="217" t="s">
        <v>327</v>
      </c>
      <c r="E86" s="296">
        <v>22.68</v>
      </c>
      <c r="F86" s="219"/>
      <c r="G86" s="219"/>
      <c r="H86" s="220">
        <f t="shared" si="52"/>
        <v>22.68</v>
      </c>
      <c r="I86" s="77"/>
      <c r="J86" s="233">
        <f t="shared" si="53"/>
        <v>0</v>
      </c>
      <c r="K86" s="234">
        <f>'BETON Qte'!K86</f>
        <v>0</v>
      </c>
      <c r="L86" s="235">
        <f t="shared" si="54"/>
        <v>0</v>
      </c>
      <c r="M86" s="236">
        <f t="shared" si="55"/>
        <v>0</v>
      </c>
      <c r="N86" s="77"/>
      <c r="O86" s="237">
        <f t="shared" si="56"/>
        <v>0</v>
      </c>
      <c r="P86" s="238">
        <f t="shared" si="43"/>
        <v>0</v>
      </c>
      <c r="Q86" s="239"/>
      <c r="R86" s="240">
        <f t="shared" si="57"/>
        <v>0</v>
      </c>
      <c r="S86" s="77"/>
      <c r="T86" s="350">
        <v>22.68</v>
      </c>
      <c r="U86" s="78"/>
      <c r="V86" s="233">
        <f t="shared" si="58"/>
        <v>22.68</v>
      </c>
      <c r="W86" s="236">
        <f t="shared" si="59"/>
        <v>0</v>
      </c>
      <c r="X86" s="79"/>
      <c r="AD86" s="241">
        <v>0</v>
      </c>
      <c r="AE86" s="242">
        <v>0</v>
      </c>
      <c r="AF86" s="243">
        <v>0</v>
      </c>
      <c r="AG86" s="244">
        <v>0</v>
      </c>
    </row>
    <row r="87" spans="1:33" s="76" customFormat="1" ht="19.5" customHeight="1" thickBot="1">
      <c r="A87" s="256" t="s">
        <v>523</v>
      </c>
      <c r="B87" s="257" t="s">
        <v>524</v>
      </c>
      <c r="C87" s="74"/>
      <c r="D87" s="258" t="s">
        <v>327</v>
      </c>
      <c r="E87" s="259">
        <f>SUM(E88:E89)</f>
        <v>6.5229399999999993</v>
      </c>
      <c r="F87" s="201">
        <f>SUM(F88:F89)</f>
        <v>0</v>
      </c>
      <c r="G87" s="201">
        <f>SUM(G88:G89)</f>
        <v>0</v>
      </c>
      <c r="H87" s="246">
        <f>SUM(H88:H89)</f>
        <v>6.5229399999999993</v>
      </c>
      <c r="I87" s="75"/>
      <c r="J87" s="245">
        <f>SUM(J88:J89)</f>
        <v>0</v>
      </c>
      <c r="K87" s="260">
        <f>IFERROR(J87/H87,"")</f>
        <v>0</v>
      </c>
      <c r="L87" s="201">
        <f>SUM(L88:L89)</f>
        <v>0</v>
      </c>
      <c r="M87" s="246">
        <f>SUM(M88:M89)</f>
        <v>0</v>
      </c>
      <c r="N87" s="75"/>
      <c r="O87" s="351">
        <f>SUM(O88:O89)</f>
        <v>0</v>
      </c>
      <c r="P87" s="352">
        <f t="shared" si="43"/>
        <v>0</v>
      </c>
      <c r="Q87" s="208">
        <f>SUM(Q88:Q89)</f>
        <v>0</v>
      </c>
      <c r="R87" s="353">
        <f>SUM(R88:R89)</f>
        <v>0</v>
      </c>
      <c r="S87" s="75"/>
      <c r="T87" s="354">
        <f>SUM(T88:T89)</f>
        <v>6.5229399999999993</v>
      </c>
      <c r="U87" s="75"/>
      <c r="V87" s="245">
        <f>SUM(V88:V89)</f>
        <v>6.5229399999999993</v>
      </c>
      <c r="W87" s="246">
        <f>SUM(W88:W89)</f>
        <v>0</v>
      </c>
      <c r="X87" s="72"/>
      <c r="AD87" s="252">
        <v>0</v>
      </c>
      <c r="AE87" s="253">
        <v>0</v>
      </c>
      <c r="AF87" s="355">
        <v>0</v>
      </c>
      <c r="AG87" s="255">
        <v>0</v>
      </c>
    </row>
    <row r="88" spans="1:33" s="80" customFormat="1" ht="15" customHeight="1">
      <c r="A88" s="215"/>
      <c r="B88" s="216" t="s">
        <v>227</v>
      </c>
      <c r="C88" s="50"/>
      <c r="D88" s="217" t="s">
        <v>327</v>
      </c>
      <c r="E88" s="296">
        <v>5.4896199999999995</v>
      </c>
      <c r="F88" s="219"/>
      <c r="G88" s="219"/>
      <c r="H88" s="220">
        <f t="shared" ref="H88:H89" si="60">SUM(E88:G88)</f>
        <v>5.4896199999999995</v>
      </c>
      <c r="I88" s="77"/>
      <c r="J88" s="221">
        <f t="shared" ref="J88:J89" si="61">H88*K88/100</f>
        <v>0</v>
      </c>
      <c r="K88" s="222">
        <f>'BETON Qte'!K88</f>
        <v>0</v>
      </c>
      <c r="L88" s="219">
        <f t="shared" ref="L88:L89" si="62">Q88+AF88</f>
        <v>0</v>
      </c>
      <c r="M88" s="220">
        <f t="shared" ref="M88:M89" si="63">J88-L88</f>
        <v>0</v>
      </c>
      <c r="N88" s="77"/>
      <c r="O88" s="223">
        <f t="shared" ref="O88:O89" si="64">J88-AD88</f>
        <v>0</v>
      </c>
      <c r="P88" s="224">
        <f t="shared" si="43"/>
        <v>0</v>
      </c>
      <c r="Q88" s="225"/>
      <c r="R88" s="226">
        <f t="shared" ref="R88:R89" si="65">O88-Q88</f>
        <v>0</v>
      </c>
      <c r="S88" s="77"/>
      <c r="T88" s="227">
        <v>5.4896199999999995</v>
      </c>
      <c r="U88" s="78"/>
      <c r="V88" s="221">
        <f t="shared" ref="V88:V89" si="66">L88+T88</f>
        <v>5.4896199999999995</v>
      </c>
      <c r="W88" s="220">
        <f t="shared" ref="W88:W89" si="67">H88-V88</f>
        <v>0</v>
      </c>
      <c r="X88" s="79"/>
      <c r="AD88" s="228">
        <v>0</v>
      </c>
      <c r="AE88" s="229">
        <v>0</v>
      </c>
      <c r="AF88" s="230">
        <v>0</v>
      </c>
      <c r="AG88" s="231">
        <v>0</v>
      </c>
    </row>
    <row r="89" spans="1:33" s="80" customFormat="1" ht="15" customHeight="1" thickBot="1">
      <c r="A89" s="215"/>
      <c r="B89" s="216" t="s">
        <v>228</v>
      </c>
      <c r="C89" s="50"/>
      <c r="D89" s="217" t="s">
        <v>327</v>
      </c>
      <c r="E89" s="296">
        <v>1.03332</v>
      </c>
      <c r="F89" s="219"/>
      <c r="G89" s="219"/>
      <c r="H89" s="220">
        <f t="shared" si="60"/>
        <v>1.03332</v>
      </c>
      <c r="I89" s="77"/>
      <c r="J89" s="233">
        <f t="shared" si="61"/>
        <v>0</v>
      </c>
      <c r="K89" s="234">
        <f>'BETON Qte'!K89</f>
        <v>0</v>
      </c>
      <c r="L89" s="235">
        <f t="shared" si="62"/>
        <v>0</v>
      </c>
      <c r="M89" s="236">
        <f t="shared" si="63"/>
        <v>0</v>
      </c>
      <c r="N89" s="77"/>
      <c r="O89" s="237">
        <f t="shared" si="64"/>
        <v>0</v>
      </c>
      <c r="P89" s="238">
        <f t="shared" si="43"/>
        <v>0</v>
      </c>
      <c r="Q89" s="239"/>
      <c r="R89" s="240">
        <f t="shared" si="65"/>
        <v>0</v>
      </c>
      <c r="S89" s="77"/>
      <c r="T89" s="350">
        <v>1.03332</v>
      </c>
      <c r="U89" s="78"/>
      <c r="V89" s="233">
        <f t="shared" si="66"/>
        <v>1.03332</v>
      </c>
      <c r="W89" s="236">
        <f t="shared" si="67"/>
        <v>0</v>
      </c>
      <c r="X89" s="79"/>
      <c r="AD89" s="241">
        <v>0</v>
      </c>
      <c r="AE89" s="242">
        <v>0</v>
      </c>
      <c r="AF89" s="243">
        <v>0</v>
      </c>
      <c r="AG89" s="244">
        <v>0</v>
      </c>
    </row>
    <row r="90" spans="1:33" s="76" customFormat="1" ht="19.5" customHeight="1" thickBot="1">
      <c r="A90" s="256" t="s">
        <v>525</v>
      </c>
      <c r="B90" s="257" t="s">
        <v>526</v>
      </c>
      <c r="C90" s="74"/>
      <c r="D90" s="258" t="s">
        <v>327</v>
      </c>
      <c r="E90" s="259">
        <f>SUM(E91:E92)</f>
        <v>0</v>
      </c>
      <c r="F90" s="201">
        <f>SUM(F91:F92)</f>
        <v>0</v>
      </c>
      <c r="G90" s="201">
        <f>SUM(G91:G92)</f>
        <v>0</v>
      </c>
      <c r="H90" s="246">
        <f>SUM(H91:H92)</f>
        <v>0</v>
      </c>
      <c r="I90" s="75"/>
      <c r="J90" s="245">
        <f>SUM(J91:J92)</f>
        <v>0</v>
      </c>
      <c r="K90" s="260" t="str">
        <f>IFERROR(J90/H90,"")</f>
        <v/>
      </c>
      <c r="L90" s="201">
        <f>SUM(L91:L92)</f>
        <v>0</v>
      </c>
      <c r="M90" s="246">
        <f>SUM(M91:M92)</f>
        <v>0</v>
      </c>
      <c r="N90" s="75"/>
      <c r="O90" s="351">
        <f>SUM(O91:O92)</f>
        <v>0</v>
      </c>
      <c r="P90" s="352" t="str">
        <f t="shared" si="43"/>
        <v/>
      </c>
      <c r="Q90" s="208">
        <f>SUM(Q91:Q92)</f>
        <v>0</v>
      </c>
      <c r="R90" s="353">
        <f>SUM(R91:R92)</f>
        <v>0</v>
      </c>
      <c r="S90" s="75"/>
      <c r="T90" s="354">
        <f>SUM(T91:T92)</f>
        <v>0</v>
      </c>
      <c r="U90" s="75"/>
      <c r="V90" s="245">
        <f>SUM(V91:V92)</f>
        <v>0</v>
      </c>
      <c r="W90" s="246">
        <f>SUM(W91:W92)</f>
        <v>0</v>
      </c>
      <c r="X90" s="72"/>
      <c r="AD90" s="252">
        <v>0</v>
      </c>
      <c r="AE90" s="253" t="s">
        <v>67</v>
      </c>
      <c r="AF90" s="254">
        <v>0</v>
      </c>
      <c r="AG90" s="255">
        <v>0</v>
      </c>
    </row>
    <row r="91" spans="1:33" s="80" customFormat="1" ht="15" customHeight="1">
      <c r="A91" s="215"/>
      <c r="B91" s="216" t="s">
        <v>231</v>
      </c>
      <c r="C91" s="50"/>
      <c r="D91" s="217" t="s">
        <v>327</v>
      </c>
      <c r="E91" s="218">
        <v>0</v>
      </c>
      <c r="F91" s="219"/>
      <c r="G91" s="219"/>
      <c r="H91" s="220">
        <f>SUM(E91:G91)</f>
        <v>0</v>
      </c>
      <c r="I91" s="77"/>
      <c r="J91" s="221">
        <f>H91*K91/100</f>
        <v>0</v>
      </c>
      <c r="K91" s="222">
        <f>'BETON Qte'!K91</f>
        <v>0</v>
      </c>
      <c r="L91" s="219">
        <f>Q91+AF91</f>
        <v>0</v>
      </c>
      <c r="M91" s="220">
        <f>J91-L91</f>
        <v>0</v>
      </c>
      <c r="N91" s="77"/>
      <c r="O91" s="223">
        <f>J91-AD91</f>
        <v>0</v>
      </c>
      <c r="P91" s="224" t="str">
        <f t="shared" si="43"/>
        <v/>
      </c>
      <c r="Q91" s="225"/>
      <c r="R91" s="226">
        <f>O91-Q91</f>
        <v>0</v>
      </c>
      <c r="S91" s="77"/>
      <c r="T91" s="227">
        <v>0</v>
      </c>
      <c r="U91" s="78"/>
      <c r="V91" s="221">
        <f t="shared" ref="V91:V92" si="68">L91+T91</f>
        <v>0</v>
      </c>
      <c r="W91" s="220">
        <f t="shared" ref="W91:W92" si="69">H91-V91</f>
        <v>0</v>
      </c>
      <c r="X91" s="79"/>
      <c r="AD91" s="228">
        <v>0</v>
      </c>
      <c r="AE91" s="229">
        <v>0</v>
      </c>
      <c r="AF91" s="230">
        <v>0</v>
      </c>
      <c r="AG91" s="231">
        <v>0</v>
      </c>
    </row>
    <row r="92" spans="1:33" s="80" customFormat="1" ht="15" customHeight="1" thickBot="1">
      <c r="A92" s="215"/>
      <c r="B92" s="216" t="s">
        <v>232</v>
      </c>
      <c r="C92" s="50"/>
      <c r="D92" s="217" t="s">
        <v>327</v>
      </c>
      <c r="E92" s="218">
        <v>0</v>
      </c>
      <c r="F92" s="219"/>
      <c r="G92" s="219"/>
      <c r="H92" s="220">
        <f>SUM(E92:G92)</f>
        <v>0</v>
      </c>
      <c r="I92" s="77"/>
      <c r="J92" s="233">
        <f>H92*K92/100</f>
        <v>0</v>
      </c>
      <c r="K92" s="234">
        <f>'BETON Qte'!K92</f>
        <v>0</v>
      </c>
      <c r="L92" s="235">
        <f>Q92+AF92</f>
        <v>0</v>
      </c>
      <c r="M92" s="236">
        <f>J92-L92</f>
        <v>0</v>
      </c>
      <c r="N92" s="77"/>
      <c r="O92" s="237">
        <f>J92-AD92</f>
        <v>0</v>
      </c>
      <c r="P92" s="238" t="str">
        <f t="shared" si="43"/>
        <v/>
      </c>
      <c r="Q92" s="239"/>
      <c r="R92" s="240">
        <f>O92-Q92</f>
        <v>0</v>
      </c>
      <c r="S92" s="77"/>
      <c r="T92" s="350">
        <v>0</v>
      </c>
      <c r="U92" s="78"/>
      <c r="V92" s="233">
        <f t="shared" si="68"/>
        <v>0</v>
      </c>
      <c r="W92" s="236">
        <f t="shared" si="69"/>
        <v>0</v>
      </c>
      <c r="X92" s="79"/>
      <c r="AD92" s="241">
        <v>0</v>
      </c>
      <c r="AE92" s="242">
        <v>0</v>
      </c>
      <c r="AF92" s="243">
        <v>0</v>
      </c>
      <c r="AG92" s="244">
        <v>0</v>
      </c>
    </row>
    <row r="93" spans="1:33" s="76" customFormat="1" ht="19.5" customHeight="1" thickBot="1">
      <c r="A93" s="256" t="s">
        <v>527</v>
      </c>
      <c r="B93" s="257" t="s">
        <v>528</v>
      </c>
      <c r="C93" s="74"/>
      <c r="D93" s="258" t="s">
        <v>327</v>
      </c>
      <c r="E93" s="259">
        <f>SUM(E94:E108)</f>
        <v>13.049999999999999</v>
      </c>
      <c r="F93" s="201">
        <f>SUM(F94:F108)</f>
        <v>0</v>
      </c>
      <c r="G93" s="201">
        <f>SUM(G94:G108)</f>
        <v>0</v>
      </c>
      <c r="H93" s="246">
        <f>SUM(H94:H108)</f>
        <v>13.049999999999999</v>
      </c>
      <c r="I93" s="75"/>
      <c r="J93" s="245">
        <f>SUM(J94:J108)</f>
        <v>0</v>
      </c>
      <c r="K93" s="260">
        <f>IFERROR(J93/H93,"")</f>
        <v>0</v>
      </c>
      <c r="L93" s="201">
        <f>SUM(L94:L108)</f>
        <v>0</v>
      </c>
      <c r="M93" s="246">
        <f>SUM(M94:M108)</f>
        <v>0</v>
      </c>
      <c r="N93" s="75"/>
      <c r="O93" s="351">
        <f>SUM(O94:O108)</f>
        <v>0</v>
      </c>
      <c r="P93" s="352">
        <f t="shared" si="43"/>
        <v>0</v>
      </c>
      <c r="Q93" s="208">
        <f>SUM(Q94:Q108)</f>
        <v>0</v>
      </c>
      <c r="R93" s="353">
        <f>SUM(R94:R108)</f>
        <v>0</v>
      </c>
      <c r="S93" s="75"/>
      <c r="T93" s="354">
        <f>SUM(T94:T108)</f>
        <v>13.049999999999999</v>
      </c>
      <c r="U93" s="75"/>
      <c r="V93" s="245">
        <f>SUM(V94:V108)</f>
        <v>13.049999999999999</v>
      </c>
      <c r="W93" s="246">
        <f>SUM(W94:W108)</f>
        <v>0</v>
      </c>
      <c r="X93" s="72"/>
      <c r="AD93" s="252">
        <v>0</v>
      </c>
      <c r="AE93" s="253">
        <v>0</v>
      </c>
      <c r="AF93" s="254">
        <v>0</v>
      </c>
      <c r="AG93" s="255">
        <v>0</v>
      </c>
    </row>
    <row r="94" spans="1:33" s="80" customFormat="1" ht="15" customHeight="1">
      <c r="A94" s="215"/>
      <c r="B94" s="216" t="s">
        <v>235</v>
      </c>
      <c r="C94" s="50"/>
      <c r="D94" s="217" t="s">
        <v>327</v>
      </c>
      <c r="E94" s="296">
        <v>1.0229999999999999</v>
      </c>
      <c r="F94" s="219"/>
      <c r="G94" s="219"/>
      <c r="H94" s="220">
        <f t="shared" ref="H94:H108" si="70">SUM(E94:G94)</f>
        <v>1.0229999999999999</v>
      </c>
      <c r="I94" s="77"/>
      <c r="J94" s="221">
        <f t="shared" ref="J94:J108" si="71">H94*K94/100</f>
        <v>0</v>
      </c>
      <c r="K94" s="222">
        <f>'BETON Qte'!K94</f>
        <v>0</v>
      </c>
      <c r="L94" s="219">
        <f t="shared" ref="L94:L108" si="72">Q94+AF94</f>
        <v>0</v>
      </c>
      <c r="M94" s="220">
        <f t="shared" ref="M94:M108" si="73">J94-L94</f>
        <v>0</v>
      </c>
      <c r="N94" s="77"/>
      <c r="O94" s="223">
        <f t="shared" ref="O94:O108" si="74">J94-AD94</f>
        <v>0</v>
      </c>
      <c r="P94" s="224">
        <f t="shared" si="43"/>
        <v>0</v>
      </c>
      <c r="Q94" s="225"/>
      <c r="R94" s="226">
        <f t="shared" ref="R94:R108" si="75">O94-Q94</f>
        <v>0</v>
      </c>
      <c r="S94" s="77"/>
      <c r="T94" s="227">
        <v>1.0229999999999999</v>
      </c>
      <c r="U94" s="78"/>
      <c r="V94" s="221">
        <f t="shared" ref="V94:V108" si="76">L94+T94</f>
        <v>1.0229999999999999</v>
      </c>
      <c r="W94" s="220">
        <f t="shared" ref="W94:W108" si="77">H94-V94</f>
        <v>0</v>
      </c>
      <c r="X94" s="79"/>
      <c r="AD94" s="228">
        <v>0</v>
      </c>
      <c r="AE94" s="229">
        <v>0</v>
      </c>
      <c r="AF94" s="230">
        <v>0</v>
      </c>
      <c r="AG94" s="231">
        <v>0</v>
      </c>
    </row>
    <row r="95" spans="1:33" s="80" customFormat="1" ht="15" customHeight="1">
      <c r="A95" s="215"/>
      <c r="B95" s="216" t="s">
        <v>236</v>
      </c>
      <c r="C95" s="50"/>
      <c r="D95" s="217" t="s">
        <v>327</v>
      </c>
      <c r="E95" s="296">
        <v>0</v>
      </c>
      <c r="F95" s="219"/>
      <c r="G95" s="219"/>
      <c r="H95" s="220">
        <f t="shared" si="70"/>
        <v>0</v>
      </c>
      <c r="I95" s="77"/>
      <c r="J95" s="221">
        <f t="shared" si="71"/>
        <v>0</v>
      </c>
      <c r="K95" s="222">
        <f>'BETON Qte'!K95</f>
        <v>0</v>
      </c>
      <c r="L95" s="219">
        <f t="shared" si="72"/>
        <v>0</v>
      </c>
      <c r="M95" s="220">
        <f t="shared" si="73"/>
        <v>0</v>
      </c>
      <c r="N95" s="77"/>
      <c r="O95" s="223">
        <f t="shared" si="74"/>
        <v>0</v>
      </c>
      <c r="P95" s="224" t="str">
        <f t="shared" si="43"/>
        <v/>
      </c>
      <c r="Q95" s="225"/>
      <c r="R95" s="226">
        <f t="shared" si="75"/>
        <v>0</v>
      </c>
      <c r="S95" s="77"/>
      <c r="T95" s="227">
        <v>0</v>
      </c>
      <c r="U95" s="78"/>
      <c r="V95" s="221">
        <f t="shared" si="76"/>
        <v>0</v>
      </c>
      <c r="W95" s="220">
        <f t="shared" si="77"/>
        <v>0</v>
      </c>
      <c r="X95" s="79"/>
      <c r="AD95" s="228">
        <v>0</v>
      </c>
      <c r="AE95" s="229">
        <v>0</v>
      </c>
      <c r="AF95" s="230">
        <v>0</v>
      </c>
      <c r="AG95" s="231">
        <v>0</v>
      </c>
    </row>
    <row r="96" spans="1:33" s="80" customFormat="1" ht="15" customHeight="1">
      <c r="A96" s="215"/>
      <c r="B96" s="216" t="s">
        <v>237</v>
      </c>
      <c r="C96" s="50"/>
      <c r="D96" s="217" t="s">
        <v>327</v>
      </c>
      <c r="E96" s="296">
        <v>0</v>
      </c>
      <c r="F96" s="219"/>
      <c r="G96" s="219"/>
      <c r="H96" s="220">
        <f t="shared" si="70"/>
        <v>0</v>
      </c>
      <c r="I96" s="77"/>
      <c r="J96" s="221">
        <f t="shared" si="71"/>
        <v>0</v>
      </c>
      <c r="K96" s="222">
        <f>'BETON Qte'!K96</f>
        <v>0</v>
      </c>
      <c r="L96" s="219">
        <f t="shared" si="72"/>
        <v>0</v>
      </c>
      <c r="M96" s="220">
        <f t="shared" si="73"/>
        <v>0</v>
      </c>
      <c r="N96" s="77"/>
      <c r="O96" s="223">
        <f t="shared" si="74"/>
        <v>0</v>
      </c>
      <c r="P96" s="224" t="str">
        <f t="shared" si="43"/>
        <v/>
      </c>
      <c r="Q96" s="225"/>
      <c r="R96" s="226">
        <f t="shared" si="75"/>
        <v>0</v>
      </c>
      <c r="S96" s="77"/>
      <c r="T96" s="227">
        <v>0</v>
      </c>
      <c r="U96" s="78"/>
      <c r="V96" s="221">
        <f t="shared" si="76"/>
        <v>0</v>
      </c>
      <c r="W96" s="220">
        <f t="shared" si="77"/>
        <v>0</v>
      </c>
      <c r="X96" s="79"/>
      <c r="AD96" s="228">
        <v>0</v>
      </c>
      <c r="AE96" s="229">
        <v>0</v>
      </c>
      <c r="AF96" s="230">
        <v>0</v>
      </c>
      <c r="AG96" s="231">
        <v>0</v>
      </c>
    </row>
    <row r="97" spans="1:33" s="80" customFormat="1" ht="15" customHeight="1">
      <c r="A97" s="215"/>
      <c r="B97" s="216" t="s">
        <v>238</v>
      </c>
      <c r="C97" s="50"/>
      <c r="D97" s="217" t="s">
        <v>327</v>
      </c>
      <c r="E97" s="296">
        <v>0</v>
      </c>
      <c r="F97" s="219"/>
      <c r="G97" s="219"/>
      <c r="H97" s="220">
        <f t="shared" si="70"/>
        <v>0</v>
      </c>
      <c r="I97" s="77"/>
      <c r="J97" s="221">
        <f t="shared" si="71"/>
        <v>0</v>
      </c>
      <c r="K97" s="222">
        <f>'BETON Qte'!K97</f>
        <v>0</v>
      </c>
      <c r="L97" s="219">
        <f t="shared" si="72"/>
        <v>0</v>
      </c>
      <c r="M97" s="220">
        <f t="shared" si="73"/>
        <v>0</v>
      </c>
      <c r="N97" s="77"/>
      <c r="O97" s="223">
        <f t="shared" si="74"/>
        <v>0</v>
      </c>
      <c r="P97" s="224" t="str">
        <f t="shared" si="43"/>
        <v/>
      </c>
      <c r="Q97" s="225"/>
      <c r="R97" s="226">
        <f t="shared" si="75"/>
        <v>0</v>
      </c>
      <c r="S97" s="77"/>
      <c r="T97" s="227">
        <v>0</v>
      </c>
      <c r="U97" s="78"/>
      <c r="V97" s="221">
        <f t="shared" si="76"/>
        <v>0</v>
      </c>
      <c r="W97" s="220">
        <f t="shared" si="77"/>
        <v>0</v>
      </c>
      <c r="X97" s="79"/>
      <c r="AD97" s="228">
        <v>0</v>
      </c>
      <c r="AE97" s="229">
        <v>0</v>
      </c>
      <c r="AF97" s="230">
        <v>0</v>
      </c>
      <c r="AG97" s="231">
        <v>0</v>
      </c>
    </row>
    <row r="98" spans="1:33" s="80" customFormat="1" ht="15" customHeight="1">
      <c r="A98" s="215"/>
      <c r="B98" s="216" t="s">
        <v>239</v>
      </c>
      <c r="C98" s="50"/>
      <c r="D98" s="217" t="s">
        <v>327</v>
      </c>
      <c r="E98" s="296">
        <v>0</v>
      </c>
      <c r="F98" s="219"/>
      <c r="G98" s="219"/>
      <c r="H98" s="220">
        <f t="shared" si="70"/>
        <v>0</v>
      </c>
      <c r="I98" s="77"/>
      <c r="J98" s="221">
        <f t="shared" si="71"/>
        <v>0</v>
      </c>
      <c r="K98" s="222">
        <f>'BETON Qte'!K98</f>
        <v>0</v>
      </c>
      <c r="L98" s="219">
        <f t="shared" si="72"/>
        <v>0</v>
      </c>
      <c r="M98" s="220">
        <f t="shared" si="73"/>
        <v>0</v>
      </c>
      <c r="N98" s="77"/>
      <c r="O98" s="223">
        <f t="shared" si="74"/>
        <v>0</v>
      </c>
      <c r="P98" s="224" t="str">
        <f t="shared" si="43"/>
        <v/>
      </c>
      <c r="Q98" s="225"/>
      <c r="R98" s="226">
        <f t="shared" si="75"/>
        <v>0</v>
      </c>
      <c r="S98" s="77"/>
      <c r="T98" s="227">
        <v>0</v>
      </c>
      <c r="U98" s="78"/>
      <c r="V98" s="221">
        <f t="shared" si="76"/>
        <v>0</v>
      </c>
      <c r="W98" s="220">
        <f t="shared" si="77"/>
        <v>0</v>
      </c>
      <c r="X98" s="79"/>
      <c r="AD98" s="228">
        <v>0</v>
      </c>
      <c r="AE98" s="229">
        <v>0</v>
      </c>
      <c r="AF98" s="230">
        <v>0</v>
      </c>
      <c r="AG98" s="231">
        <v>0</v>
      </c>
    </row>
    <row r="99" spans="1:33" s="80" customFormat="1" ht="15" customHeight="1">
      <c r="A99" s="215"/>
      <c r="B99" s="216" t="s">
        <v>240</v>
      </c>
      <c r="C99" s="50"/>
      <c r="D99" s="217" t="s">
        <v>327</v>
      </c>
      <c r="E99" s="296">
        <v>0.16</v>
      </c>
      <c r="F99" s="219"/>
      <c r="G99" s="219"/>
      <c r="H99" s="220">
        <f t="shared" si="70"/>
        <v>0.16</v>
      </c>
      <c r="I99" s="77"/>
      <c r="J99" s="221">
        <f t="shared" si="71"/>
        <v>0</v>
      </c>
      <c r="K99" s="222">
        <f>'BETON Qte'!K99</f>
        <v>0</v>
      </c>
      <c r="L99" s="219">
        <f t="shared" si="72"/>
        <v>0</v>
      </c>
      <c r="M99" s="220">
        <f t="shared" si="73"/>
        <v>0</v>
      </c>
      <c r="N99" s="77"/>
      <c r="O99" s="223">
        <f t="shared" si="74"/>
        <v>0</v>
      </c>
      <c r="P99" s="224">
        <f t="shared" si="43"/>
        <v>0</v>
      </c>
      <c r="Q99" s="225"/>
      <c r="R99" s="226">
        <f t="shared" si="75"/>
        <v>0</v>
      </c>
      <c r="S99" s="77"/>
      <c r="T99" s="227">
        <v>0.16</v>
      </c>
      <c r="U99" s="78"/>
      <c r="V99" s="221">
        <f t="shared" si="76"/>
        <v>0.16</v>
      </c>
      <c r="W99" s="220">
        <f t="shared" si="77"/>
        <v>0</v>
      </c>
      <c r="X99" s="79"/>
      <c r="AD99" s="228">
        <v>0</v>
      </c>
      <c r="AE99" s="229">
        <v>0</v>
      </c>
      <c r="AF99" s="230">
        <v>0</v>
      </c>
      <c r="AG99" s="231">
        <v>0</v>
      </c>
    </row>
    <row r="100" spans="1:33" s="80" customFormat="1" ht="15" customHeight="1">
      <c r="A100" s="215"/>
      <c r="B100" s="216" t="s">
        <v>241</v>
      </c>
      <c r="C100" s="50"/>
      <c r="D100" s="217" t="s">
        <v>327</v>
      </c>
      <c r="E100" s="296">
        <v>3.92</v>
      </c>
      <c r="F100" s="219"/>
      <c r="G100" s="219"/>
      <c r="H100" s="220">
        <f t="shared" si="70"/>
        <v>3.92</v>
      </c>
      <c r="I100" s="77"/>
      <c r="J100" s="221">
        <f t="shared" si="71"/>
        <v>0</v>
      </c>
      <c r="K100" s="222">
        <f>'BETON Qte'!K100</f>
        <v>0</v>
      </c>
      <c r="L100" s="219">
        <f t="shared" si="72"/>
        <v>0</v>
      </c>
      <c r="M100" s="220">
        <f t="shared" si="73"/>
        <v>0</v>
      </c>
      <c r="N100" s="77"/>
      <c r="O100" s="223">
        <f t="shared" si="74"/>
        <v>0</v>
      </c>
      <c r="P100" s="224">
        <f t="shared" si="43"/>
        <v>0</v>
      </c>
      <c r="Q100" s="225"/>
      <c r="R100" s="226">
        <f t="shared" si="75"/>
        <v>0</v>
      </c>
      <c r="S100" s="77"/>
      <c r="T100" s="227">
        <v>3.92</v>
      </c>
      <c r="U100" s="78"/>
      <c r="V100" s="221">
        <f t="shared" si="76"/>
        <v>3.92</v>
      </c>
      <c r="W100" s="220">
        <f t="shared" si="77"/>
        <v>0</v>
      </c>
      <c r="X100" s="79"/>
      <c r="AD100" s="228">
        <v>0</v>
      </c>
      <c r="AE100" s="229">
        <v>0</v>
      </c>
      <c r="AF100" s="230">
        <v>0</v>
      </c>
      <c r="AG100" s="231">
        <v>0</v>
      </c>
    </row>
    <row r="101" spans="1:33" s="80" customFormat="1" ht="15" customHeight="1">
      <c r="A101" s="215"/>
      <c r="B101" s="216" t="s">
        <v>242</v>
      </c>
      <c r="C101" s="50"/>
      <c r="D101" s="217" t="s">
        <v>327</v>
      </c>
      <c r="E101" s="296">
        <v>0.78</v>
      </c>
      <c r="F101" s="219"/>
      <c r="G101" s="219"/>
      <c r="H101" s="220">
        <f t="shared" si="70"/>
        <v>0.78</v>
      </c>
      <c r="I101" s="77"/>
      <c r="J101" s="221">
        <f t="shared" si="71"/>
        <v>0</v>
      </c>
      <c r="K101" s="222">
        <f>'BETON Qte'!K101</f>
        <v>0</v>
      </c>
      <c r="L101" s="219">
        <f t="shared" si="72"/>
        <v>0</v>
      </c>
      <c r="M101" s="220">
        <f t="shared" si="73"/>
        <v>0</v>
      </c>
      <c r="N101" s="77"/>
      <c r="O101" s="223">
        <f t="shared" si="74"/>
        <v>0</v>
      </c>
      <c r="P101" s="224">
        <f t="shared" si="43"/>
        <v>0</v>
      </c>
      <c r="Q101" s="225"/>
      <c r="R101" s="226">
        <f t="shared" si="75"/>
        <v>0</v>
      </c>
      <c r="S101" s="77"/>
      <c r="T101" s="227">
        <v>0.78</v>
      </c>
      <c r="U101" s="78"/>
      <c r="V101" s="221">
        <f t="shared" si="76"/>
        <v>0.78</v>
      </c>
      <c r="W101" s="220">
        <f t="shared" si="77"/>
        <v>0</v>
      </c>
      <c r="X101" s="79"/>
      <c r="AD101" s="228">
        <v>0</v>
      </c>
      <c r="AE101" s="229">
        <v>0</v>
      </c>
      <c r="AF101" s="230">
        <v>0</v>
      </c>
      <c r="AG101" s="231">
        <v>0</v>
      </c>
    </row>
    <row r="102" spans="1:33" s="80" customFormat="1" ht="15" customHeight="1">
      <c r="A102" s="215"/>
      <c r="B102" s="216" t="s">
        <v>243</v>
      </c>
      <c r="C102" s="50"/>
      <c r="D102" s="217" t="s">
        <v>327</v>
      </c>
      <c r="E102" s="296">
        <v>0</v>
      </c>
      <c r="F102" s="219"/>
      <c r="G102" s="219"/>
      <c r="H102" s="220">
        <f t="shared" si="70"/>
        <v>0</v>
      </c>
      <c r="I102" s="77"/>
      <c r="J102" s="221">
        <f t="shared" si="71"/>
        <v>0</v>
      </c>
      <c r="K102" s="222">
        <f>'BETON Qte'!K102</f>
        <v>0</v>
      </c>
      <c r="L102" s="219">
        <f t="shared" si="72"/>
        <v>0</v>
      </c>
      <c r="M102" s="220">
        <f t="shared" si="73"/>
        <v>0</v>
      </c>
      <c r="N102" s="77"/>
      <c r="O102" s="223">
        <f t="shared" si="74"/>
        <v>0</v>
      </c>
      <c r="P102" s="224" t="str">
        <f t="shared" si="43"/>
        <v/>
      </c>
      <c r="Q102" s="225"/>
      <c r="R102" s="226">
        <f t="shared" si="75"/>
        <v>0</v>
      </c>
      <c r="S102" s="77"/>
      <c r="T102" s="227">
        <v>0</v>
      </c>
      <c r="U102" s="78"/>
      <c r="V102" s="221">
        <f t="shared" si="76"/>
        <v>0</v>
      </c>
      <c r="W102" s="220">
        <f t="shared" si="77"/>
        <v>0</v>
      </c>
      <c r="X102" s="79"/>
      <c r="AD102" s="228">
        <v>0</v>
      </c>
      <c r="AE102" s="229">
        <v>0</v>
      </c>
      <c r="AF102" s="230">
        <v>0</v>
      </c>
      <c r="AG102" s="231">
        <v>0</v>
      </c>
    </row>
    <row r="103" spans="1:33" s="80" customFormat="1" ht="15" customHeight="1">
      <c r="A103" s="215"/>
      <c r="B103" s="216" t="s">
        <v>244</v>
      </c>
      <c r="C103" s="50"/>
      <c r="D103" s="217" t="s">
        <v>327</v>
      </c>
      <c r="E103" s="296">
        <v>0</v>
      </c>
      <c r="F103" s="219"/>
      <c r="G103" s="219"/>
      <c r="H103" s="220">
        <f t="shared" si="70"/>
        <v>0</v>
      </c>
      <c r="I103" s="77"/>
      <c r="J103" s="221">
        <f t="shared" si="71"/>
        <v>0</v>
      </c>
      <c r="K103" s="222">
        <f>'BETON Qte'!K103</f>
        <v>0</v>
      </c>
      <c r="L103" s="219">
        <f t="shared" si="72"/>
        <v>0</v>
      </c>
      <c r="M103" s="220">
        <f t="shared" si="73"/>
        <v>0</v>
      </c>
      <c r="N103" s="77"/>
      <c r="O103" s="223">
        <f t="shared" si="74"/>
        <v>0</v>
      </c>
      <c r="P103" s="224" t="str">
        <f t="shared" si="43"/>
        <v/>
      </c>
      <c r="Q103" s="225"/>
      <c r="R103" s="226">
        <f t="shared" si="75"/>
        <v>0</v>
      </c>
      <c r="S103" s="77"/>
      <c r="T103" s="227">
        <v>0</v>
      </c>
      <c r="U103" s="78"/>
      <c r="V103" s="221">
        <f t="shared" si="76"/>
        <v>0</v>
      </c>
      <c r="W103" s="220">
        <f t="shared" si="77"/>
        <v>0</v>
      </c>
      <c r="X103" s="79"/>
      <c r="AD103" s="228">
        <v>0</v>
      </c>
      <c r="AE103" s="229">
        <v>0</v>
      </c>
      <c r="AF103" s="230">
        <v>0</v>
      </c>
      <c r="AG103" s="231">
        <v>0</v>
      </c>
    </row>
    <row r="104" spans="1:33" s="80" customFormat="1" ht="15" customHeight="1">
      <c r="A104" s="215"/>
      <c r="B104" s="216" t="s">
        <v>245</v>
      </c>
      <c r="C104" s="50"/>
      <c r="D104" s="217" t="s">
        <v>327</v>
      </c>
      <c r="E104" s="296">
        <v>4.1219999999999999</v>
      </c>
      <c r="F104" s="219"/>
      <c r="G104" s="219"/>
      <c r="H104" s="220">
        <f t="shared" si="70"/>
        <v>4.1219999999999999</v>
      </c>
      <c r="I104" s="77"/>
      <c r="J104" s="221">
        <f t="shared" si="71"/>
        <v>0</v>
      </c>
      <c r="K104" s="222">
        <f>'BETON Qte'!K104</f>
        <v>0</v>
      </c>
      <c r="L104" s="219">
        <f t="shared" si="72"/>
        <v>0</v>
      </c>
      <c r="M104" s="220">
        <f t="shared" si="73"/>
        <v>0</v>
      </c>
      <c r="N104" s="77"/>
      <c r="O104" s="223">
        <f t="shared" si="74"/>
        <v>0</v>
      </c>
      <c r="P104" s="224">
        <f t="shared" si="43"/>
        <v>0</v>
      </c>
      <c r="Q104" s="225"/>
      <c r="R104" s="226">
        <f t="shared" si="75"/>
        <v>0</v>
      </c>
      <c r="S104" s="77"/>
      <c r="T104" s="227">
        <v>4.1219999999999999</v>
      </c>
      <c r="U104" s="78"/>
      <c r="V104" s="221">
        <f t="shared" si="76"/>
        <v>4.1219999999999999</v>
      </c>
      <c r="W104" s="220">
        <f t="shared" si="77"/>
        <v>0</v>
      </c>
      <c r="X104" s="79"/>
      <c r="AD104" s="228">
        <v>0</v>
      </c>
      <c r="AE104" s="229">
        <v>0</v>
      </c>
      <c r="AF104" s="230">
        <v>0</v>
      </c>
      <c r="AG104" s="231">
        <v>0</v>
      </c>
    </row>
    <row r="105" spans="1:33" s="80" customFormat="1" ht="15" customHeight="1">
      <c r="A105" s="215"/>
      <c r="B105" s="216" t="s">
        <v>246</v>
      </c>
      <c r="C105" s="50"/>
      <c r="D105" s="217" t="s">
        <v>327</v>
      </c>
      <c r="E105" s="296">
        <v>0</v>
      </c>
      <c r="F105" s="219"/>
      <c r="G105" s="219"/>
      <c r="H105" s="220">
        <f t="shared" si="70"/>
        <v>0</v>
      </c>
      <c r="I105" s="77"/>
      <c r="J105" s="221">
        <f t="shared" si="71"/>
        <v>0</v>
      </c>
      <c r="K105" s="222">
        <f>'BETON Qte'!K105</f>
        <v>0</v>
      </c>
      <c r="L105" s="219">
        <f t="shared" si="72"/>
        <v>0</v>
      </c>
      <c r="M105" s="220">
        <f t="shared" si="73"/>
        <v>0</v>
      </c>
      <c r="N105" s="77"/>
      <c r="O105" s="223">
        <f t="shared" si="74"/>
        <v>0</v>
      </c>
      <c r="P105" s="224" t="str">
        <f t="shared" si="43"/>
        <v/>
      </c>
      <c r="Q105" s="225"/>
      <c r="R105" s="226">
        <f t="shared" si="75"/>
        <v>0</v>
      </c>
      <c r="S105" s="77"/>
      <c r="T105" s="227">
        <v>0</v>
      </c>
      <c r="U105" s="78"/>
      <c r="V105" s="221">
        <f t="shared" si="76"/>
        <v>0</v>
      </c>
      <c r="W105" s="220">
        <f t="shared" si="77"/>
        <v>0</v>
      </c>
      <c r="X105" s="79"/>
      <c r="AD105" s="228">
        <v>0</v>
      </c>
      <c r="AE105" s="229">
        <v>0</v>
      </c>
      <c r="AF105" s="230">
        <v>0</v>
      </c>
      <c r="AG105" s="231">
        <v>0</v>
      </c>
    </row>
    <row r="106" spans="1:33" s="80" customFormat="1" ht="15" customHeight="1">
      <c r="A106" s="215"/>
      <c r="B106" s="216" t="s">
        <v>247</v>
      </c>
      <c r="C106" s="50"/>
      <c r="D106" s="217" t="s">
        <v>327</v>
      </c>
      <c r="E106" s="296">
        <v>0</v>
      </c>
      <c r="F106" s="219"/>
      <c r="G106" s="219"/>
      <c r="H106" s="220">
        <f t="shared" si="70"/>
        <v>0</v>
      </c>
      <c r="I106" s="77"/>
      <c r="J106" s="221">
        <f t="shared" si="71"/>
        <v>0</v>
      </c>
      <c r="K106" s="222">
        <f>'BETON Qte'!K106</f>
        <v>0</v>
      </c>
      <c r="L106" s="219">
        <f t="shared" si="72"/>
        <v>0</v>
      </c>
      <c r="M106" s="220">
        <f t="shared" si="73"/>
        <v>0</v>
      </c>
      <c r="N106" s="77"/>
      <c r="O106" s="223">
        <f t="shared" si="74"/>
        <v>0</v>
      </c>
      <c r="P106" s="224" t="str">
        <f t="shared" si="43"/>
        <v/>
      </c>
      <c r="Q106" s="225"/>
      <c r="R106" s="226">
        <f t="shared" si="75"/>
        <v>0</v>
      </c>
      <c r="S106" s="77"/>
      <c r="T106" s="227">
        <v>0</v>
      </c>
      <c r="U106" s="78"/>
      <c r="V106" s="221">
        <f t="shared" si="76"/>
        <v>0</v>
      </c>
      <c r="W106" s="220">
        <f t="shared" si="77"/>
        <v>0</v>
      </c>
      <c r="X106" s="79"/>
      <c r="AD106" s="228">
        <v>0</v>
      </c>
      <c r="AE106" s="229">
        <v>0</v>
      </c>
      <c r="AF106" s="230">
        <v>0</v>
      </c>
      <c r="AG106" s="231">
        <v>0</v>
      </c>
    </row>
    <row r="107" spans="1:33" s="80" customFormat="1" ht="15" customHeight="1">
      <c r="A107" s="215"/>
      <c r="B107" s="216" t="s">
        <v>248</v>
      </c>
      <c r="C107" s="50"/>
      <c r="D107" s="217" t="s">
        <v>327</v>
      </c>
      <c r="E107" s="296">
        <v>3.0449999999999999</v>
      </c>
      <c r="F107" s="219"/>
      <c r="G107" s="219"/>
      <c r="H107" s="220">
        <f t="shared" si="70"/>
        <v>3.0449999999999999</v>
      </c>
      <c r="I107" s="77"/>
      <c r="J107" s="221">
        <f t="shared" si="71"/>
        <v>0</v>
      </c>
      <c r="K107" s="222">
        <f>'BETON Qte'!K107</f>
        <v>0</v>
      </c>
      <c r="L107" s="219">
        <f t="shared" si="72"/>
        <v>0</v>
      </c>
      <c r="M107" s="220">
        <f t="shared" si="73"/>
        <v>0</v>
      </c>
      <c r="N107" s="77"/>
      <c r="O107" s="223">
        <f t="shared" si="74"/>
        <v>0</v>
      </c>
      <c r="P107" s="224">
        <f t="shared" si="43"/>
        <v>0</v>
      </c>
      <c r="Q107" s="225"/>
      <c r="R107" s="226">
        <f t="shared" si="75"/>
        <v>0</v>
      </c>
      <c r="S107" s="77"/>
      <c r="T107" s="227">
        <v>3.0449999999999999</v>
      </c>
      <c r="U107" s="78"/>
      <c r="V107" s="221">
        <f t="shared" si="76"/>
        <v>3.0449999999999999</v>
      </c>
      <c r="W107" s="220">
        <f t="shared" si="77"/>
        <v>0</v>
      </c>
      <c r="X107" s="79"/>
      <c r="AD107" s="228">
        <v>0</v>
      </c>
      <c r="AE107" s="229">
        <v>0</v>
      </c>
      <c r="AF107" s="230">
        <v>0</v>
      </c>
      <c r="AG107" s="231">
        <v>0</v>
      </c>
    </row>
    <row r="108" spans="1:33" s="80" customFormat="1" ht="15" customHeight="1" thickBot="1">
      <c r="A108" s="215"/>
      <c r="B108" s="216" t="s">
        <v>249</v>
      </c>
      <c r="C108" s="50"/>
      <c r="D108" s="217" t="s">
        <v>327</v>
      </c>
      <c r="E108" s="296">
        <v>0</v>
      </c>
      <c r="F108" s="219"/>
      <c r="G108" s="219"/>
      <c r="H108" s="220">
        <f t="shared" si="70"/>
        <v>0</v>
      </c>
      <c r="I108" s="77"/>
      <c r="J108" s="233">
        <f t="shared" si="71"/>
        <v>0</v>
      </c>
      <c r="K108" s="234">
        <f>'BETON Qte'!K108</f>
        <v>0</v>
      </c>
      <c r="L108" s="235">
        <f t="shared" si="72"/>
        <v>0</v>
      </c>
      <c r="M108" s="236">
        <f t="shared" si="73"/>
        <v>0</v>
      </c>
      <c r="N108" s="77"/>
      <c r="O108" s="237">
        <f t="shared" si="74"/>
        <v>0</v>
      </c>
      <c r="P108" s="238" t="str">
        <f t="shared" si="43"/>
        <v/>
      </c>
      <c r="Q108" s="239"/>
      <c r="R108" s="240">
        <f t="shared" si="75"/>
        <v>0</v>
      </c>
      <c r="S108" s="77"/>
      <c r="T108" s="350">
        <v>0</v>
      </c>
      <c r="U108" s="78"/>
      <c r="V108" s="233">
        <f t="shared" si="76"/>
        <v>0</v>
      </c>
      <c r="W108" s="236">
        <f t="shared" si="77"/>
        <v>0</v>
      </c>
      <c r="X108" s="79"/>
      <c r="AD108" s="241">
        <v>0</v>
      </c>
      <c r="AE108" s="242">
        <v>0</v>
      </c>
      <c r="AF108" s="243">
        <v>0</v>
      </c>
      <c r="AG108" s="244">
        <v>0</v>
      </c>
    </row>
    <row r="109" spans="1:33" s="76" customFormat="1" ht="19.5" customHeight="1" thickBot="1">
      <c r="A109" s="256" t="s">
        <v>529</v>
      </c>
      <c r="B109" s="257" t="s">
        <v>530</v>
      </c>
      <c r="C109" s="74"/>
      <c r="D109" s="258" t="s">
        <v>327</v>
      </c>
      <c r="E109" s="259">
        <f>SUM(E110:E112)</f>
        <v>41.349693251533736</v>
      </c>
      <c r="F109" s="201">
        <f>SUM(F110:F112)</f>
        <v>0</v>
      </c>
      <c r="G109" s="201">
        <f>SUM(G110:G112)</f>
        <v>0</v>
      </c>
      <c r="H109" s="246">
        <f>SUM(H110:H112)</f>
        <v>41.349693251533736</v>
      </c>
      <c r="I109" s="75"/>
      <c r="J109" s="245">
        <f>SUM(J110:J112)</f>
        <v>0</v>
      </c>
      <c r="K109" s="260">
        <f>IFERROR(J109/H109,"")</f>
        <v>0</v>
      </c>
      <c r="L109" s="201">
        <f>SUM(L110:L112)</f>
        <v>0</v>
      </c>
      <c r="M109" s="246">
        <f>SUM(M110:M112)</f>
        <v>0</v>
      </c>
      <c r="N109" s="75"/>
      <c r="O109" s="351">
        <f>SUM(O110:O112)</f>
        <v>0</v>
      </c>
      <c r="P109" s="352">
        <f t="shared" si="43"/>
        <v>0</v>
      </c>
      <c r="Q109" s="208">
        <f>SUM(Q110:Q112)</f>
        <v>0</v>
      </c>
      <c r="R109" s="353">
        <f>SUM(R110:R112)</f>
        <v>0</v>
      </c>
      <c r="S109" s="75"/>
      <c r="T109" s="354">
        <f>SUM(T110:T112)</f>
        <v>41.349693251533736</v>
      </c>
      <c r="U109" s="75"/>
      <c r="V109" s="245">
        <f>SUM(V110:V112)</f>
        <v>41.349693251533736</v>
      </c>
      <c r="W109" s="246">
        <f>SUM(W110:W112)</f>
        <v>0</v>
      </c>
      <c r="X109" s="72"/>
      <c r="AD109" s="252">
        <v>0</v>
      </c>
      <c r="AE109" s="253">
        <v>0</v>
      </c>
      <c r="AF109" s="355">
        <v>0</v>
      </c>
      <c r="AG109" s="255">
        <v>0</v>
      </c>
    </row>
    <row r="110" spans="1:33" s="80" customFormat="1" ht="15" customHeight="1">
      <c r="A110" s="215"/>
      <c r="B110" s="216" t="s">
        <v>252</v>
      </c>
      <c r="C110" s="50"/>
      <c r="D110" s="217" t="s">
        <v>327</v>
      </c>
      <c r="E110" s="296">
        <v>0</v>
      </c>
      <c r="F110" s="219"/>
      <c r="G110" s="219"/>
      <c r="H110" s="220">
        <f>SUM(E110:G110)</f>
        <v>0</v>
      </c>
      <c r="I110" s="77"/>
      <c r="J110" s="221">
        <f>H110*K110/100</f>
        <v>0</v>
      </c>
      <c r="K110" s="222">
        <f>'BETON Qte'!K110</f>
        <v>0</v>
      </c>
      <c r="L110" s="219">
        <f>Q110+AF110</f>
        <v>0</v>
      </c>
      <c r="M110" s="220">
        <f>J110-L110</f>
        <v>0</v>
      </c>
      <c r="N110" s="77"/>
      <c r="O110" s="223">
        <f>J110-AD110</f>
        <v>0</v>
      </c>
      <c r="P110" s="224" t="str">
        <f t="shared" si="43"/>
        <v/>
      </c>
      <c r="Q110" s="225"/>
      <c r="R110" s="226">
        <f>O110-Q110</f>
        <v>0</v>
      </c>
      <c r="S110" s="77"/>
      <c r="T110" s="227">
        <v>0</v>
      </c>
      <c r="U110" s="78"/>
      <c r="V110" s="221">
        <f t="shared" ref="V110:V112" si="78">L110+T110</f>
        <v>0</v>
      </c>
      <c r="W110" s="220">
        <f t="shared" ref="W110:W112" si="79">H110-V110</f>
        <v>0</v>
      </c>
      <c r="X110" s="79"/>
      <c r="AD110" s="228">
        <v>0</v>
      </c>
      <c r="AE110" s="229">
        <v>0</v>
      </c>
      <c r="AF110" s="230">
        <v>0</v>
      </c>
      <c r="AG110" s="231">
        <v>0</v>
      </c>
    </row>
    <row r="111" spans="1:33" s="80" customFormat="1" ht="15" customHeight="1">
      <c r="A111" s="215"/>
      <c r="B111" s="216" t="s">
        <v>252</v>
      </c>
      <c r="C111" s="50"/>
      <c r="D111" s="217" t="s">
        <v>327</v>
      </c>
      <c r="E111" s="296">
        <v>0</v>
      </c>
      <c r="F111" s="219"/>
      <c r="G111" s="219"/>
      <c r="H111" s="220">
        <f t="shared" ref="H111:H112" si="80">SUM(E111:G111)</f>
        <v>0</v>
      </c>
      <c r="I111" s="77"/>
      <c r="J111" s="221">
        <f t="shared" ref="J111:J112" si="81">H111*K111/100</f>
        <v>0</v>
      </c>
      <c r="K111" s="222">
        <f>'BETON Qte'!K111</f>
        <v>0</v>
      </c>
      <c r="L111" s="219">
        <f t="shared" ref="L111:L112" si="82">Q111+AF111</f>
        <v>0</v>
      </c>
      <c r="M111" s="220">
        <f t="shared" ref="M111:M112" si="83">J111-L111</f>
        <v>0</v>
      </c>
      <c r="N111" s="77"/>
      <c r="O111" s="223">
        <f t="shared" ref="O111:O112" si="84">J111-AD111</f>
        <v>0</v>
      </c>
      <c r="P111" s="224" t="str">
        <f t="shared" si="43"/>
        <v/>
      </c>
      <c r="Q111" s="225"/>
      <c r="R111" s="226">
        <f t="shared" ref="R111:R112" si="85">O111-Q111</f>
        <v>0</v>
      </c>
      <c r="S111" s="77"/>
      <c r="T111" s="227">
        <v>0</v>
      </c>
      <c r="U111" s="78"/>
      <c r="V111" s="221">
        <f t="shared" si="78"/>
        <v>0</v>
      </c>
      <c r="W111" s="220">
        <f t="shared" si="79"/>
        <v>0</v>
      </c>
      <c r="X111" s="79"/>
      <c r="AD111" s="228">
        <v>0</v>
      </c>
      <c r="AE111" s="229">
        <v>0</v>
      </c>
      <c r="AF111" s="230">
        <v>0</v>
      </c>
      <c r="AG111" s="231">
        <v>0</v>
      </c>
    </row>
    <row r="112" spans="1:33" s="80" customFormat="1" ht="15" customHeight="1" thickBot="1">
      <c r="A112" s="261"/>
      <c r="B112" s="262" t="s">
        <v>253</v>
      </c>
      <c r="C112" s="50"/>
      <c r="D112" s="263" t="s">
        <v>327</v>
      </c>
      <c r="E112" s="297">
        <v>41.349693251533736</v>
      </c>
      <c r="F112" s="265"/>
      <c r="G112" s="265"/>
      <c r="H112" s="266">
        <f t="shared" si="80"/>
        <v>41.349693251533736</v>
      </c>
      <c r="I112" s="77"/>
      <c r="J112" s="267">
        <f t="shared" si="81"/>
        <v>0</v>
      </c>
      <c r="K112" s="268">
        <f>'BETON Qte'!K112</f>
        <v>0</v>
      </c>
      <c r="L112" s="265">
        <f t="shared" si="82"/>
        <v>0</v>
      </c>
      <c r="M112" s="266">
        <f t="shared" si="83"/>
        <v>0</v>
      </c>
      <c r="N112" s="77"/>
      <c r="O112" s="269">
        <f t="shared" si="84"/>
        <v>0</v>
      </c>
      <c r="P112" s="270">
        <f t="shared" si="43"/>
        <v>0</v>
      </c>
      <c r="Q112" s="271"/>
      <c r="R112" s="272">
        <f t="shared" si="85"/>
        <v>0</v>
      </c>
      <c r="S112" s="77"/>
      <c r="T112" s="273">
        <v>41.349693251533736</v>
      </c>
      <c r="U112" s="78"/>
      <c r="V112" s="267">
        <f t="shared" si="78"/>
        <v>41.349693251533736</v>
      </c>
      <c r="W112" s="266">
        <f t="shared" si="79"/>
        <v>0</v>
      </c>
      <c r="X112" s="79"/>
      <c r="AD112" s="274">
        <v>0</v>
      </c>
      <c r="AE112" s="275">
        <v>0</v>
      </c>
      <c r="AF112" s="276">
        <v>0</v>
      </c>
      <c r="AG112" s="277">
        <v>0</v>
      </c>
    </row>
    <row r="113" spans="1:33">
      <c r="E113" s="82"/>
      <c r="F113" s="82"/>
      <c r="G113" s="82"/>
      <c r="H113" s="82"/>
      <c r="I113" s="83"/>
      <c r="J113" s="82"/>
      <c r="K113" s="82"/>
      <c r="L113" s="82"/>
      <c r="M113" s="82"/>
      <c r="N113" s="83"/>
      <c r="O113" s="82"/>
      <c r="P113" s="82"/>
      <c r="Q113" s="82"/>
      <c r="R113" s="82"/>
      <c r="S113" s="83"/>
      <c r="T113" s="82"/>
      <c r="U113" s="84"/>
      <c r="V113" s="82"/>
      <c r="W113" s="82"/>
    </row>
    <row r="114" spans="1:33">
      <c r="E114" s="82"/>
      <c r="F114" s="82"/>
      <c r="G114" s="82"/>
      <c r="H114" s="82"/>
      <c r="I114" s="83"/>
      <c r="J114" s="82"/>
      <c r="K114" s="82"/>
      <c r="L114" s="82"/>
      <c r="M114" s="82"/>
      <c r="N114" s="83"/>
      <c r="O114" s="82"/>
      <c r="P114" s="179"/>
      <c r="Q114" s="82"/>
      <c r="R114" s="82"/>
      <c r="S114" s="83"/>
      <c r="T114" s="82"/>
      <c r="U114" s="84"/>
      <c r="V114" s="82"/>
      <c r="W114" s="82"/>
    </row>
    <row r="115" spans="1:33">
      <c r="E115" s="82"/>
      <c r="F115" s="82"/>
      <c r="G115" s="82"/>
      <c r="H115" s="82"/>
      <c r="I115" s="83"/>
      <c r="J115" s="82"/>
      <c r="K115" s="82"/>
      <c r="L115" s="82"/>
      <c r="M115" s="82"/>
      <c r="N115" s="83"/>
      <c r="O115" s="82"/>
      <c r="P115" s="82"/>
      <c r="Q115" s="82"/>
      <c r="R115" s="82"/>
      <c r="S115" s="83"/>
      <c r="T115" s="82"/>
      <c r="U115" s="84"/>
      <c r="V115" s="82"/>
      <c r="W115" s="82"/>
    </row>
    <row r="116" spans="1:33">
      <c r="E116" s="82"/>
      <c r="F116" s="82"/>
      <c r="G116" s="82"/>
      <c r="H116" s="82"/>
      <c r="I116" s="83"/>
      <c r="J116" s="82"/>
      <c r="K116" s="82"/>
      <c r="L116" s="82"/>
      <c r="M116" s="82"/>
      <c r="N116" s="83"/>
      <c r="O116" s="82"/>
      <c r="P116" s="179"/>
      <c r="Q116" s="82"/>
      <c r="R116" s="82"/>
      <c r="S116" s="83"/>
      <c r="T116" s="82"/>
      <c r="U116" s="84"/>
      <c r="V116" s="82"/>
      <c r="W116" s="82"/>
    </row>
    <row r="117" spans="1:33">
      <c r="E117" s="82"/>
      <c r="F117" s="82"/>
      <c r="G117" s="82"/>
      <c r="H117" s="82"/>
      <c r="I117" s="83"/>
      <c r="J117" s="82"/>
      <c r="K117" s="82"/>
      <c r="L117" s="82"/>
      <c r="M117" s="82"/>
      <c r="N117" s="83"/>
      <c r="O117" s="82"/>
      <c r="P117" s="82"/>
      <c r="Q117" s="82"/>
      <c r="R117" s="82"/>
      <c r="S117" s="83"/>
      <c r="T117" s="82"/>
      <c r="U117" s="84"/>
      <c r="V117" s="82"/>
      <c r="W117" s="82"/>
    </row>
    <row r="118" spans="1:33" ht="13.5" thickBot="1">
      <c r="E118" s="82"/>
      <c r="F118" s="82"/>
      <c r="G118" s="82"/>
      <c r="H118" s="82"/>
      <c r="I118" s="83"/>
      <c r="J118" s="82"/>
      <c r="K118" s="82"/>
      <c r="L118" s="82"/>
      <c r="M118" s="82"/>
      <c r="N118" s="83"/>
      <c r="O118" s="82"/>
      <c r="P118" s="82"/>
      <c r="Q118" s="82"/>
      <c r="R118" s="82"/>
      <c r="S118" s="83"/>
      <c r="T118" s="82"/>
      <c r="U118" s="84"/>
      <c r="V118" s="82"/>
      <c r="W118" s="82"/>
    </row>
    <row r="119" spans="1:33" s="73" customFormat="1" ht="19.5" customHeight="1" thickBot="1">
      <c r="A119" s="298" t="s">
        <v>188</v>
      </c>
      <c r="B119" s="279" t="s">
        <v>325</v>
      </c>
      <c r="C119" s="69"/>
      <c r="D119" s="280" t="s">
        <v>327</v>
      </c>
      <c r="E119" s="299">
        <f>SUM(E120:E122)</f>
        <v>0</v>
      </c>
      <c r="F119" s="300">
        <f>SUM(F120:F122)</f>
        <v>0</v>
      </c>
      <c r="G119" s="300">
        <f>SUM(G120:G122)</f>
        <v>0</v>
      </c>
      <c r="H119" s="301">
        <f>SUM(H120:H122)</f>
        <v>0</v>
      </c>
      <c r="I119" s="70"/>
      <c r="J119" s="299">
        <f>SUM(J120:J122)</f>
        <v>0</v>
      </c>
      <c r="K119" s="365" t="str">
        <f>IFERROR(J119/H119,"")</f>
        <v/>
      </c>
      <c r="L119" s="300">
        <f>SUM(L120:L122)</f>
        <v>2.0149999999999997</v>
      </c>
      <c r="M119" s="301">
        <f>SUM(M120:M122)</f>
        <v>-2.0149999999999997</v>
      </c>
      <c r="N119" s="70"/>
      <c r="O119" s="366">
        <f>SUM(O120:O122)</f>
        <v>0</v>
      </c>
      <c r="P119" s="367" t="str">
        <f t="shared" ref="P119:P122" si="86">IFERROR(O119/H119,"")</f>
        <v/>
      </c>
      <c r="Q119" s="287">
        <f>SUM(Q120:Q122)</f>
        <v>0</v>
      </c>
      <c r="R119" s="368">
        <f>SUM(R120:R122)</f>
        <v>0</v>
      </c>
      <c r="S119" s="70"/>
      <c r="T119" s="369">
        <f>SUM(T120:T122)</f>
        <v>0</v>
      </c>
      <c r="U119" s="71"/>
      <c r="V119" s="366">
        <f>SUM(V120:V122)</f>
        <v>0</v>
      </c>
      <c r="W119" s="301">
        <f>SUM(W120:W122)</f>
        <v>0</v>
      </c>
      <c r="X119" s="72"/>
      <c r="AD119" s="291">
        <v>0</v>
      </c>
      <c r="AE119" s="292" t="s">
        <v>67</v>
      </c>
      <c r="AF119" s="293">
        <v>2.0149999999999997</v>
      </c>
      <c r="AG119" s="294">
        <v>-2.0149999999999997</v>
      </c>
    </row>
    <row r="120" spans="1:33" s="80" customFormat="1" ht="15" customHeight="1">
      <c r="A120" s="215" t="s">
        <v>313</v>
      </c>
      <c r="B120" s="216" t="s">
        <v>89</v>
      </c>
      <c r="C120" s="50"/>
      <c r="D120" s="217" t="s">
        <v>327</v>
      </c>
      <c r="E120" s="221">
        <v>0</v>
      </c>
      <c r="F120" s="219"/>
      <c r="G120" s="219"/>
      <c r="H120" s="220">
        <f t="shared" ref="H120" si="87">SUM(E120:G120)</f>
        <v>0</v>
      </c>
      <c r="I120" s="77"/>
      <c r="J120" s="307">
        <f t="shared" ref="J120" si="88">H120*K120/100</f>
        <v>0</v>
      </c>
      <c r="K120" s="308">
        <f>'BETON Qte'!K180</f>
        <v>0</v>
      </c>
      <c r="L120" s="219">
        <f t="shared" ref="L120" si="89">Q120+AF120</f>
        <v>0</v>
      </c>
      <c r="M120" s="309">
        <f t="shared" ref="M120" si="90">J120-L120</f>
        <v>0</v>
      </c>
      <c r="N120" s="81"/>
      <c r="O120" s="223">
        <f t="shared" ref="O120" si="91">J120-AD120</f>
        <v>0</v>
      </c>
      <c r="P120" s="370" t="str">
        <f t="shared" si="86"/>
        <v/>
      </c>
      <c r="Q120" s="311"/>
      <c r="R120" s="232">
        <f t="shared" ref="R120" si="92">O120-Q120</f>
        <v>0</v>
      </c>
      <c r="S120" s="77"/>
      <c r="T120" s="312"/>
      <c r="U120" s="78"/>
      <c r="V120" s="221"/>
      <c r="W120" s="220"/>
      <c r="X120" s="79"/>
      <c r="AD120" s="228">
        <v>0</v>
      </c>
      <c r="AE120" s="313">
        <v>0</v>
      </c>
      <c r="AF120" s="230">
        <v>0</v>
      </c>
      <c r="AG120" s="231">
        <v>0</v>
      </c>
    </row>
    <row r="121" spans="1:33" s="80" customFormat="1" ht="15" customHeight="1">
      <c r="A121" s="215" t="s">
        <v>314</v>
      </c>
      <c r="B121" s="216" t="s">
        <v>315</v>
      </c>
      <c r="C121" s="50"/>
      <c r="D121" s="217" t="s">
        <v>327</v>
      </c>
      <c r="E121" s="221">
        <v>0</v>
      </c>
      <c r="F121" s="219"/>
      <c r="G121" s="219"/>
      <c r="H121" s="220">
        <f>SUM(E121:G121)</f>
        <v>0</v>
      </c>
      <c r="I121" s="77"/>
      <c r="J121" s="314">
        <f>H121*K121/100</f>
        <v>0</v>
      </c>
      <c r="K121" s="308">
        <f>'BETON Qte'!K181</f>
        <v>0</v>
      </c>
      <c r="L121" s="219">
        <f>Q121+AF121</f>
        <v>0</v>
      </c>
      <c r="M121" s="309">
        <f>J121-L121</f>
        <v>0</v>
      </c>
      <c r="N121" s="81"/>
      <c r="O121" s="223">
        <f>J121-AD121</f>
        <v>0</v>
      </c>
      <c r="P121" s="370" t="str">
        <f t="shared" si="86"/>
        <v/>
      </c>
      <c r="Q121" s="315"/>
      <c r="R121" s="232">
        <f>O121-Q121</f>
        <v>0</v>
      </c>
      <c r="S121" s="77"/>
      <c r="T121" s="312"/>
      <c r="U121" s="78"/>
      <c r="V121" s="221"/>
      <c r="W121" s="220"/>
      <c r="X121" s="79"/>
      <c r="AD121" s="228">
        <v>0</v>
      </c>
      <c r="AE121" s="313">
        <v>0</v>
      </c>
      <c r="AF121" s="230">
        <v>0</v>
      </c>
      <c r="AG121" s="231">
        <v>0</v>
      </c>
    </row>
    <row r="122" spans="1:33" s="80" customFormat="1" ht="15" customHeight="1" thickBot="1">
      <c r="A122" s="261" t="s">
        <v>317</v>
      </c>
      <c r="B122" s="262" t="s">
        <v>328</v>
      </c>
      <c r="C122" s="50"/>
      <c r="D122" s="263" t="s">
        <v>327</v>
      </c>
      <c r="E122" s="267">
        <v>0</v>
      </c>
      <c r="F122" s="265"/>
      <c r="G122" s="265"/>
      <c r="H122" s="266">
        <f>SUM(E122:G122)</f>
        <v>0</v>
      </c>
      <c r="I122" s="77"/>
      <c r="J122" s="360">
        <f>H122*K122/100</f>
        <v>0</v>
      </c>
      <c r="K122" s="361">
        <f>'BETON Qte'!K182</f>
        <v>0</v>
      </c>
      <c r="L122" s="265">
        <f>Q122+AF122</f>
        <v>2.0149999999999997</v>
      </c>
      <c r="M122" s="362">
        <f>J122-L122</f>
        <v>-2.0149999999999997</v>
      </c>
      <c r="N122" s="81"/>
      <c r="O122" s="269">
        <f>J122-AD122</f>
        <v>0</v>
      </c>
      <c r="P122" s="371" t="str">
        <f t="shared" si="86"/>
        <v/>
      </c>
      <c r="Q122" s="363"/>
      <c r="R122" s="333">
        <f>O122-Q122</f>
        <v>0</v>
      </c>
      <c r="S122" s="77"/>
      <c r="T122" s="334"/>
      <c r="U122" s="78"/>
      <c r="V122" s="267"/>
      <c r="W122" s="266"/>
      <c r="X122" s="79"/>
      <c r="AD122" s="274">
        <v>0</v>
      </c>
      <c r="AE122" s="364">
        <v>0</v>
      </c>
      <c r="AF122" s="276">
        <v>2.0149999999999997</v>
      </c>
      <c r="AG122" s="277">
        <v>-2.0149999999999997</v>
      </c>
    </row>
    <row r="123" spans="1:33">
      <c r="J123" s="33"/>
      <c r="K123" s="33"/>
    </row>
    <row r="124" spans="1:33">
      <c r="J124" s="33"/>
      <c r="K124" s="33"/>
    </row>
    <row r="125" spans="1:33">
      <c r="J125" s="33"/>
      <c r="K125" s="33"/>
    </row>
    <row r="126" spans="1:33">
      <c r="J126" s="33"/>
      <c r="K126" s="33"/>
    </row>
    <row r="127" spans="1:33">
      <c r="J127" s="33"/>
      <c r="K127" s="33"/>
    </row>
    <row r="128" spans="1:33">
      <c r="J128" s="33"/>
      <c r="K128" s="33"/>
    </row>
    <row r="129" spans="7:11">
      <c r="J129" s="33"/>
      <c r="K129" s="33"/>
    </row>
    <row r="130" spans="7:11">
      <c r="J130" s="33"/>
      <c r="K130" s="33"/>
    </row>
    <row r="131" spans="7:11">
      <c r="J131" s="33"/>
      <c r="K131" s="33"/>
    </row>
    <row r="132" spans="7:11">
      <c r="J132" s="33"/>
      <c r="K132" s="33"/>
    </row>
    <row r="133" spans="7:11">
      <c r="J133" s="33"/>
      <c r="K133" s="33"/>
    </row>
    <row r="134" spans="7:11">
      <c r="J134" s="33"/>
      <c r="K134" s="33"/>
    </row>
    <row r="135" spans="7:11">
      <c r="J135" s="33"/>
      <c r="K135" s="33"/>
    </row>
    <row r="136" spans="7:11">
      <c r="J136" s="33"/>
      <c r="K136" s="33"/>
    </row>
    <row r="137" spans="7:11">
      <c r="J137" s="33"/>
      <c r="K137" s="33"/>
    </row>
    <row r="138" spans="7:11">
      <c r="J138" s="33"/>
      <c r="K138" s="33"/>
    </row>
    <row r="139" spans="7:11">
      <c r="J139" s="33"/>
      <c r="K139" s="33"/>
    </row>
    <row r="140" spans="7:11">
      <c r="J140" s="33"/>
      <c r="K140" s="33"/>
    </row>
    <row r="141" spans="7:11">
      <c r="J141" s="33"/>
      <c r="K141" s="33"/>
    </row>
    <row r="142" spans="7:11">
      <c r="J142" s="33"/>
      <c r="K142" s="33"/>
    </row>
    <row r="143" spans="7:11">
      <c r="J143" s="33"/>
      <c r="K143" s="33"/>
    </row>
    <row r="144" spans="7:11">
      <c r="G144" s="94"/>
      <c r="J144" s="33"/>
      <c r="K144" s="33"/>
    </row>
    <row r="145" spans="7:11">
      <c r="G145" s="94"/>
      <c r="J145" s="33"/>
      <c r="K145" s="33"/>
    </row>
    <row r="146" spans="7:11">
      <c r="G146" s="94"/>
      <c r="J146" s="33"/>
      <c r="K146" s="33"/>
    </row>
    <row r="147" spans="7:11">
      <c r="J147" s="33"/>
      <c r="K147" s="33"/>
    </row>
    <row r="148" spans="7:11">
      <c r="J148" s="33"/>
      <c r="K148" s="33"/>
    </row>
    <row r="149" spans="7:11">
      <c r="J149" s="33"/>
      <c r="K149" s="33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D8:AG8"/>
    <mergeCell ref="H9:H10"/>
    <mergeCell ref="J9:K9"/>
    <mergeCell ref="O9:P9"/>
    <mergeCell ref="T9:T10"/>
    <mergeCell ref="AD9:AE9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/>
  <rowBreaks count="1" manualBreakCount="1">
    <brk id="63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>
    <tabColor rgb="FF7030A0"/>
    <outlinePr summaryBelow="0" summaryRight="0"/>
    <pageSetUpPr fitToPage="1"/>
  </sheetPr>
  <dimension ref="A1:AW300"/>
  <sheetViews>
    <sheetView showGridLines="0" showZeros="0" zoomScale="75" zoomScaleNormal="75" zoomScaleSheetLayoutView="80" zoomScalePageLayoutView="75" workbookViewId="0">
      <pane ySplit="7" topLeftCell="A278" activePane="bottomLeft" state="frozenSplit"/>
      <selection pane="bottomLeft" activeCell="V289" sqref="V289"/>
    </sheetView>
  </sheetViews>
  <sheetFormatPr baseColWidth="10" defaultColWidth="9.140625" defaultRowHeight="13.5"/>
  <cols>
    <col min="1" max="1" width="31.7109375" style="558" bestFit="1" customWidth="1"/>
    <col min="2" max="2" width="37.85546875" style="558" bestFit="1" customWidth="1"/>
    <col min="3" max="3" width="15.85546875" style="558" customWidth="1"/>
    <col min="4" max="6" width="15.7109375" style="558" customWidth="1"/>
    <col min="7" max="7" width="2.42578125" style="558" customWidth="1"/>
    <col min="8" max="8" width="15.7109375" style="558" customWidth="1"/>
    <col min="9" max="9" width="15.85546875" style="558" customWidth="1"/>
    <col min="10" max="10" width="15.7109375" style="558" customWidth="1"/>
    <col min="11" max="11" width="0.85546875" style="373" customWidth="1"/>
    <col min="12" max="41" width="4.42578125" style="373" customWidth="1"/>
    <col min="42" max="42" width="1" style="382" customWidth="1"/>
    <col min="43" max="43" width="8.28515625" style="558" bestFit="1" customWidth="1"/>
    <col min="44" max="44" width="15.42578125" style="558" customWidth="1"/>
    <col min="45" max="47" width="15.7109375" style="558" customWidth="1"/>
    <col min="48" max="48" width="9.42578125" style="373" bestFit="1" customWidth="1"/>
    <col min="49" max="49" width="10.140625" style="373" bestFit="1" customWidth="1"/>
    <col min="50" max="16384" width="9.140625" style="373"/>
  </cols>
  <sheetData>
    <row r="1" spans="1:49" ht="27" customHeight="1">
      <c r="A1" s="557"/>
      <c r="B1" s="2078"/>
      <c r="C1" s="2078"/>
      <c r="D1" s="2078"/>
      <c r="E1" s="2078"/>
      <c r="F1" s="1769"/>
      <c r="J1" s="559"/>
      <c r="AQ1" s="559"/>
      <c r="AR1" s="559"/>
    </row>
    <row r="2" spans="1:49" ht="15" customHeight="1">
      <c r="A2" s="2092" t="str">
        <f>SYNTHESE!E6</f>
        <v xml:space="preserve">LES FAUBOURGS D'ANFA </v>
      </c>
      <c r="B2" s="2092"/>
    </row>
    <row r="3" spans="1:49" ht="15" customHeight="1">
      <c r="A3" s="2092" t="str">
        <f>SYNTHESE!E7</f>
        <v>CASABLANCA</v>
      </c>
      <c r="B3" s="2092"/>
      <c r="C3" s="560"/>
      <c r="D3" s="560"/>
      <c r="E3" s="560"/>
      <c r="F3" s="560"/>
      <c r="G3" s="560"/>
      <c r="H3" s="2079" t="s">
        <v>516</v>
      </c>
      <c r="I3" s="2079"/>
      <c r="J3" s="2079"/>
      <c r="K3" s="375"/>
      <c r="L3" s="375"/>
      <c r="M3" s="375"/>
      <c r="N3" s="375"/>
      <c r="O3" s="375"/>
      <c r="P3" s="375"/>
      <c r="Q3" s="375"/>
      <c r="R3" s="375"/>
      <c r="S3" s="375"/>
      <c r="T3" s="375"/>
      <c r="U3" s="375"/>
      <c r="V3" s="375"/>
      <c r="W3" s="375"/>
      <c r="X3" s="375"/>
      <c r="Y3" s="375"/>
      <c r="Z3" s="375"/>
      <c r="AA3" s="375"/>
      <c r="AB3" s="375"/>
      <c r="AC3" s="375"/>
      <c r="AD3" s="375"/>
      <c r="AE3" s="375"/>
      <c r="AF3" s="375"/>
      <c r="AG3" s="375"/>
      <c r="AH3" s="375"/>
      <c r="AI3" s="375"/>
      <c r="AJ3" s="375"/>
      <c r="AK3" s="375"/>
      <c r="AL3" s="375"/>
      <c r="AM3" s="375"/>
      <c r="AN3" s="375"/>
      <c r="AO3" s="375"/>
      <c r="AP3" s="384"/>
      <c r="AQ3" s="560"/>
      <c r="AR3" s="560"/>
      <c r="AS3" s="560"/>
      <c r="AT3" s="560"/>
      <c r="AU3" s="560"/>
      <c r="AW3" s="376"/>
    </row>
    <row r="4" spans="1:49" ht="14.25" thickBot="1">
      <c r="C4" s="560"/>
      <c r="D4" s="560"/>
      <c r="E4" s="560"/>
      <c r="F4" s="560"/>
      <c r="G4" s="560"/>
      <c r="H4" s="560"/>
      <c r="I4" s="560"/>
      <c r="J4" s="560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5"/>
      <c r="AG4" s="375"/>
      <c r="AH4" s="375"/>
      <c r="AI4" s="375"/>
      <c r="AJ4" s="375"/>
      <c r="AK4" s="375"/>
      <c r="AL4" s="375"/>
      <c r="AM4" s="375"/>
      <c r="AN4" s="375"/>
      <c r="AO4" s="375"/>
      <c r="AP4" s="384"/>
      <c r="AQ4" s="560"/>
      <c r="AR4" s="560"/>
      <c r="AS4" s="560"/>
      <c r="AT4" s="560"/>
      <c r="AU4" s="560"/>
    </row>
    <row r="5" spans="1:49" ht="30" customHeight="1" thickBot="1">
      <c r="C5" s="561" t="s">
        <v>329</v>
      </c>
      <c r="D5" s="562" t="s">
        <v>330</v>
      </c>
      <c r="E5" s="1771" t="s">
        <v>331</v>
      </c>
      <c r="F5" s="1770" t="s">
        <v>332</v>
      </c>
      <c r="G5" s="563" t="s">
        <v>333</v>
      </c>
      <c r="H5" s="2080" t="s">
        <v>334</v>
      </c>
      <c r="I5" s="2081"/>
      <c r="J5" s="2082"/>
      <c r="K5" s="1773" t="s">
        <v>333</v>
      </c>
      <c r="L5" s="377"/>
      <c r="M5" s="377"/>
      <c r="N5" s="377"/>
      <c r="O5" s="377"/>
      <c r="P5" s="377"/>
      <c r="Q5" s="377"/>
      <c r="R5" s="377"/>
      <c r="S5" s="377"/>
      <c r="T5" s="377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77"/>
      <c r="AH5" s="377"/>
      <c r="AI5" s="377"/>
      <c r="AJ5" s="377"/>
      <c r="AK5" s="377"/>
      <c r="AL5" s="377"/>
      <c r="AM5" s="377"/>
      <c r="AN5" s="377"/>
      <c r="AO5" s="377"/>
      <c r="AP5" s="377"/>
      <c r="AQ5" s="2083" t="s">
        <v>185</v>
      </c>
      <c r="AR5" s="2084"/>
      <c r="AS5" s="2085"/>
      <c r="AT5" s="2070" t="s">
        <v>335</v>
      </c>
      <c r="AU5" s="2071"/>
    </row>
    <row r="6" spans="1:49" ht="15" customHeight="1" thickBot="1">
      <c r="A6" s="2072" t="s">
        <v>188</v>
      </c>
      <c r="B6" s="2074" t="s">
        <v>189</v>
      </c>
      <c r="C6" s="2095" t="s">
        <v>324</v>
      </c>
      <c r="D6" s="2096"/>
      <c r="E6" s="2096"/>
      <c r="F6" s="2097"/>
      <c r="H6" s="564" t="s">
        <v>336</v>
      </c>
      <c r="I6" s="565" t="s">
        <v>193</v>
      </c>
      <c r="J6" s="1772" t="s">
        <v>337</v>
      </c>
      <c r="K6" s="382"/>
      <c r="L6" s="394" t="s">
        <v>338</v>
      </c>
      <c r="M6" s="395">
        <v>10</v>
      </c>
      <c r="N6" s="395">
        <v>11</v>
      </c>
      <c r="O6" s="395">
        <v>12</v>
      </c>
      <c r="P6" s="394" t="s">
        <v>339</v>
      </c>
      <c r="Q6" s="396" t="s">
        <v>340</v>
      </c>
      <c r="R6" s="396" t="s">
        <v>341</v>
      </c>
      <c r="S6" s="396" t="s">
        <v>342</v>
      </c>
      <c r="T6" s="396" t="s">
        <v>343</v>
      </c>
      <c r="U6" s="396" t="s">
        <v>344</v>
      </c>
      <c r="V6" s="396" t="s">
        <v>345</v>
      </c>
      <c r="W6" s="396" t="s">
        <v>346</v>
      </c>
      <c r="X6" s="396" t="s">
        <v>338</v>
      </c>
      <c r="Y6" s="396" t="s">
        <v>347</v>
      </c>
      <c r="Z6" s="396" t="s">
        <v>348</v>
      </c>
      <c r="AA6" s="396" t="s">
        <v>349</v>
      </c>
      <c r="AB6" s="394" t="s">
        <v>339</v>
      </c>
      <c r="AC6" s="396" t="s">
        <v>340</v>
      </c>
      <c r="AD6" s="396" t="s">
        <v>341</v>
      </c>
      <c r="AE6" s="396" t="s">
        <v>342</v>
      </c>
      <c r="AF6" s="396" t="s">
        <v>343</v>
      </c>
      <c r="AG6" s="396" t="s">
        <v>344</v>
      </c>
      <c r="AH6" s="396" t="s">
        <v>345</v>
      </c>
      <c r="AI6" s="396" t="s">
        <v>346</v>
      </c>
      <c r="AJ6" s="396" t="s">
        <v>338</v>
      </c>
      <c r="AK6" s="396" t="s">
        <v>347</v>
      </c>
      <c r="AL6" s="396" t="s">
        <v>348</v>
      </c>
      <c r="AM6" s="396" t="s">
        <v>349</v>
      </c>
      <c r="AN6" s="1756" t="s">
        <v>339</v>
      </c>
      <c r="AO6" s="397" t="s">
        <v>340</v>
      </c>
      <c r="AP6" s="383"/>
      <c r="AQ6" s="2086" t="s">
        <v>195</v>
      </c>
      <c r="AR6" s="2088" t="s">
        <v>179</v>
      </c>
      <c r="AS6" s="2090" t="s">
        <v>168</v>
      </c>
      <c r="AT6" s="575" t="s">
        <v>193</v>
      </c>
      <c r="AU6" s="576" t="s">
        <v>194</v>
      </c>
    </row>
    <row r="7" spans="1:49" ht="15" customHeight="1" thickBot="1">
      <c r="A7" s="2073"/>
      <c r="B7" s="2075"/>
      <c r="C7" s="2098"/>
      <c r="D7" s="2099"/>
      <c r="E7" s="2099"/>
      <c r="F7" s="2100"/>
      <c r="G7" s="1774"/>
      <c r="H7" s="566" t="s">
        <v>337</v>
      </c>
      <c r="I7" s="567" t="s">
        <v>517</v>
      </c>
      <c r="J7" s="1778" t="s">
        <v>350</v>
      </c>
      <c r="K7" s="382"/>
      <c r="L7" s="2076">
        <v>2016</v>
      </c>
      <c r="M7" s="2077"/>
      <c r="N7" s="2077"/>
      <c r="O7" s="2077"/>
      <c r="P7" s="2076">
        <v>2017</v>
      </c>
      <c r="Q7" s="2077"/>
      <c r="R7" s="2077"/>
      <c r="S7" s="2077"/>
      <c r="T7" s="2077"/>
      <c r="U7" s="2077"/>
      <c r="V7" s="2077"/>
      <c r="W7" s="2077"/>
      <c r="X7" s="2077"/>
      <c r="Y7" s="2077"/>
      <c r="Z7" s="2077"/>
      <c r="AA7" s="2077"/>
      <c r="AB7" s="2076">
        <v>2018</v>
      </c>
      <c r="AC7" s="2077"/>
      <c r="AD7" s="2077"/>
      <c r="AE7" s="2077"/>
      <c r="AF7" s="2077"/>
      <c r="AG7" s="2077"/>
      <c r="AH7" s="2077"/>
      <c r="AI7" s="2077"/>
      <c r="AJ7" s="2077"/>
      <c r="AK7" s="2077"/>
      <c r="AL7" s="2077"/>
      <c r="AM7" s="2077"/>
      <c r="AN7" s="2093">
        <v>2019</v>
      </c>
      <c r="AO7" s="2094"/>
      <c r="AQ7" s="2087"/>
      <c r="AR7" s="2089"/>
      <c r="AS7" s="2091"/>
      <c r="AT7" s="577"/>
      <c r="AU7" s="578"/>
    </row>
    <row r="8" spans="1:49" s="379" customFormat="1" ht="24.95" customHeight="1">
      <c r="A8" s="963" t="s">
        <v>531</v>
      </c>
      <c r="B8" s="978" t="s">
        <v>87</v>
      </c>
      <c r="C8" s="983">
        <v>15368191.59</v>
      </c>
      <c r="D8" s="988">
        <v>-5208230.38</v>
      </c>
      <c r="E8" s="964">
        <v>5208230.38</v>
      </c>
      <c r="F8" s="965">
        <f t="shared" ref="F8:F71" si="0">SUM(C8:E8)</f>
        <v>15368191.59</v>
      </c>
      <c r="G8" s="1776"/>
      <c r="H8" s="983">
        <v>591197.18999999994</v>
      </c>
      <c r="I8" s="964">
        <v>613571.07999999996</v>
      </c>
      <c r="J8" s="965">
        <v>-22373.89</v>
      </c>
      <c r="K8" s="378"/>
      <c r="L8" s="393"/>
      <c r="M8" s="390"/>
      <c r="N8" s="390"/>
      <c r="O8" s="390"/>
      <c r="P8" s="393"/>
      <c r="Q8" s="390"/>
      <c r="R8" s="390"/>
      <c r="S8" s="390"/>
      <c r="T8" s="390"/>
      <c r="U8" s="390"/>
      <c r="V8" s="390"/>
      <c r="W8" s="390"/>
      <c r="X8" s="390"/>
      <c r="Y8" s="390"/>
      <c r="Z8" s="390"/>
      <c r="AA8" s="390"/>
      <c r="AB8" s="393"/>
      <c r="AC8" s="390"/>
      <c r="AD8" s="390"/>
      <c r="AE8" s="390"/>
      <c r="AF8" s="390"/>
      <c r="AG8" s="390"/>
      <c r="AH8" s="390"/>
      <c r="AI8" s="390"/>
      <c r="AJ8" s="390"/>
      <c r="AK8" s="390"/>
      <c r="AL8" s="390"/>
      <c r="AM8" s="390"/>
      <c r="AN8" s="1757"/>
      <c r="AO8" s="385"/>
      <c r="AP8" s="378"/>
      <c r="AQ8" s="568">
        <f t="shared" ref="AQ8:AU8" si="1">+AQ34+AQ33+AQ32+AQ31+AQ30+AQ29+AQ28+AQ27+AQ26+AQ25+AQ24+AQ23+AQ22+AQ21+AQ20+AQ19+AQ18+AQ17+AQ16+AQ15+AQ14+AQ13+AQ12+AQ11+AQ10+AQ9</f>
        <v>21</v>
      </c>
      <c r="AR8" s="579">
        <f t="shared" si="1"/>
        <v>14784096.990000002</v>
      </c>
      <c r="AS8" s="570">
        <f t="shared" si="1"/>
        <v>11967243.960000001</v>
      </c>
      <c r="AT8" s="569">
        <f t="shared" si="1"/>
        <v>12580815.040000001</v>
      </c>
      <c r="AU8" s="570">
        <f t="shared" si="1"/>
        <v>2787376.55</v>
      </c>
    </row>
    <row r="9" spans="1:49" ht="24.95" customHeight="1">
      <c r="A9" s="966" t="s">
        <v>532</v>
      </c>
      <c r="B9" s="979" t="s">
        <v>533</v>
      </c>
      <c r="C9" s="984">
        <v>0</v>
      </c>
      <c r="D9" s="989">
        <v>-3584887.98</v>
      </c>
      <c r="E9" s="967">
        <v>3584887.98</v>
      </c>
      <c r="F9" s="968">
        <f t="shared" si="0"/>
        <v>0</v>
      </c>
      <c r="G9" s="1775"/>
      <c r="H9" s="984">
        <v>0</v>
      </c>
      <c r="I9" s="967">
        <v>0</v>
      </c>
      <c r="J9" s="968">
        <v>0</v>
      </c>
      <c r="K9" s="382"/>
      <c r="L9" s="393"/>
      <c r="M9" s="390"/>
      <c r="N9" s="390">
        <v>1</v>
      </c>
      <c r="O9" s="390"/>
      <c r="P9" s="393"/>
      <c r="Q9" s="390"/>
      <c r="R9" s="390"/>
      <c r="S9" s="390"/>
      <c r="T9" s="390"/>
      <c r="U9" s="390"/>
      <c r="V9" s="390"/>
      <c r="W9" s="390"/>
      <c r="X9" s="390"/>
      <c r="Y9" s="390"/>
      <c r="Z9" s="390"/>
      <c r="AA9" s="390"/>
      <c r="AB9" s="393"/>
      <c r="AC9" s="390"/>
      <c r="AD9" s="390"/>
      <c r="AE9" s="390"/>
      <c r="AF9" s="390"/>
      <c r="AG9" s="390"/>
      <c r="AH9" s="390"/>
      <c r="AI9" s="390"/>
      <c r="AJ9" s="390"/>
      <c r="AK9" s="390"/>
      <c r="AL9" s="390"/>
      <c r="AM9" s="390"/>
      <c r="AN9" s="1757"/>
      <c r="AO9" s="385"/>
      <c r="AQ9" s="571">
        <f t="shared" ref="AQ9:AQ34" si="2">SUM(K9:AO9)</f>
        <v>1</v>
      </c>
      <c r="AR9" s="574">
        <f t="shared" ref="AR9:AR34" si="3">IFERROR(IF(F9-I9&lt;0,0,F9-I9),0)</f>
        <v>0</v>
      </c>
      <c r="AS9" s="573">
        <f t="shared" ref="AS9:AS34" si="4">IFERROR(AQ9*AR9,0)</f>
        <v>0</v>
      </c>
      <c r="AT9" s="572">
        <f t="shared" ref="AT9:AT34" si="5">I9+AS9</f>
        <v>0</v>
      </c>
      <c r="AU9" s="573">
        <f t="shared" ref="AU9:AU34" si="6">F9-AT9</f>
        <v>0</v>
      </c>
    </row>
    <row r="10" spans="1:49" ht="24.95" customHeight="1">
      <c r="A10" s="966" t="s">
        <v>534</v>
      </c>
      <c r="B10" s="979" t="s">
        <v>535</v>
      </c>
      <c r="C10" s="984">
        <v>1792617.6</v>
      </c>
      <c r="D10" s="989">
        <v>0</v>
      </c>
      <c r="E10" s="967">
        <v>0</v>
      </c>
      <c r="F10" s="968">
        <f t="shared" si="0"/>
        <v>1792617.6</v>
      </c>
      <c r="G10" s="1775"/>
      <c r="H10" s="984">
        <v>0</v>
      </c>
      <c r="I10" s="967">
        <v>0</v>
      </c>
      <c r="J10" s="968">
        <v>0</v>
      </c>
      <c r="K10" s="382"/>
      <c r="L10" s="393"/>
      <c r="M10" s="390"/>
      <c r="N10" s="390">
        <v>1</v>
      </c>
      <c r="O10" s="390"/>
      <c r="P10" s="393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3"/>
      <c r="AC10" s="390"/>
      <c r="AD10" s="390"/>
      <c r="AE10" s="390"/>
      <c r="AF10" s="390"/>
      <c r="AG10" s="390"/>
      <c r="AH10" s="390"/>
      <c r="AI10" s="390"/>
      <c r="AJ10" s="390"/>
      <c r="AK10" s="390"/>
      <c r="AL10" s="390"/>
      <c r="AM10" s="390"/>
      <c r="AN10" s="1757"/>
      <c r="AO10" s="385"/>
      <c r="AQ10" s="571">
        <f t="shared" si="2"/>
        <v>1</v>
      </c>
      <c r="AR10" s="574">
        <f t="shared" si="3"/>
        <v>1792617.6</v>
      </c>
      <c r="AS10" s="573">
        <f t="shared" si="4"/>
        <v>1792617.6</v>
      </c>
      <c r="AT10" s="572">
        <f t="shared" si="5"/>
        <v>1792617.6</v>
      </c>
      <c r="AU10" s="573">
        <f t="shared" si="6"/>
        <v>0</v>
      </c>
    </row>
    <row r="11" spans="1:49" ht="24.95" customHeight="1">
      <c r="A11" s="966" t="s">
        <v>536</v>
      </c>
      <c r="B11" s="979" t="s">
        <v>537</v>
      </c>
      <c r="C11" s="984">
        <v>12037.6</v>
      </c>
      <c r="D11" s="989">
        <v>0</v>
      </c>
      <c r="E11" s="967">
        <v>0</v>
      </c>
      <c r="F11" s="968">
        <f t="shared" si="0"/>
        <v>12037.6</v>
      </c>
      <c r="G11" s="1775"/>
      <c r="H11" s="984">
        <v>0</v>
      </c>
      <c r="I11" s="967">
        <v>0</v>
      </c>
      <c r="J11" s="968">
        <v>0</v>
      </c>
      <c r="K11" s="382"/>
      <c r="L11" s="393"/>
      <c r="M11" s="390"/>
      <c r="N11" s="390">
        <v>1</v>
      </c>
      <c r="O11" s="390"/>
      <c r="P11" s="393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393"/>
      <c r="AC11" s="390"/>
      <c r="AD11" s="390"/>
      <c r="AE11" s="390"/>
      <c r="AF11" s="390"/>
      <c r="AG11" s="390"/>
      <c r="AH11" s="390"/>
      <c r="AI11" s="390"/>
      <c r="AJ11" s="390"/>
      <c r="AK11" s="390"/>
      <c r="AL11" s="390"/>
      <c r="AM11" s="390"/>
      <c r="AN11" s="1757"/>
      <c r="AO11" s="385"/>
      <c r="AQ11" s="571">
        <f t="shared" si="2"/>
        <v>1</v>
      </c>
      <c r="AR11" s="574">
        <f t="shared" si="3"/>
        <v>12037.6</v>
      </c>
      <c r="AS11" s="573">
        <f t="shared" si="4"/>
        <v>12037.6</v>
      </c>
      <c r="AT11" s="572">
        <f t="shared" si="5"/>
        <v>12037.6</v>
      </c>
      <c r="AU11" s="573">
        <f t="shared" si="6"/>
        <v>0</v>
      </c>
    </row>
    <row r="12" spans="1:49" ht="24.95" customHeight="1">
      <c r="A12" s="966" t="s">
        <v>538</v>
      </c>
      <c r="B12" s="979" t="s">
        <v>351</v>
      </c>
      <c r="C12" s="984">
        <v>1044611.75</v>
      </c>
      <c r="D12" s="989">
        <v>0</v>
      </c>
      <c r="E12" s="967">
        <v>0</v>
      </c>
      <c r="F12" s="968">
        <f t="shared" si="0"/>
        <v>1044611.75</v>
      </c>
      <c r="G12" s="1775"/>
      <c r="H12" s="984">
        <v>0</v>
      </c>
      <c r="I12" s="967">
        <v>0</v>
      </c>
      <c r="J12" s="968">
        <v>0</v>
      </c>
      <c r="K12" s="382"/>
      <c r="L12" s="393"/>
      <c r="M12" s="390"/>
      <c r="N12" s="390"/>
      <c r="O12" s="390"/>
      <c r="P12" s="393"/>
      <c r="Q12" s="390"/>
      <c r="R12" s="390"/>
      <c r="S12" s="390"/>
      <c r="T12" s="390"/>
      <c r="U12" s="390"/>
      <c r="V12" s="390"/>
      <c r="W12" s="390"/>
      <c r="X12" s="390"/>
      <c r="Y12" s="390"/>
      <c r="Z12" s="390"/>
      <c r="AA12" s="390"/>
      <c r="AB12" s="393"/>
      <c r="AC12" s="390"/>
      <c r="AD12" s="390"/>
      <c r="AE12" s="390"/>
      <c r="AF12" s="390"/>
      <c r="AG12" s="390"/>
      <c r="AH12" s="390"/>
      <c r="AI12" s="390"/>
      <c r="AJ12" s="390"/>
      <c r="AK12" s="390"/>
      <c r="AL12" s="390"/>
      <c r="AM12" s="390"/>
      <c r="AN12" s="1757"/>
      <c r="AO12" s="385"/>
      <c r="AQ12" s="571">
        <f t="shared" si="2"/>
        <v>0</v>
      </c>
      <c r="AR12" s="574">
        <f t="shared" si="3"/>
        <v>1044611.75</v>
      </c>
      <c r="AS12" s="573">
        <f t="shared" si="4"/>
        <v>0</v>
      </c>
      <c r="AT12" s="572">
        <f t="shared" si="5"/>
        <v>0</v>
      </c>
      <c r="AU12" s="573">
        <f t="shared" si="6"/>
        <v>1044611.75</v>
      </c>
    </row>
    <row r="13" spans="1:49" ht="24.95" customHeight="1">
      <c r="A13" s="966" t="s">
        <v>539</v>
      </c>
      <c r="B13" s="979" t="s">
        <v>540</v>
      </c>
      <c r="C13" s="984">
        <v>473040.71</v>
      </c>
      <c r="D13" s="989">
        <v>0</v>
      </c>
      <c r="E13" s="967">
        <v>0</v>
      </c>
      <c r="F13" s="968">
        <f t="shared" si="0"/>
        <v>473040.71</v>
      </c>
      <c r="G13" s="1775"/>
      <c r="H13" s="984">
        <v>0</v>
      </c>
      <c r="I13" s="967">
        <v>0</v>
      </c>
      <c r="J13" s="968">
        <v>0</v>
      </c>
      <c r="K13" s="382"/>
      <c r="L13" s="393"/>
      <c r="M13" s="390"/>
      <c r="N13" s="390">
        <v>1</v>
      </c>
      <c r="O13" s="390"/>
      <c r="P13" s="393"/>
      <c r="Q13" s="390"/>
      <c r="R13" s="390"/>
      <c r="S13" s="390"/>
      <c r="T13" s="390"/>
      <c r="U13" s="390"/>
      <c r="V13" s="390"/>
      <c r="W13" s="390"/>
      <c r="X13" s="390"/>
      <c r="Y13" s="390"/>
      <c r="Z13" s="390"/>
      <c r="AA13" s="390"/>
      <c r="AB13" s="393"/>
      <c r="AC13" s="390"/>
      <c r="AD13" s="390"/>
      <c r="AE13" s="390"/>
      <c r="AF13" s="390"/>
      <c r="AG13" s="390"/>
      <c r="AH13" s="390"/>
      <c r="AI13" s="390"/>
      <c r="AJ13" s="390"/>
      <c r="AK13" s="390"/>
      <c r="AL13" s="390"/>
      <c r="AM13" s="390"/>
      <c r="AN13" s="1757"/>
      <c r="AO13" s="385"/>
      <c r="AQ13" s="571">
        <f t="shared" si="2"/>
        <v>1</v>
      </c>
      <c r="AR13" s="574">
        <f t="shared" si="3"/>
        <v>473040.71</v>
      </c>
      <c r="AS13" s="573">
        <f t="shared" si="4"/>
        <v>473040.71</v>
      </c>
      <c r="AT13" s="572">
        <f t="shared" si="5"/>
        <v>473040.71</v>
      </c>
      <c r="AU13" s="573">
        <f t="shared" si="6"/>
        <v>0</v>
      </c>
    </row>
    <row r="14" spans="1:49" ht="24.95" customHeight="1">
      <c r="A14" s="966" t="s">
        <v>541</v>
      </c>
      <c r="B14" s="979" t="s">
        <v>542</v>
      </c>
      <c r="C14" s="984">
        <v>29675.52</v>
      </c>
      <c r="D14" s="989">
        <v>0</v>
      </c>
      <c r="E14" s="967">
        <v>0</v>
      </c>
      <c r="F14" s="968">
        <f t="shared" si="0"/>
        <v>29675.52</v>
      </c>
      <c r="G14" s="1775"/>
      <c r="H14" s="984">
        <v>28500.37</v>
      </c>
      <c r="I14" s="967">
        <v>36000</v>
      </c>
      <c r="J14" s="968">
        <v>-7499.63</v>
      </c>
      <c r="K14" s="382"/>
      <c r="L14" s="393"/>
      <c r="M14" s="390"/>
      <c r="N14" s="390">
        <v>1</v>
      </c>
      <c r="O14" s="390"/>
      <c r="P14" s="393"/>
      <c r="Q14" s="390"/>
      <c r="R14" s="390"/>
      <c r="S14" s="390"/>
      <c r="T14" s="390"/>
      <c r="U14" s="390"/>
      <c r="V14" s="390"/>
      <c r="W14" s="390"/>
      <c r="X14" s="390"/>
      <c r="Y14" s="390"/>
      <c r="Z14" s="390"/>
      <c r="AA14" s="390"/>
      <c r="AB14" s="393"/>
      <c r="AC14" s="390"/>
      <c r="AD14" s="390"/>
      <c r="AE14" s="390"/>
      <c r="AF14" s="390"/>
      <c r="AG14" s="390"/>
      <c r="AH14" s="390"/>
      <c r="AI14" s="390"/>
      <c r="AJ14" s="390"/>
      <c r="AK14" s="390"/>
      <c r="AL14" s="390"/>
      <c r="AM14" s="390"/>
      <c r="AN14" s="1757"/>
      <c r="AO14" s="385"/>
      <c r="AQ14" s="571">
        <f t="shared" si="2"/>
        <v>1</v>
      </c>
      <c r="AR14" s="574">
        <f t="shared" si="3"/>
        <v>0</v>
      </c>
      <c r="AS14" s="573">
        <f t="shared" si="4"/>
        <v>0</v>
      </c>
      <c r="AT14" s="572">
        <f t="shared" si="5"/>
        <v>36000</v>
      </c>
      <c r="AU14" s="573">
        <f t="shared" si="6"/>
        <v>-6324.48</v>
      </c>
    </row>
    <row r="15" spans="1:49" ht="24.95" customHeight="1">
      <c r="A15" s="966" t="s">
        <v>543</v>
      </c>
      <c r="B15" s="979" t="s">
        <v>544</v>
      </c>
      <c r="C15" s="984">
        <v>1848</v>
      </c>
      <c r="D15" s="989">
        <v>0</v>
      </c>
      <c r="E15" s="967">
        <v>0</v>
      </c>
      <c r="F15" s="968">
        <f t="shared" si="0"/>
        <v>1848</v>
      </c>
      <c r="G15" s="1775"/>
      <c r="H15" s="984">
        <v>1847.82</v>
      </c>
      <c r="I15" s="967">
        <v>25000</v>
      </c>
      <c r="J15" s="968">
        <v>-23152.18</v>
      </c>
      <c r="K15" s="382"/>
      <c r="L15" s="393"/>
      <c r="M15" s="390"/>
      <c r="N15" s="390"/>
      <c r="O15" s="390"/>
      <c r="P15" s="393"/>
      <c r="Q15" s="390"/>
      <c r="R15" s="390"/>
      <c r="S15" s="390"/>
      <c r="T15" s="390"/>
      <c r="U15" s="390"/>
      <c r="V15" s="390"/>
      <c r="W15" s="390"/>
      <c r="X15" s="390"/>
      <c r="Y15" s="390"/>
      <c r="Z15" s="390"/>
      <c r="AA15" s="390"/>
      <c r="AB15" s="393"/>
      <c r="AC15" s="390"/>
      <c r="AD15" s="390"/>
      <c r="AE15" s="390"/>
      <c r="AF15" s="390"/>
      <c r="AG15" s="390"/>
      <c r="AH15" s="390"/>
      <c r="AI15" s="390"/>
      <c r="AJ15" s="390"/>
      <c r="AK15" s="390"/>
      <c r="AL15" s="390"/>
      <c r="AM15" s="390"/>
      <c r="AN15" s="1757"/>
      <c r="AO15" s="385"/>
      <c r="AQ15" s="571">
        <f t="shared" si="2"/>
        <v>0</v>
      </c>
      <c r="AR15" s="574">
        <f t="shared" si="3"/>
        <v>0</v>
      </c>
      <c r="AS15" s="573">
        <f t="shared" si="4"/>
        <v>0</v>
      </c>
      <c r="AT15" s="572">
        <f t="shared" si="5"/>
        <v>25000</v>
      </c>
      <c r="AU15" s="573">
        <f t="shared" si="6"/>
        <v>-23152</v>
      </c>
    </row>
    <row r="16" spans="1:49" ht="24.95" customHeight="1">
      <c r="A16" s="966" t="s">
        <v>545</v>
      </c>
      <c r="B16" s="979" t="s">
        <v>546</v>
      </c>
      <c r="C16" s="984">
        <v>304036.21999999997</v>
      </c>
      <c r="D16" s="989">
        <v>0</v>
      </c>
      <c r="E16" s="967">
        <v>0</v>
      </c>
      <c r="F16" s="968">
        <f t="shared" si="0"/>
        <v>304036.21999999997</v>
      </c>
      <c r="G16" s="1775"/>
      <c r="H16" s="984">
        <v>0</v>
      </c>
      <c r="I16" s="967">
        <v>0</v>
      </c>
      <c r="J16" s="968">
        <v>0</v>
      </c>
      <c r="K16" s="382"/>
      <c r="L16" s="393"/>
      <c r="M16" s="390"/>
      <c r="N16" s="390"/>
      <c r="O16" s="390"/>
      <c r="P16" s="393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393"/>
      <c r="AC16" s="390"/>
      <c r="AD16" s="390"/>
      <c r="AE16" s="390"/>
      <c r="AF16" s="390"/>
      <c r="AG16" s="390"/>
      <c r="AH16" s="390"/>
      <c r="AI16" s="390"/>
      <c r="AJ16" s="390"/>
      <c r="AK16" s="390"/>
      <c r="AL16" s="390"/>
      <c r="AM16" s="390"/>
      <c r="AN16" s="1757"/>
      <c r="AO16" s="385"/>
      <c r="AQ16" s="571">
        <f t="shared" si="2"/>
        <v>0</v>
      </c>
      <c r="AR16" s="574">
        <f t="shared" si="3"/>
        <v>304036.21999999997</v>
      </c>
      <c r="AS16" s="573">
        <f t="shared" si="4"/>
        <v>0</v>
      </c>
      <c r="AT16" s="572">
        <f t="shared" si="5"/>
        <v>0</v>
      </c>
      <c r="AU16" s="573">
        <f t="shared" si="6"/>
        <v>304036.21999999997</v>
      </c>
    </row>
    <row r="17" spans="1:47" ht="24.95" customHeight="1">
      <c r="A17" s="966" t="s">
        <v>547</v>
      </c>
      <c r="B17" s="979" t="s">
        <v>548</v>
      </c>
      <c r="C17" s="984">
        <v>1987049.05</v>
      </c>
      <c r="D17" s="989">
        <v>0</v>
      </c>
      <c r="E17" s="967">
        <v>0</v>
      </c>
      <c r="F17" s="968">
        <f t="shared" si="0"/>
        <v>1987049.05</v>
      </c>
      <c r="G17" s="1775"/>
      <c r="H17" s="984">
        <v>0</v>
      </c>
      <c r="I17" s="967">
        <v>0</v>
      </c>
      <c r="J17" s="968">
        <v>0</v>
      </c>
      <c r="K17" s="382"/>
      <c r="L17" s="393"/>
      <c r="M17" s="390"/>
      <c r="N17" s="390">
        <v>1</v>
      </c>
      <c r="O17" s="390"/>
      <c r="P17" s="393"/>
      <c r="Q17" s="390"/>
      <c r="R17" s="390"/>
      <c r="S17" s="390"/>
      <c r="T17" s="390"/>
      <c r="U17" s="390"/>
      <c r="V17" s="390"/>
      <c r="W17" s="390"/>
      <c r="X17" s="390"/>
      <c r="Y17" s="390"/>
      <c r="Z17" s="390"/>
      <c r="AA17" s="390"/>
      <c r="AB17" s="393"/>
      <c r="AC17" s="390"/>
      <c r="AD17" s="390"/>
      <c r="AE17" s="390"/>
      <c r="AF17" s="390"/>
      <c r="AG17" s="390"/>
      <c r="AH17" s="390"/>
      <c r="AI17" s="390"/>
      <c r="AJ17" s="390"/>
      <c r="AK17" s="390"/>
      <c r="AL17" s="390"/>
      <c r="AM17" s="390"/>
      <c r="AN17" s="1757"/>
      <c r="AO17" s="385"/>
      <c r="AQ17" s="571">
        <f t="shared" si="2"/>
        <v>1</v>
      </c>
      <c r="AR17" s="574">
        <f t="shared" si="3"/>
        <v>1987049.05</v>
      </c>
      <c r="AS17" s="573">
        <f t="shared" si="4"/>
        <v>1987049.05</v>
      </c>
      <c r="AT17" s="572">
        <f t="shared" si="5"/>
        <v>1987049.05</v>
      </c>
      <c r="AU17" s="573">
        <f t="shared" si="6"/>
        <v>0</v>
      </c>
    </row>
    <row r="18" spans="1:47" ht="24.95" customHeight="1">
      <c r="A18" s="966" t="s">
        <v>549</v>
      </c>
      <c r="B18" s="979" t="s">
        <v>550</v>
      </c>
      <c r="C18" s="984">
        <v>201154.88</v>
      </c>
      <c r="D18" s="989">
        <v>0</v>
      </c>
      <c r="E18" s="967">
        <v>0</v>
      </c>
      <c r="F18" s="968">
        <f t="shared" si="0"/>
        <v>201154.88</v>
      </c>
      <c r="G18" s="1775"/>
      <c r="H18" s="984">
        <v>0</v>
      </c>
      <c r="I18" s="967">
        <v>0</v>
      </c>
      <c r="J18" s="968">
        <v>0</v>
      </c>
      <c r="K18" s="382"/>
      <c r="L18" s="393"/>
      <c r="M18" s="390"/>
      <c r="N18" s="390">
        <v>1</v>
      </c>
      <c r="O18" s="390"/>
      <c r="P18" s="393"/>
      <c r="Q18" s="390"/>
      <c r="R18" s="390"/>
      <c r="S18" s="390"/>
      <c r="T18" s="390"/>
      <c r="U18" s="390"/>
      <c r="V18" s="390"/>
      <c r="W18" s="390"/>
      <c r="X18" s="390"/>
      <c r="Y18" s="390"/>
      <c r="Z18" s="390"/>
      <c r="AA18" s="390"/>
      <c r="AB18" s="393"/>
      <c r="AC18" s="390"/>
      <c r="AD18" s="390"/>
      <c r="AE18" s="390"/>
      <c r="AF18" s="390"/>
      <c r="AG18" s="390"/>
      <c r="AH18" s="390"/>
      <c r="AI18" s="390"/>
      <c r="AJ18" s="390"/>
      <c r="AK18" s="390"/>
      <c r="AL18" s="390"/>
      <c r="AM18" s="390"/>
      <c r="AN18" s="1757"/>
      <c r="AO18" s="385"/>
      <c r="AQ18" s="571">
        <f t="shared" si="2"/>
        <v>1</v>
      </c>
      <c r="AR18" s="574">
        <f t="shared" si="3"/>
        <v>201154.88</v>
      </c>
      <c r="AS18" s="573">
        <f t="shared" si="4"/>
        <v>201154.88</v>
      </c>
      <c r="AT18" s="572">
        <f t="shared" si="5"/>
        <v>201154.88</v>
      </c>
      <c r="AU18" s="573">
        <f t="shared" si="6"/>
        <v>0</v>
      </c>
    </row>
    <row r="19" spans="1:47" ht="24.95" customHeight="1">
      <c r="A19" s="966" t="s">
        <v>551</v>
      </c>
      <c r="B19" s="979" t="s">
        <v>552</v>
      </c>
      <c r="C19" s="984">
        <v>2008300</v>
      </c>
      <c r="D19" s="989">
        <v>0</v>
      </c>
      <c r="E19" s="967">
        <v>0</v>
      </c>
      <c r="F19" s="968">
        <f t="shared" si="0"/>
        <v>2008300</v>
      </c>
      <c r="G19" s="1775"/>
      <c r="H19" s="984">
        <v>0</v>
      </c>
      <c r="I19" s="967">
        <v>0</v>
      </c>
      <c r="J19" s="968">
        <v>0</v>
      </c>
      <c r="K19" s="382"/>
      <c r="L19" s="393"/>
      <c r="M19" s="390"/>
      <c r="N19" s="390">
        <v>1</v>
      </c>
      <c r="O19" s="390"/>
      <c r="P19" s="393"/>
      <c r="Q19" s="390"/>
      <c r="R19" s="390"/>
      <c r="S19" s="390"/>
      <c r="T19" s="390"/>
      <c r="U19" s="390"/>
      <c r="V19" s="390"/>
      <c r="W19" s="390"/>
      <c r="X19" s="390"/>
      <c r="Y19" s="390"/>
      <c r="Z19" s="390"/>
      <c r="AA19" s="390"/>
      <c r="AB19" s="393"/>
      <c r="AC19" s="390"/>
      <c r="AD19" s="390"/>
      <c r="AE19" s="390"/>
      <c r="AF19" s="390"/>
      <c r="AG19" s="390"/>
      <c r="AH19" s="390"/>
      <c r="AI19" s="390"/>
      <c r="AJ19" s="390"/>
      <c r="AK19" s="390"/>
      <c r="AL19" s="390"/>
      <c r="AM19" s="390"/>
      <c r="AN19" s="1757"/>
      <c r="AO19" s="385"/>
      <c r="AQ19" s="571">
        <f t="shared" si="2"/>
        <v>1</v>
      </c>
      <c r="AR19" s="574">
        <f t="shared" si="3"/>
        <v>2008300</v>
      </c>
      <c r="AS19" s="573">
        <f t="shared" si="4"/>
        <v>2008300</v>
      </c>
      <c r="AT19" s="572">
        <f t="shared" si="5"/>
        <v>2008300</v>
      </c>
      <c r="AU19" s="573">
        <f t="shared" si="6"/>
        <v>0</v>
      </c>
    </row>
    <row r="20" spans="1:47" ht="24.95" customHeight="1">
      <c r="A20" s="966" t="s">
        <v>553</v>
      </c>
      <c r="B20" s="979" t="s">
        <v>554</v>
      </c>
      <c r="C20" s="984">
        <v>120213.45</v>
      </c>
      <c r="D20" s="989">
        <v>0</v>
      </c>
      <c r="E20" s="967">
        <v>0</v>
      </c>
      <c r="F20" s="968">
        <f t="shared" si="0"/>
        <v>120213.45</v>
      </c>
      <c r="G20" s="1775"/>
      <c r="H20" s="984">
        <v>0</v>
      </c>
      <c r="I20" s="967">
        <v>0</v>
      </c>
      <c r="J20" s="968">
        <v>0</v>
      </c>
      <c r="K20" s="382"/>
      <c r="L20" s="393"/>
      <c r="M20" s="390"/>
      <c r="N20" s="390">
        <v>1</v>
      </c>
      <c r="O20" s="390"/>
      <c r="P20" s="393"/>
      <c r="Q20" s="390"/>
      <c r="R20" s="390"/>
      <c r="S20" s="390"/>
      <c r="T20" s="390"/>
      <c r="U20" s="390"/>
      <c r="V20" s="390"/>
      <c r="W20" s="390"/>
      <c r="X20" s="390"/>
      <c r="Y20" s="390"/>
      <c r="Z20" s="390"/>
      <c r="AA20" s="390"/>
      <c r="AB20" s="393"/>
      <c r="AC20" s="390"/>
      <c r="AD20" s="390"/>
      <c r="AE20" s="390"/>
      <c r="AF20" s="390"/>
      <c r="AG20" s="390"/>
      <c r="AH20" s="390"/>
      <c r="AI20" s="390"/>
      <c r="AJ20" s="390"/>
      <c r="AK20" s="390"/>
      <c r="AL20" s="390"/>
      <c r="AM20" s="390"/>
      <c r="AN20" s="1757"/>
      <c r="AO20" s="385"/>
      <c r="AQ20" s="571">
        <f t="shared" si="2"/>
        <v>1</v>
      </c>
      <c r="AR20" s="574">
        <f t="shared" si="3"/>
        <v>120213.45</v>
      </c>
      <c r="AS20" s="573">
        <f t="shared" si="4"/>
        <v>120213.45</v>
      </c>
      <c r="AT20" s="572">
        <f t="shared" si="5"/>
        <v>120213.45</v>
      </c>
      <c r="AU20" s="573">
        <f t="shared" si="6"/>
        <v>0</v>
      </c>
    </row>
    <row r="21" spans="1:47" ht="24.95" customHeight="1">
      <c r="A21" s="966" t="s">
        <v>555</v>
      </c>
      <c r="B21" s="979" t="s">
        <v>556</v>
      </c>
      <c r="C21" s="984">
        <v>0</v>
      </c>
      <c r="D21" s="989">
        <v>-795680.4</v>
      </c>
      <c r="E21" s="967">
        <v>795680.4</v>
      </c>
      <c r="F21" s="968">
        <f t="shared" si="0"/>
        <v>0</v>
      </c>
      <c r="G21" s="1775"/>
      <c r="H21" s="984">
        <v>0</v>
      </c>
      <c r="I21" s="967">
        <v>0</v>
      </c>
      <c r="J21" s="968">
        <v>0</v>
      </c>
      <c r="K21" s="382"/>
      <c r="L21" s="393"/>
      <c r="M21" s="390"/>
      <c r="N21" s="390">
        <v>1</v>
      </c>
      <c r="O21" s="390"/>
      <c r="P21" s="393"/>
      <c r="Q21" s="390"/>
      <c r="R21" s="390"/>
      <c r="S21" s="390"/>
      <c r="T21" s="390"/>
      <c r="U21" s="390"/>
      <c r="V21" s="390"/>
      <c r="W21" s="390"/>
      <c r="X21" s="390"/>
      <c r="Y21" s="390"/>
      <c r="Z21" s="390"/>
      <c r="AA21" s="390"/>
      <c r="AB21" s="393"/>
      <c r="AC21" s="390"/>
      <c r="AD21" s="390"/>
      <c r="AE21" s="390"/>
      <c r="AF21" s="390"/>
      <c r="AG21" s="390"/>
      <c r="AH21" s="390"/>
      <c r="AI21" s="390"/>
      <c r="AJ21" s="390"/>
      <c r="AK21" s="390"/>
      <c r="AL21" s="390"/>
      <c r="AM21" s="390"/>
      <c r="AN21" s="1757"/>
      <c r="AO21" s="385"/>
      <c r="AQ21" s="571">
        <f t="shared" si="2"/>
        <v>1</v>
      </c>
      <c r="AR21" s="574">
        <f t="shared" si="3"/>
        <v>0</v>
      </c>
      <c r="AS21" s="573">
        <f t="shared" si="4"/>
        <v>0</v>
      </c>
      <c r="AT21" s="572">
        <f t="shared" si="5"/>
        <v>0</v>
      </c>
      <c r="AU21" s="573">
        <f t="shared" si="6"/>
        <v>0</v>
      </c>
    </row>
    <row r="22" spans="1:47" ht="24.95" customHeight="1">
      <c r="A22" s="966" t="s">
        <v>557</v>
      </c>
      <c r="B22" s="979" t="s">
        <v>558</v>
      </c>
      <c r="C22" s="984">
        <v>0</v>
      </c>
      <c r="D22" s="989">
        <v>-827662</v>
      </c>
      <c r="E22" s="967">
        <v>827662</v>
      </c>
      <c r="F22" s="968">
        <f t="shared" si="0"/>
        <v>0</v>
      </c>
      <c r="G22" s="1775"/>
      <c r="H22" s="984">
        <v>0</v>
      </c>
      <c r="I22" s="967">
        <v>0</v>
      </c>
      <c r="J22" s="968">
        <v>0</v>
      </c>
      <c r="K22" s="382"/>
      <c r="L22" s="393"/>
      <c r="M22" s="390"/>
      <c r="N22" s="390">
        <v>1</v>
      </c>
      <c r="O22" s="390"/>
      <c r="P22" s="393"/>
      <c r="Q22" s="390"/>
      <c r="R22" s="390"/>
      <c r="S22" s="390"/>
      <c r="T22" s="390"/>
      <c r="U22" s="390"/>
      <c r="V22" s="390"/>
      <c r="W22" s="390"/>
      <c r="X22" s="390"/>
      <c r="Y22" s="390"/>
      <c r="Z22" s="390"/>
      <c r="AA22" s="390"/>
      <c r="AB22" s="393"/>
      <c r="AC22" s="390"/>
      <c r="AD22" s="390"/>
      <c r="AE22" s="390"/>
      <c r="AF22" s="390"/>
      <c r="AG22" s="390"/>
      <c r="AH22" s="390"/>
      <c r="AI22" s="390"/>
      <c r="AJ22" s="390"/>
      <c r="AK22" s="390"/>
      <c r="AL22" s="390"/>
      <c r="AM22" s="390"/>
      <c r="AN22" s="1757"/>
      <c r="AO22" s="385"/>
      <c r="AQ22" s="571">
        <f t="shared" si="2"/>
        <v>1</v>
      </c>
      <c r="AR22" s="574">
        <f t="shared" si="3"/>
        <v>0</v>
      </c>
      <c r="AS22" s="573">
        <f t="shared" si="4"/>
        <v>0</v>
      </c>
      <c r="AT22" s="572">
        <f t="shared" si="5"/>
        <v>0</v>
      </c>
      <c r="AU22" s="573">
        <f t="shared" si="6"/>
        <v>0</v>
      </c>
    </row>
    <row r="23" spans="1:47" ht="24.95" customHeight="1">
      <c r="A23" s="966" t="s">
        <v>559</v>
      </c>
      <c r="B23" s="979" t="s">
        <v>560</v>
      </c>
      <c r="C23" s="984">
        <v>3706983.6</v>
      </c>
      <c r="D23" s="989">
        <v>0</v>
      </c>
      <c r="E23" s="967">
        <v>0</v>
      </c>
      <c r="F23" s="968">
        <f t="shared" si="0"/>
        <v>3706983.6</v>
      </c>
      <c r="G23" s="1775"/>
      <c r="H23" s="984">
        <v>0</v>
      </c>
      <c r="I23" s="967">
        <v>0</v>
      </c>
      <c r="J23" s="968">
        <v>0</v>
      </c>
      <c r="K23" s="382"/>
      <c r="L23" s="393"/>
      <c r="M23" s="390"/>
      <c r="N23" s="390">
        <v>1</v>
      </c>
      <c r="O23" s="390"/>
      <c r="P23" s="393"/>
      <c r="Q23" s="390"/>
      <c r="R23" s="390"/>
      <c r="S23" s="390"/>
      <c r="T23" s="390"/>
      <c r="U23" s="390"/>
      <c r="V23" s="390"/>
      <c r="W23" s="390"/>
      <c r="X23" s="390"/>
      <c r="Y23" s="390"/>
      <c r="Z23" s="390"/>
      <c r="AA23" s="390"/>
      <c r="AB23" s="393"/>
      <c r="AC23" s="390"/>
      <c r="AD23" s="390"/>
      <c r="AE23" s="390"/>
      <c r="AF23" s="390"/>
      <c r="AG23" s="390"/>
      <c r="AH23" s="390"/>
      <c r="AI23" s="390"/>
      <c r="AJ23" s="390"/>
      <c r="AK23" s="390"/>
      <c r="AL23" s="390"/>
      <c r="AM23" s="390"/>
      <c r="AN23" s="1757"/>
      <c r="AO23" s="385"/>
      <c r="AQ23" s="571">
        <f t="shared" si="2"/>
        <v>1</v>
      </c>
      <c r="AR23" s="574">
        <f t="shared" si="3"/>
        <v>3706983.6</v>
      </c>
      <c r="AS23" s="573">
        <f t="shared" si="4"/>
        <v>3706983.6</v>
      </c>
      <c r="AT23" s="572">
        <f t="shared" si="5"/>
        <v>3706983.6</v>
      </c>
      <c r="AU23" s="573">
        <f t="shared" si="6"/>
        <v>0</v>
      </c>
    </row>
    <row r="24" spans="1:47" ht="24.95" customHeight="1">
      <c r="A24" s="966" t="s">
        <v>561</v>
      </c>
      <c r="B24" s="979" t="s">
        <v>562</v>
      </c>
      <c r="C24" s="984">
        <v>639912</v>
      </c>
      <c r="D24" s="989">
        <v>0</v>
      </c>
      <c r="E24" s="967">
        <v>0</v>
      </c>
      <c r="F24" s="968">
        <f t="shared" si="0"/>
        <v>639912</v>
      </c>
      <c r="G24" s="1775"/>
      <c r="H24" s="984">
        <v>0</v>
      </c>
      <c r="I24" s="967">
        <v>0</v>
      </c>
      <c r="J24" s="968">
        <v>0</v>
      </c>
      <c r="K24" s="382"/>
      <c r="L24" s="393"/>
      <c r="M24" s="390"/>
      <c r="N24" s="390">
        <v>1</v>
      </c>
      <c r="O24" s="390"/>
      <c r="P24" s="393"/>
      <c r="Q24" s="390"/>
      <c r="R24" s="390"/>
      <c r="S24" s="390"/>
      <c r="T24" s="390"/>
      <c r="U24" s="390"/>
      <c r="V24" s="390"/>
      <c r="W24" s="390"/>
      <c r="X24" s="390"/>
      <c r="Y24" s="390"/>
      <c r="Z24" s="390"/>
      <c r="AA24" s="390"/>
      <c r="AB24" s="393"/>
      <c r="AC24" s="390"/>
      <c r="AD24" s="390"/>
      <c r="AE24" s="390"/>
      <c r="AF24" s="390"/>
      <c r="AG24" s="390"/>
      <c r="AH24" s="390"/>
      <c r="AI24" s="390"/>
      <c r="AJ24" s="390"/>
      <c r="AK24" s="390"/>
      <c r="AL24" s="390"/>
      <c r="AM24" s="390"/>
      <c r="AN24" s="1757"/>
      <c r="AO24" s="385"/>
      <c r="AQ24" s="571">
        <f t="shared" si="2"/>
        <v>1</v>
      </c>
      <c r="AR24" s="574">
        <f t="shared" si="3"/>
        <v>639912</v>
      </c>
      <c r="AS24" s="573">
        <f t="shared" si="4"/>
        <v>639912</v>
      </c>
      <c r="AT24" s="572">
        <f t="shared" si="5"/>
        <v>639912</v>
      </c>
      <c r="AU24" s="573">
        <f t="shared" si="6"/>
        <v>0</v>
      </c>
    </row>
    <row r="25" spans="1:47" ht="24.95" customHeight="1">
      <c r="A25" s="966" t="s">
        <v>563</v>
      </c>
      <c r="B25" s="979" t="s">
        <v>564</v>
      </c>
      <c r="C25" s="984">
        <v>60600</v>
      </c>
      <c r="D25" s="989">
        <v>0</v>
      </c>
      <c r="E25" s="967">
        <v>0</v>
      </c>
      <c r="F25" s="968">
        <f t="shared" si="0"/>
        <v>60600</v>
      </c>
      <c r="G25" s="1775"/>
      <c r="H25" s="984">
        <v>0</v>
      </c>
      <c r="I25" s="967">
        <v>0</v>
      </c>
      <c r="J25" s="968">
        <v>0</v>
      </c>
      <c r="K25" s="382"/>
      <c r="L25" s="393"/>
      <c r="M25" s="390"/>
      <c r="N25" s="390">
        <v>1</v>
      </c>
      <c r="O25" s="390"/>
      <c r="P25" s="393"/>
      <c r="Q25" s="390"/>
      <c r="R25" s="390"/>
      <c r="S25" s="390"/>
      <c r="T25" s="390"/>
      <c r="U25" s="390"/>
      <c r="V25" s="390"/>
      <c r="W25" s="390"/>
      <c r="X25" s="390"/>
      <c r="Y25" s="390"/>
      <c r="Z25" s="390"/>
      <c r="AA25" s="390"/>
      <c r="AB25" s="393"/>
      <c r="AC25" s="390"/>
      <c r="AD25" s="390"/>
      <c r="AE25" s="390"/>
      <c r="AF25" s="390"/>
      <c r="AG25" s="390"/>
      <c r="AH25" s="390"/>
      <c r="AI25" s="390"/>
      <c r="AJ25" s="390"/>
      <c r="AK25" s="390"/>
      <c r="AL25" s="390"/>
      <c r="AM25" s="390"/>
      <c r="AN25" s="1757"/>
      <c r="AO25" s="385"/>
      <c r="AQ25" s="571">
        <f t="shared" si="2"/>
        <v>1</v>
      </c>
      <c r="AR25" s="574">
        <f t="shared" si="3"/>
        <v>60600</v>
      </c>
      <c r="AS25" s="573">
        <f t="shared" si="4"/>
        <v>60600</v>
      </c>
      <c r="AT25" s="572">
        <f t="shared" si="5"/>
        <v>60600</v>
      </c>
      <c r="AU25" s="573">
        <f t="shared" si="6"/>
        <v>0</v>
      </c>
    </row>
    <row r="26" spans="1:47" ht="24.95" customHeight="1">
      <c r="A26" s="966" t="s">
        <v>565</v>
      </c>
      <c r="B26" s="979" t="s">
        <v>566</v>
      </c>
      <c r="C26" s="984">
        <v>71870</v>
      </c>
      <c r="D26" s="989">
        <v>0</v>
      </c>
      <c r="E26" s="967">
        <v>0</v>
      </c>
      <c r="F26" s="968">
        <f t="shared" si="0"/>
        <v>71870</v>
      </c>
      <c r="G26" s="1775"/>
      <c r="H26" s="984">
        <v>776.2</v>
      </c>
      <c r="I26" s="967">
        <v>760</v>
      </c>
      <c r="J26" s="968">
        <v>16.2</v>
      </c>
      <c r="K26" s="382"/>
      <c r="L26" s="393"/>
      <c r="M26" s="390"/>
      <c r="N26" s="390">
        <v>1</v>
      </c>
      <c r="O26" s="390"/>
      <c r="P26" s="393"/>
      <c r="Q26" s="390"/>
      <c r="R26" s="390"/>
      <c r="S26" s="390"/>
      <c r="T26" s="390"/>
      <c r="U26" s="390"/>
      <c r="V26" s="390"/>
      <c r="W26" s="390"/>
      <c r="X26" s="390"/>
      <c r="Y26" s="390"/>
      <c r="Z26" s="390"/>
      <c r="AA26" s="390"/>
      <c r="AB26" s="393"/>
      <c r="AC26" s="390"/>
      <c r="AD26" s="390"/>
      <c r="AE26" s="390"/>
      <c r="AF26" s="390"/>
      <c r="AG26" s="390"/>
      <c r="AH26" s="390"/>
      <c r="AI26" s="390"/>
      <c r="AJ26" s="390"/>
      <c r="AK26" s="390"/>
      <c r="AL26" s="390"/>
      <c r="AM26" s="390"/>
      <c r="AN26" s="1757"/>
      <c r="AO26" s="385"/>
      <c r="AQ26" s="571">
        <f t="shared" si="2"/>
        <v>1</v>
      </c>
      <c r="AR26" s="574">
        <f t="shared" si="3"/>
        <v>71110</v>
      </c>
      <c r="AS26" s="573">
        <f t="shared" si="4"/>
        <v>71110</v>
      </c>
      <c r="AT26" s="572">
        <f t="shared" si="5"/>
        <v>71870</v>
      </c>
      <c r="AU26" s="573">
        <f t="shared" si="6"/>
        <v>0</v>
      </c>
    </row>
    <row r="27" spans="1:47" ht="24.95" customHeight="1">
      <c r="A27" s="966" t="s">
        <v>567</v>
      </c>
      <c r="B27" s="979" t="s">
        <v>568</v>
      </c>
      <c r="C27" s="984">
        <v>466450</v>
      </c>
      <c r="D27" s="989">
        <v>0</v>
      </c>
      <c r="E27" s="967">
        <v>0</v>
      </c>
      <c r="F27" s="968">
        <f t="shared" si="0"/>
        <v>466450</v>
      </c>
      <c r="G27" s="1775"/>
      <c r="H27" s="984">
        <v>0</v>
      </c>
      <c r="I27" s="967">
        <v>0</v>
      </c>
      <c r="J27" s="968">
        <v>0</v>
      </c>
      <c r="K27" s="382"/>
      <c r="L27" s="393"/>
      <c r="M27" s="390"/>
      <c r="N27" s="390">
        <v>1</v>
      </c>
      <c r="O27" s="390"/>
      <c r="P27" s="393"/>
      <c r="Q27" s="390"/>
      <c r="R27" s="390"/>
      <c r="S27" s="390"/>
      <c r="T27" s="390"/>
      <c r="U27" s="390"/>
      <c r="V27" s="390"/>
      <c r="W27" s="390"/>
      <c r="X27" s="390"/>
      <c r="Y27" s="390"/>
      <c r="Z27" s="390"/>
      <c r="AA27" s="390"/>
      <c r="AB27" s="393"/>
      <c r="AC27" s="390"/>
      <c r="AD27" s="390"/>
      <c r="AE27" s="390"/>
      <c r="AF27" s="390"/>
      <c r="AG27" s="390"/>
      <c r="AH27" s="390"/>
      <c r="AI27" s="390"/>
      <c r="AJ27" s="390"/>
      <c r="AK27" s="390"/>
      <c r="AL27" s="390"/>
      <c r="AM27" s="390"/>
      <c r="AN27" s="1757"/>
      <c r="AO27" s="385"/>
      <c r="AQ27" s="571">
        <f t="shared" si="2"/>
        <v>1</v>
      </c>
      <c r="AR27" s="574">
        <f t="shared" si="3"/>
        <v>466450</v>
      </c>
      <c r="AS27" s="573">
        <f t="shared" si="4"/>
        <v>466450</v>
      </c>
      <c r="AT27" s="572">
        <f t="shared" si="5"/>
        <v>466450</v>
      </c>
      <c r="AU27" s="573">
        <f t="shared" si="6"/>
        <v>0</v>
      </c>
    </row>
    <row r="28" spans="1:47" ht="24.95" customHeight="1">
      <c r="A28" s="966" t="s">
        <v>569</v>
      </c>
      <c r="B28" s="979" t="s">
        <v>570</v>
      </c>
      <c r="C28" s="984">
        <v>216720</v>
      </c>
      <c r="D28" s="989">
        <v>0</v>
      </c>
      <c r="E28" s="967">
        <v>0</v>
      </c>
      <c r="F28" s="968">
        <f t="shared" si="0"/>
        <v>216720</v>
      </c>
      <c r="G28" s="1775"/>
      <c r="H28" s="984">
        <v>0</v>
      </c>
      <c r="I28" s="967">
        <v>0</v>
      </c>
      <c r="J28" s="968">
        <v>0</v>
      </c>
      <c r="K28" s="382"/>
      <c r="L28" s="393"/>
      <c r="M28" s="390"/>
      <c r="N28" s="390">
        <v>1</v>
      </c>
      <c r="O28" s="390"/>
      <c r="P28" s="393"/>
      <c r="Q28" s="390"/>
      <c r="R28" s="390"/>
      <c r="S28" s="390"/>
      <c r="T28" s="390"/>
      <c r="U28" s="390"/>
      <c r="V28" s="390"/>
      <c r="W28" s="390"/>
      <c r="X28" s="390"/>
      <c r="Y28" s="390"/>
      <c r="Z28" s="390"/>
      <c r="AA28" s="390"/>
      <c r="AB28" s="393"/>
      <c r="AC28" s="390"/>
      <c r="AD28" s="390"/>
      <c r="AE28" s="390"/>
      <c r="AF28" s="390"/>
      <c r="AG28" s="390"/>
      <c r="AH28" s="390"/>
      <c r="AI28" s="390"/>
      <c r="AJ28" s="390"/>
      <c r="AK28" s="390"/>
      <c r="AL28" s="390"/>
      <c r="AM28" s="390"/>
      <c r="AN28" s="1757"/>
      <c r="AO28" s="385"/>
      <c r="AQ28" s="571">
        <f t="shared" si="2"/>
        <v>1</v>
      </c>
      <c r="AR28" s="574">
        <f t="shared" si="3"/>
        <v>216720</v>
      </c>
      <c r="AS28" s="573">
        <f t="shared" si="4"/>
        <v>216720</v>
      </c>
      <c r="AT28" s="572">
        <f t="shared" si="5"/>
        <v>216720</v>
      </c>
      <c r="AU28" s="573">
        <f t="shared" si="6"/>
        <v>0</v>
      </c>
    </row>
    <row r="29" spans="1:47" ht="24.95" customHeight="1">
      <c r="A29" s="966" t="s">
        <v>571</v>
      </c>
      <c r="B29" s="979" t="s">
        <v>572</v>
      </c>
      <c r="C29" s="984">
        <v>2106.7199999999998</v>
      </c>
      <c r="D29" s="989">
        <v>0</v>
      </c>
      <c r="E29" s="967">
        <v>0</v>
      </c>
      <c r="F29" s="968">
        <f t="shared" si="0"/>
        <v>2106.7199999999998</v>
      </c>
      <c r="G29" s="1775"/>
      <c r="H29" s="984">
        <v>0</v>
      </c>
      <c r="I29" s="967">
        <v>0</v>
      </c>
      <c r="J29" s="968">
        <v>0</v>
      </c>
      <c r="K29" s="382"/>
      <c r="L29" s="393"/>
      <c r="M29" s="390"/>
      <c r="N29" s="390">
        <v>1</v>
      </c>
      <c r="O29" s="390"/>
      <c r="P29" s="393"/>
      <c r="Q29" s="390"/>
      <c r="R29" s="390"/>
      <c r="S29" s="390"/>
      <c r="T29" s="390"/>
      <c r="U29" s="390"/>
      <c r="V29" s="390"/>
      <c r="W29" s="390"/>
      <c r="X29" s="390"/>
      <c r="Y29" s="390"/>
      <c r="Z29" s="390"/>
      <c r="AA29" s="390"/>
      <c r="AB29" s="393"/>
      <c r="AC29" s="390"/>
      <c r="AD29" s="390"/>
      <c r="AE29" s="390"/>
      <c r="AF29" s="390"/>
      <c r="AG29" s="390"/>
      <c r="AH29" s="390"/>
      <c r="AI29" s="390"/>
      <c r="AJ29" s="390"/>
      <c r="AK29" s="390"/>
      <c r="AL29" s="390"/>
      <c r="AM29" s="390"/>
      <c r="AN29" s="1757"/>
      <c r="AO29" s="385"/>
      <c r="AQ29" s="571">
        <f t="shared" si="2"/>
        <v>1</v>
      </c>
      <c r="AR29" s="574">
        <f t="shared" si="3"/>
        <v>2106.7199999999998</v>
      </c>
      <c r="AS29" s="573">
        <f t="shared" si="4"/>
        <v>2106.7199999999998</v>
      </c>
      <c r="AT29" s="572">
        <f t="shared" si="5"/>
        <v>2106.7199999999998</v>
      </c>
      <c r="AU29" s="573">
        <f t="shared" si="6"/>
        <v>0</v>
      </c>
    </row>
    <row r="30" spans="1:47" ht="24.95" customHeight="1">
      <c r="A30" s="966" t="s">
        <v>573</v>
      </c>
      <c r="B30" s="979" t="s">
        <v>249</v>
      </c>
      <c r="C30" s="984">
        <v>4000</v>
      </c>
      <c r="D30" s="989">
        <v>0</v>
      </c>
      <c r="E30" s="967">
        <v>0</v>
      </c>
      <c r="F30" s="968">
        <f t="shared" si="0"/>
        <v>4000</v>
      </c>
      <c r="G30" s="1775"/>
      <c r="H30" s="984">
        <v>0</v>
      </c>
      <c r="I30" s="967">
        <v>0</v>
      </c>
      <c r="J30" s="968">
        <v>0</v>
      </c>
      <c r="K30" s="382"/>
      <c r="L30" s="393"/>
      <c r="M30" s="390"/>
      <c r="N30" s="390">
        <v>1</v>
      </c>
      <c r="O30" s="390"/>
      <c r="P30" s="393"/>
      <c r="Q30" s="390"/>
      <c r="R30" s="390"/>
      <c r="S30" s="390"/>
      <c r="T30" s="390"/>
      <c r="U30" s="390"/>
      <c r="V30" s="390"/>
      <c r="W30" s="390"/>
      <c r="X30" s="390"/>
      <c r="Y30" s="390"/>
      <c r="Z30" s="390"/>
      <c r="AA30" s="390"/>
      <c r="AB30" s="393"/>
      <c r="AC30" s="390"/>
      <c r="AD30" s="390"/>
      <c r="AE30" s="390"/>
      <c r="AF30" s="390"/>
      <c r="AG30" s="390"/>
      <c r="AH30" s="390"/>
      <c r="AI30" s="390"/>
      <c r="AJ30" s="390"/>
      <c r="AK30" s="390"/>
      <c r="AL30" s="390"/>
      <c r="AM30" s="390"/>
      <c r="AN30" s="1757"/>
      <c r="AO30" s="385"/>
      <c r="AQ30" s="571">
        <f t="shared" si="2"/>
        <v>1</v>
      </c>
      <c r="AR30" s="574">
        <f t="shared" si="3"/>
        <v>4000</v>
      </c>
      <c r="AS30" s="573">
        <f t="shared" si="4"/>
        <v>4000</v>
      </c>
      <c r="AT30" s="572">
        <f t="shared" si="5"/>
        <v>4000</v>
      </c>
      <c r="AU30" s="573">
        <f t="shared" si="6"/>
        <v>0</v>
      </c>
    </row>
    <row r="31" spans="1:47" ht="24.95" customHeight="1">
      <c r="A31" s="966" t="s">
        <v>574</v>
      </c>
      <c r="B31" s="979" t="s">
        <v>575</v>
      </c>
      <c r="C31" s="984">
        <v>50000</v>
      </c>
      <c r="D31" s="989">
        <v>0</v>
      </c>
      <c r="E31" s="967">
        <v>0</v>
      </c>
      <c r="F31" s="968">
        <f t="shared" si="0"/>
        <v>50000</v>
      </c>
      <c r="G31" s="1775"/>
      <c r="H31" s="984">
        <v>0</v>
      </c>
      <c r="I31" s="967">
        <v>0</v>
      </c>
      <c r="J31" s="968">
        <v>0</v>
      </c>
      <c r="K31" s="382"/>
      <c r="L31" s="393"/>
      <c r="M31" s="390"/>
      <c r="N31" s="390">
        <v>1</v>
      </c>
      <c r="O31" s="390"/>
      <c r="P31" s="393"/>
      <c r="Q31" s="390"/>
      <c r="R31" s="390"/>
      <c r="S31" s="390"/>
      <c r="T31" s="390"/>
      <c r="U31" s="390"/>
      <c r="V31" s="390"/>
      <c r="W31" s="390"/>
      <c r="X31" s="390"/>
      <c r="Y31" s="390"/>
      <c r="Z31" s="390"/>
      <c r="AA31" s="390"/>
      <c r="AB31" s="393"/>
      <c r="AC31" s="390"/>
      <c r="AD31" s="390"/>
      <c r="AE31" s="390"/>
      <c r="AF31" s="390"/>
      <c r="AG31" s="390"/>
      <c r="AH31" s="390"/>
      <c r="AI31" s="390"/>
      <c r="AJ31" s="390"/>
      <c r="AK31" s="390"/>
      <c r="AL31" s="390"/>
      <c r="AM31" s="390"/>
      <c r="AN31" s="1757"/>
      <c r="AO31" s="385"/>
      <c r="AQ31" s="571">
        <f t="shared" si="2"/>
        <v>1</v>
      </c>
      <c r="AR31" s="574">
        <f t="shared" si="3"/>
        <v>50000</v>
      </c>
      <c r="AS31" s="573">
        <f t="shared" si="4"/>
        <v>50000</v>
      </c>
      <c r="AT31" s="572">
        <f t="shared" si="5"/>
        <v>50000</v>
      </c>
      <c r="AU31" s="573">
        <f t="shared" si="6"/>
        <v>0</v>
      </c>
    </row>
    <row r="32" spans="1:47" ht="24.95" customHeight="1">
      <c r="A32" s="966" t="s">
        <v>576</v>
      </c>
      <c r="B32" s="979" t="s">
        <v>577</v>
      </c>
      <c r="C32" s="984">
        <v>154948.35</v>
      </c>
      <c r="D32" s="989">
        <v>0</v>
      </c>
      <c r="E32" s="967">
        <v>0</v>
      </c>
      <c r="F32" s="968">
        <f t="shared" si="0"/>
        <v>154948.35</v>
      </c>
      <c r="G32" s="1775"/>
      <c r="H32" s="984">
        <v>0</v>
      </c>
      <c r="I32" s="967">
        <v>0</v>
      </c>
      <c r="J32" s="968">
        <v>0</v>
      </c>
      <c r="K32" s="382"/>
      <c r="L32" s="393"/>
      <c r="M32" s="390"/>
      <c r="N32" s="390">
        <v>1</v>
      </c>
      <c r="O32" s="390"/>
      <c r="P32" s="393"/>
      <c r="Q32" s="390"/>
      <c r="R32" s="390"/>
      <c r="S32" s="390"/>
      <c r="T32" s="390"/>
      <c r="U32" s="390"/>
      <c r="V32" s="390"/>
      <c r="W32" s="390"/>
      <c r="X32" s="390"/>
      <c r="Y32" s="390"/>
      <c r="Z32" s="390"/>
      <c r="AA32" s="390"/>
      <c r="AB32" s="393"/>
      <c r="AC32" s="390"/>
      <c r="AD32" s="390"/>
      <c r="AE32" s="390"/>
      <c r="AF32" s="390"/>
      <c r="AG32" s="390"/>
      <c r="AH32" s="390"/>
      <c r="AI32" s="390"/>
      <c r="AJ32" s="390"/>
      <c r="AK32" s="390"/>
      <c r="AL32" s="390"/>
      <c r="AM32" s="390"/>
      <c r="AN32" s="1757"/>
      <c r="AO32" s="385"/>
      <c r="AQ32" s="571">
        <f t="shared" si="2"/>
        <v>1</v>
      </c>
      <c r="AR32" s="574">
        <f t="shared" si="3"/>
        <v>154948.35</v>
      </c>
      <c r="AS32" s="573">
        <f t="shared" si="4"/>
        <v>154948.35</v>
      </c>
      <c r="AT32" s="572">
        <f t="shared" si="5"/>
        <v>154948.35</v>
      </c>
      <c r="AU32" s="573">
        <f t="shared" si="6"/>
        <v>0</v>
      </c>
    </row>
    <row r="33" spans="1:49" ht="24.95" customHeight="1">
      <c r="A33" s="966" t="s">
        <v>578</v>
      </c>
      <c r="B33" s="979" t="s">
        <v>579</v>
      </c>
      <c r="C33" s="984">
        <v>779567.14</v>
      </c>
      <c r="D33" s="989">
        <v>0</v>
      </c>
      <c r="E33" s="967">
        <v>0</v>
      </c>
      <c r="F33" s="968">
        <f t="shared" si="0"/>
        <v>779567.14</v>
      </c>
      <c r="G33" s="1777"/>
      <c r="H33" s="984">
        <v>156926.87</v>
      </c>
      <c r="I33" s="967">
        <v>145206.60999999999</v>
      </c>
      <c r="J33" s="968">
        <v>11720.26</v>
      </c>
      <c r="K33" s="382"/>
      <c r="L33" s="393"/>
      <c r="M33" s="390"/>
      <c r="N33" s="390"/>
      <c r="O33" s="390"/>
      <c r="P33" s="393"/>
      <c r="Q33" s="390"/>
      <c r="R33" s="390"/>
      <c r="S33" s="390"/>
      <c r="T33" s="390"/>
      <c r="U33" s="390"/>
      <c r="V33" s="390"/>
      <c r="W33" s="390"/>
      <c r="X33" s="390"/>
      <c r="Y33" s="390"/>
      <c r="Z33" s="390"/>
      <c r="AA33" s="390"/>
      <c r="AB33" s="393"/>
      <c r="AC33" s="390"/>
      <c r="AD33" s="390"/>
      <c r="AE33" s="390"/>
      <c r="AF33" s="390"/>
      <c r="AG33" s="390"/>
      <c r="AH33" s="390"/>
      <c r="AI33" s="390"/>
      <c r="AJ33" s="390"/>
      <c r="AK33" s="390"/>
      <c r="AL33" s="390"/>
      <c r="AM33" s="390"/>
      <c r="AN33" s="1757"/>
      <c r="AO33" s="385"/>
      <c r="AQ33" s="571">
        <f t="shared" si="2"/>
        <v>0</v>
      </c>
      <c r="AR33" s="574">
        <f t="shared" si="3"/>
        <v>634360.53</v>
      </c>
      <c r="AS33" s="573">
        <f t="shared" si="4"/>
        <v>0</v>
      </c>
      <c r="AT33" s="572">
        <f t="shared" si="5"/>
        <v>145206.60999999999</v>
      </c>
      <c r="AU33" s="573">
        <f t="shared" si="6"/>
        <v>634360.53</v>
      </c>
    </row>
    <row r="34" spans="1:49" ht="24.95" customHeight="1">
      <c r="A34" s="966" t="s">
        <v>580</v>
      </c>
      <c r="B34" s="979" t="s">
        <v>320</v>
      </c>
      <c r="C34" s="984">
        <v>1240449</v>
      </c>
      <c r="D34" s="989">
        <v>0</v>
      </c>
      <c r="E34" s="967">
        <v>0</v>
      </c>
      <c r="F34" s="968">
        <f t="shared" si="0"/>
        <v>1240449</v>
      </c>
      <c r="G34" s="1775"/>
      <c r="H34" s="984">
        <v>403145.93</v>
      </c>
      <c r="I34" s="967">
        <v>406604.47</v>
      </c>
      <c r="J34" s="968">
        <v>-3458.54</v>
      </c>
      <c r="K34" s="382"/>
      <c r="L34" s="393"/>
      <c r="M34" s="390"/>
      <c r="N34" s="390"/>
      <c r="O34" s="390"/>
      <c r="P34" s="393"/>
      <c r="Q34" s="390"/>
      <c r="R34" s="390"/>
      <c r="S34" s="390"/>
      <c r="T34" s="390"/>
      <c r="U34" s="390"/>
      <c r="V34" s="390"/>
      <c r="W34" s="390"/>
      <c r="X34" s="390"/>
      <c r="Y34" s="390"/>
      <c r="Z34" s="390"/>
      <c r="AA34" s="390"/>
      <c r="AB34" s="393"/>
      <c r="AC34" s="390"/>
      <c r="AD34" s="390"/>
      <c r="AE34" s="390"/>
      <c r="AF34" s="390"/>
      <c r="AG34" s="390"/>
      <c r="AH34" s="390"/>
      <c r="AI34" s="390"/>
      <c r="AJ34" s="390"/>
      <c r="AK34" s="390"/>
      <c r="AL34" s="390"/>
      <c r="AM34" s="390"/>
      <c r="AN34" s="1757"/>
      <c r="AO34" s="385"/>
      <c r="AQ34" s="571">
        <f t="shared" si="2"/>
        <v>0</v>
      </c>
      <c r="AR34" s="574">
        <f t="shared" si="3"/>
        <v>833844.53</v>
      </c>
      <c r="AS34" s="573">
        <f t="shared" si="4"/>
        <v>0</v>
      </c>
      <c r="AT34" s="572">
        <f t="shared" si="5"/>
        <v>406604.47</v>
      </c>
      <c r="AU34" s="573">
        <f t="shared" si="6"/>
        <v>833844.53</v>
      </c>
      <c r="AW34" s="374"/>
    </row>
    <row r="35" spans="1:49" ht="24.95" customHeight="1">
      <c r="A35" s="969" t="s">
        <v>581</v>
      </c>
      <c r="B35" s="980" t="s">
        <v>582</v>
      </c>
      <c r="C35" s="985">
        <v>129009357.68000001</v>
      </c>
      <c r="D35" s="990">
        <v>5982303.6799999997</v>
      </c>
      <c r="E35" s="970">
        <v>-5982303.6799999997</v>
      </c>
      <c r="F35" s="971">
        <f t="shared" si="0"/>
        <v>129009357.68000001</v>
      </c>
      <c r="G35" s="1775"/>
      <c r="H35" s="985">
        <v>138950</v>
      </c>
      <c r="I35" s="970">
        <v>4849409.79</v>
      </c>
      <c r="J35" s="971">
        <v>-4710459.79</v>
      </c>
      <c r="K35" s="382"/>
      <c r="L35" s="393"/>
      <c r="M35" s="390"/>
      <c r="N35" s="390"/>
      <c r="O35" s="390"/>
      <c r="P35" s="393"/>
      <c r="Q35" s="390"/>
      <c r="R35" s="390"/>
      <c r="S35" s="390"/>
      <c r="T35" s="390"/>
      <c r="U35" s="390"/>
      <c r="V35" s="390"/>
      <c r="W35" s="390"/>
      <c r="X35" s="390"/>
      <c r="Y35" s="390"/>
      <c r="Z35" s="390"/>
      <c r="AA35" s="390"/>
      <c r="AB35" s="393"/>
      <c r="AC35" s="390"/>
      <c r="AD35" s="390"/>
      <c r="AE35" s="390"/>
      <c r="AF35" s="390"/>
      <c r="AG35" s="390"/>
      <c r="AH35" s="390"/>
      <c r="AI35" s="390"/>
      <c r="AJ35" s="390"/>
      <c r="AK35" s="390"/>
      <c r="AL35" s="390"/>
      <c r="AM35" s="390"/>
      <c r="AN35" s="1757"/>
      <c r="AO35" s="385"/>
      <c r="AQ35" s="580">
        <f t="shared" ref="AQ35:AU35" si="7">+AQ70+AQ44+AQ36</f>
        <v>18</v>
      </c>
      <c r="AR35" s="581">
        <f t="shared" si="7"/>
        <v>137677947.88999999</v>
      </c>
      <c r="AS35" s="582">
        <f t="shared" si="7"/>
        <v>92751279.359999999</v>
      </c>
      <c r="AT35" s="583">
        <f t="shared" si="7"/>
        <v>97800689.150000006</v>
      </c>
      <c r="AU35" s="582">
        <f t="shared" si="7"/>
        <v>44926668.530000001</v>
      </c>
      <c r="AV35" s="380"/>
    </row>
    <row r="36" spans="1:49" ht="24.95" customHeight="1">
      <c r="A36" s="972" t="s">
        <v>583</v>
      </c>
      <c r="B36" s="981" t="s">
        <v>352</v>
      </c>
      <c r="C36" s="986">
        <v>9247357.6799999997</v>
      </c>
      <c r="D36" s="991">
        <v>5982303.6799999997</v>
      </c>
      <c r="E36" s="973">
        <v>-5982303.6799999997</v>
      </c>
      <c r="F36" s="974">
        <f t="shared" si="0"/>
        <v>9247357.6799999997</v>
      </c>
      <c r="G36" s="1775"/>
      <c r="H36" s="986">
        <v>138950</v>
      </c>
      <c r="I36" s="973">
        <v>4849409.79</v>
      </c>
      <c r="J36" s="974">
        <v>-4710459.79</v>
      </c>
      <c r="K36" s="382"/>
      <c r="L36" s="393"/>
      <c r="M36" s="390"/>
      <c r="N36" s="390"/>
      <c r="O36" s="390"/>
      <c r="P36" s="393"/>
      <c r="Q36" s="390"/>
      <c r="R36" s="390"/>
      <c r="S36" s="390"/>
      <c r="T36" s="390"/>
      <c r="U36" s="390"/>
      <c r="V36" s="390"/>
      <c r="W36" s="390"/>
      <c r="X36" s="390"/>
      <c r="Y36" s="390"/>
      <c r="Z36" s="390"/>
      <c r="AA36" s="390"/>
      <c r="AB36" s="393"/>
      <c r="AC36" s="390"/>
      <c r="AD36" s="390"/>
      <c r="AE36" s="390"/>
      <c r="AF36" s="390"/>
      <c r="AG36" s="390"/>
      <c r="AH36" s="390"/>
      <c r="AI36" s="390"/>
      <c r="AJ36" s="390"/>
      <c r="AK36" s="390"/>
      <c r="AL36" s="390"/>
      <c r="AM36" s="390"/>
      <c r="AN36" s="1757"/>
      <c r="AO36" s="385"/>
      <c r="AQ36" s="584">
        <f t="shared" ref="AQ36:AU36" si="8">+AQ42+AQ41+AQ37</f>
        <v>4</v>
      </c>
      <c r="AR36" s="585">
        <f t="shared" si="8"/>
        <v>5197947.8900000006</v>
      </c>
      <c r="AS36" s="586">
        <f t="shared" si="8"/>
        <v>7039279.3600000003</v>
      </c>
      <c r="AT36" s="587">
        <f t="shared" si="8"/>
        <v>12088689.15</v>
      </c>
      <c r="AU36" s="586">
        <f t="shared" si="8"/>
        <v>-1841331.4700000002</v>
      </c>
      <c r="AV36" s="380"/>
    </row>
    <row r="37" spans="1:49" ht="24.95" customHeight="1">
      <c r="A37" s="966" t="s">
        <v>584</v>
      </c>
      <c r="B37" s="979" t="s">
        <v>353</v>
      </c>
      <c r="C37" s="984">
        <v>3265057.68</v>
      </c>
      <c r="D37" s="989">
        <v>0</v>
      </c>
      <c r="E37" s="967">
        <v>0</v>
      </c>
      <c r="F37" s="968">
        <f t="shared" si="0"/>
        <v>3265057.68</v>
      </c>
      <c r="G37" s="1775"/>
      <c r="H37" s="984">
        <v>138950</v>
      </c>
      <c r="I37" s="967">
        <v>1858259.79</v>
      </c>
      <c r="J37" s="968">
        <v>-1719309.79</v>
      </c>
      <c r="K37" s="382"/>
      <c r="L37" s="393"/>
      <c r="M37" s="390"/>
      <c r="N37" s="390"/>
      <c r="O37" s="390"/>
      <c r="P37" s="393"/>
      <c r="Q37" s="390"/>
      <c r="R37" s="390"/>
      <c r="S37" s="390"/>
      <c r="T37" s="390"/>
      <c r="U37" s="390"/>
      <c r="V37" s="390"/>
      <c r="W37" s="390"/>
      <c r="X37" s="390"/>
      <c r="Y37" s="390"/>
      <c r="Z37" s="390"/>
      <c r="AA37" s="390"/>
      <c r="AB37" s="393"/>
      <c r="AC37" s="390"/>
      <c r="AD37" s="390"/>
      <c r="AE37" s="390"/>
      <c r="AF37" s="390"/>
      <c r="AG37" s="390"/>
      <c r="AH37" s="390"/>
      <c r="AI37" s="390"/>
      <c r="AJ37" s="390"/>
      <c r="AK37" s="390"/>
      <c r="AL37" s="390"/>
      <c r="AM37" s="390"/>
      <c r="AN37" s="1757"/>
      <c r="AO37" s="385"/>
      <c r="AQ37" s="588">
        <f t="shared" ref="AQ37:AQ43" si="9">SUM(K37:AO37)</f>
        <v>0</v>
      </c>
      <c r="AR37" s="589">
        <f t="shared" ref="AR37:AR43" si="10">IFERROR(IF(F37-I37&lt;0,0,F37-I37),0)</f>
        <v>1406797.8900000001</v>
      </c>
      <c r="AS37" s="590">
        <f>+AS40+AS39+AS38</f>
        <v>1056979.3600000001</v>
      </c>
      <c r="AT37" s="591">
        <f t="shared" ref="AT37:AT43" si="11">I37+AS37</f>
        <v>2915239.1500000004</v>
      </c>
      <c r="AU37" s="590">
        <f t="shared" ref="AU37:AU43" si="12">F37-AT37</f>
        <v>349818.5299999998</v>
      </c>
      <c r="AV37" s="380"/>
    </row>
    <row r="38" spans="1:49" ht="24.95" customHeight="1">
      <c r="A38" s="975" t="s">
        <v>585</v>
      </c>
      <c r="B38" s="982" t="s">
        <v>354</v>
      </c>
      <c r="C38" s="987">
        <v>2596568</v>
      </c>
      <c r="D38" s="992">
        <v>0</v>
      </c>
      <c r="E38" s="976">
        <v>0</v>
      </c>
      <c r="F38" s="977">
        <f t="shared" si="0"/>
        <v>2596568</v>
      </c>
      <c r="G38" s="1775"/>
      <c r="H38" s="987">
        <v>0</v>
      </c>
      <c r="I38" s="976">
        <v>1719376.46</v>
      </c>
      <c r="J38" s="977">
        <v>-1719376.46</v>
      </c>
      <c r="K38" s="382"/>
      <c r="L38" s="393"/>
      <c r="M38" s="390"/>
      <c r="N38" s="390"/>
      <c r="O38" s="390"/>
      <c r="P38" s="393"/>
      <c r="Q38" s="390"/>
      <c r="R38" s="390"/>
      <c r="S38" s="390"/>
      <c r="T38" s="390"/>
      <c r="U38" s="390"/>
      <c r="V38" s="390"/>
      <c r="W38" s="390"/>
      <c r="X38" s="390"/>
      <c r="Y38" s="390"/>
      <c r="Z38" s="390"/>
      <c r="AA38" s="390"/>
      <c r="AB38" s="393"/>
      <c r="AC38" s="390"/>
      <c r="AD38" s="390"/>
      <c r="AE38" s="390"/>
      <c r="AF38" s="390"/>
      <c r="AG38" s="390"/>
      <c r="AH38" s="390"/>
      <c r="AI38" s="390"/>
      <c r="AJ38" s="390"/>
      <c r="AK38" s="390"/>
      <c r="AL38" s="390"/>
      <c r="AM38" s="390"/>
      <c r="AN38" s="1757"/>
      <c r="AO38" s="385"/>
      <c r="AQ38" s="592">
        <f t="shared" si="9"/>
        <v>0</v>
      </c>
      <c r="AR38" s="593">
        <f t="shared" si="10"/>
        <v>877191.54</v>
      </c>
      <c r="AS38" s="594">
        <f>IFERROR(AQ38*AR38,0)</f>
        <v>0</v>
      </c>
      <c r="AT38" s="595">
        <f t="shared" si="11"/>
        <v>1719376.46</v>
      </c>
      <c r="AU38" s="594">
        <f t="shared" si="12"/>
        <v>877191.54</v>
      </c>
      <c r="AV38" s="380"/>
    </row>
    <row r="39" spans="1:49" ht="24.95" customHeight="1">
      <c r="A39" s="975" t="s">
        <v>586</v>
      </c>
      <c r="B39" s="982" t="s">
        <v>198</v>
      </c>
      <c r="C39" s="987">
        <v>140000</v>
      </c>
      <c r="D39" s="992">
        <v>140000</v>
      </c>
      <c r="E39" s="976">
        <v>-140000</v>
      </c>
      <c r="F39" s="977">
        <f t="shared" si="0"/>
        <v>140000</v>
      </c>
      <c r="G39" s="1775"/>
      <c r="H39" s="987">
        <v>138950</v>
      </c>
      <c r="I39" s="976">
        <v>138883.32999999999</v>
      </c>
      <c r="J39" s="977">
        <v>66.67</v>
      </c>
      <c r="K39" s="382"/>
      <c r="L39" s="393"/>
      <c r="M39" s="390"/>
      <c r="N39" s="390"/>
      <c r="O39" s="390"/>
      <c r="P39" s="393"/>
      <c r="Q39" s="390"/>
      <c r="R39" s="390"/>
      <c r="S39" s="390"/>
      <c r="T39" s="390"/>
      <c r="U39" s="390"/>
      <c r="V39" s="390"/>
      <c r="W39" s="390"/>
      <c r="X39" s="390"/>
      <c r="Y39" s="390"/>
      <c r="Z39" s="390"/>
      <c r="AA39" s="390"/>
      <c r="AB39" s="393"/>
      <c r="AC39" s="390"/>
      <c r="AD39" s="390"/>
      <c r="AE39" s="390"/>
      <c r="AF39" s="390"/>
      <c r="AG39" s="390"/>
      <c r="AH39" s="390"/>
      <c r="AI39" s="390"/>
      <c r="AJ39" s="390"/>
      <c r="AK39" s="390"/>
      <c r="AL39" s="390"/>
      <c r="AM39" s="390"/>
      <c r="AN39" s="1757"/>
      <c r="AO39" s="385"/>
      <c r="AQ39" s="592">
        <f t="shared" si="9"/>
        <v>0</v>
      </c>
      <c r="AR39" s="593">
        <f t="shared" si="10"/>
        <v>1116.6700000000128</v>
      </c>
      <c r="AS39" s="594">
        <f>IFERROR(AQ39*AR39,0)</f>
        <v>0</v>
      </c>
      <c r="AT39" s="595">
        <f t="shared" si="11"/>
        <v>138883.32999999999</v>
      </c>
      <c r="AU39" s="594">
        <f t="shared" si="12"/>
        <v>1116.6700000000128</v>
      </c>
      <c r="AV39" s="380"/>
    </row>
    <row r="40" spans="1:49" ht="24.95" customHeight="1">
      <c r="A40" s="975" t="s">
        <v>587</v>
      </c>
      <c r="B40" s="982" t="s">
        <v>355</v>
      </c>
      <c r="C40" s="987">
        <v>528489.68000000005</v>
      </c>
      <c r="D40" s="992">
        <v>-140000</v>
      </c>
      <c r="E40" s="976">
        <v>140000</v>
      </c>
      <c r="F40" s="977">
        <f t="shared" si="0"/>
        <v>528489.68000000005</v>
      </c>
      <c r="G40" s="1775"/>
      <c r="H40" s="987">
        <v>0</v>
      </c>
      <c r="I40" s="976">
        <v>0</v>
      </c>
      <c r="J40" s="977">
        <v>0</v>
      </c>
      <c r="K40" s="382"/>
      <c r="L40" s="393"/>
      <c r="M40" s="390"/>
      <c r="N40" s="390"/>
      <c r="O40" s="390"/>
      <c r="P40" s="393"/>
      <c r="Q40" s="390"/>
      <c r="R40" s="390"/>
      <c r="S40" s="390">
        <v>1</v>
      </c>
      <c r="T40" s="390"/>
      <c r="U40" s="390"/>
      <c r="V40" s="390"/>
      <c r="W40" s="390"/>
      <c r="X40" s="390"/>
      <c r="Y40" s="390"/>
      <c r="Z40" s="390"/>
      <c r="AA40" s="390"/>
      <c r="AB40" s="393"/>
      <c r="AC40" s="390"/>
      <c r="AD40" s="390"/>
      <c r="AE40" s="390">
        <v>1</v>
      </c>
      <c r="AF40" s="390"/>
      <c r="AG40" s="390"/>
      <c r="AH40" s="390"/>
      <c r="AI40" s="390"/>
      <c r="AJ40" s="390"/>
      <c r="AK40" s="390"/>
      <c r="AL40" s="390"/>
      <c r="AM40" s="390"/>
      <c r="AN40" s="1757"/>
      <c r="AO40" s="385"/>
      <c r="AQ40" s="592">
        <f t="shared" si="9"/>
        <v>2</v>
      </c>
      <c r="AR40" s="593">
        <f t="shared" si="10"/>
        <v>528489.68000000005</v>
      </c>
      <c r="AS40" s="594">
        <f>IFERROR(AQ40*AR40,0)</f>
        <v>1056979.3600000001</v>
      </c>
      <c r="AT40" s="595">
        <f t="shared" si="11"/>
        <v>1056979.3600000001</v>
      </c>
      <c r="AU40" s="594">
        <f t="shared" si="12"/>
        <v>-528489.68000000005</v>
      </c>
      <c r="AV40" s="380"/>
    </row>
    <row r="41" spans="1:49" ht="24.95" customHeight="1">
      <c r="A41" s="966" t="s">
        <v>588</v>
      </c>
      <c r="B41" s="979" t="s">
        <v>397</v>
      </c>
      <c r="C41" s="984">
        <v>5982300</v>
      </c>
      <c r="D41" s="989">
        <v>5982303.6799999997</v>
      </c>
      <c r="E41" s="967">
        <v>-5982303.6799999997</v>
      </c>
      <c r="F41" s="968">
        <f t="shared" si="0"/>
        <v>5982300</v>
      </c>
      <c r="G41" s="1775"/>
      <c r="H41" s="984">
        <v>0</v>
      </c>
      <c r="I41" s="967">
        <v>2991150</v>
      </c>
      <c r="J41" s="968">
        <v>-2991150</v>
      </c>
      <c r="K41" s="382"/>
      <c r="L41" s="393"/>
      <c r="M41" s="390"/>
      <c r="N41" s="390"/>
      <c r="O41" s="390"/>
      <c r="P41" s="393"/>
      <c r="Q41" s="390"/>
      <c r="R41" s="390"/>
      <c r="S41" s="390">
        <v>1</v>
      </c>
      <c r="T41" s="390"/>
      <c r="U41" s="390"/>
      <c r="V41" s="390"/>
      <c r="W41" s="390"/>
      <c r="X41" s="390"/>
      <c r="Y41" s="390"/>
      <c r="Z41" s="390"/>
      <c r="AA41" s="390"/>
      <c r="AB41" s="393"/>
      <c r="AC41" s="390"/>
      <c r="AD41" s="390"/>
      <c r="AE41" s="390">
        <v>1</v>
      </c>
      <c r="AF41" s="390"/>
      <c r="AG41" s="390"/>
      <c r="AH41" s="390"/>
      <c r="AI41" s="390"/>
      <c r="AJ41" s="390"/>
      <c r="AK41" s="390"/>
      <c r="AL41" s="390"/>
      <c r="AM41" s="390"/>
      <c r="AN41" s="1757"/>
      <c r="AO41" s="385"/>
      <c r="AQ41" s="588">
        <f t="shared" si="9"/>
        <v>2</v>
      </c>
      <c r="AR41" s="589">
        <f t="shared" si="10"/>
        <v>2991150</v>
      </c>
      <c r="AS41" s="590">
        <f>IFERROR(AQ41*AR41,0)</f>
        <v>5982300</v>
      </c>
      <c r="AT41" s="591">
        <f t="shared" si="11"/>
        <v>8973450</v>
      </c>
      <c r="AU41" s="590">
        <f t="shared" si="12"/>
        <v>-2991150</v>
      </c>
      <c r="AV41" s="380"/>
    </row>
    <row r="42" spans="1:49" ht="24.95" customHeight="1">
      <c r="A42" s="966" t="s">
        <v>987</v>
      </c>
      <c r="B42" s="979" t="s">
        <v>988</v>
      </c>
      <c r="C42" s="984">
        <v>1000000</v>
      </c>
      <c r="D42" s="989">
        <v>0</v>
      </c>
      <c r="E42" s="967">
        <v>0</v>
      </c>
      <c r="F42" s="968">
        <f t="shared" si="0"/>
        <v>1000000</v>
      </c>
      <c r="G42" s="1775"/>
      <c r="H42" s="984"/>
      <c r="I42" s="967">
        <v>200000</v>
      </c>
      <c r="J42" s="968">
        <v>-171939.79</v>
      </c>
      <c r="K42" s="382"/>
      <c r="L42" s="393"/>
      <c r="M42" s="390"/>
      <c r="N42" s="390"/>
      <c r="O42" s="390"/>
      <c r="P42" s="393"/>
      <c r="Q42" s="390"/>
      <c r="R42" s="390"/>
      <c r="S42" s="390">
        <v>1</v>
      </c>
      <c r="T42" s="390"/>
      <c r="U42" s="390"/>
      <c r="V42" s="390"/>
      <c r="W42" s="390"/>
      <c r="X42" s="390"/>
      <c r="Y42" s="390"/>
      <c r="Z42" s="390"/>
      <c r="AA42" s="390"/>
      <c r="AB42" s="393"/>
      <c r="AC42" s="390"/>
      <c r="AD42" s="390"/>
      <c r="AE42" s="390">
        <v>1</v>
      </c>
      <c r="AF42" s="390"/>
      <c r="AG42" s="390"/>
      <c r="AH42" s="390"/>
      <c r="AI42" s="390"/>
      <c r="AJ42" s="390"/>
      <c r="AK42" s="390"/>
      <c r="AL42" s="390"/>
      <c r="AM42" s="390"/>
      <c r="AN42" s="1757"/>
      <c r="AO42" s="385"/>
      <c r="AQ42" s="588">
        <f t="shared" si="9"/>
        <v>2</v>
      </c>
      <c r="AR42" s="589">
        <f t="shared" si="10"/>
        <v>800000</v>
      </c>
      <c r="AS42" s="590">
        <f>+AS43</f>
        <v>0</v>
      </c>
      <c r="AT42" s="591">
        <f t="shared" si="11"/>
        <v>200000</v>
      </c>
      <c r="AU42" s="590">
        <f t="shared" si="12"/>
        <v>800000</v>
      </c>
      <c r="AV42" s="380"/>
    </row>
    <row r="43" spans="1:49" ht="24.95" customHeight="1">
      <c r="A43" s="975" t="s">
        <v>989</v>
      </c>
      <c r="B43" s="982" t="s">
        <v>990</v>
      </c>
      <c r="C43" s="987">
        <v>1000000</v>
      </c>
      <c r="D43" s="992">
        <v>0</v>
      </c>
      <c r="E43" s="976">
        <v>0</v>
      </c>
      <c r="F43" s="977">
        <f t="shared" si="0"/>
        <v>1000000</v>
      </c>
      <c r="G43" s="1775"/>
      <c r="H43" s="987">
        <v>0</v>
      </c>
      <c r="I43" s="976">
        <v>200000</v>
      </c>
      <c r="J43" s="977">
        <v>-171939.79</v>
      </c>
      <c r="K43" s="382"/>
      <c r="L43" s="393"/>
      <c r="M43" s="390"/>
      <c r="N43" s="390"/>
      <c r="O43" s="390"/>
      <c r="P43" s="393"/>
      <c r="Q43" s="390"/>
      <c r="R43" s="390"/>
      <c r="S43" s="390"/>
      <c r="T43" s="390"/>
      <c r="U43" s="390"/>
      <c r="V43" s="390"/>
      <c r="W43" s="390"/>
      <c r="X43" s="390"/>
      <c r="Y43" s="390"/>
      <c r="Z43" s="390"/>
      <c r="AA43" s="390"/>
      <c r="AB43" s="393"/>
      <c r="AC43" s="390"/>
      <c r="AD43" s="390"/>
      <c r="AE43" s="390"/>
      <c r="AF43" s="390"/>
      <c r="AG43" s="390"/>
      <c r="AH43" s="390"/>
      <c r="AI43" s="390"/>
      <c r="AJ43" s="390"/>
      <c r="AK43" s="390"/>
      <c r="AL43" s="390"/>
      <c r="AM43" s="390"/>
      <c r="AN43" s="1757"/>
      <c r="AO43" s="385"/>
      <c r="AQ43" s="592">
        <f t="shared" si="9"/>
        <v>0</v>
      </c>
      <c r="AR43" s="593">
        <f t="shared" si="10"/>
        <v>800000</v>
      </c>
      <c r="AS43" s="594">
        <f>IFERROR(AQ43*AR43,0)</f>
        <v>0</v>
      </c>
      <c r="AT43" s="595">
        <f t="shared" si="11"/>
        <v>200000</v>
      </c>
      <c r="AU43" s="594">
        <f t="shared" si="12"/>
        <v>800000</v>
      </c>
      <c r="AV43" s="380"/>
    </row>
    <row r="44" spans="1:49" ht="24.95" customHeight="1">
      <c r="A44" s="972" t="s">
        <v>589</v>
      </c>
      <c r="B44" s="981" t="s">
        <v>356</v>
      </c>
      <c r="C44" s="986">
        <v>84248000</v>
      </c>
      <c r="D44" s="991">
        <v>0</v>
      </c>
      <c r="E44" s="973">
        <v>0</v>
      </c>
      <c r="F44" s="974">
        <f t="shared" si="0"/>
        <v>84248000</v>
      </c>
      <c r="G44" s="1775"/>
      <c r="H44" s="986">
        <v>0</v>
      </c>
      <c r="I44" s="973">
        <v>0</v>
      </c>
      <c r="J44" s="974">
        <v>0</v>
      </c>
      <c r="K44" s="382"/>
      <c r="L44" s="393"/>
      <c r="M44" s="390"/>
      <c r="N44" s="390"/>
      <c r="O44" s="390"/>
      <c r="P44" s="393"/>
      <c r="Q44" s="390"/>
      <c r="R44" s="390"/>
      <c r="S44" s="390"/>
      <c r="T44" s="390"/>
      <c r="U44" s="390"/>
      <c r="V44" s="390"/>
      <c r="W44" s="390"/>
      <c r="X44" s="390"/>
      <c r="Y44" s="390"/>
      <c r="Z44" s="390"/>
      <c r="AA44" s="390"/>
      <c r="AB44" s="393"/>
      <c r="AC44" s="390"/>
      <c r="AD44" s="390"/>
      <c r="AE44" s="390"/>
      <c r="AF44" s="390"/>
      <c r="AG44" s="390"/>
      <c r="AH44" s="390"/>
      <c r="AI44" s="390"/>
      <c r="AJ44" s="390"/>
      <c r="AK44" s="390"/>
      <c r="AL44" s="390"/>
      <c r="AM44" s="390"/>
      <c r="AN44" s="1757"/>
      <c r="AO44" s="385"/>
      <c r="AQ44" s="584">
        <f t="shared" ref="AQ44:AU44" si="13">+AQ68+AQ65+AQ63+AQ61+AQ56+AQ54+AQ45</f>
        <v>6</v>
      </c>
      <c r="AR44" s="585">
        <f t="shared" si="13"/>
        <v>94248000</v>
      </c>
      <c r="AS44" s="586">
        <f t="shared" si="13"/>
        <v>60482000</v>
      </c>
      <c r="AT44" s="587">
        <f t="shared" si="13"/>
        <v>60482000</v>
      </c>
      <c r="AU44" s="586">
        <f t="shared" si="13"/>
        <v>33766000</v>
      </c>
      <c r="AV44" s="380"/>
    </row>
    <row r="45" spans="1:49" ht="24.95" customHeight="1">
      <c r="A45" s="966" t="s">
        <v>590</v>
      </c>
      <c r="B45" s="979" t="s">
        <v>357</v>
      </c>
      <c r="C45" s="984">
        <v>9853000</v>
      </c>
      <c r="D45" s="989">
        <v>0</v>
      </c>
      <c r="E45" s="967">
        <v>0</v>
      </c>
      <c r="F45" s="968">
        <f t="shared" si="0"/>
        <v>9853000</v>
      </c>
      <c r="G45" s="1775"/>
      <c r="H45" s="984">
        <v>0</v>
      </c>
      <c r="I45" s="967">
        <v>0</v>
      </c>
      <c r="J45" s="968">
        <v>0</v>
      </c>
      <c r="K45" s="382"/>
      <c r="L45" s="393"/>
      <c r="M45" s="390"/>
      <c r="N45" s="390"/>
      <c r="O45" s="390"/>
      <c r="P45" s="393"/>
      <c r="Q45" s="390"/>
      <c r="R45" s="390"/>
      <c r="S45" s="390"/>
      <c r="T45" s="390"/>
      <c r="U45" s="390"/>
      <c r="V45" s="390"/>
      <c r="W45" s="390"/>
      <c r="X45" s="390"/>
      <c r="Y45" s="390"/>
      <c r="Z45" s="390"/>
      <c r="AA45" s="390"/>
      <c r="AB45" s="393"/>
      <c r="AC45" s="390"/>
      <c r="AD45" s="390"/>
      <c r="AE45" s="390"/>
      <c r="AF45" s="390"/>
      <c r="AG45" s="390"/>
      <c r="AH45" s="390"/>
      <c r="AI45" s="390"/>
      <c r="AJ45" s="390"/>
      <c r="AK45" s="390"/>
      <c r="AL45" s="390"/>
      <c r="AM45" s="390"/>
      <c r="AN45" s="1757"/>
      <c r="AO45" s="385"/>
      <c r="AQ45" s="588">
        <f t="shared" ref="AQ45:AQ69" si="14">SUM(K45:AO45)</f>
        <v>0</v>
      </c>
      <c r="AR45" s="589">
        <f t="shared" ref="AR45:AR69" si="15">IFERROR(IF(F45-I45&lt;0,0,F45-I45),0)</f>
        <v>9853000</v>
      </c>
      <c r="AS45" s="590">
        <f>+AS51+AS46</f>
        <v>0</v>
      </c>
      <c r="AT45" s="591">
        <f t="shared" ref="AT45:AT69" si="16">I45+AS45</f>
        <v>0</v>
      </c>
      <c r="AU45" s="590">
        <f t="shared" ref="AU45:AU69" si="17">F45-AT45</f>
        <v>9853000</v>
      </c>
      <c r="AV45" s="380"/>
    </row>
    <row r="46" spans="1:49" ht="24.95" customHeight="1">
      <c r="A46" s="975" t="s">
        <v>591</v>
      </c>
      <c r="B46" s="982" t="s">
        <v>361</v>
      </c>
      <c r="C46" s="987">
        <v>5853000</v>
      </c>
      <c r="D46" s="992">
        <v>0</v>
      </c>
      <c r="E46" s="976">
        <v>0</v>
      </c>
      <c r="F46" s="977">
        <f t="shared" si="0"/>
        <v>5853000</v>
      </c>
      <c r="G46" s="1775"/>
      <c r="H46" s="987">
        <v>0</v>
      </c>
      <c r="I46" s="976">
        <v>0</v>
      </c>
      <c r="J46" s="977">
        <v>0</v>
      </c>
      <c r="K46" s="382"/>
      <c r="L46" s="393"/>
      <c r="M46" s="390"/>
      <c r="N46" s="390"/>
      <c r="O46" s="390"/>
      <c r="P46" s="393"/>
      <c r="Q46" s="390"/>
      <c r="R46" s="390"/>
      <c r="S46" s="390"/>
      <c r="T46" s="390"/>
      <c r="U46" s="390"/>
      <c r="V46" s="390"/>
      <c r="W46" s="390"/>
      <c r="X46" s="390"/>
      <c r="Y46" s="390"/>
      <c r="Z46" s="390"/>
      <c r="AA46" s="390"/>
      <c r="AB46" s="393"/>
      <c r="AC46" s="390"/>
      <c r="AD46" s="390"/>
      <c r="AE46" s="390"/>
      <c r="AF46" s="390"/>
      <c r="AG46" s="390"/>
      <c r="AH46" s="390"/>
      <c r="AI46" s="390"/>
      <c r="AJ46" s="390"/>
      <c r="AK46" s="390"/>
      <c r="AL46" s="390"/>
      <c r="AM46" s="390"/>
      <c r="AN46" s="1757"/>
      <c r="AO46" s="385"/>
      <c r="AQ46" s="592">
        <f t="shared" si="14"/>
        <v>0</v>
      </c>
      <c r="AR46" s="593">
        <f t="shared" si="15"/>
        <v>5853000</v>
      </c>
      <c r="AS46" s="594">
        <f t="shared" ref="AS46:AS53" si="18">IFERROR(AQ46*AR46,0)</f>
        <v>0</v>
      </c>
      <c r="AT46" s="595">
        <f t="shared" si="16"/>
        <v>0</v>
      </c>
      <c r="AU46" s="594">
        <f t="shared" si="17"/>
        <v>5853000</v>
      </c>
      <c r="AV46" s="380"/>
    </row>
    <row r="47" spans="1:49" ht="24.95" customHeight="1">
      <c r="A47" s="1760" t="s">
        <v>991</v>
      </c>
      <c r="B47" s="982" t="s">
        <v>992</v>
      </c>
      <c r="C47" s="987">
        <v>1451457</v>
      </c>
      <c r="D47" s="992">
        <v>500</v>
      </c>
      <c r="E47" s="976">
        <v>200</v>
      </c>
      <c r="F47" s="977">
        <f t="shared" si="0"/>
        <v>1452157</v>
      </c>
      <c r="G47" s="1775"/>
      <c r="H47" s="987">
        <v>400</v>
      </c>
      <c r="I47" s="976">
        <v>300</v>
      </c>
      <c r="J47" s="977">
        <v>-450</v>
      </c>
      <c r="K47" s="382"/>
      <c r="L47" s="393"/>
      <c r="M47" s="390"/>
      <c r="N47" s="390"/>
      <c r="O47" s="390"/>
      <c r="P47" s="393"/>
      <c r="Q47" s="390"/>
      <c r="R47" s="390"/>
      <c r="S47" s="390"/>
      <c r="T47" s="390"/>
      <c r="U47" s="390"/>
      <c r="V47" s="390"/>
      <c r="W47" s="390"/>
      <c r="X47" s="390"/>
      <c r="Y47" s="390"/>
      <c r="Z47" s="390"/>
      <c r="AA47" s="390"/>
      <c r="AB47" s="393"/>
      <c r="AC47" s="390"/>
      <c r="AD47" s="390"/>
      <c r="AE47" s="390"/>
      <c r="AF47" s="390"/>
      <c r="AG47" s="390"/>
      <c r="AH47" s="390"/>
      <c r="AI47" s="390"/>
      <c r="AJ47" s="390"/>
      <c r="AK47" s="390"/>
      <c r="AL47" s="390"/>
      <c r="AM47" s="390"/>
      <c r="AN47" s="1757"/>
      <c r="AO47" s="385"/>
      <c r="AQ47" s="592">
        <f t="shared" si="14"/>
        <v>0</v>
      </c>
      <c r="AR47" s="593">
        <f t="shared" si="15"/>
        <v>1451857</v>
      </c>
      <c r="AS47" s="594">
        <f t="shared" si="18"/>
        <v>0</v>
      </c>
      <c r="AT47" s="595">
        <f t="shared" si="16"/>
        <v>300</v>
      </c>
      <c r="AU47" s="594">
        <f t="shared" si="17"/>
        <v>1451857</v>
      </c>
      <c r="AV47" s="380"/>
    </row>
    <row r="48" spans="1:49" ht="24.95" customHeight="1">
      <c r="A48" s="1760" t="s">
        <v>993</v>
      </c>
      <c r="B48" s="982" t="s">
        <v>994</v>
      </c>
      <c r="C48" s="987">
        <v>1000000</v>
      </c>
      <c r="D48" s="992">
        <v>0</v>
      </c>
      <c r="E48" s="976"/>
      <c r="F48" s="977">
        <f t="shared" si="0"/>
        <v>1000000</v>
      </c>
      <c r="G48" s="1775"/>
      <c r="H48" s="987"/>
      <c r="I48" s="976"/>
      <c r="J48" s="977">
        <v>0</v>
      </c>
      <c r="K48" s="382"/>
      <c r="L48" s="393"/>
      <c r="M48" s="390"/>
      <c r="N48" s="390"/>
      <c r="O48" s="390">
        <v>1</v>
      </c>
      <c r="P48" s="393"/>
      <c r="Q48" s="390"/>
      <c r="R48" s="390"/>
      <c r="S48" s="390"/>
      <c r="T48" s="390"/>
      <c r="U48" s="390"/>
      <c r="V48" s="390"/>
      <c r="W48" s="390"/>
      <c r="X48" s="390"/>
      <c r="Y48" s="390"/>
      <c r="Z48" s="390"/>
      <c r="AA48" s="390"/>
      <c r="AB48" s="393"/>
      <c r="AC48" s="390"/>
      <c r="AD48" s="390"/>
      <c r="AE48" s="390"/>
      <c r="AF48" s="390"/>
      <c r="AG48" s="390"/>
      <c r="AH48" s="390"/>
      <c r="AI48" s="390"/>
      <c r="AJ48" s="390"/>
      <c r="AK48" s="390"/>
      <c r="AL48" s="390"/>
      <c r="AM48" s="390"/>
      <c r="AN48" s="1757"/>
      <c r="AO48" s="385"/>
      <c r="AQ48" s="592">
        <f t="shared" si="14"/>
        <v>1</v>
      </c>
      <c r="AR48" s="593">
        <f t="shared" si="15"/>
        <v>1000000</v>
      </c>
      <c r="AS48" s="594">
        <f t="shared" si="18"/>
        <v>1000000</v>
      </c>
      <c r="AT48" s="595">
        <f t="shared" si="16"/>
        <v>1000000</v>
      </c>
      <c r="AU48" s="594">
        <f t="shared" si="17"/>
        <v>0</v>
      </c>
      <c r="AV48" s="380"/>
    </row>
    <row r="49" spans="1:48" ht="24.95" customHeight="1">
      <c r="A49" s="1760" t="s">
        <v>995</v>
      </c>
      <c r="B49" s="982" t="s">
        <v>996</v>
      </c>
      <c r="C49" s="987">
        <v>2401543</v>
      </c>
      <c r="D49" s="992">
        <v>0</v>
      </c>
      <c r="E49" s="976">
        <v>0</v>
      </c>
      <c r="F49" s="977">
        <f t="shared" si="0"/>
        <v>2401543</v>
      </c>
      <c r="G49" s="1775"/>
      <c r="H49" s="987">
        <v>0</v>
      </c>
      <c r="I49" s="976">
        <v>0</v>
      </c>
      <c r="J49" s="977">
        <v>0</v>
      </c>
      <c r="K49" s="382"/>
      <c r="L49" s="393"/>
      <c r="M49" s="390"/>
      <c r="N49" s="390"/>
      <c r="O49" s="390">
        <v>1</v>
      </c>
      <c r="P49" s="393"/>
      <c r="Q49" s="390"/>
      <c r="R49" s="390"/>
      <c r="S49" s="390"/>
      <c r="T49" s="390"/>
      <c r="U49" s="390"/>
      <c r="V49" s="390"/>
      <c r="W49" s="390"/>
      <c r="X49" s="390"/>
      <c r="Y49" s="390"/>
      <c r="Z49" s="390"/>
      <c r="AA49" s="390"/>
      <c r="AB49" s="393"/>
      <c r="AC49" s="390"/>
      <c r="AD49" s="390"/>
      <c r="AE49" s="390"/>
      <c r="AF49" s="390"/>
      <c r="AG49" s="390"/>
      <c r="AH49" s="390"/>
      <c r="AI49" s="390"/>
      <c r="AJ49" s="390"/>
      <c r="AK49" s="390"/>
      <c r="AL49" s="390"/>
      <c r="AM49" s="390"/>
      <c r="AN49" s="1757"/>
      <c r="AO49" s="385"/>
      <c r="AQ49" s="596">
        <f t="shared" si="14"/>
        <v>1</v>
      </c>
      <c r="AR49" s="597">
        <f t="shared" si="15"/>
        <v>2401543</v>
      </c>
      <c r="AS49" s="598">
        <f t="shared" si="18"/>
        <v>2401543</v>
      </c>
      <c r="AT49" s="599">
        <f t="shared" si="16"/>
        <v>2401543</v>
      </c>
      <c r="AU49" s="598">
        <f t="shared" si="17"/>
        <v>0</v>
      </c>
      <c r="AV49" s="380"/>
    </row>
    <row r="50" spans="1:48" ht="24.95" customHeight="1">
      <c r="A50" s="1760" t="s">
        <v>997</v>
      </c>
      <c r="B50" s="982" t="s">
        <v>998</v>
      </c>
      <c r="C50" s="987">
        <v>1000000</v>
      </c>
      <c r="D50" s="992">
        <v>0</v>
      </c>
      <c r="E50" s="976">
        <v>0</v>
      </c>
      <c r="F50" s="977">
        <f t="shared" si="0"/>
        <v>1000000</v>
      </c>
      <c r="G50" s="1775"/>
      <c r="H50" s="987">
        <v>0</v>
      </c>
      <c r="I50" s="976">
        <v>0</v>
      </c>
      <c r="J50" s="977">
        <v>0</v>
      </c>
      <c r="K50" s="382"/>
      <c r="L50" s="393"/>
      <c r="M50" s="390"/>
      <c r="N50" s="390"/>
      <c r="O50" s="390"/>
      <c r="P50" s="393"/>
      <c r="Q50" s="390"/>
      <c r="R50" s="390"/>
      <c r="S50" s="390"/>
      <c r="T50" s="390"/>
      <c r="U50" s="390"/>
      <c r="V50" s="390"/>
      <c r="W50" s="390"/>
      <c r="X50" s="390"/>
      <c r="Y50" s="390"/>
      <c r="Z50" s="390"/>
      <c r="AA50" s="390"/>
      <c r="AB50" s="393"/>
      <c r="AC50" s="390"/>
      <c r="AD50" s="390"/>
      <c r="AE50" s="390"/>
      <c r="AF50" s="390"/>
      <c r="AG50" s="390"/>
      <c r="AH50" s="390"/>
      <c r="AI50" s="390"/>
      <c r="AJ50" s="390"/>
      <c r="AK50" s="390"/>
      <c r="AL50" s="390"/>
      <c r="AM50" s="390"/>
      <c r="AN50" s="1757"/>
      <c r="AO50" s="385"/>
      <c r="AQ50" s="600">
        <f t="shared" si="14"/>
        <v>0</v>
      </c>
      <c r="AR50" s="597">
        <f t="shared" si="15"/>
        <v>1000000</v>
      </c>
      <c r="AS50" s="601">
        <f t="shared" si="18"/>
        <v>0</v>
      </c>
      <c r="AT50" s="602">
        <f t="shared" si="16"/>
        <v>0</v>
      </c>
      <c r="AU50" s="601">
        <f t="shared" si="17"/>
        <v>1000000</v>
      </c>
      <c r="AV50" s="380"/>
    </row>
    <row r="51" spans="1:48" ht="24.95" customHeight="1">
      <c r="A51" s="975" t="s">
        <v>999</v>
      </c>
      <c r="B51" s="982" t="s">
        <v>361</v>
      </c>
      <c r="C51" s="987">
        <v>4000000</v>
      </c>
      <c r="D51" s="992">
        <v>0</v>
      </c>
      <c r="E51" s="976">
        <v>0</v>
      </c>
      <c r="F51" s="977">
        <f t="shared" si="0"/>
        <v>4000000</v>
      </c>
      <c r="G51" s="1775"/>
      <c r="H51" s="987">
        <v>0</v>
      </c>
      <c r="I51" s="976">
        <v>0</v>
      </c>
      <c r="J51" s="977">
        <v>0</v>
      </c>
      <c r="K51" s="382"/>
      <c r="L51" s="393"/>
      <c r="M51" s="390"/>
      <c r="N51" s="390"/>
      <c r="O51" s="390"/>
      <c r="P51" s="393"/>
      <c r="Q51" s="390"/>
      <c r="R51" s="390"/>
      <c r="S51" s="390"/>
      <c r="T51" s="390"/>
      <c r="U51" s="390"/>
      <c r="V51" s="390"/>
      <c r="W51" s="390"/>
      <c r="X51" s="390"/>
      <c r="Y51" s="390"/>
      <c r="Z51" s="390"/>
      <c r="AA51" s="390"/>
      <c r="AB51" s="393"/>
      <c r="AC51" s="390"/>
      <c r="AD51" s="390"/>
      <c r="AE51" s="390"/>
      <c r="AF51" s="390"/>
      <c r="AG51" s="390"/>
      <c r="AH51" s="390"/>
      <c r="AI51" s="390"/>
      <c r="AJ51" s="390"/>
      <c r="AK51" s="390"/>
      <c r="AL51" s="390"/>
      <c r="AM51" s="390"/>
      <c r="AN51" s="1757"/>
      <c r="AO51" s="385"/>
      <c r="AQ51" s="596">
        <f t="shared" si="14"/>
        <v>0</v>
      </c>
      <c r="AR51" s="597">
        <f t="shared" si="15"/>
        <v>4000000</v>
      </c>
      <c r="AS51" s="598">
        <f t="shared" si="18"/>
        <v>0</v>
      </c>
      <c r="AT51" s="599">
        <f t="shared" si="16"/>
        <v>0</v>
      </c>
      <c r="AU51" s="598">
        <f t="shared" si="17"/>
        <v>4000000</v>
      </c>
      <c r="AV51" s="380"/>
    </row>
    <row r="52" spans="1:48" ht="24.95" customHeight="1">
      <c r="A52" s="1760" t="s">
        <v>1000</v>
      </c>
      <c r="B52" s="982" t="s">
        <v>1001</v>
      </c>
      <c r="C52" s="987">
        <v>3000000</v>
      </c>
      <c r="D52" s="992">
        <v>0</v>
      </c>
      <c r="E52" s="976"/>
      <c r="F52" s="977">
        <f t="shared" si="0"/>
        <v>3000000</v>
      </c>
      <c r="G52" s="1775"/>
      <c r="H52" s="987"/>
      <c r="I52" s="976"/>
      <c r="J52" s="977">
        <v>0</v>
      </c>
      <c r="K52" s="382"/>
      <c r="L52" s="393"/>
      <c r="M52" s="390"/>
      <c r="N52" s="390"/>
      <c r="O52" s="390"/>
      <c r="P52" s="393"/>
      <c r="Q52" s="390"/>
      <c r="R52" s="390"/>
      <c r="S52" s="390"/>
      <c r="T52" s="390"/>
      <c r="U52" s="390"/>
      <c r="V52" s="390"/>
      <c r="W52" s="390"/>
      <c r="X52" s="390"/>
      <c r="Y52" s="390"/>
      <c r="Z52" s="390"/>
      <c r="AA52" s="390"/>
      <c r="AB52" s="393"/>
      <c r="AC52" s="390"/>
      <c r="AD52" s="390"/>
      <c r="AE52" s="390"/>
      <c r="AF52" s="390"/>
      <c r="AG52" s="390"/>
      <c r="AH52" s="390"/>
      <c r="AI52" s="390"/>
      <c r="AJ52" s="390"/>
      <c r="AK52" s="390"/>
      <c r="AL52" s="390"/>
      <c r="AM52" s="390"/>
      <c r="AN52" s="1757"/>
      <c r="AO52" s="385"/>
      <c r="AQ52" s="596">
        <f t="shared" si="14"/>
        <v>0</v>
      </c>
      <c r="AR52" s="597">
        <f t="shared" si="15"/>
        <v>3000000</v>
      </c>
      <c r="AS52" s="598">
        <f t="shared" si="18"/>
        <v>0</v>
      </c>
      <c r="AT52" s="599">
        <f t="shared" si="16"/>
        <v>0</v>
      </c>
      <c r="AU52" s="598">
        <f t="shared" si="17"/>
        <v>3000000</v>
      </c>
      <c r="AV52" s="380"/>
    </row>
    <row r="53" spans="1:48" ht="24.95" customHeight="1">
      <c r="A53" s="1760" t="s">
        <v>1002</v>
      </c>
      <c r="B53" s="982" t="s">
        <v>1003</v>
      </c>
      <c r="C53" s="987">
        <v>1000000</v>
      </c>
      <c r="D53" s="992">
        <v>0</v>
      </c>
      <c r="E53" s="976">
        <v>0</v>
      </c>
      <c r="F53" s="977">
        <f t="shared" si="0"/>
        <v>1000000</v>
      </c>
      <c r="G53" s="1775"/>
      <c r="H53" s="987">
        <v>0</v>
      </c>
      <c r="I53" s="976">
        <v>0</v>
      </c>
      <c r="J53" s="977">
        <v>0</v>
      </c>
      <c r="K53" s="382"/>
      <c r="L53" s="393"/>
      <c r="M53" s="390"/>
      <c r="N53" s="390"/>
      <c r="O53" s="390"/>
      <c r="P53" s="393"/>
      <c r="Q53" s="390"/>
      <c r="R53" s="390"/>
      <c r="S53" s="390">
        <v>1</v>
      </c>
      <c r="T53" s="390"/>
      <c r="U53" s="390"/>
      <c r="V53" s="390"/>
      <c r="W53" s="390"/>
      <c r="X53" s="390"/>
      <c r="Y53" s="390"/>
      <c r="Z53" s="390"/>
      <c r="AA53" s="390"/>
      <c r="AB53" s="393"/>
      <c r="AC53" s="390"/>
      <c r="AD53" s="390"/>
      <c r="AE53" s="390">
        <v>1</v>
      </c>
      <c r="AF53" s="390"/>
      <c r="AG53" s="390"/>
      <c r="AH53" s="390"/>
      <c r="AI53" s="390"/>
      <c r="AJ53" s="390"/>
      <c r="AK53" s="390"/>
      <c r="AL53" s="390"/>
      <c r="AM53" s="390"/>
      <c r="AN53" s="1757"/>
      <c r="AO53" s="385"/>
      <c r="AQ53" s="596">
        <f t="shared" si="14"/>
        <v>2</v>
      </c>
      <c r="AR53" s="597">
        <f t="shared" si="15"/>
        <v>1000000</v>
      </c>
      <c r="AS53" s="598">
        <f t="shared" si="18"/>
        <v>2000000</v>
      </c>
      <c r="AT53" s="599">
        <f t="shared" si="16"/>
        <v>2000000</v>
      </c>
      <c r="AU53" s="598">
        <f t="shared" si="17"/>
        <v>-1000000</v>
      </c>
      <c r="AV53" s="380"/>
    </row>
    <row r="54" spans="1:48" ht="24.95" customHeight="1">
      <c r="A54" s="966" t="s">
        <v>592</v>
      </c>
      <c r="B54" s="979" t="s">
        <v>593</v>
      </c>
      <c r="C54" s="984">
        <v>12000000</v>
      </c>
      <c r="D54" s="989">
        <v>0</v>
      </c>
      <c r="E54" s="967">
        <v>0</v>
      </c>
      <c r="F54" s="968">
        <f t="shared" si="0"/>
        <v>12000000</v>
      </c>
      <c r="G54" s="1775"/>
      <c r="H54" s="984">
        <v>0</v>
      </c>
      <c r="I54" s="967">
        <v>0</v>
      </c>
      <c r="J54" s="968">
        <v>0</v>
      </c>
      <c r="K54" s="382"/>
      <c r="L54" s="393"/>
      <c r="M54" s="390"/>
      <c r="N54" s="390"/>
      <c r="O54" s="390"/>
      <c r="P54" s="393"/>
      <c r="Q54" s="390"/>
      <c r="R54" s="390"/>
      <c r="S54" s="390"/>
      <c r="T54" s="390"/>
      <c r="U54" s="390"/>
      <c r="V54" s="390"/>
      <c r="W54" s="390"/>
      <c r="X54" s="390"/>
      <c r="Y54" s="390"/>
      <c r="Z54" s="390"/>
      <c r="AA54" s="390"/>
      <c r="AB54" s="393"/>
      <c r="AC54" s="390"/>
      <c r="AD54" s="390"/>
      <c r="AE54" s="390"/>
      <c r="AF54" s="390"/>
      <c r="AG54" s="390"/>
      <c r="AH54" s="390"/>
      <c r="AI54" s="390"/>
      <c r="AJ54" s="390"/>
      <c r="AK54" s="390"/>
      <c r="AL54" s="390"/>
      <c r="AM54" s="390"/>
      <c r="AN54" s="1757"/>
      <c r="AO54" s="385"/>
      <c r="AQ54" s="603">
        <f t="shared" si="14"/>
        <v>0</v>
      </c>
      <c r="AR54" s="604">
        <f t="shared" si="15"/>
        <v>12000000</v>
      </c>
      <c r="AS54" s="605">
        <f>+AS55</f>
        <v>24000000</v>
      </c>
      <c r="AT54" s="606">
        <f t="shared" si="16"/>
        <v>24000000</v>
      </c>
      <c r="AU54" s="605">
        <f t="shared" si="17"/>
        <v>-12000000</v>
      </c>
      <c r="AV54" s="380"/>
    </row>
    <row r="55" spans="1:48" ht="24.95" customHeight="1">
      <c r="A55" s="975" t="s">
        <v>594</v>
      </c>
      <c r="B55" s="982" t="s">
        <v>361</v>
      </c>
      <c r="C55" s="987">
        <v>12000000</v>
      </c>
      <c r="D55" s="992">
        <v>0</v>
      </c>
      <c r="E55" s="976">
        <v>0</v>
      </c>
      <c r="F55" s="977">
        <f t="shared" si="0"/>
        <v>12000000</v>
      </c>
      <c r="G55" s="1775"/>
      <c r="H55" s="987">
        <v>0</v>
      </c>
      <c r="I55" s="976">
        <v>0</v>
      </c>
      <c r="J55" s="977">
        <v>0</v>
      </c>
      <c r="K55" s="382"/>
      <c r="L55" s="393"/>
      <c r="M55" s="390"/>
      <c r="N55" s="390"/>
      <c r="O55" s="390"/>
      <c r="P55" s="393"/>
      <c r="Q55" s="390"/>
      <c r="R55" s="390"/>
      <c r="S55" s="390">
        <v>1</v>
      </c>
      <c r="T55" s="390"/>
      <c r="U55" s="390"/>
      <c r="V55" s="390"/>
      <c r="W55" s="390"/>
      <c r="X55" s="390"/>
      <c r="Y55" s="390"/>
      <c r="Z55" s="390"/>
      <c r="AA55" s="390"/>
      <c r="AB55" s="393"/>
      <c r="AC55" s="390"/>
      <c r="AD55" s="390"/>
      <c r="AE55" s="390">
        <v>1</v>
      </c>
      <c r="AF55" s="390"/>
      <c r="AG55" s="390"/>
      <c r="AH55" s="390"/>
      <c r="AI55" s="390"/>
      <c r="AJ55" s="390"/>
      <c r="AK55" s="390"/>
      <c r="AL55" s="390"/>
      <c r="AM55" s="390"/>
      <c r="AN55" s="1757"/>
      <c r="AO55" s="385"/>
      <c r="AQ55" s="596">
        <f t="shared" si="14"/>
        <v>2</v>
      </c>
      <c r="AR55" s="597">
        <f t="shared" si="15"/>
        <v>12000000</v>
      </c>
      <c r="AS55" s="598">
        <f>IFERROR(AQ55*AR55,0)</f>
        <v>24000000</v>
      </c>
      <c r="AT55" s="599">
        <f t="shared" si="16"/>
        <v>24000000</v>
      </c>
      <c r="AU55" s="598">
        <f t="shared" si="17"/>
        <v>-12000000</v>
      </c>
      <c r="AV55" s="380"/>
    </row>
    <row r="56" spans="1:48" ht="24.95" customHeight="1">
      <c r="A56" s="966" t="s">
        <v>595</v>
      </c>
      <c r="B56" s="979" t="s">
        <v>596</v>
      </c>
      <c r="C56" s="984">
        <v>19991000</v>
      </c>
      <c r="D56" s="989">
        <v>0</v>
      </c>
      <c r="E56" s="967">
        <v>0</v>
      </c>
      <c r="F56" s="968">
        <f t="shared" si="0"/>
        <v>19991000</v>
      </c>
      <c r="G56" s="1775"/>
      <c r="H56" s="984">
        <v>0</v>
      </c>
      <c r="I56" s="967">
        <v>0</v>
      </c>
      <c r="J56" s="968">
        <v>0</v>
      </c>
      <c r="K56" s="382"/>
      <c r="L56" s="393"/>
      <c r="M56" s="390"/>
      <c r="N56" s="390"/>
      <c r="O56" s="390"/>
      <c r="P56" s="393"/>
      <c r="Q56" s="390"/>
      <c r="R56" s="390"/>
      <c r="S56" s="390"/>
      <c r="T56" s="390"/>
      <c r="U56" s="390"/>
      <c r="V56" s="390"/>
      <c r="W56" s="390"/>
      <c r="X56" s="390"/>
      <c r="Y56" s="390"/>
      <c r="Z56" s="390"/>
      <c r="AA56" s="390"/>
      <c r="AB56" s="393"/>
      <c r="AC56" s="390"/>
      <c r="AD56" s="390"/>
      <c r="AE56" s="390"/>
      <c r="AF56" s="390"/>
      <c r="AG56" s="390"/>
      <c r="AH56" s="390"/>
      <c r="AI56" s="390"/>
      <c r="AJ56" s="390"/>
      <c r="AK56" s="390"/>
      <c r="AL56" s="390"/>
      <c r="AM56" s="390"/>
      <c r="AN56" s="1757"/>
      <c r="AO56" s="385"/>
      <c r="AQ56" s="603">
        <f t="shared" si="14"/>
        <v>0</v>
      </c>
      <c r="AR56" s="604">
        <f t="shared" si="15"/>
        <v>19991000</v>
      </c>
      <c r="AS56" s="605">
        <f>+AS60+AS57</f>
        <v>6000000</v>
      </c>
      <c r="AT56" s="606">
        <f t="shared" si="16"/>
        <v>6000000</v>
      </c>
      <c r="AU56" s="605">
        <f t="shared" si="17"/>
        <v>13991000</v>
      </c>
      <c r="AV56" s="380"/>
    </row>
    <row r="57" spans="1:48" ht="24.95" customHeight="1">
      <c r="A57" s="975" t="s">
        <v>597</v>
      </c>
      <c r="B57" s="982" t="s">
        <v>361</v>
      </c>
      <c r="C57" s="987">
        <v>3000000</v>
      </c>
      <c r="D57" s="992">
        <v>0</v>
      </c>
      <c r="E57" s="976">
        <v>0</v>
      </c>
      <c r="F57" s="977">
        <f t="shared" si="0"/>
        <v>3000000</v>
      </c>
      <c r="G57" s="1775"/>
      <c r="H57" s="987">
        <v>0</v>
      </c>
      <c r="I57" s="976">
        <v>0</v>
      </c>
      <c r="J57" s="977">
        <v>0</v>
      </c>
      <c r="K57" s="382"/>
      <c r="L57" s="393"/>
      <c r="M57" s="390"/>
      <c r="N57" s="390"/>
      <c r="O57" s="390"/>
      <c r="P57" s="393"/>
      <c r="Q57" s="390"/>
      <c r="R57" s="390"/>
      <c r="S57" s="390">
        <v>1</v>
      </c>
      <c r="T57" s="390"/>
      <c r="U57" s="390"/>
      <c r="V57" s="390"/>
      <c r="W57" s="390"/>
      <c r="X57" s="390"/>
      <c r="Y57" s="390"/>
      <c r="Z57" s="390"/>
      <c r="AA57" s="390"/>
      <c r="AB57" s="393"/>
      <c r="AC57" s="390"/>
      <c r="AD57" s="390"/>
      <c r="AE57" s="390">
        <v>1</v>
      </c>
      <c r="AF57" s="390"/>
      <c r="AG57" s="390"/>
      <c r="AH57" s="390"/>
      <c r="AI57" s="390"/>
      <c r="AJ57" s="390"/>
      <c r="AK57" s="390"/>
      <c r="AL57" s="390"/>
      <c r="AM57" s="390"/>
      <c r="AN57" s="1757"/>
      <c r="AO57" s="385"/>
      <c r="AQ57" s="596">
        <f t="shared" si="14"/>
        <v>2</v>
      </c>
      <c r="AR57" s="597">
        <f t="shared" si="15"/>
        <v>3000000</v>
      </c>
      <c r="AS57" s="598">
        <f>IFERROR(AQ57*AR57,0)</f>
        <v>6000000</v>
      </c>
      <c r="AT57" s="599">
        <f t="shared" si="16"/>
        <v>6000000</v>
      </c>
      <c r="AU57" s="598">
        <f t="shared" si="17"/>
        <v>-3000000</v>
      </c>
      <c r="AV57" s="380"/>
    </row>
    <row r="58" spans="1:48" ht="24.95" customHeight="1">
      <c r="A58" s="1760" t="s">
        <v>1004</v>
      </c>
      <c r="B58" s="982" t="s">
        <v>1005</v>
      </c>
      <c r="C58" s="987">
        <v>2000000</v>
      </c>
      <c r="D58" s="992">
        <v>0</v>
      </c>
      <c r="E58" s="976"/>
      <c r="F58" s="977">
        <f t="shared" si="0"/>
        <v>2000000</v>
      </c>
      <c r="G58" s="1775"/>
      <c r="H58" s="987"/>
      <c r="I58" s="976"/>
      <c r="J58" s="977">
        <v>0</v>
      </c>
      <c r="K58" s="382"/>
      <c r="L58" s="393"/>
      <c r="M58" s="390"/>
      <c r="N58" s="390"/>
      <c r="O58" s="390"/>
      <c r="P58" s="393"/>
      <c r="Q58" s="390"/>
      <c r="R58" s="390"/>
      <c r="S58" s="390"/>
      <c r="T58" s="390"/>
      <c r="U58" s="390"/>
      <c r="V58" s="390"/>
      <c r="W58" s="390"/>
      <c r="X58" s="390"/>
      <c r="Y58" s="390"/>
      <c r="Z58" s="390"/>
      <c r="AA58" s="390"/>
      <c r="AB58" s="393"/>
      <c r="AC58" s="390"/>
      <c r="AD58" s="390"/>
      <c r="AE58" s="390"/>
      <c r="AF58" s="390"/>
      <c r="AG58" s="390"/>
      <c r="AH58" s="390"/>
      <c r="AI58" s="390"/>
      <c r="AJ58" s="390"/>
      <c r="AK58" s="390"/>
      <c r="AL58" s="390"/>
      <c r="AM58" s="390"/>
      <c r="AN58" s="1757"/>
      <c r="AO58" s="385"/>
      <c r="AQ58" s="596">
        <f t="shared" si="14"/>
        <v>0</v>
      </c>
      <c r="AR58" s="597">
        <f t="shared" si="15"/>
        <v>2000000</v>
      </c>
      <c r="AS58" s="598">
        <f>IFERROR(AQ58*AR58,0)</f>
        <v>0</v>
      </c>
      <c r="AT58" s="599">
        <f t="shared" si="16"/>
        <v>0</v>
      </c>
      <c r="AU58" s="598">
        <f t="shared" si="17"/>
        <v>2000000</v>
      </c>
      <c r="AV58" s="380"/>
    </row>
    <row r="59" spans="1:48" ht="24.95" customHeight="1">
      <c r="A59" s="1760" t="s">
        <v>1006</v>
      </c>
      <c r="B59" s="982" t="s">
        <v>1007</v>
      </c>
      <c r="C59" s="987">
        <v>1000000</v>
      </c>
      <c r="D59" s="992">
        <v>0</v>
      </c>
      <c r="E59" s="976">
        <v>0</v>
      </c>
      <c r="F59" s="977">
        <f t="shared" si="0"/>
        <v>1000000</v>
      </c>
      <c r="G59" s="1775"/>
      <c r="H59" s="987">
        <v>0</v>
      </c>
      <c r="I59" s="976">
        <v>0</v>
      </c>
      <c r="J59" s="977">
        <v>0</v>
      </c>
      <c r="K59" s="382"/>
      <c r="L59" s="393"/>
      <c r="M59" s="390"/>
      <c r="N59" s="390"/>
      <c r="O59" s="390"/>
      <c r="P59" s="393"/>
      <c r="Q59" s="390"/>
      <c r="R59" s="390"/>
      <c r="S59" s="390">
        <v>1</v>
      </c>
      <c r="T59" s="390"/>
      <c r="U59" s="390"/>
      <c r="V59" s="390"/>
      <c r="W59" s="390"/>
      <c r="X59" s="390"/>
      <c r="Y59" s="390"/>
      <c r="Z59" s="390"/>
      <c r="AA59" s="390"/>
      <c r="AB59" s="393"/>
      <c r="AC59" s="390"/>
      <c r="AD59" s="390"/>
      <c r="AE59" s="390">
        <v>1</v>
      </c>
      <c r="AF59" s="390"/>
      <c r="AG59" s="390"/>
      <c r="AH59" s="390"/>
      <c r="AI59" s="390"/>
      <c r="AJ59" s="390"/>
      <c r="AK59" s="390"/>
      <c r="AL59" s="390"/>
      <c r="AM59" s="390"/>
      <c r="AN59" s="1757"/>
      <c r="AO59" s="385"/>
      <c r="AQ59" s="596">
        <f t="shared" si="14"/>
        <v>2</v>
      </c>
      <c r="AR59" s="597">
        <f t="shared" si="15"/>
        <v>1000000</v>
      </c>
      <c r="AS59" s="598">
        <f>IFERROR(AQ59*AR59,0)</f>
        <v>2000000</v>
      </c>
      <c r="AT59" s="599">
        <f t="shared" si="16"/>
        <v>2000000</v>
      </c>
      <c r="AU59" s="598">
        <f t="shared" si="17"/>
        <v>-1000000</v>
      </c>
      <c r="AV59" s="380"/>
    </row>
    <row r="60" spans="1:48" ht="24.95" customHeight="1">
      <c r="A60" s="975" t="s">
        <v>1008</v>
      </c>
      <c r="B60" s="982" t="s">
        <v>361</v>
      </c>
      <c r="C60" s="987">
        <v>16991000</v>
      </c>
      <c r="D60" s="992">
        <v>0</v>
      </c>
      <c r="E60" s="976">
        <v>0</v>
      </c>
      <c r="F60" s="977">
        <f t="shared" si="0"/>
        <v>16991000</v>
      </c>
      <c r="G60" s="1775"/>
      <c r="H60" s="987">
        <v>0</v>
      </c>
      <c r="I60" s="976">
        <v>0</v>
      </c>
      <c r="J60" s="977">
        <v>0</v>
      </c>
      <c r="K60" s="382"/>
      <c r="L60" s="393"/>
      <c r="M60" s="390"/>
      <c r="N60" s="390"/>
      <c r="O60" s="390"/>
      <c r="P60" s="393"/>
      <c r="Q60" s="390"/>
      <c r="R60" s="390"/>
      <c r="S60" s="390"/>
      <c r="T60" s="390"/>
      <c r="U60" s="390"/>
      <c r="V60" s="390"/>
      <c r="W60" s="390"/>
      <c r="X60" s="390"/>
      <c r="Y60" s="390"/>
      <c r="Z60" s="390"/>
      <c r="AA60" s="390"/>
      <c r="AB60" s="393"/>
      <c r="AC60" s="390"/>
      <c r="AD60" s="390"/>
      <c r="AE60" s="390"/>
      <c r="AF60" s="390"/>
      <c r="AG60" s="390"/>
      <c r="AH60" s="390"/>
      <c r="AI60" s="390"/>
      <c r="AJ60" s="390"/>
      <c r="AK60" s="390"/>
      <c r="AL60" s="390"/>
      <c r="AM60" s="390"/>
      <c r="AN60" s="1757"/>
      <c r="AO60" s="385"/>
      <c r="AQ60" s="596">
        <f t="shared" si="14"/>
        <v>0</v>
      </c>
      <c r="AR60" s="597">
        <f t="shared" si="15"/>
        <v>16991000</v>
      </c>
      <c r="AS60" s="598">
        <f>IFERROR(AQ60*AR60,0)</f>
        <v>0</v>
      </c>
      <c r="AT60" s="599">
        <f t="shared" si="16"/>
        <v>0</v>
      </c>
      <c r="AU60" s="598">
        <f t="shared" si="17"/>
        <v>16991000</v>
      </c>
      <c r="AV60" s="380"/>
    </row>
    <row r="61" spans="1:48" ht="24.95" customHeight="1">
      <c r="A61" s="966" t="s">
        <v>598</v>
      </c>
      <c r="B61" s="979" t="s">
        <v>599</v>
      </c>
      <c r="C61" s="984">
        <v>32798000</v>
      </c>
      <c r="D61" s="989">
        <v>0</v>
      </c>
      <c r="E61" s="967">
        <v>0</v>
      </c>
      <c r="F61" s="968">
        <f t="shared" si="0"/>
        <v>32798000</v>
      </c>
      <c r="G61" s="1775"/>
      <c r="H61" s="984">
        <v>0</v>
      </c>
      <c r="I61" s="967">
        <v>0</v>
      </c>
      <c r="J61" s="968">
        <v>0</v>
      </c>
      <c r="K61" s="382"/>
      <c r="L61" s="393"/>
      <c r="M61" s="390"/>
      <c r="N61" s="390"/>
      <c r="O61" s="390"/>
      <c r="P61" s="393"/>
      <c r="Q61" s="390"/>
      <c r="R61" s="390"/>
      <c r="S61" s="390">
        <v>1</v>
      </c>
      <c r="T61" s="390"/>
      <c r="U61" s="390"/>
      <c r="V61" s="390"/>
      <c r="W61" s="390"/>
      <c r="X61" s="390"/>
      <c r="Y61" s="390"/>
      <c r="Z61" s="390"/>
      <c r="AA61" s="390"/>
      <c r="AB61" s="393"/>
      <c r="AC61" s="390"/>
      <c r="AD61" s="390"/>
      <c r="AE61" s="390">
        <v>1</v>
      </c>
      <c r="AF61" s="390"/>
      <c r="AG61" s="390"/>
      <c r="AH61" s="390"/>
      <c r="AI61" s="390"/>
      <c r="AJ61" s="390"/>
      <c r="AK61" s="390"/>
      <c r="AL61" s="390"/>
      <c r="AM61" s="390"/>
      <c r="AN61" s="1757"/>
      <c r="AO61" s="385"/>
      <c r="AQ61" s="603">
        <f t="shared" si="14"/>
        <v>2</v>
      </c>
      <c r="AR61" s="604">
        <f t="shared" si="15"/>
        <v>32798000</v>
      </c>
      <c r="AS61" s="605">
        <f>+AS62</f>
        <v>0</v>
      </c>
      <c r="AT61" s="606">
        <f t="shared" si="16"/>
        <v>0</v>
      </c>
      <c r="AU61" s="605">
        <f t="shared" si="17"/>
        <v>32798000</v>
      </c>
      <c r="AV61" s="380"/>
    </row>
    <row r="62" spans="1:48" ht="24.95" customHeight="1">
      <c r="A62" s="975" t="s">
        <v>600</v>
      </c>
      <c r="B62" s="982" t="s">
        <v>361</v>
      </c>
      <c r="C62" s="987">
        <v>32798000</v>
      </c>
      <c r="D62" s="992">
        <v>0</v>
      </c>
      <c r="E62" s="976">
        <v>0</v>
      </c>
      <c r="F62" s="977">
        <f t="shared" si="0"/>
        <v>32798000</v>
      </c>
      <c r="G62" s="1775"/>
      <c r="H62" s="987">
        <v>0</v>
      </c>
      <c r="I62" s="976">
        <v>0</v>
      </c>
      <c r="J62" s="977">
        <v>0</v>
      </c>
      <c r="K62" s="382"/>
      <c r="L62" s="393"/>
      <c r="M62" s="390"/>
      <c r="N62" s="390"/>
      <c r="O62" s="390"/>
      <c r="P62" s="393"/>
      <c r="Q62" s="390"/>
      <c r="R62" s="390"/>
      <c r="S62" s="390"/>
      <c r="T62" s="390"/>
      <c r="U62" s="390"/>
      <c r="V62" s="390"/>
      <c r="W62" s="390"/>
      <c r="X62" s="390"/>
      <c r="Y62" s="390"/>
      <c r="Z62" s="390"/>
      <c r="AA62" s="390"/>
      <c r="AB62" s="393"/>
      <c r="AC62" s="390"/>
      <c r="AD62" s="390"/>
      <c r="AE62" s="390"/>
      <c r="AF62" s="390"/>
      <c r="AG62" s="390"/>
      <c r="AH62" s="390"/>
      <c r="AI62" s="390"/>
      <c r="AJ62" s="390"/>
      <c r="AK62" s="390"/>
      <c r="AL62" s="390"/>
      <c r="AM62" s="390"/>
      <c r="AN62" s="1757"/>
      <c r="AO62" s="385"/>
      <c r="AQ62" s="596">
        <f t="shared" si="14"/>
        <v>0</v>
      </c>
      <c r="AR62" s="597">
        <f t="shared" si="15"/>
        <v>32798000</v>
      </c>
      <c r="AS62" s="598">
        <f>IFERROR(AQ62*AR62,0)</f>
        <v>0</v>
      </c>
      <c r="AT62" s="599">
        <f t="shared" si="16"/>
        <v>0</v>
      </c>
      <c r="AU62" s="598">
        <f t="shared" si="17"/>
        <v>32798000</v>
      </c>
      <c r="AV62" s="380"/>
    </row>
    <row r="63" spans="1:48" ht="24.95" customHeight="1">
      <c r="A63" s="966" t="s">
        <v>601</v>
      </c>
      <c r="B63" s="979" t="s">
        <v>602</v>
      </c>
      <c r="C63" s="984">
        <v>4365000</v>
      </c>
      <c r="D63" s="989">
        <v>0</v>
      </c>
      <c r="E63" s="967">
        <v>0</v>
      </c>
      <c r="F63" s="968">
        <f t="shared" si="0"/>
        <v>4365000</v>
      </c>
      <c r="G63" s="1775"/>
      <c r="H63" s="984">
        <v>0</v>
      </c>
      <c r="I63" s="967">
        <v>0</v>
      </c>
      <c r="J63" s="968">
        <v>0</v>
      </c>
      <c r="K63" s="382"/>
      <c r="L63" s="393"/>
      <c r="M63" s="390"/>
      <c r="N63" s="390"/>
      <c r="O63" s="390"/>
      <c r="P63" s="393"/>
      <c r="Q63" s="390"/>
      <c r="R63" s="390"/>
      <c r="S63" s="390">
        <v>1</v>
      </c>
      <c r="T63" s="390"/>
      <c r="U63" s="390"/>
      <c r="V63" s="390"/>
      <c r="W63" s="390"/>
      <c r="X63" s="390"/>
      <c r="Y63" s="390"/>
      <c r="Z63" s="390"/>
      <c r="AA63" s="390"/>
      <c r="AB63" s="393"/>
      <c r="AC63" s="390"/>
      <c r="AD63" s="390"/>
      <c r="AE63" s="390">
        <v>1</v>
      </c>
      <c r="AF63" s="390"/>
      <c r="AG63" s="390"/>
      <c r="AH63" s="390"/>
      <c r="AI63" s="390"/>
      <c r="AJ63" s="390"/>
      <c r="AK63" s="390"/>
      <c r="AL63" s="390"/>
      <c r="AM63" s="390"/>
      <c r="AN63" s="1757"/>
      <c r="AO63" s="385"/>
      <c r="AQ63" s="603">
        <f t="shared" si="14"/>
        <v>2</v>
      </c>
      <c r="AR63" s="604">
        <f t="shared" si="15"/>
        <v>4365000</v>
      </c>
      <c r="AS63" s="605">
        <f>+AS64</f>
        <v>0</v>
      </c>
      <c r="AT63" s="606">
        <f t="shared" si="16"/>
        <v>0</v>
      </c>
      <c r="AU63" s="605">
        <f t="shared" si="17"/>
        <v>4365000</v>
      </c>
      <c r="AV63" s="380"/>
    </row>
    <row r="64" spans="1:48" ht="24.95" customHeight="1">
      <c r="A64" s="975" t="s">
        <v>603</v>
      </c>
      <c r="B64" s="982" t="s">
        <v>361</v>
      </c>
      <c r="C64" s="987">
        <v>4365000</v>
      </c>
      <c r="D64" s="992">
        <v>0</v>
      </c>
      <c r="E64" s="976">
        <v>0</v>
      </c>
      <c r="F64" s="977">
        <f t="shared" si="0"/>
        <v>4365000</v>
      </c>
      <c r="G64" s="1775"/>
      <c r="H64" s="987">
        <v>0</v>
      </c>
      <c r="I64" s="976">
        <v>0</v>
      </c>
      <c r="J64" s="977">
        <v>0</v>
      </c>
      <c r="K64" s="382"/>
      <c r="L64" s="393"/>
      <c r="M64" s="390"/>
      <c r="N64" s="390"/>
      <c r="O64" s="390"/>
      <c r="P64" s="393"/>
      <c r="Q64" s="390"/>
      <c r="R64" s="390"/>
      <c r="S64" s="390"/>
      <c r="T64" s="390"/>
      <c r="U64" s="390"/>
      <c r="V64" s="390"/>
      <c r="W64" s="390"/>
      <c r="X64" s="390"/>
      <c r="Y64" s="390"/>
      <c r="Z64" s="390"/>
      <c r="AA64" s="390"/>
      <c r="AB64" s="393"/>
      <c r="AC64" s="390"/>
      <c r="AD64" s="390"/>
      <c r="AE64" s="390"/>
      <c r="AF64" s="390"/>
      <c r="AG64" s="390"/>
      <c r="AH64" s="390"/>
      <c r="AI64" s="390"/>
      <c r="AJ64" s="390"/>
      <c r="AK64" s="390"/>
      <c r="AL64" s="390"/>
      <c r="AM64" s="390"/>
      <c r="AN64" s="1757"/>
      <c r="AO64" s="385"/>
      <c r="AQ64" s="596">
        <f t="shared" si="14"/>
        <v>0</v>
      </c>
      <c r="AR64" s="597">
        <f t="shared" si="15"/>
        <v>4365000</v>
      </c>
      <c r="AS64" s="598">
        <f>IFERROR(AQ64*AR64,0)</f>
        <v>0</v>
      </c>
      <c r="AT64" s="599">
        <f t="shared" si="16"/>
        <v>0</v>
      </c>
      <c r="AU64" s="598">
        <f t="shared" si="17"/>
        <v>4365000</v>
      </c>
      <c r="AV64" s="380"/>
    </row>
    <row r="65" spans="1:48" ht="24.95" customHeight="1">
      <c r="A65" s="966" t="s">
        <v>604</v>
      </c>
      <c r="B65" s="979" t="s">
        <v>433</v>
      </c>
      <c r="C65" s="984">
        <v>7910000</v>
      </c>
      <c r="D65" s="989">
        <v>0</v>
      </c>
      <c r="E65" s="967">
        <v>0</v>
      </c>
      <c r="F65" s="968">
        <f t="shared" si="0"/>
        <v>7910000</v>
      </c>
      <c r="G65" s="1775"/>
      <c r="H65" s="984">
        <v>0</v>
      </c>
      <c r="I65" s="967">
        <v>0</v>
      </c>
      <c r="J65" s="968">
        <v>0</v>
      </c>
      <c r="K65" s="382"/>
      <c r="L65" s="393"/>
      <c r="M65" s="390"/>
      <c r="N65" s="390"/>
      <c r="O65" s="390"/>
      <c r="P65" s="393"/>
      <c r="Q65" s="390"/>
      <c r="R65" s="390"/>
      <c r="S65" s="390">
        <v>1</v>
      </c>
      <c r="T65" s="390"/>
      <c r="U65" s="390"/>
      <c r="V65" s="390"/>
      <c r="W65" s="390"/>
      <c r="X65" s="390"/>
      <c r="Y65" s="390"/>
      <c r="Z65" s="390"/>
      <c r="AA65" s="390"/>
      <c r="AB65" s="393"/>
      <c r="AC65" s="390"/>
      <c r="AD65" s="390"/>
      <c r="AE65" s="390">
        <v>1</v>
      </c>
      <c r="AF65" s="390"/>
      <c r="AG65" s="390"/>
      <c r="AH65" s="390"/>
      <c r="AI65" s="390"/>
      <c r="AJ65" s="390"/>
      <c r="AK65" s="390"/>
      <c r="AL65" s="390"/>
      <c r="AM65" s="390"/>
      <c r="AN65" s="1757"/>
      <c r="AO65" s="385"/>
      <c r="AQ65" s="603">
        <f t="shared" si="14"/>
        <v>2</v>
      </c>
      <c r="AR65" s="604">
        <f t="shared" si="15"/>
        <v>7910000</v>
      </c>
      <c r="AS65" s="605">
        <f>+AS67+AS66</f>
        <v>15820000</v>
      </c>
      <c r="AT65" s="606">
        <f t="shared" si="16"/>
        <v>15820000</v>
      </c>
      <c r="AU65" s="605">
        <f t="shared" si="17"/>
        <v>-7910000</v>
      </c>
      <c r="AV65" s="380"/>
    </row>
    <row r="66" spans="1:48" ht="24.95" customHeight="1">
      <c r="A66" s="975" t="s">
        <v>605</v>
      </c>
      <c r="B66" s="982" t="s">
        <v>361</v>
      </c>
      <c r="C66" s="987">
        <v>6910000</v>
      </c>
      <c r="D66" s="992">
        <v>0</v>
      </c>
      <c r="E66" s="976">
        <v>0</v>
      </c>
      <c r="F66" s="977">
        <f t="shared" si="0"/>
        <v>6910000</v>
      </c>
      <c r="G66" s="1775"/>
      <c r="H66" s="987">
        <v>0</v>
      </c>
      <c r="I66" s="976">
        <v>0</v>
      </c>
      <c r="J66" s="977">
        <v>0</v>
      </c>
      <c r="K66" s="382"/>
      <c r="L66" s="393"/>
      <c r="M66" s="390"/>
      <c r="N66" s="390"/>
      <c r="O66" s="390"/>
      <c r="P66" s="393"/>
      <c r="Q66" s="390"/>
      <c r="R66" s="390"/>
      <c r="S66" s="390">
        <v>1</v>
      </c>
      <c r="T66" s="390"/>
      <c r="U66" s="390"/>
      <c r="V66" s="390"/>
      <c r="W66" s="390"/>
      <c r="X66" s="390"/>
      <c r="Y66" s="390"/>
      <c r="Z66" s="390"/>
      <c r="AA66" s="390"/>
      <c r="AB66" s="393"/>
      <c r="AC66" s="390"/>
      <c r="AD66" s="390"/>
      <c r="AE66" s="390">
        <v>1</v>
      </c>
      <c r="AF66" s="390"/>
      <c r="AG66" s="390"/>
      <c r="AH66" s="390"/>
      <c r="AI66" s="390"/>
      <c r="AJ66" s="390"/>
      <c r="AK66" s="390"/>
      <c r="AL66" s="390"/>
      <c r="AM66" s="390"/>
      <c r="AN66" s="1757"/>
      <c r="AO66" s="385"/>
      <c r="AQ66" s="596">
        <f t="shared" si="14"/>
        <v>2</v>
      </c>
      <c r="AR66" s="597">
        <f t="shared" si="15"/>
        <v>6910000</v>
      </c>
      <c r="AS66" s="598">
        <f>IFERROR(AQ66*AR66,0)</f>
        <v>13820000</v>
      </c>
      <c r="AT66" s="599">
        <f t="shared" si="16"/>
        <v>13820000</v>
      </c>
      <c r="AU66" s="598">
        <f t="shared" si="17"/>
        <v>-6910000</v>
      </c>
      <c r="AV66" s="380"/>
    </row>
    <row r="67" spans="1:48" ht="24.95" customHeight="1">
      <c r="A67" s="975" t="s">
        <v>1009</v>
      </c>
      <c r="B67" s="982" t="s">
        <v>1010</v>
      </c>
      <c r="C67" s="987">
        <v>1000000</v>
      </c>
      <c r="D67" s="992">
        <v>0</v>
      </c>
      <c r="E67" s="976">
        <v>0</v>
      </c>
      <c r="F67" s="977">
        <f t="shared" si="0"/>
        <v>1000000</v>
      </c>
      <c r="G67" s="1775"/>
      <c r="H67" s="987">
        <v>0</v>
      </c>
      <c r="I67" s="976">
        <v>0</v>
      </c>
      <c r="J67" s="977">
        <v>0</v>
      </c>
      <c r="K67" s="382"/>
      <c r="L67" s="393"/>
      <c r="M67" s="390"/>
      <c r="N67" s="390"/>
      <c r="O67" s="390"/>
      <c r="P67" s="393"/>
      <c r="Q67" s="390"/>
      <c r="R67" s="390"/>
      <c r="S67" s="390">
        <v>1</v>
      </c>
      <c r="T67" s="390"/>
      <c r="U67" s="390"/>
      <c r="V67" s="390"/>
      <c r="W67" s="390"/>
      <c r="X67" s="390"/>
      <c r="Y67" s="390"/>
      <c r="Z67" s="390"/>
      <c r="AA67" s="390"/>
      <c r="AB67" s="393"/>
      <c r="AC67" s="390"/>
      <c r="AD67" s="390"/>
      <c r="AE67" s="390">
        <v>1</v>
      </c>
      <c r="AF67" s="390"/>
      <c r="AG67" s="390"/>
      <c r="AH67" s="390"/>
      <c r="AI67" s="390"/>
      <c r="AJ67" s="390"/>
      <c r="AK67" s="390"/>
      <c r="AL67" s="390"/>
      <c r="AM67" s="390"/>
      <c r="AN67" s="1757"/>
      <c r="AO67" s="385"/>
      <c r="AQ67" s="596">
        <f t="shared" si="14"/>
        <v>2</v>
      </c>
      <c r="AR67" s="597">
        <f t="shared" si="15"/>
        <v>1000000</v>
      </c>
      <c r="AS67" s="598">
        <f>IFERROR(AQ67*AR67,0)</f>
        <v>2000000</v>
      </c>
      <c r="AT67" s="599">
        <f t="shared" si="16"/>
        <v>2000000</v>
      </c>
      <c r="AU67" s="598">
        <f t="shared" si="17"/>
        <v>-1000000</v>
      </c>
      <c r="AV67" s="380"/>
    </row>
    <row r="68" spans="1:48" ht="24.95" customHeight="1">
      <c r="A68" s="966" t="s">
        <v>606</v>
      </c>
      <c r="B68" s="979" t="s">
        <v>434</v>
      </c>
      <c r="C68" s="984">
        <v>7331000</v>
      </c>
      <c r="D68" s="989">
        <v>0</v>
      </c>
      <c r="E68" s="967">
        <v>0</v>
      </c>
      <c r="F68" s="968">
        <f t="shared" si="0"/>
        <v>7331000</v>
      </c>
      <c r="G68" s="1775"/>
      <c r="H68" s="984">
        <v>0</v>
      </c>
      <c r="I68" s="967">
        <v>0</v>
      </c>
      <c r="J68" s="968">
        <v>0</v>
      </c>
      <c r="K68" s="382"/>
      <c r="L68" s="393"/>
      <c r="M68" s="390"/>
      <c r="N68" s="390"/>
      <c r="O68" s="390"/>
      <c r="P68" s="393"/>
      <c r="Q68" s="390"/>
      <c r="R68" s="390"/>
      <c r="S68" s="390"/>
      <c r="T68" s="390"/>
      <c r="U68" s="390"/>
      <c r="V68" s="390"/>
      <c r="W68" s="390"/>
      <c r="X68" s="390"/>
      <c r="Y68" s="390"/>
      <c r="Z68" s="390"/>
      <c r="AA68" s="390"/>
      <c r="AB68" s="393"/>
      <c r="AC68" s="390"/>
      <c r="AD68" s="390"/>
      <c r="AE68" s="390"/>
      <c r="AF68" s="390"/>
      <c r="AG68" s="390"/>
      <c r="AH68" s="390"/>
      <c r="AI68" s="390"/>
      <c r="AJ68" s="390"/>
      <c r="AK68" s="390"/>
      <c r="AL68" s="390"/>
      <c r="AM68" s="390"/>
      <c r="AN68" s="1757"/>
      <c r="AO68" s="385"/>
      <c r="AQ68" s="603">
        <f t="shared" si="14"/>
        <v>0</v>
      </c>
      <c r="AR68" s="604">
        <f t="shared" si="15"/>
        <v>7331000</v>
      </c>
      <c r="AS68" s="605">
        <f>+AS69</f>
        <v>14662000</v>
      </c>
      <c r="AT68" s="606">
        <f t="shared" si="16"/>
        <v>14662000</v>
      </c>
      <c r="AU68" s="605">
        <f t="shared" si="17"/>
        <v>-7331000</v>
      </c>
      <c r="AV68" s="380"/>
    </row>
    <row r="69" spans="1:48" ht="24.95" customHeight="1">
      <c r="A69" s="975" t="s">
        <v>607</v>
      </c>
      <c r="B69" s="982" t="s">
        <v>361</v>
      </c>
      <c r="C69" s="987">
        <v>7331000</v>
      </c>
      <c r="D69" s="992">
        <v>0</v>
      </c>
      <c r="E69" s="976">
        <v>0</v>
      </c>
      <c r="F69" s="977">
        <f t="shared" si="0"/>
        <v>7331000</v>
      </c>
      <c r="G69" s="1775"/>
      <c r="H69" s="987">
        <v>0</v>
      </c>
      <c r="I69" s="976">
        <v>0</v>
      </c>
      <c r="J69" s="977">
        <v>0</v>
      </c>
      <c r="K69" s="382"/>
      <c r="L69" s="393"/>
      <c r="M69" s="390"/>
      <c r="N69" s="390"/>
      <c r="O69" s="390"/>
      <c r="P69" s="393"/>
      <c r="Q69" s="390"/>
      <c r="R69" s="390"/>
      <c r="S69" s="390">
        <v>1</v>
      </c>
      <c r="T69" s="390"/>
      <c r="U69" s="390"/>
      <c r="V69" s="390"/>
      <c r="W69" s="390"/>
      <c r="X69" s="390"/>
      <c r="Y69" s="390"/>
      <c r="Z69" s="390"/>
      <c r="AA69" s="390"/>
      <c r="AB69" s="393"/>
      <c r="AC69" s="390"/>
      <c r="AD69" s="390"/>
      <c r="AE69" s="390">
        <v>1</v>
      </c>
      <c r="AF69" s="390"/>
      <c r="AG69" s="390"/>
      <c r="AH69" s="390"/>
      <c r="AI69" s="390"/>
      <c r="AJ69" s="390"/>
      <c r="AK69" s="390"/>
      <c r="AL69" s="390"/>
      <c r="AM69" s="390"/>
      <c r="AN69" s="1757"/>
      <c r="AO69" s="385"/>
      <c r="AQ69" s="596">
        <f t="shared" si="14"/>
        <v>2</v>
      </c>
      <c r="AR69" s="597">
        <f t="shared" si="15"/>
        <v>7331000</v>
      </c>
      <c r="AS69" s="598">
        <f>IFERROR(AQ69*AR69,0)</f>
        <v>14662000</v>
      </c>
      <c r="AT69" s="599">
        <f t="shared" si="16"/>
        <v>14662000</v>
      </c>
      <c r="AU69" s="598">
        <f t="shared" si="17"/>
        <v>-7331000</v>
      </c>
      <c r="AV69" s="380"/>
    </row>
    <row r="70" spans="1:48" ht="24.95" customHeight="1">
      <c r="A70" s="972" t="s">
        <v>608</v>
      </c>
      <c r="B70" s="981" t="s">
        <v>359</v>
      </c>
      <c r="C70" s="986">
        <v>35514000</v>
      </c>
      <c r="D70" s="991">
        <v>0</v>
      </c>
      <c r="E70" s="973">
        <v>0</v>
      </c>
      <c r="F70" s="974">
        <f t="shared" si="0"/>
        <v>35514000</v>
      </c>
      <c r="G70" s="1775"/>
      <c r="H70" s="986">
        <v>0</v>
      </c>
      <c r="I70" s="973">
        <v>0</v>
      </c>
      <c r="J70" s="974">
        <v>0</v>
      </c>
      <c r="K70" s="382"/>
      <c r="L70" s="393"/>
      <c r="M70" s="390"/>
      <c r="N70" s="390"/>
      <c r="O70" s="390"/>
      <c r="P70" s="393"/>
      <c r="Q70" s="390"/>
      <c r="R70" s="390"/>
      <c r="S70" s="390"/>
      <c r="T70" s="390"/>
      <c r="U70" s="390"/>
      <c r="V70" s="390"/>
      <c r="W70" s="390"/>
      <c r="X70" s="390"/>
      <c r="Y70" s="390"/>
      <c r="Z70" s="390"/>
      <c r="AA70" s="390"/>
      <c r="AB70" s="393"/>
      <c r="AC70" s="390"/>
      <c r="AD70" s="390"/>
      <c r="AE70" s="390"/>
      <c r="AF70" s="390"/>
      <c r="AG70" s="390"/>
      <c r="AH70" s="390"/>
      <c r="AI70" s="390"/>
      <c r="AJ70" s="390"/>
      <c r="AK70" s="390"/>
      <c r="AL70" s="390"/>
      <c r="AM70" s="390"/>
      <c r="AN70" s="1757"/>
      <c r="AO70" s="385"/>
      <c r="AQ70" s="607">
        <f t="shared" ref="AQ70:AU70" si="19">+AQ83+AQ81+AQ78+AQ75+AQ73+AQ71</f>
        <v>8</v>
      </c>
      <c r="AR70" s="608">
        <f t="shared" si="19"/>
        <v>38232000</v>
      </c>
      <c r="AS70" s="609">
        <f t="shared" si="19"/>
        <v>25230000</v>
      </c>
      <c r="AT70" s="610">
        <f t="shared" si="19"/>
        <v>25230000</v>
      </c>
      <c r="AU70" s="609">
        <f t="shared" si="19"/>
        <v>13002000</v>
      </c>
      <c r="AV70" s="380"/>
    </row>
    <row r="71" spans="1:48" ht="24.95" customHeight="1">
      <c r="A71" s="966" t="s">
        <v>609</v>
      </c>
      <c r="B71" s="979" t="s">
        <v>358</v>
      </c>
      <c r="C71" s="984">
        <v>336000</v>
      </c>
      <c r="D71" s="989">
        <v>0</v>
      </c>
      <c r="E71" s="967">
        <v>0</v>
      </c>
      <c r="F71" s="968">
        <f t="shared" si="0"/>
        <v>336000</v>
      </c>
      <c r="G71" s="1775"/>
      <c r="H71" s="984">
        <v>0</v>
      </c>
      <c r="I71" s="967">
        <v>0</v>
      </c>
      <c r="J71" s="968">
        <v>0</v>
      </c>
      <c r="K71" s="382"/>
      <c r="L71" s="393"/>
      <c r="M71" s="390"/>
      <c r="N71" s="390"/>
      <c r="O71" s="390"/>
      <c r="P71" s="393"/>
      <c r="Q71" s="390"/>
      <c r="R71" s="390"/>
      <c r="S71" s="390">
        <v>1</v>
      </c>
      <c r="T71" s="390"/>
      <c r="U71" s="390"/>
      <c r="V71" s="390"/>
      <c r="W71" s="390"/>
      <c r="X71" s="390"/>
      <c r="Y71" s="390"/>
      <c r="Z71" s="390"/>
      <c r="AA71" s="390"/>
      <c r="AB71" s="393"/>
      <c r="AC71" s="390"/>
      <c r="AD71" s="390"/>
      <c r="AE71" s="390">
        <v>1</v>
      </c>
      <c r="AF71" s="390"/>
      <c r="AG71" s="390"/>
      <c r="AH71" s="390"/>
      <c r="AI71" s="390"/>
      <c r="AJ71" s="390"/>
      <c r="AK71" s="390"/>
      <c r="AL71" s="390"/>
      <c r="AM71" s="390"/>
      <c r="AN71" s="1757"/>
      <c r="AO71" s="385"/>
      <c r="AQ71" s="603">
        <f t="shared" ref="AQ71:AQ84" si="20">SUM(K71:AO71)</f>
        <v>2</v>
      </c>
      <c r="AR71" s="604">
        <f t="shared" ref="AR71:AR84" si="21">IFERROR(IF(F71-I71&lt;0,0,F71-I71),0)</f>
        <v>336000</v>
      </c>
      <c r="AS71" s="605">
        <f>+AS72</f>
        <v>672000</v>
      </c>
      <c r="AT71" s="606">
        <f t="shared" ref="AT71:AT84" si="22">I71+AS71</f>
        <v>672000</v>
      </c>
      <c r="AU71" s="605">
        <f t="shared" ref="AU71:AU84" si="23">F71-AT71</f>
        <v>-336000</v>
      </c>
      <c r="AV71" s="380"/>
    </row>
    <row r="72" spans="1:48" ht="24.95" customHeight="1">
      <c r="A72" s="975" t="s">
        <v>610</v>
      </c>
      <c r="B72" s="982" t="s">
        <v>361</v>
      </c>
      <c r="C72" s="987">
        <v>336000</v>
      </c>
      <c r="D72" s="992">
        <v>0</v>
      </c>
      <c r="E72" s="976">
        <v>0</v>
      </c>
      <c r="F72" s="977">
        <f t="shared" ref="F72:F135" si="24">SUM(C72:E72)</f>
        <v>336000</v>
      </c>
      <c r="G72" s="1775"/>
      <c r="H72" s="987">
        <v>0</v>
      </c>
      <c r="I72" s="976">
        <v>0</v>
      </c>
      <c r="J72" s="977">
        <v>0</v>
      </c>
      <c r="K72" s="382"/>
      <c r="L72" s="393"/>
      <c r="M72" s="390"/>
      <c r="N72" s="390"/>
      <c r="O72" s="390"/>
      <c r="P72" s="393"/>
      <c r="Q72" s="390"/>
      <c r="R72" s="390"/>
      <c r="S72" s="390">
        <v>1</v>
      </c>
      <c r="T72" s="390"/>
      <c r="U72" s="390"/>
      <c r="V72" s="390"/>
      <c r="W72" s="390"/>
      <c r="X72" s="390"/>
      <c r="Y72" s="390"/>
      <c r="Z72" s="390"/>
      <c r="AA72" s="390"/>
      <c r="AB72" s="393"/>
      <c r="AC72" s="390"/>
      <c r="AD72" s="390"/>
      <c r="AE72" s="390">
        <v>1</v>
      </c>
      <c r="AF72" s="390"/>
      <c r="AG72" s="390"/>
      <c r="AH72" s="390"/>
      <c r="AI72" s="390"/>
      <c r="AJ72" s="390"/>
      <c r="AK72" s="390"/>
      <c r="AL72" s="390"/>
      <c r="AM72" s="390"/>
      <c r="AN72" s="1757"/>
      <c r="AO72" s="385"/>
      <c r="AQ72" s="596">
        <f t="shared" si="20"/>
        <v>2</v>
      </c>
      <c r="AR72" s="597">
        <f t="shared" si="21"/>
        <v>336000</v>
      </c>
      <c r="AS72" s="598">
        <f>IFERROR(AQ72*AR72,0)</f>
        <v>672000</v>
      </c>
      <c r="AT72" s="599">
        <f t="shared" si="22"/>
        <v>672000</v>
      </c>
      <c r="AU72" s="598">
        <f t="shared" si="23"/>
        <v>-336000</v>
      </c>
      <c r="AV72" s="380"/>
    </row>
    <row r="73" spans="1:48" ht="24.95" customHeight="1">
      <c r="A73" s="966" t="s">
        <v>611</v>
      </c>
      <c r="B73" s="979" t="s">
        <v>612</v>
      </c>
      <c r="C73" s="984">
        <v>9346000</v>
      </c>
      <c r="D73" s="989">
        <v>0</v>
      </c>
      <c r="E73" s="967">
        <v>0</v>
      </c>
      <c r="F73" s="968">
        <f t="shared" si="24"/>
        <v>9346000</v>
      </c>
      <c r="G73" s="1775"/>
      <c r="H73" s="984">
        <v>0</v>
      </c>
      <c r="I73" s="967">
        <v>0</v>
      </c>
      <c r="J73" s="968">
        <v>0</v>
      </c>
      <c r="K73" s="382"/>
      <c r="L73" s="393"/>
      <c r="M73" s="390"/>
      <c r="N73" s="390"/>
      <c r="O73" s="390"/>
      <c r="P73" s="393"/>
      <c r="Q73" s="390"/>
      <c r="R73" s="390"/>
      <c r="S73" s="390">
        <v>1</v>
      </c>
      <c r="T73" s="390"/>
      <c r="U73" s="390"/>
      <c r="V73" s="390"/>
      <c r="W73" s="390"/>
      <c r="X73" s="390"/>
      <c r="Y73" s="390"/>
      <c r="Z73" s="390"/>
      <c r="AA73" s="390"/>
      <c r="AB73" s="393"/>
      <c r="AC73" s="390"/>
      <c r="AD73" s="390"/>
      <c r="AE73" s="390">
        <v>1</v>
      </c>
      <c r="AF73" s="390"/>
      <c r="AG73" s="390"/>
      <c r="AH73" s="390"/>
      <c r="AI73" s="390"/>
      <c r="AJ73" s="390"/>
      <c r="AK73" s="390"/>
      <c r="AL73" s="390"/>
      <c r="AM73" s="390"/>
      <c r="AN73" s="1757"/>
      <c r="AO73" s="385"/>
      <c r="AQ73" s="603">
        <f t="shared" si="20"/>
        <v>2</v>
      </c>
      <c r="AR73" s="604">
        <f t="shared" si="21"/>
        <v>9346000</v>
      </c>
      <c r="AS73" s="605">
        <f>+AS74</f>
        <v>0</v>
      </c>
      <c r="AT73" s="606">
        <f t="shared" si="22"/>
        <v>0</v>
      </c>
      <c r="AU73" s="605">
        <f t="shared" si="23"/>
        <v>9346000</v>
      </c>
      <c r="AV73" s="380"/>
    </row>
    <row r="74" spans="1:48" ht="24.95" customHeight="1">
      <c r="A74" s="975" t="s">
        <v>613</v>
      </c>
      <c r="B74" s="982" t="s">
        <v>614</v>
      </c>
      <c r="C74" s="987">
        <v>9346000</v>
      </c>
      <c r="D74" s="992">
        <v>0</v>
      </c>
      <c r="E74" s="976">
        <v>0</v>
      </c>
      <c r="F74" s="977">
        <f t="shared" si="24"/>
        <v>9346000</v>
      </c>
      <c r="G74" s="1775"/>
      <c r="H74" s="987">
        <v>0</v>
      </c>
      <c r="I74" s="976">
        <v>0</v>
      </c>
      <c r="J74" s="977">
        <v>0</v>
      </c>
      <c r="K74" s="382"/>
      <c r="L74" s="393"/>
      <c r="M74" s="390"/>
      <c r="N74" s="390"/>
      <c r="O74" s="390"/>
      <c r="P74" s="393"/>
      <c r="Q74" s="390"/>
      <c r="R74" s="390"/>
      <c r="S74" s="390"/>
      <c r="T74" s="390"/>
      <c r="U74" s="390"/>
      <c r="V74" s="390"/>
      <c r="W74" s="390"/>
      <c r="X74" s="390"/>
      <c r="Y74" s="390"/>
      <c r="Z74" s="390"/>
      <c r="AA74" s="390"/>
      <c r="AB74" s="393"/>
      <c r="AC74" s="390"/>
      <c r="AD74" s="390"/>
      <c r="AE74" s="390"/>
      <c r="AF74" s="390"/>
      <c r="AG74" s="390"/>
      <c r="AH74" s="390"/>
      <c r="AI74" s="390"/>
      <c r="AJ74" s="390"/>
      <c r="AK74" s="390"/>
      <c r="AL74" s="390"/>
      <c r="AM74" s="390"/>
      <c r="AN74" s="1757"/>
      <c r="AO74" s="385"/>
      <c r="AQ74" s="596">
        <f t="shared" si="20"/>
        <v>0</v>
      </c>
      <c r="AR74" s="597">
        <f t="shared" si="21"/>
        <v>9346000</v>
      </c>
      <c r="AS74" s="598">
        <f>IFERROR(AQ74*AR74,0)</f>
        <v>0</v>
      </c>
      <c r="AT74" s="599">
        <f t="shared" si="22"/>
        <v>0</v>
      </c>
      <c r="AU74" s="598">
        <f t="shared" si="23"/>
        <v>9346000</v>
      </c>
      <c r="AV74" s="380"/>
    </row>
    <row r="75" spans="1:48" ht="24.95" customHeight="1">
      <c r="A75" s="966" t="s">
        <v>615</v>
      </c>
      <c r="B75" s="979" t="s">
        <v>616</v>
      </c>
      <c r="C75" s="984">
        <v>13967000</v>
      </c>
      <c r="D75" s="989">
        <v>0</v>
      </c>
      <c r="E75" s="967">
        <v>0</v>
      </c>
      <c r="F75" s="968">
        <f t="shared" si="24"/>
        <v>13967000</v>
      </c>
      <c r="G75" s="1775"/>
      <c r="H75" s="984">
        <v>0</v>
      </c>
      <c r="I75" s="967">
        <v>0</v>
      </c>
      <c r="J75" s="968">
        <v>0</v>
      </c>
      <c r="K75" s="382"/>
      <c r="L75" s="393"/>
      <c r="M75" s="390"/>
      <c r="N75" s="390"/>
      <c r="O75" s="390"/>
      <c r="P75" s="393"/>
      <c r="Q75" s="390"/>
      <c r="R75" s="390"/>
      <c r="S75" s="390">
        <v>1</v>
      </c>
      <c r="T75" s="390"/>
      <c r="U75" s="390"/>
      <c r="V75" s="390"/>
      <c r="W75" s="390"/>
      <c r="X75" s="390"/>
      <c r="Y75" s="390"/>
      <c r="Z75" s="390"/>
      <c r="AA75" s="390"/>
      <c r="AB75" s="393"/>
      <c r="AC75" s="390"/>
      <c r="AD75" s="390"/>
      <c r="AE75" s="390">
        <v>1</v>
      </c>
      <c r="AF75" s="390"/>
      <c r="AG75" s="390"/>
      <c r="AH75" s="390"/>
      <c r="AI75" s="390"/>
      <c r="AJ75" s="390"/>
      <c r="AK75" s="390"/>
      <c r="AL75" s="390"/>
      <c r="AM75" s="390"/>
      <c r="AN75" s="1757"/>
      <c r="AO75" s="385"/>
      <c r="AQ75" s="603">
        <f t="shared" si="20"/>
        <v>2</v>
      </c>
      <c r="AR75" s="604">
        <f t="shared" si="21"/>
        <v>13967000</v>
      </c>
      <c r="AS75" s="605">
        <f>+AS77+AS76</f>
        <v>15334000</v>
      </c>
      <c r="AT75" s="606">
        <f t="shared" si="22"/>
        <v>15334000</v>
      </c>
      <c r="AU75" s="605">
        <f t="shared" si="23"/>
        <v>-1367000</v>
      </c>
      <c r="AV75" s="380"/>
    </row>
    <row r="76" spans="1:48" ht="24.95" customHeight="1">
      <c r="A76" s="975" t="s">
        <v>617</v>
      </c>
      <c r="B76" s="982" t="s">
        <v>614</v>
      </c>
      <c r="C76" s="987">
        <v>6300000</v>
      </c>
      <c r="D76" s="992">
        <v>-7667000</v>
      </c>
      <c r="E76" s="976">
        <v>7667000</v>
      </c>
      <c r="F76" s="977">
        <f t="shared" si="24"/>
        <v>6300000</v>
      </c>
      <c r="G76" s="1775"/>
      <c r="H76" s="987">
        <v>0</v>
      </c>
      <c r="I76" s="976">
        <v>0</v>
      </c>
      <c r="J76" s="977">
        <v>0</v>
      </c>
      <c r="K76" s="382"/>
      <c r="L76" s="393"/>
      <c r="M76" s="390"/>
      <c r="N76" s="390"/>
      <c r="O76" s="390"/>
      <c r="P76" s="393"/>
      <c r="Q76" s="390"/>
      <c r="R76" s="390"/>
      <c r="S76" s="390"/>
      <c r="T76" s="390"/>
      <c r="U76" s="390"/>
      <c r="V76" s="390"/>
      <c r="W76" s="390"/>
      <c r="X76" s="390"/>
      <c r="Y76" s="390"/>
      <c r="Z76" s="390"/>
      <c r="AA76" s="390"/>
      <c r="AB76" s="393"/>
      <c r="AC76" s="390"/>
      <c r="AD76" s="390"/>
      <c r="AE76" s="390"/>
      <c r="AF76" s="390"/>
      <c r="AG76" s="390"/>
      <c r="AH76" s="390"/>
      <c r="AI76" s="390"/>
      <c r="AJ76" s="390"/>
      <c r="AK76" s="390"/>
      <c r="AL76" s="390"/>
      <c r="AM76" s="390"/>
      <c r="AN76" s="1757"/>
      <c r="AO76" s="385"/>
      <c r="AQ76" s="596">
        <f t="shared" si="20"/>
        <v>0</v>
      </c>
      <c r="AR76" s="597">
        <f t="shared" si="21"/>
        <v>6300000</v>
      </c>
      <c r="AS76" s="598">
        <f>IFERROR(AQ76*AR76,0)</f>
        <v>0</v>
      </c>
      <c r="AT76" s="599">
        <f t="shared" si="22"/>
        <v>0</v>
      </c>
      <c r="AU76" s="598">
        <f t="shared" si="23"/>
        <v>6300000</v>
      </c>
      <c r="AV76" s="380"/>
    </row>
    <row r="77" spans="1:48" ht="24.95" customHeight="1">
      <c r="A77" s="975" t="s">
        <v>618</v>
      </c>
      <c r="B77" s="982" t="s">
        <v>355</v>
      </c>
      <c r="C77" s="987">
        <v>7667000</v>
      </c>
      <c r="D77" s="992">
        <v>7667000</v>
      </c>
      <c r="E77" s="976">
        <v>-7667000</v>
      </c>
      <c r="F77" s="977">
        <f t="shared" si="24"/>
        <v>7667000</v>
      </c>
      <c r="G77" s="1775"/>
      <c r="H77" s="987">
        <v>0</v>
      </c>
      <c r="I77" s="976">
        <v>0</v>
      </c>
      <c r="J77" s="977">
        <v>0</v>
      </c>
      <c r="K77" s="382"/>
      <c r="L77" s="393"/>
      <c r="M77" s="390"/>
      <c r="N77" s="390"/>
      <c r="O77" s="390"/>
      <c r="P77" s="393"/>
      <c r="Q77" s="390"/>
      <c r="R77" s="390"/>
      <c r="S77" s="390">
        <v>1</v>
      </c>
      <c r="T77" s="390"/>
      <c r="U77" s="390"/>
      <c r="V77" s="390"/>
      <c r="W77" s="390"/>
      <c r="X77" s="390"/>
      <c r="Y77" s="390"/>
      <c r="Z77" s="390"/>
      <c r="AA77" s="390"/>
      <c r="AB77" s="393"/>
      <c r="AC77" s="390"/>
      <c r="AD77" s="390"/>
      <c r="AE77" s="390">
        <v>1</v>
      </c>
      <c r="AF77" s="390"/>
      <c r="AG77" s="390"/>
      <c r="AH77" s="390"/>
      <c r="AI77" s="390"/>
      <c r="AJ77" s="390"/>
      <c r="AK77" s="390"/>
      <c r="AL77" s="390"/>
      <c r="AM77" s="390"/>
      <c r="AN77" s="1757"/>
      <c r="AO77" s="385"/>
      <c r="AQ77" s="596">
        <f t="shared" si="20"/>
        <v>2</v>
      </c>
      <c r="AR77" s="597">
        <f t="shared" si="21"/>
        <v>7667000</v>
      </c>
      <c r="AS77" s="598">
        <f>IFERROR(AQ77*AR77,0)</f>
        <v>15334000</v>
      </c>
      <c r="AT77" s="599">
        <f t="shared" si="22"/>
        <v>15334000</v>
      </c>
      <c r="AU77" s="598">
        <f t="shared" si="23"/>
        <v>-7667000</v>
      </c>
      <c r="AV77" s="380"/>
    </row>
    <row r="78" spans="1:48" ht="24.95" customHeight="1">
      <c r="A78" s="966" t="s">
        <v>619</v>
      </c>
      <c r="B78" s="979" t="s">
        <v>620</v>
      </c>
      <c r="C78" s="984">
        <v>9147000</v>
      </c>
      <c r="D78" s="989">
        <v>0</v>
      </c>
      <c r="E78" s="967">
        <v>0</v>
      </c>
      <c r="F78" s="968">
        <f t="shared" si="24"/>
        <v>9147000</v>
      </c>
      <c r="G78" s="1775"/>
      <c r="H78" s="984">
        <v>0</v>
      </c>
      <c r="I78" s="967">
        <v>0</v>
      </c>
      <c r="J78" s="968">
        <v>0</v>
      </c>
      <c r="K78" s="382"/>
      <c r="L78" s="393"/>
      <c r="M78" s="390"/>
      <c r="N78" s="390"/>
      <c r="O78" s="390"/>
      <c r="P78" s="393"/>
      <c r="Q78" s="390"/>
      <c r="R78" s="390"/>
      <c r="S78" s="390"/>
      <c r="T78" s="390"/>
      <c r="U78" s="390"/>
      <c r="V78" s="390"/>
      <c r="W78" s="390"/>
      <c r="X78" s="390"/>
      <c r="Y78" s="390"/>
      <c r="Z78" s="390"/>
      <c r="AA78" s="390"/>
      <c r="AB78" s="393"/>
      <c r="AC78" s="390"/>
      <c r="AD78" s="390"/>
      <c r="AE78" s="390"/>
      <c r="AF78" s="390"/>
      <c r="AG78" s="390"/>
      <c r="AH78" s="390"/>
      <c r="AI78" s="390"/>
      <c r="AJ78" s="390"/>
      <c r="AK78" s="390"/>
      <c r="AL78" s="390"/>
      <c r="AM78" s="390"/>
      <c r="AN78" s="1757"/>
      <c r="AO78" s="385"/>
      <c r="AQ78" s="571">
        <f t="shared" si="20"/>
        <v>0</v>
      </c>
      <c r="AR78" s="574">
        <f t="shared" si="21"/>
        <v>9147000</v>
      </c>
      <c r="AS78" s="573">
        <f>+AS80+AS79</f>
        <v>3788000</v>
      </c>
      <c r="AT78" s="572">
        <f t="shared" si="22"/>
        <v>3788000</v>
      </c>
      <c r="AU78" s="573">
        <f t="shared" si="23"/>
        <v>5359000</v>
      </c>
      <c r="AV78" s="380"/>
    </row>
    <row r="79" spans="1:48" ht="24.95" customHeight="1">
      <c r="A79" s="975" t="s">
        <v>621</v>
      </c>
      <c r="B79" s="982" t="s">
        <v>622</v>
      </c>
      <c r="C79" s="987">
        <v>8200000</v>
      </c>
      <c r="D79" s="992">
        <v>-947000</v>
      </c>
      <c r="E79" s="976">
        <v>0</v>
      </c>
      <c r="F79" s="977">
        <f t="shared" si="24"/>
        <v>7253000</v>
      </c>
      <c r="G79" s="1775"/>
      <c r="H79" s="987">
        <v>0</v>
      </c>
      <c r="I79" s="976">
        <v>0</v>
      </c>
      <c r="J79" s="977">
        <v>0</v>
      </c>
      <c r="K79" s="382"/>
      <c r="L79" s="393"/>
      <c r="M79" s="390"/>
      <c r="N79" s="390"/>
      <c r="O79" s="390"/>
      <c r="P79" s="393"/>
      <c r="Q79" s="390"/>
      <c r="R79" s="390"/>
      <c r="S79" s="390"/>
      <c r="T79" s="390"/>
      <c r="U79" s="390"/>
      <c r="V79" s="390"/>
      <c r="W79" s="390"/>
      <c r="X79" s="390"/>
      <c r="Y79" s="390"/>
      <c r="Z79" s="390"/>
      <c r="AA79" s="390"/>
      <c r="AB79" s="393"/>
      <c r="AC79" s="390"/>
      <c r="AD79" s="390"/>
      <c r="AE79" s="390"/>
      <c r="AF79" s="390"/>
      <c r="AG79" s="390"/>
      <c r="AH79" s="390"/>
      <c r="AI79" s="390"/>
      <c r="AJ79" s="390"/>
      <c r="AK79" s="390"/>
      <c r="AL79" s="390"/>
      <c r="AM79" s="390"/>
      <c r="AN79" s="1757"/>
      <c r="AO79" s="385"/>
      <c r="AQ79" s="596">
        <f t="shared" si="20"/>
        <v>0</v>
      </c>
      <c r="AR79" s="597">
        <f t="shared" si="21"/>
        <v>7253000</v>
      </c>
      <c r="AS79" s="594">
        <f>IFERROR(AQ79*AR79,0)</f>
        <v>0</v>
      </c>
      <c r="AT79" s="599">
        <f t="shared" si="22"/>
        <v>0</v>
      </c>
      <c r="AU79" s="598">
        <f t="shared" si="23"/>
        <v>7253000</v>
      </c>
      <c r="AV79" s="380"/>
    </row>
    <row r="80" spans="1:48" ht="24.95" customHeight="1">
      <c r="A80" s="975" t="s">
        <v>623</v>
      </c>
      <c r="B80" s="982" t="s">
        <v>355</v>
      </c>
      <c r="C80" s="987">
        <v>947000</v>
      </c>
      <c r="D80" s="992">
        <v>947000</v>
      </c>
      <c r="E80" s="976">
        <v>0</v>
      </c>
      <c r="F80" s="977">
        <f t="shared" si="24"/>
        <v>1894000</v>
      </c>
      <c r="G80" s="1775"/>
      <c r="H80" s="987">
        <v>0</v>
      </c>
      <c r="I80" s="976">
        <v>0</v>
      </c>
      <c r="J80" s="977">
        <v>0</v>
      </c>
      <c r="K80" s="382"/>
      <c r="L80" s="393"/>
      <c r="M80" s="390"/>
      <c r="N80" s="390"/>
      <c r="O80" s="390"/>
      <c r="P80" s="393"/>
      <c r="Q80" s="390"/>
      <c r="R80" s="390"/>
      <c r="S80" s="390">
        <v>1</v>
      </c>
      <c r="T80" s="390"/>
      <c r="U80" s="390"/>
      <c r="V80" s="390"/>
      <c r="W80" s="390"/>
      <c r="X80" s="390"/>
      <c r="Y80" s="390"/>
      <c r="Z80" s="390"/>
      <c r="AA80" s="390"/>
      <c r="AB80" s="393"/>
      <c r="AC80" s="390"/>
      <c r="AD80" s="390"/>
      <c r="AE80" s="390">
        <v>1</v>
      </c>
      <c r="AF80" s="390"/>
      <c r="AG80" s="390"/>
      <c r="AH80" s="390"/>
      <c r="AI80" s="390"/>
      <c r="AJ80" s="390"/>
      <c r="AK80" s="390"/>
      <c r="AL80" s="390"/>
      <c r="AM80" s="390"/>
      <c r="AN80" s="1757"/>
      <c r="AO80" s="385"/>
      <c r="AQ80" s="596">
        <f t="shared" si="20"/>
        <v>2</v>
      </c>
      <c r="AR80" s="597">
        <f t="shared" si="21"/>
        <v>1894000</v>
      </c>
      <c r="AS80" s="594">
        <f>IFERROR(AQ80*AR80,0)</f>
        <v>3788000</v>
      </c>
      <c r="AT80" s="599">
        <f t="shared" si="22"/>
        <v>3788000</v>
      </c>
      <c r="AU80" s="1755">
        <f t="shared" si="23"/>
        <v>-1894000</v>
      </c>
      <c r="AV80" s="380"/>
    </row>
    <row r="81" spans="1:48" ht="24.95" customHeight="1">
      <c r="A81" s="966" t="s">
        <v>624</v>
      </c>
      <c r="B81" s="979" t="s">
        <v>360</v>
      </c>
      <c r="C81" s="984">
        <v>2718000</v>
      </c>
      <c r="D81" s="989">
        <v>0</v>
      </c>
      <c r="E81" s="967">
        <v>0</v>
      </c>
      <c r="F81" s="968">
        <f t="shared" si="24"/>
        <v>2718000</v>
      </c>
      <c r="G81" s="1775"/>
      <c r="H81" s="984">
        <v>0</v>
      </c>
      <c r="I81" s="967">
        <v>0</v>
      </c>
      <c r="J81" s="968">
        <v>0</v>
      </c>
      <c r="K81" s="382"/>
      <c r="L81" s="393"/>
      <c r="M81" s="390"/>
      <c r="N81" s="390"/>
      <c r="O81" s="390"/>
      <c r="P81" s="393"/>
      <c r="Q81" s="390"/>
      <c r="R81" s="390"/>
      <c r="S81" s="390">
        <v>1</v>
      </c>
      <c r="T81" s="390"/>
      <c r="U81" s="390"/>
      <c r="V81" s="390"/>
      <c r="W81" s="390"/>
      <c r="X81" s="390"/>
      <c r="Y81" s="390"/>
      <c r="Z81" s="390"/>
      <c r="AA81" s="390"/>
      <c r="AB81" s="393"/>
      <c r="AC81" s="390"/>
      <c r="AD81" s="390"/>
      <c r="AE81" s="390">
        <v>1</v>
      </c>
      <c r="AF81" s="390"/>
      <c r="AG81" s="390"/>
      <c r="AH81" s="390"/>
      <c r="AI81" s="390"/>
      <c r="AJ81" s="390"/>
      <c r="AK81" s="390"/>
      <c r="AL81" s="390"/>
      <c r="AM81" s="390"/>
      <c r="AN81" s="1757"/>
      <c r="AO81" s="385"/>
      <c r="AQ81" s="603">
        <f t="shared" si="20"/>
        <v>2</v>
      </c>
      <c r="AR81" s="604">
        <f t="shared" si="21"/>
        <v>2718000</v>
      </c>
      <c r="AS81" s="590">
        <f>+AS82</f>
        <v>0</v>
      </c>
      <c r="AT81" s="606">
        <f t="shared" si="22"/>
        <v>0</v>
      </c>
      <c r="AU81" s="611">
        <f t="shared" si="23"/>
        <v>2718000</v>
      </c>
      <c r="AV81" s="380"/>
    </row>
    <row r="82" spans="1:48" ht="24.95" customHeight="1">
      <c r="A82" s="975" t="s">
        <v>625</v>
      </c>
      <c r="B82" s="982" t="s">
        <v>361</v>
      </c>
      <c r="C82" s="987">
        <v>2718000</v>
      </c>
      <c r="D82" s="992">
        <v>0</v>
      </c>
      <c r="E82" s="976">
        <v>0</v>
      </c>
      <c r="F82" s="977">
        <f t="shared" si="24"/>
        <v>2718000</v>
      </c>
      <c r="G82" s="1775"/>
      <c r="H82" s="987">
        <v>0</v>
      </c>
      <c r="I82" s="976">
        <v>0</v>
      </c>
      <c r="J82" s="977">
        <v>0</v>
      </c>
      <c r="K82" s="382"/>
      <c r="L82" s="393"/>
      <c r="M82" s="390"/>
      <c r="N82" s="390"/>
      <c r="O82" s="390"/>
      <c r="P82" s="393"/>
      <c r="Q82" s="390"/>
      <c r="R82" s="390"/>
      <c r="S82" s="390"/>
      <c r="T82" s="390"/>
      <c r="U82" s="390"/>
      <c r="V82" s="390"/>
      <c r="W82" s="390"/>
      <c r="X82" s="390"/>
      <c r="Y82" s="390"/>
      <c r="Z82" s="390"/>
      <c r="AA82" s="390"/>
      <c r="AB82" s="393"/>
      <c r="AC82" s="390"/>
      <c r="AD82" s="390"/>
      <c r="AE82" s="390"/>
      <c r="AF82" s="390"/>
      <c r="AG82" s="390"/>
      <c r="AH82" s="390"/>
      <c r="AI82" s="390"/>
      <c r="AJ82" s="390"/>
      <c r="AK82" s="390"/>
      <c r="AL82" s="390"/>
      <c r="AM82" s="390"/>
      <c r="AN82" s="1757"/>
      <c r="AO82" s="385"/>
      <c r="AQ82" s="596">
        <f t="shared" si="20"/>
        <v>0</v>
      </c>
      <c r="AR82" s="597">
        <f t="shared" si="21"/>
        <v>2718000</v>
      </c>
      <c r="AS82" s="594">
        <f>IFERROR(AQ82*AR82,0)</f>
        <v>0</v>
      </c>
      <c r="AT82" s="599">
        <f t="shared" si="22"/>
        <v>0</v>
      </c>
      <c r="AU82" s="1755">
        <f t="shared" si="23"/>
        <v>2718000</v>
      </c>
      <c r="AV82" s="380"/>
    </row>
    <row r="83" spans="1:48" ht="24.95" customHeight="1">
      <c r="A83" s="966" t="s">
        <v>1011</v>
      </c>
      <c r="B83" s="979" t="s">
        <v>1012</v>
      </c>
      <c r="C83" s="984">
        <v>2718000</v>
      </c>
      <c r="D83" s="989">
        <v>0</v>
      </c>
      <c r="E83" s="967">
        <v>0</v>
      </c>
      <c r="F83" s="968">
        <f t="shared" si="24"/>
        <v>2718000</v>
      </c>
      <c r="G83" s="1775"/>
      <c r="H83" s="984">
        <v>0</v>
      </c>
      <c r="I83" s="967">
        <v>0</v>
      </c>
      <c r="J83" s="968">
        <v>0</v>
      </c>
      <c r="K83" s="382"/>
      <c r="L83" s="393"/>
      <c r="M83" s="390"/>
      <c r="N83" s="390"/>
      <c r="O83" s="390"/>
      <c r="P83" s="393"/>
      <c r="Q83" s="390"/>
      <c r="R83" s="390"/>
      <c r="S83" s="390"/>
      <c r="T83" s="390"/>
      <c r="U83" s="390"/>
      <c r="V83" s="390"/>
      <c r="W83" s="390"/>
      <c r="X83" s="390"/>
      <c r="Y83" s="390"/>
      <c r="Z83" s="390"/>
      <c r="AA83" s="390"/>
      <c r="AB83" s="393"/>
      <c r="AC83" s="390"/>
      <c r="AD83" s="390"/>
      <c r="AE83" s="390"/>
      <c r="AF83" s="390"/>
      <c r="AG83" s="390"/>
      <c r="AH83" s="390"/>
      <c r="AI83" s="390"/>
      <c r="AJ83" s="390"/>
      <c r="AK83" s="390"/>
      <c r="AL83" s="390"/>
      <c r="AM83" s="390"/>
      <c r="AN83" s="1757"/>
      <c r="AO83" s="385"/>
      <c r="AQ83" s="603">
        <f t="shared" si="20"/>
        <v>0</v>
      </c>
      <c r="AR83" s="604">
        <f t="shared" si="21"/>
        <v>2718000</v>
      </c>
      <c r="AS83" s="590">
        <f>+AS84</f>
        <v>5436000</v>
      </c>
      <c r="AT83" s="606">
        <f t="shared" si="22"/>
        <v>5436000</v>
      </c>
      <c r="AU83" s="605">
        <f t="shared" si="23"/>
        <v>-2718000</v>
      </c>
      <c r="AV83" s="380"/>
    </row>
    <row r="84" spans="1:48" ht="24.95" customHeight="1">
      <c r="A84" s="975" t="s">
        <v>1013</v>
      </c>
      <c r="B84" s="982" t="s">
        <v>361</v>
      </c>
      <c r="C84" s="987">
        <v>2718000</v>
      </c>
      <c r="D84" s="992">
        <v>0</v>
      </c>
      <c r="E84" s="976">
        <v>0</v>
      </c>
      <c r="F84" s="977">
        <f t="shared" si="24"/>
        <v>2718000</v>
      </c>
      <c r="G84" s="1775"/>
      <c r="H84" s="987">
        <v>0</v>
      </c>
      <c r="I84" s="976">
        <v>0</v>
      </c>
      <c r="J84" s="977">
        <v>0</v>
      </c>
      <c r="K84" s="382"/>
      <c r="L84" s="393"/>
      <c r="M84" s="390"/>
      <c r="N84" s="390"/>
      <c r="O84" s="390"/>
      <c r="P84" s="393"/>
      <c r="Q84" s="390"/>
      <c r="R84" s="390"/>
      <c r="S84" s="390">
        <v>1</v>
      </c>
      <c r="T84" s="390"/>
      <c r="U84" s="390"/>
      <c r="V84" s="390"/>
      <c r="W84" s="390"/>
      <c r="X84" s="390"/>
      <c r="Y84" s="390"/>
      <c r="Z84" s="390"/>
      <c r="AA84" s="390"/>
      <c r="AB84" s="393"/>
      <c r="AC84" s="390"/>
      <c r="AD84" s="390"/>
      <c r="AE84" s="390">
        <v>1</v>
      </c>
      <c r="AF84" s="390"/>
      <c r="AG84" s="390"/>
      <c r="AH84" s="390"/>
      <c r="AI84" s="390"/>
      <c r="AJ84" s="390"/>
      <c r="AK84" s="390"/>
      <c r="AL84" s="390"/>
      <c r="AM84" s="390"/>
      <c r="AN84" s="1757"/>
      <c r="AO84" s="385"/>
      <c r="AQ84" s="596">
        <f t="shared" si="20"/>
        <v>2</v>
      </c>
      <c r="AR84" s="597">
        <f t="shared" si="21"/>
        <v>2718000</v>
      </c>
      <c r="AS84" s="594">
        <f>IFERROR(AQ84*AR84,0)</f>
        <v>5436000</v>
      </c>
      <c r="AT84" s="599">
        <f t="shared" si="22"/>
        <v>5436000</v>
      </c>
      <c r="AU84" s="598">
        <f t="shared" si="23"/>
        <v>-2718000</v>
      </c>
      <c r="AV84" s="380"/>
    </row>
    <row r="85" spans="1:48" ht="24.95" customHeight="1">
      <c r="A85" s="969" t="s">
        <v>626</v>
      </c>
      <c r="B85" s="980" t="s">
        <v>325</v>
      </c>
      <c r="C85" s="985">
        <v>50698623.030000001</v>
      </c>
      <c r="D85" s="990">
        <v>0</v>
      </c>
      <c r="E85" s="970">
        <v>0</v>
      </c>
      <c r="F85" s="971">
        <f t="shared" si="24"/>
        <v>50698623.030000001</v>
      </c>
      <c r="G85" s="1775"/>
      <c r="H85" s="985">
        <v>7823941.4299999997</v>
      </c>
      <c r="I85" s="970">
        <v>8332240.4500000002</v>
      </c>
      <c r="J85" s="971">
        <v>-508299.02</v>
      </c>
      <c r="K85" s="382"/>
      <c r="L85" s="393"/>
      <c r="M85" s="390"/>
      <c r="N85" s="390"/>
      <c r="O85" s="390"/>
      <c r="P85" s="393"/>
      <c r="Q85" s="390"/>
      <c r="R85" s="390"/>
      <c r="S85" s="390">
        <v>1</v>
      </c>
      <c r="T85" s="390"/>
      <c r="U85" s="390"/>
      <c r="V85" s="390"/>
      <c r="W85" s="390"/>
      <c r="X85" s="390"/>
      <c r="Y85" s="390"/>
      <c r="Z85" s="390"/>
      <c r="AA85" s="390"/>
      <c r="AB85" s="393"/>
      <c r="AC85" s="390"/>
      <c r="AD85" s="390"/>
      <c r="AE85" s="390">
        <v>1</v>
      </c>
      <c r="AF85" s="390"/>
      <c r="AG85" s="390"/>
      <c r="AH85" s="390"/>
      <c r="AI85" s="390"/>
      <c r="AJ85" s="390"/>
      <c r="AK85" s="390"/>
      <c r="AL85" s="390"/>
      <c r="AM85" s="390"/>
      <c r="AN85" s="1757"/>
      <c r="AO85" s="385"/>
      <c r="AQ85" s="580">
        <f t="shared" ref="AQ85:AU85" si="25">+AQ299+AQ291+AQ288+AQ285+AQ265+AQ242+AQ215+AQ205+AQ175+AQ142+AQ89+AQ86</f>
        <v>1051</v>
      </c>
      <c r="AR85" s="581">
        <f t="shared" si="25"/>
        <v>55111899.910000004</v>
      </c>
      <c r="AS85" s="1754">
        <f t="shared" si="25"/>
        <v>187048621.58000001</v>
      </c>
      <c r="AT85" s="583">
        <f t="shared" si="25"/>
        <v>195358882.28999999</v>
      </c>
      <c r="AU85" s="582">
        <f t="shared" si="25"/>
        <v>-141077456.66999999</v>
      </c>
      <c r="AV85" s="380"/>
    </row>
    <row r="86" spans="1:48" ht="24.95" customHeight="1">
      <c r="A86" s="972" t="s">
        <v>627</v>
      </c>
      <c r="B86" s="981" t="s">
        <v>362</v>
      </c>
      <c r="C86" s="986">
        <v>2377968</v>
      </c>
      <c r="D86" s="991">
        <v>0</v>
      </c>
      <c r="E86" s="973">
        <v>0</v>
      </c>
      <c r="F86" s="974">
        <f t="shared" si="24"/>
        <v>2377968</v>
      </c>
      <c r="G86" s="1775"/>
      <c r="H86" s="986">
        <v>769014.52</v>
      </c>
      <c r="I86" s="973">
        <v>768922.85</v>
      </c>
      <c r="J86" s="974">
        <v>91.67</v>
      </c>
      <c r="K86" s="382"/>
      <c r="L86" s="393"/>
      <c r="M86" s="390"/>
      <c r="N86" s="390"/>
      <c r="O86" s="390"/>
      <c r="P86" s="393"/>
      <c r="Q86" s="390"/>
      <c r="R86" s="390"/>
      <c r="S86" s="390"/>
      <c r="T86" s="390"/>
      <c r="U86" s="390"/>
      <c r="V86" s="390"/>
      <c r="W86" s="390"/>
      <c r="X86" s="390"/>
      <c r="Y86" s="390"/>
      <c r="Z86" s="390"/>
      <c r="AA86" s="390"/>
      <c r="AB86" s="393"/>
      <c r="AC86" s="390"/>
      <c r="AD86" s="390"/>
      <c r="AE86" s="390"/>
      <c r="AF86" s="390"/>
      <c r="AG86" s="390"/>
      <c r="AH86" s="390"/>
      <c r="AI86" s="390"/>
      <c r="AJ86" s="390"/>
      <c r="AK86" s="390"/>
      <c r="AL86" s="390"/>
      <c r="AM86" s="390"/>
      <c r="AN86" s="1757"/>
      <c r="AO86" s="385"/>
      <c r="AQ86" s="607">
        <f t="shared" ref="AQ86:AU86" si="26">+AQ88+AQ87</f>
        <v>4</v>
      </c>
      <c r="AR86" s="608">
        <f t="shared" si="26"/>
        <v>1609045.1500000001</v>
      </c>
      <c r="AS86" s="586">
        <f t="shared" si="26"/>
        <v>3218090.3000000003</v>
      </c>
      <c r="AT86" s="610">
        <f t="shared" si="26"/>
        <v>3987013.1500000004</v>
      </c>
      <c r="AU86" s="609">
        <f t="shared" si="26"/>
        <v>-1609045.1500000004</v>
      </c>
      <c r="AV86" s="380"/>
    </row>
    <row r="87" spans="1:48" ht="24.95" customHeight="1">
      <c r="A87" s="966" t="s">
        <v>628</v>
      </c>
      <c r="B87" s="979" t="s">
        <v>629</v>
      </c>
      <c r="C87" s="984">
        <v>1669313</v>
      </c>
      <c r="D87" s="989">
        <v>0</v>
      </c>
      <c r="E87" s="967">
        <v>0</v>
      </c>
      <c r="F87" s="968">
        <f t="shared" si="24"/>
        <v>1669313</v>
      </c>
      <c r="G87" s="1775"/>
      <c r="H87" s="984">
        <v>260412.83</v>
      </c>
      <c r="I87" s="967">
        <v>259619.18</v>
      </c>
      <c r="J87" s="968">
        <v>793.65</v>
      </c>
      <c r="K87" s="382"/>
      <c r="L87" s="393"/>
      <c r="M87" s="390"/>
      <c r="N87" s="390"/>
      <c r="O87" s="390"/>
      <c r="P87" s="393"/>
      <c r="Q87" s="390"/>
      <c r="R87" s="390"/>
      <c r="S87" s="390">
        <v>1</v>
      </c>
      <c r="T87" s="390"/>
      <c r="U87" s="390"/>
      <c r="V87" s="390"/>
      <c r="W87" s="390"/>
      <c r="X87" s="390"/>
      <c r="Y87" s="390"/>
      <c r="Z87" s="390"/>
      <c r="AA87" s="390"/>
      <c r="AB87" s="393"/>
      <c r="AC87" s="390"/>
      <c r="AD87" s="390"/>
      <c r="AE87" s="390">
        <v>1</v>
      </c>
      <c r="AF87" s="390"/>
      <c r="AG87" s="390"/>
      <c r="AH87" s="390"/>
      <c r="AI87" s="390"/>
      <c r="AJ87" s="390"/>
      <c r="AK87" s="390"/>
      <c r="AL87" s="390"/>
      <c r="AM87" s="390"/>
      <c r="AN87" s="1757"/>
      <c r="AO87" s="385"/>
      <c r="AQ87" s="603">
        <f>SUM(K87:AO87)</f>
        <v>2</v>
      </c>
      <c r="AR87" s="604">
        <f>IFERROR(IF(F87-I87&lt;0,0,F87-I87),0)</f>
        <v>1409693.82</v>
      </c>
      <c r="AS87" s="590">
        <f>IFERROR(AQ87*AR87,0)</f>
        <v>2819387.64</v>
      </c>
      <c r="AT87" s="606">
        <f>I87+AS87</f>
        <v>3079006.8200000003</v>
      </c>
      <c r="AU87" s="605">
        <f>F87-AT87</f>
        <v>-1409693.8200000003</v>
      </c>
      <c r="AV87" s="380"/>
    </row>
    <row r="88" spans="1:48" ht="24.95" customHeight="1">
      <c r="A88" s="966" t="s">
        <v>630</v>
      </c>
      <c r="B88" s="979" t="s">
        <v>362</v>
      </c>
      <c r="C88" s="984">
        <v>708655</v>
      </c>
      <c r="D88" s="989">
        <v>0</v>
      </c>
      <c r="E88" s="967">
        <v>0</v>
      </c>
      <c r="F88" s="968">
        <f t="shared" si="24"/>
        <v>708655</v>
      </c>
      <c r="G88" s="1775"/>
      <c r="H88" s="984">
        <v>508601.69</v>
      </c>
      <c r="I88" s="967">
        <v>509303.67</v>
      </c>
      <c r="J88" s="968">
        <v>-701.98</v>
      </c>
      <c r="K88" s="382"/>
      <c r="L88" s="393"/>
      <c r="M88" s="390"/>
      <c r="N88" s="390"/>
      <c r="O88" s="390"/>
      <c r="P88" s="393"/>
      <c r="Q88" s="390"/>
      <c r="R88" s="390"/>
      <c r="S88" s="390">
        <v>1</v>
      </c>
      <c r="T88" s="390"/>
      <c r="U88" s="390"/>
      <c r="V88" s="390"/>
      <c r="W88" s="390"/>
      <c r="X88" s="390"/>
      <c r="Y88" s="390"/>
      <c r="Z88" s="390"/>
      <c r="AA88" s="390"/>
      <c r="AB88" s="393"/>
      <c r="AC88" s="390"/>
      <c r="AD88" s="390"/>
      <c r="AE88" s="390">
        <v>1</v>
      </c>
      <c r="AF88" s="390"/>
      <c r="AG88" s="390"/>
      <c r="AH88" s="390"/>
      <c r="AI88" s="390"/>
      <c r="AJ88" s="390"/>
      <c r="AK88" s="390"/>
      <c r="AL88" s="390"/>
      <c r="AM88" s="390"/>
      <c r="AN88" s="1757"/>
      <c r="AO88" s="385"/>
      <c r="AQ88" s="603">
        <f>SUM(K88:AO88)</f>
        <v>2</v>
      </c>
      <c r="AR88" s="604">
        <f>IFERROR(IF(F88-I88&lt;0,0,F88-I88),0)</f>
        <v>199351.33000000002</v>
      </c>
      <c r="AS88" s="590">
        <f>IFERROR(AQ88*AR88,0)</f>
        <v>398702.66000000003</v>
      </c>
      <c r="AT88" s="606">
        <f>I88+AS88</f>
        <v>908006.33000000007</v>
      </c>
      <c r="AU88" s="605">
        <f>F88-AT88</f>
        <v>-199351.33000000007</v>
      </c>
      <c r="AV88" s="380"/>
    </row>
    <row r="89" spans="1:48" ht="24.95" customHeight="1">
      <c r="A89" s="972" t="s">
        <v>631</v>
      </c>
      <c r="B89" s="981" t="s">
        <v>90</v>
      </c>
      <c r="C89" s="986">
        <v>4451136.2699999996</v>
      </c>
      <c r="D89" s="991">
        <v>0</v>
      </c>
      <c r="E89" s="973">
        <v>0</v>
      </c>
      <c r="F89" s="974">
        <f t="shared" si="24"/>
        <v>4451136.2699999996</v>
      </c>
      <c r="G89" s="1775"/>
      <c r="H89" s="986">
        <v>1699627.9</v>
      </c>
      <c r="I89" s="973">
        <v>1681325.07</v>
      </c>
      <c r="J89" s="974">
        <v>18302.830000000002</v>
      </c>
      <c r="K89" s="382"/>
      <c r="L89" s="393"/>
      <c r="M89" s="390"/>
      <c r="N89" s="390"/>
      <c r="O89" s="390"/>
      <c r="P89" s="393"/>
      <c r="Q89" s="390"/>
      <c r="R89" s="390"/>
      <c r="S89" s="390"/>
      <c r="T89" s="390"/>
      <c r="U89" s="390"/>
      <c r="V89" s="390"/>
      <c r="W89" s="390"/>
      <c r="X89" s="390"/>
      <c r="Y89" s="390"/>
      <c r="Z89" s="390"/>
      <c r="AA89" s="390"/>
      <c r="AB89" s="393"/>
      <c r="AC89" s="390"/>
      <c r="AD89" s="390"/>
      <c r="AE89" s="390"/>
      <c r="AF89" s="390"/>
      <c r="AG89" s="390"/>
      <c r="AH89" s="390"/>
      <c r="AI89" s="390"/>
      <c r="AJ89" s="390"/>
      <c r="AK89" s="390"/>
      <c r="AL89" s="390"/>
      <c r="AM89" s="390"/>
      <c r="AN89" s="1757"/>
      <c r="AO89" s="385"/>
      <c r="AQ89" s="607">
        <f t="shared" ref="AQ89:AU89" si="27">+AQ141+AQ140+AQ139+AQ138+AQ137+AQ136+AQ135+AQ134+AQ133+AQ132+AQ131+AQ130+AQ129+AQ128+AQ127+AQ126+AQ125+AQ124+AQ123+AQ122+AQ121+AQ120+AQ119+AQ118+AQ117+AQ116+AQ115+AQ114+AQ113+AQ112+AQ111+AQ110+AQ109+AQ108+AQ107+AQ106+AQ105+AQ104+AQ103+AQ102+AQ101+AQ100+AQ99+AQ98+AQ97+AQ96+AQ95+AQ94+AQ93+AQ92+AQ91+AQ90</f>
        <v>526</v>
      </c>
      <c r="AR89" s="608">
        <f t="shared" si="27"/>
        <v>11541656.200000001</v>
      </c>
      <c r="AS89" s="586">
        <f t="shared" si="27"/>
        <v>100570292.48</v>
      </c>
      <c r="AT89" s="610">
        <f t="shared" si="27"/>
        <v>102251617.55000001</v>
      </c>
      <c r="AU89" s="609">
        <f t="shared" si="27"/>
        <v>-97800481.280000001</v>
      </c>
      <c r="AV89" s="380"/>
    </row>
    <row r="90" spans="1:48" ht="24.95" customHeight="1">
      <c r="A90" s="966" t="s">
        <v>632</v>
      </c>
      <c r="B90" s="979" t="s">
        <v>633</v>
      </c>
      <c r="C90" s="984">
        <v>1072500</v>
      </c>
      <c r="D90" s="989">
        <v>0</v>
      </c>
      <c r="E90" s="967">
        <v>0</v>
      </c>
      <c r="F90" s="968">
        <f t="shared" si="24"/>
        <v>1072500</v>
      </c>
      <c r="G90" s="1775"/>
      <c r="H90" s="984">
        <v>301694.25</v>
      </c>
      <c r="I90" s="967">
        <v>300320</v>
      </c>
      <c r="J90" s="968">
        <v>1374.25</v>
      </c>
      <c r="K90" s="382"/>
      <c r="L90" s="393"/>
      <c r="M90" s="390"/>
      <c r="N90" s="390"/>
      <c r="O90" s="390"/>
      <c r="P90" s="393"/>
      <c r="Q90" s="390"/>
      <c r="R90" s="390"/>
      <c r="S90" s="390">
        <v>1</v>
      </c>
      <c r="T90" s="390"/>
      <c r="U90" s="390"/>
      <c r="V90" s="390"/>
      <c r="W90" s="390"/>
      <c r="X90" s="390"/>
      <c r="Y90" s="390"/>
      <c r="Z90" s="390"/>
      <c r="AA90" s="390"/>
      <c r="AB90" s="393"/>
      <c r="AC90" s="390"/>
      <c r="AD90" s="390"/>
      <c r="AE90" s="390">
        <v>1</v>
      </c>
      <c r="AF90" s="390"/>
      <c r="AG90" s="390"/>
      <c r="AH90" s="390"/>
      <c r="AI90" s="390"/>
      <c r="AJ90" s="390"/>
      <c r="AK90" s="390"/>
      <c r="AL90" s="390"/>
      <c r="AM90" s="390"/>
      <c r="AN90" s="1757"/>
      <c r="AO90" s="385"/>
      <c r="AQ90" s="603">
        <f t="shared" ref="AQ90:AQ121" si="28">SUM(K90:AO90)</f>
        <v>2</v>
      </c>
      <c r="AR90" s="604">
        <f t="shared" ref="AR90:AR121" si="29">IFERROR(IF(F90-I90&lt;0,0,F90-I90),0)</f>
        <v>772180</v>
      </c>
      <c r="AS90" s="590">
        <f t="shared" ref="AS90:AS121" si="30">IFERROR(AQ90*AR90,0)</f>
        <v>1544360</v>
      </c>
      <c r="AT90" s="606">
        <f t="shared" ref="AT90:AT121" si="31">I90+AS90</f>
        <v>1844680</v>
      </c>
      <c r="AU90" s="611">
        <f t="shared" ref="AU90:AU121" si="32">F90-AT90</f>
        <v>-772180</v>
      </c>
      <c r="AV90" s="380"/>
    </row>
    <row r="91" spans="1:48" ht="24.95" customHeight="1">
      <c r="A91" s="966" t="s">
        <v>634</v>
      </c>
      <c r="B91" s="979" t="s">
        <v>635</v>
      </c>
      <c r="C91" s="984">
        <v>1072500</v>
      </c>
      <c r="D91" s="989">
        <v>0</v>
      </c>
      <c r="E91" s="967">
        <v>0</v>
      </c>
      <c r="F91" s="968">
        <f t="shared" si="24"/>
        <v>1072500</v>
      </c>
      <c r="G91" s="1777"/>
      <c r="H91" s="984">
        <v>271664.25</v>
      </c>
      <c r="I91" s="967">
        <v>267320</v>
      </c>
      <c r="J91" s="968">
        <v>4344.25</v>
      </c>
      <c r="K91" s="382"/>
      <c r="L91" s="393"/>
      <c r="M91" s="390"/>
      <c r="N91" s="390"/>
      <c r="O91" s="390"/>
      <c r="P91" s="393"/>
      <c r="Q91" s="390"/>
      <c r="R91" s="390"/>
      <c r="S91" s="390"/>
      <c r="T91" s="390"/>
      <c r="U91" s="390"/>
      <c r="V91" s="390"/>
      <c r="W91" s="390"/>
      <c r="X91" s="390"/>
      <c r="Y91" s="390"/>
      <c r="Z91" s="390"/>
      <c r="AA91" s="390"/>
      <c r="AB91" s="393"/>
      <c r="AC91" s="390"/>
      <c r="AD91" s="390"/>
      <c r="AE91" s="390"/>
      <c r="AF91" s="390"/>
      <c r="AG91" s="390"/>
      <c r="AH91" s="390"/>
      <c r="AI91" s="390"/>
      <c r="AJ91" s="390"/>
      <c r="AK91" s="390"/>
      <c r="AL91" s="390"/>
      <c r="AM91" s="390"/>
      <c r="AN91" s="1757"/>
      <c r="AO91" s="385"/>
      <c r="AQ91" s="571">
        <f t="shared" si="28"/>
        <v>0</v>
      </c>
      <c r="AR91" s="574">
        <f t="shared" si="29"/>
        <v>805180</v>
      </c>
      <c r="AS91" s="573">
        <f t="shared" si="30"/>
        <v>0</v>
      </c>
      <c r="AT91" s="572">
        <f t="shared" si="31"/>
        <v>267320</v>
      </c>
      <c r="AU91" s="573">
        <f t="shared" si="32"/>
        <v>805180</v>
      </c>
    </row>
    <row r="92" spans="1:48" ht="24.95" customHeight="1">
      <c r="A92" s="966" t="s">
        <v>636</v>
      </c>
      <c r="B92" s="979" t="s">
        <v>637</v>
      </c>
      <c r="C92" s="984">
        <v>200000</v>
      </c>
      <c r="D92" s="989">
        <v>0</v>
      </c>
      <c r="E92" s="967">
        <v>0</v>
      </c>
      <c r="F92" s="968">
        <f t="shared" si="24"/>
        <v>200000</v>
      </c>
      <c r="G92" s="1775"/>
      <c r="H92" s="984">
        <v>160000</v>
      </c>
      <c r="I92" s="967">
        <v>160000</v>
      </c>
      <c r="J92" s="968">
        <v>0</v>
      </c>
      <c r="K92" s="382"/>
      <c r="L92" s="393"/>
      <c r="M92" s="390"/>
      <c r="N92" s="390"/>
      <c r="O92" s="390"/>
      <c r="P92" s="393"/>
      <c r="Q92" s="390"/>
      <c r="R92" s="390"/>
      <c r="S92" s="390"/>
      <c r="T92" s="390"/>
      <c r="U92" s="390"/>
      <c r="V92" s="390"/>
      <c r="W92" s="390"/>
      <c r="X92" s="390"/>
      <c r="Y92" s="390"/>
      <c r="Z92" s="390"/>
      <c r="AA92" s="390"/>
      <c r="AB92" s="393"/>
      <c r="AC92" s="390"/>
      <c r="AD92" s="390"/>
      <c r="AE92" s="390"/>
      <c r="AF92" s="390"/>
      <c r="AG92" s="390"/>
      <c r="AH92" s="390"/>
      <c r="AI92" s="390"/>
      <c r="AJ92" s="390"/>
      <c r="AK92" s="390"/>
      <c r="AL92" s="390"/>
      <c r="AM92" s="390"/>
      <c r="AN92" s="1757"/>
      <c r="AO92" s="385"/>
      <c r="AQ92" s="571">
        <f t="shared" si="28"/>
        <v>0</v>
      </c>
      <c r="AR92" s="574">
        <f t="shared" si="29"/>
        <v>40000</v>
      </c>
      <c r="AS92" s="573">
        <f t="shared" si="30"/>
        <v>0</v>
      </c>
      <c r="AT92" s="572">
        <f t="shared" si="31"/>
        <v>160000</v>
      </c>
      <c r="AU92" s="573">
        <f t="shared" si="32"/>
        <v>40000</v>
      </c>
      <c r="AV92" s="380"/>
    </row>
    <row r="93" spans="1:48" ht="24.95" customHeight="1">
      <c r="A93" s="966" t="s">
        <v>638</v>
      </c>
      <c r="B93" s="979" t="s">
        <v>639</v>
      </c>
      <c r="C93" s="984">
        <v>1072500</v>
      </c>
      <c r="D93" s="989">
        <v>0</v>
      </c>
      <c r="E93" s="967">
        <v>0</v>
      </c>
      <c r="F93" s="968">
        <f t="shared" si="24"/>
        <v>1072500</v>
      </c>
      <c r="G93" s="1775"/>
      <c r="H93" s="984">
        <v>272415</v>
      </c>
      <c r="I93" s="967">
        <v>267298.67</v>
      </c>
      <c r="J93" s="968">
        <v>5116.33</v>
      </c>
      <c r="K93" s="382"/>
      <c r="L93" s="393"/>
      <c r="M93" s="390"/>
      <c r="N93" s="390"/>
      <c r="O93" s="390"/>
      <c r="P93" s="393"/>
      <c r="Q93" s="390">
        <v>1</v>
      </c>
      <c r="R93" s="390"/>
      <c r="S93" s="390"/>
      <c r="T93" s="390"/>
      <c r="U93" s="390"/>
      <c r="V93" s="390"/>
      <c r="W93" s="390"/>
      <c r="X93" s="390"/>
      <c r="Y93" s="390"/>
      <c r="Z93" s="390"/>
      <c r="AA93" s="390"/>
      <c r="AB93" s="393"/>
      <c r="AC93" s="390">
        <v>1</v>
      </c>
      <c r="AD93" s="390"/>
      <c r="AE93" s="390"/>
      <c r="AF93" s="390"/>
      <c r="AG93" s="390"/>
      <c r="AH93" s="390"/>
      <c r="AI93" s="390"/>
      <c r="AJ93" s="390"/>
      <c r="AK93" s="390"/>
      <c r="AL93" s="390"/>
      <c r="AM93" s="390"/>
      <c r="AN93" s="1757"/>
      <c r="AO93" s="385">
        <v>1</v>
      </c>
      <c r="AQ93" s="603">
        <f t="shared" si="28"/>
        <v>3</v>
      </c>
      <c r="AR93" s="604">
        <f t="shared" si="29"/>
        <v>805201.33000000007</v>
      </c>
      <c r="AS93" s="590">
        <f t="shared" si="30"/>
        <v>2415603.9900000002</v>
      </c>
      <c r="AT93" s="606">
        <f t="shared" si="31"/>
        <v>2682902.66</v>
      </c>
      <c r="AU93" s="611">
        <f t="shared" si="32"/>
        <v>-1610402.6600000001</v>
      </c>
      <c r="AV93" s="380"/>
    </row>
    <row r="94" spans="1:48" ht="24.95" customHeight="1">
      <c r="A94" s="966" t="s">
        <v>640</v>
      </c>
      <c r="B94" s="979" t="s">
        <v>641</v>
      </c>
      <c r="C94" s="984">
        <v>1425000</v>
      </c>
      <c r="D94" s="989">
        <v>0</v>
      </c>
      <c r="E94" s="967">
        <v>0</v>
      </c>
      <c r="F94" s="968">
        <f t="shared" si="24"/>
        <v>1425000</v>
      </c>
      <c r="G94" s="1775"/>
      <c r="H94" s="984">
        <v>0</v>
      </c>
      <c r="I94" s="967">
        <v>0</v>
      </c>
      <c r="J94" s="968">
        <v>0</v>
      </c>
      <c r="K94" s="382"/>
      <c r="L94" s="393"/>
      <c r="M94" s="390"/>
      <c r="N94" s="390"/>
      <c r="O94" s="390"/>
      <c r="P94" s="393"/>
      <c r="Q94" s="390">
        <v>1</v>
      </c>
      <c r="R94" s="390"/>
      <c r="S94" s="390"/>
      <c r="T94" s="390"/>
      <c r="U94" s="390"/>
      <c r="V94" s="390"/>
      <c r="W94" s="390"/>
      <c r="X94" s="390"/>
      <c r="Y94" s="390"/>
      <c r="Z94" s="390"/>
      <c r="AA94" s="390"/>
      <c r="AB94" s="393"/>
      <c r="AC94" s="390">
        <v>1</v>
      </c>
      <c r="AD94" s="390"/>
      <c r="AE94" s="390"/>
      <c r="AF94" s="390"/>
      <c r="AG94" s="390"/>
      <c r="AH94" s="390"/>
      <c r="AI94" s="390"/>
      <c r="AJ94" s="390"/>
      <c r="AK94" s="390"/>
      <c r="AL94" s="390"/>
      <c r="AM94" s="390"/>
      <c r="AN94" s="1757"/>
      <c r="AO94" s="385">
        <v>1</v>
      </c>
      <c r="AQ94" s="603">
        <f t="shared" si="28"/>
        <v>3</v>
      </c>
      <c r="AR94" s="604">
        <f t="shared" si="29"/>
        <v>1425000</v>
      </c>
      <c r="AS94" s="590">
        <f t="shared" si="30"/>
        <v>4275000</v>
      </c>
      <c r="AT94" s="606">
        <f t="shared" si="31"/>
        <v>4275000</v>
      </c>
      <c r="AU94" s="611">
        <f t="shared" si="32"/>
        <v>-2850000</v>
      </c>
      <c r="AV94" s="380"/>
    </row>
    <row r="95" spans="1:48" ht="24.95" customHeight="1">
      <c r="A95" s="966" t="s">
        <v>642</v>
      </c>
      <c r="B95" s="979" t="s">
        <v>643</v>
      </c>
      <c r="C95" s="984">
        <v>325000</v>
      </c>
      <c r="D95" s="989">
        <v>0</v>
      </c>
      <c r="E95" s="967">
        <v>0</v>
      </c>
      <c r="F95" s="968">
        <f t="shared" si="24"/>
        <v>325000</v>
      </c>
      <c r="G95" s="1775"/>
      <c r="H95" s="984">
        <v>0</v>
      </c>
      <c r="I95" s="967">
        <v>0</v>
      </c>
      <c r="J95" s="968">
        <v>0</v>
      </c>
      <c r="K95" s="382"/>
      <c r="L95" s="393"/>
      <c r="M95" s="390"/>
      <c r="N95" s="390"/>
      <c r="O95" s="390"/>
      <c r="P95" s="393"/>
      <c r="Q95" s="390">
        <v>1</v>
      </c>
      <c r="R95" s="390"/>
      <c r="S95" s="390"/>
      <c r="T95" s="390"/>
      <c r="U95" s="390"/>
      <c r="V95" s="390"/>
      <c r="W95" s="390"/>
      <c r="X95" s="390"/>
      <c r="Y95" s="390"/>
      <c r="Z95" s="390"/>
      <c r="AA95" s="390"/>
      <c r="AB95" s="393"/>
      <c r="AC95" s="390">
        <v>1</v>
      </c>
      <c r="AD95" s="390"/>
      <c r="AE95" s="390"/>
      <c r="AF95" s="390"/>
      <c r="AG95" s="390"/>
      <c r="AH95" s="390"/>
      <c r="AI95" s="390"/>
      <c r="AJ95" s="390"/>
      <c r="AK95" s="390"/>
      <c r="AL95" s="390"/>
      <c r="AM95" s="390"/>
      <c r="AN95" s="1757"/>
      <c r="AO95" s="385">
        <v>1</v>
      </c>
      <c r="AQ95" s="603">
        <f t="shared" si="28"/>
        <v>3</v>
      </c>
      <c r="AR95" s="604">
        <f t="shared" si="29"/>
        <v>325000</v>
      </c>
      <c r="AS95" s="590">
        <f t="shared" si="30"/>
        <v>975000</v>
      </c>
      <c r="AT95" s="606">
        <f t="shared" si="31"/>
        <v>975000</v>
      </c>
      <c r="AU95" s="611">
        <f t="shared" si="32"/>
        <v>-650000</v>
      </c>
      <c r="AV95" s="380"/>
    </row>
    <row r="96" spans="1:48" ht="24.95" customHeight="1">
      <c r="A96" s="966" t="s">
        <v>644</v>
      </c>
      <c r="B96" s="979" t="s">
        <v>645</v>
      </c>
      <c r="C96" s="984">
        <v>12500</v>
      </c>
      <c r="D96" s="989">
        <v>0</v>
      </c>
      <c r="E96" s="967">
        <v>0</v>
      </c>
      <c r="F96" s="968">
        <f t="shared" si="24"/>
        <v>12500</v>
      </c>
      <c r="G96" s="1775"/>
      <c r="H96" s="984">
        <v>1600</v>
      </c>
      <c r="I96" s="967">
        <v>1583.33</v>
      </c>
      <c r="J96" s="968">
        <v>16.670000000000002</v>
      </c>
      <c r="K96" s="382"/>
      <c r="L96" s="393"/>
      <c r="M96" s="390"/>
      <c r="N96" s="390"/>
      <c r="O96" s="390"/>
      <c r="P96" s="393"/>
      <c r="Q96" s="390">
        <v>1</v>
      </c>
      <c r="R96" s="390"/>
      <c r="S96" s="390"/>
      <c r="T96" s="390"/>
      <c r="U96" s="390"/>
      <c r="V96" s="390"/>
      <c r="W96" s="390"/>
      <c r="X96" s="390"/>
      <c r="Y96" s="390"/>
      <c r="Z96" s="390"/>
      <c r="AA96" s="390"/>
      <c r="AB96" s="393"/>
      <c r="AC96" s="390">
        <v>1</v>
      </c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1757"/>
      <c r="AO96" s="385">
        <v>1</v>
      </c>
      <c r="AQ96" s="603">
        <f t="shared" si="28"/>
        <v>3</v>
      </c>
      <c r="AR96" s="604">
        <f t="shared" si="29"/>
        <v>10916.67</v>
      </c>
      <c r="AS96" s="590">
        <f t="shared" si="30"/>
        <v>32750.010000000002</v>
      </c>
      <c r="AT96" s="606">
        <f t="shared" si="31"/>
        <v>34333.340000000004</v>
      </c>
      <c r="AU96" s="611">
        <f t="shared" si="32"/>
        <v>-21833.340000000004</v>
      </c>
      <c r="AV96" s="380"/>
    </row>
    <row r="97" spans="1:48" ht="24.95" customHeight="1">
      <c r="A97" s="966" t="s">
        <v>646</v>
      </c>
      <c r="B97" s="979" t="s">
        <v>647</v>
      </c>
      <c r="C97" s="984">
        <v>20000</v>
      </c>
      <c r="D97" s="989">
        <v>0</v>
      </c>
      <c r="E97" s="967">
        <v>0</v>
      </c>
      <c r="F97" s="968">
        <f t="shared" si="24"/>
        <v>20000</v>
      </c>
      <c r="G97" s="1775"/>
      <c r="H97" s="984">
        <v>2500</v>
      </c>
      <c r="I97" s="967">
        <v>2500</v>
      </c>
      <c r="J97" s="968">
        <v>0</v>
      </c>
      <c r="K97" s="382"/>
      <c r="L97" s="393"/>
      <c r="M97" s="390"/>
      <c r="N97" s="390"/>
      <c r="O97" s="390"/>
      <c r="P97" s="393"/>
      <c r="Q97" s="390"/>
      <c r="R97" s="390"/>
      <c r="S97" s="390"/>
      <c r="T97" s="390"/>
      <c r="U97" s="390"/>
      <c r="V97" s="390"/>
      <c r="W97" s="390"/>
      <c r="X97" s="390"/>
      <c r="Y97" s="390"/>
      <c r="Z97" s="390"/>
      <c r="AA97" s="390"/>
      <c r="AB97" s="393"/>
      <c r="AC97" s="390"/>
      <c r="AD97" s="390"/>
      <c r="AE97" s="390"/>
      <c r="AF97" s="390"/>
      <c r="AG97" s="390"/>
      <c r="AH97" s="390"/>
      <c r="AI97" s="390"/>
      <c r="AJ97" s="390"/>
      <c r="AK97" s="390"/>
      <c r="AL97" s="390"/>
      <c r="AM97" s="390"/>
      <c r="AN97" s="1757"/>
      <c r="AO97" s="385"/>
      <c r="AQ97" s="571">
        <f t="shared" si="28"/>
        <v>0</v>
      </c>
      <c r="AR97" s="574">
        <f t="shared" si="29"/>
        <v>17500</v>
      </c>
      <c r="AS97" s="573">
        <f t="shared" si="30"/>
        <v>0</v>
      </c>
      <c r="AT97" s="572">
        <f t="shared" si="31"/>
        <v>2500</v>
      </c>
      <c r="AU97" s="573">
        <f t="shared" si="32"/>
        <v>17500</v>
      </c>
      <c r="AV97" s="380"/>
    </row>
    <row r="98" spans="1:48" ht="24.95" customHeight="1">
      <c r="A98" s="966" t="s">
        <v>648</v>
      </c>
      <c r="B98" s="979" t="s">
        <v>649</v>
      </c>
      <c r="C98" s="984">
        <v>10800</v>
      </c>
      <c r="D98" s="989">
        <v>0</v>
      </c>
      <c r="E98" s="967">
        <v>0</v>
      </c>
      <c r="F98" s="968">
        <f t="shared" si="24"/>
        <v>10800</v>
      </c>
      <c r="G98" s="1775"/>
      <c r="H98" s="984">
        <v>2406.2399999999998</v>
      </c>
      <c r="I98" s="967">
        <v>2409</v>
      </c>
      <c r="J98" s="968">
        <v>-2.76</v>
      </c>
      <c r="K98" s="382"/>
      <c r="L98" s="393"/>
      <c r="M98" s="390"/>
      <c r="N98" s="390"/>
      <c r="O98" s="390"/>
      <c r="P98" s="393"/>
      <c r="Q98" s="390"/>
      <c r="R98" s="390"/>
      <c r="S98" s="390"/>
      <c r="T98" s="390"/>
      <c r="U98" s="390"/>
      <c r="V98" s="390"/>
      <c r="W98" s="390"/>
      <c r="X98" s="390"/>
      <c r="Y98" s="390"/>
      <c r="Z98" s="390"/>
      <c r="AA98" s="390"/>
      <c r="AB98" s="393"/>
      <c r="AC98" s="390"/>
      <c r="AD98" s="390"/>
      <c r="AE98" s="390"/>
      <c r="AF98" s="390"/>
      <c r="AG98" s="390"/>
      <c r="AH98" s="390"/>
      <c r="AI98" s="390"/>
      <c r="AJ98" s="390"/>
      <c r="AK98" s="390"/>
      <c r="AL98" s="390"/>
      <c r="AM98" s="390"/>
      <c r="AN98" s="1757"/>
      <c r="AO98" s="385"/>
      <c r="AQ98" s="603">
        <f t="shared" si="28"/>
        <v>0</v>
      </c>
      <c r="AR98" s="604">
        <f t="shared" si="29"/>
        <v>8391</v>
      </c>
      <c r="AS98" s="590">
        <f t="shared" si="30"/>
        <v>0</v>
      </c>
      <c r="AT98" s="606">
        <f t="shared" si="31"/>
        <v>2409</v>
      </c>
      <c r="AU98" s="605">
        <f t="shared" si="32"/>
        <v>8391</v>
      </c>
      <c r="AV98" s="380"/>
    </row>
    <row r="99" spans="1:48" ht="24.95" customHeight="1">
      <c r="A99" s="966" t="s">
        <v>650</v>
      </c>
      <c r="B99" s="979" t="s">
        <v>364</v>
      </c>
      <c r="C99" s="984">
        <v>556500</v>
      </c>
      <c r="D99" s="989">
        <v>0</v>
      </c>
      <c r="E99" s="967">
        <v>0</v>
      </c>
      <c r="F99" s="968">
        <f t="shared" si="24"/>
        <v>556500</v>
      </c>
      <c r="G99" s="1775"/>
      <c r="H99" s="984">
        <v>89262.6</v>
      </c>
      <c r="I99" s="967">
        <v>88746.67</v>
      </c>
      <c r="J99" s="968">
        <v>515.92999999999995</v>
      </c>
      <c r="K99" s="382"/>
      <c r="L99" s="393"/>
      <c r="M99" s="390"/>
      <c r="N99" s="390">
        <v>1</v>
      </c>
      <c r="O99" s="390">
        <v>1</v>
      </c>
      <c r="P99" s="393">
        <v>1</v>
      </c>
      <c r="Q99" s="390">
        <v>1</v>
      </c>
      <c r="R99" s="390">
        <v>1</v>
      </c>
      <c r="S99" s="390">
        <v>1</v>
      </c>
      <c r="T99" s="390">
        <v>1</v>
      </c>
      <c r="U99" s="390">
        <v>1</v>
      </c>
      <c r="V99" s="390"/>
      <c r="W99" s="390"/>
      <c r="X99" s="390"/>
      <c r="Y99" s="390"/>
      <c r="Z99" s="390"/>
      <c r="AA99" s="390"/>
      <c r="AB99" s="393">
        <v>1</v>
      </c>
      <c r="AC99" s="390">
        <v>1</v>
      </c>
      <c r="AD99" s="390">
        <v>1</v>
      </c>
      <c r="AE99" s="390">
        <v>1</v>
      </c>
      <c r="AF99" s="390">
        <v>1</v>
      </c>
      <c r="AG99" s="390">
        <v>1</v>
      </c>
      <c r="AH99" s="390"/>
      <c r="AI99" s="390"/>
      <c r="AJ99" s="390"/>
      <c r="AK99" s="390"/>
      <c r="AL99" s="390"/>
      <c r="AM99" s="390"/>
      <c r="AN99" s="1757">
        <v>1</v>
      </c>
      <c r="AO99" s="385">
        <v>1</v>
      </c>
      <c r="AQ99" s="603">
        <f t="shared" si="28"/>
        <v>16</v>
      </c>
      <c r="AR99" s="604">
        <f t="shared" si="29"/>
        <v>467753.33</v>
      </c>
      <c r="AS99" s="590">
        <f t="shared" si="30"/>
        <v>7484053.2800000003</v>
      </c>
      <c r="AT99" s="606">
        <f t="shared" si="31"/>
        <v>7572799.9500000002</v>
      </c>
      <c r="AU99" s="605">
        <f t="shared" si="32"/>
        <v>-7016299.9500000002</v>
      </c>
      <c r="AV99" s="380"/>
    </row>
    <row r="100" spans="1:48" ht="24.95" customHeight="1">
      <c r="A100" s="966" t="s">
        <v>651</v>
      </c>
      <c r="B100" s="979" t="s">
        <v>368</v>
      </c>
      <c r="C100" s="984">
        <v>67200</v>
      </c>
      <c r="D100" s="989">
        <v>0</v>
      </c>
      <c r="E100" s="967">
        <v>0</v>
      </c>
      <c r="F100" s="968">
        <f t="shared" si="24"/>
        <v>67200</v>
      </c>
      <c r="G100" s="1775"/>
      <c r="H100" s="984">
        <v>14434.56</v>
      </c>
      <c r="I100" s="967">
        <v>14516.66</v>
      </c>
      <c r="J100" s="968">
        <v>-82.1</v>
      </c>
      <c r="K100" s="382"/>
      <c r="L100" s="393"/>
      <c r="M100" s="390"/>
      <c r="N100" s="390">
        <v>1</v>
      </c>
      <c r="O100" s="390">
        <v>1</v>
      </c>
      <c r="P100" s="393">
        <v>1</v>
      </c>
      <c r="Q100" s="390"/>
      <c r="R100" s="390"/>
      <c r="S100" s="390"/>
      <c r="T100" s="390"/>
      <c r="U100" s="390"/>
      <c r="V100" s="390"/>
      <c r="W100" s="390"/>
      <c r="X100" s="390"/>
      <c r="Y100" s="390"/>
      <c r="Z100" s="390"/>
      <c r="AA100" s="390"/>
      <c r="AB100" s="393">
        <v>1</v>
      </c>
      <c r="AC100" s="390"/>
      <c r="AD100" s="390"/>
      <c r="AE100" s="390"/>
      <c r="AF100" s="390"/>
      <c r="AG100" s="390"/>
      <c r="AH100" s="390"/>
      <c r="AI100" s="390"/>
      <c r="AJ100" s="390"/>
      <c r="AK100" s="390"/>
      <c r="AL100" s="390"/>
      <c r="AM100" s="390"/>
      <c r="AN100" s="1757">
        <v>1</v>
      </c>
      <c r="AO100" s="385"/>
      <c r="AQ100" s="603">
        <f t="shared" si="28"/>
        <v>5</v>
      </c>
      <c r="AR100" s="604">
        <f t="shared" si="29"/>
        <v>52683.34</v>
      </c>
      <c r="AS100" s="590">
        <f t="shared" si="30"/>
        <v>263416.69999999995</v>
      </c>
      <c r="AT100" s="606">
        <f t="shared" si="31"/>
        <v>277933.35999999993</v>
      </c>
      <c r="AU100" s="605">
        <f t="shared" si="32"/>
        <v>-210733.35999999993</v>
      </c>
      <c r="AV100" s="380"/>
    </row>
    <row r="101" spans="1:48" ht="24.95" customHeight="1">
      <c r="A101" s="966" t="s">
        <v>652</v>
      </c>
      <c r="B101" s="979" t="s">
        <v>369</v>
      </c>
      <c r="C101" s="984">
        <v>56000</v>
      </c>
      <c r="D101" s="989">
        <v>0</v>
      </c>
      <c r="E101" s="967">
        <v>0</v>
      </c>
      <c r="F101" s="968">
        <f t="shared" si="24"/>
        <v>56000</v>
      </c>
      <c r="G101" s="1775"/>
      <c r="H101" s="984">
        <v>25160.799999999999</v>
      </c>
      <c r="I101" s="967">
        <v>25160</v>
      </c>
      <c r="J101" s="968">
        <v>0.8</v>
      </c>
      <c r="K101" s="382"/>
      <c r="L101" s="393"/>
      <c r="M101" s="390"/>
      <c r="N101" s="390">
        <v>1</v>
      </c>
      <c r="O101" s="390">
        <v>1</v>
      </c>
      <c r="P101" s="393">
        <v>1</v>
      </c>
      <c r="Q101" s="390">
        <v>1</v>
      </c>
      <c r="R101" s="390">
        <v>1</v>
      </c>
      <c r="S101" s="390">
        <v>1</v>
      </c>
      <c r="T101" s="390"/>
      <c r="U101" s="390"/>
      <c r="V101" s="390"/>
      <c r="W101" s="390"/>
      <c r="X101" s="390"/>
      <c r="Y101" s="390"/>
      <c r="Z101" s="390"/>
      <c r="AA101" s="390"/>
      <c r="AB101" s="393">
        <v>1</v>
      </c>
      <c r="AC101" s="390">
        <v>1</v>
      </c>
      <c r="AD101" s="390">
        <v>1</v>
      </c>
      <c r="AE101" s="390">
        <v>1</v>
      </c>
      <c r="AF101" s="390"/>
      <c r="AG101" s="390"/>
      <c r="AH101" s="390"/>
      <c r="AI101" s="390"/>
      <c r="AJ101" s="390"/>
      <c r="AK101" s="390"/>
      <c r="AL101" s="390"/>
      <c r="AM101" s="390"/>
      <c r="AN101" s="1757">
        <v>1</v>
      </c>
      <c r="AO101" s="385">
        <v>1</v>
      </c>
      <c r="AQ101" s="603">
        <f t="shared" si="28"/>
        <v>12</v>
      </c>
      <c r="AR101" s="604">
        <f t="shared" si="29"/>
        <v>30840</v>
      </c>
      <c r="AS101" s="590">
        <f t="shared" si="30"/>
        <v>370080</v>
      </c>
      <c r="AT101" s="606">
        <f t="shared" si="31"/>
        <v>395240</v>
      </c>
      <c r="AU101" s="605">
        <f t="shared" si="32"/>
        <v>-339240</v>
      </c>
      <c r="AV101" s="380"/>
    </row>
    <row r="102" spans="1:48" ht="24.95" customHeight="1">
      <c r="A102" s="966" t="s">
        <v>653</v>
      </c>
      <c r="B102" s="979" t="s">
        <v>654</v>
      </c>
      <c r="C102" s="984">
        <v>26000</v>
      </c>
      <c r="D102" s="989">
        <v>0</v>
      </c>
      <c r="E102" s="967">
        <v>0</v>
      </c>
      <c r="F102" s="968">
        <f t="shared" si="24"/>
        <v>26000</v>
      </c>
      <c r="G102" s="1775"/>
      <c r="H102" s="984">
        <v>4069</v>
      </c>
      <c r="I102" s="967">
        <v>4071.67</v>
      </c>
      <c r="J102" s="968">
        <v>-2.67</v>
      </c>
      <c r="K102" s="382"/>
      <c r="L102" s="393"/>
      <c r="M102" s="390"/>
      <c r="N102" s="390"/>
      <c r="O102" s="390"/>
      <c r="P102" s="393"/>
      <c r="Q102" s="390"/>
      <c r="R102" s="390"/>
      <c r="S102" s="390"/>
      <c r="T102" s="390"/>
      <c r="U102" s="390"/>
      <c r="V102" s="390"/>
      <c r="W102" s="390"/>
      <c r="X102" s="390"/>
      <c r="Y102" s="390"/>
      <c r="Z102" s="390"/>
      <c r="AA102" s="390"/>
      <c r="AB102" s="393"/>
      <c r="AC102" s="390"/>
      <c r="AD102" s="390"/>
      <c r="AE102" s="390"/>
      <c r="AF102" s="390"/>
      <c r="AG102" s="390"/>
      <c r="AH102" s="390"/>
      <c r="AI102" s="390"/>
      <c r="AJ102" s="390"/>
      <c r="AK102" s="390"/>
      <c r="AL102" s="390"/>
      <c r="AM102" s="390"/>
      <c r="AN102" s="1757"/>
      <c r="AO102" s="385"/>
      <c r="AQ102" s="603">
        <f t="shared" si="28"/>
        <v>0</v>
      </c>
      <c r="AR102" s="604">
        <f t="shared" si="29"/>
        <v>21928.33</v>
      </c>
      <c r="AS102" s="590">
        <f t="shared" si="30"/>
        <v>0</v>
      </c>
      <c r="AT102" s="606">
        <f t="shared" si="31"/>
        <v>4071.67</v>
      </c>
      <c r="AU102" s="605">
        <f t="shared" si="32"/>
        <v>21928.33</v>
      </c>
      <c r="AV102" s="380"/>
    </row>
    <row r="103" spans="1:48" ht="24.95" customHeight="1">
      <c r="A103" s="966" t="s">
        <v>655</v>
      </c>
      <c r="B103" s="979" t="s">
        <v>656</v>
      </c>
      <c r="C103" s="984">
        <v>67200</v>
      </c>
      <c r="D103" s="989">
        <v>0</v>
      </c>
      <c r="E103" s="967">
        <v>0</v>
      </c>
      <c r="F103" s="968">
        <f t="shared" si="24"/>
        <v>67200</v>
      </c>
      <c r="G103" s="1775"/>
      <c r="H103" s="984">
        <v>0</v>
      </c>
      <c r="I103" s="967">
        <v>0</v>
      </c>
      <c r="J103" s="968">
        <v>0</v>
      </c>
      <c r="K103" s="382"/>
      <c r="L103" s="393"/>
      <c r="M103" s="390"/>
      <c r="N103" s="390">
        <v>1</v>
      </c>
      <c r="O103" s="390">
        <v>1</v>
      </c>
      <c r="P103" s="393">
        <v>1</v>
      </c>
      <c r="Q103" s="390">
        <v>1</v>
      </c>
      <c r="R103" s="390">
        <v>1</v>
      </c>
      <c r="S103" s="390">
        <v>1</v>
      </c>
      <c r="T103" s="390">
        <v>1</v>
      </c>
      <c r="U103" s="390"/>
      <c r="V103" s="390"/>
      <c r="W103" s="390"/>
      <c r="X103" s="390"/>
      <c r="Y103" s="390"/>
      <c r="Z103" s="390"/>
      <c r="AA103" s="390"/>
      <c r="AB103" s="393">
        <v>1</v>
      </c>
      <c r="AC103" s="390">
        <v>1</v>
      </c>
      <c r="AD103" s="390">
        <v>1</v>
      </c>
      <c r="AE103" s="390">
        <v>1</v>
      </c>
      <c r="AF103" s="390">
        <v>1</v>
      </c>
      <c r="AG103" s="390"/>
      <c r="AH103" s="390"/>
      <c r="AI103" s="390"/>
      <c r="AJ103" s="390"/>
      <c r="AK103" s="390"/>
      <c r="AL103" s="390"/>
      <c r="AM103" s="390"/>
      <c r="AN103" s="1757">
        <v>1</v>
      </c>
      <c r="AO103" s="385">
        <v>1</v>
      </c>
      <c r="AQ103" s="603">
        <f t="shared" si="28"/>
        <v>14</v>
      </c>
      <c r="AR103" s="604">
        <f t="shared" si="29"/>
        <v>67200</v>
      </c>
      <c r="AS103" s="590">
        <f t="shared" si="30"/>
        <v>940800</v>
      </c>
      <c r="AT103" s="606">
        <f t="shared" si="31"/>
        <v>940800</v>
      </c>
      <c r="AU103" s="605">
        <f t="shared" si="32"/>
        <v>-873600</v>
      </c>
      <c r="AV103" s="380"/>
    </row>
    <row r="104" spans="1:48" ht="24.95" customHeight="1">
      <c r="A104" s="966" t="s">
        <v>657</v>
      </c>
      <c r="B104" s="979" t="s">
        <v>658</v>
      </c>
      <c r="C104" s="984">
        <v>38400</v>
      </c>
      <c r="D104" s="989">
        <v>0</v>
      </c>
      <c r="E104" s="967">
        <v>0</v>
      </c>
      <c r="F104" s="968">
        <f t="shared" si="24"/>
        <v>38400</v>
      </c>
      <c r="G104" s="1775"/>
      <c r="H104" s="984">
        <v>1512.96</v>
      </c>
      <c r="I104" s="967">
        <v>1516.66</v>
      </c>
      <c r="J104" s="968">
        <v>-3.7</v>
      </c>
      <c r="K104" s="382"/>
      <c r="L104" s="393"/>
      <c r="M104" s="390"/>
      <c r="N104" s="390">
        <v>2</v>
      </c>
      <c r="O104" s="390">
        <v>2</v>
      </c>
      <c r="P104" s="393">
        <v>2</v>
      </c>
      <c r="Q104" s="390">
        <v>2</v>
      </c>
      <c r="R104" s="390">
        <v>2</v>
      </c>
      <c r="S104" s="390">
        <v>2</v>
      </c>
      <c r="T104" s="390">
        <v>2</v>
      </c>
      <c r="U104" s="390">
        <v>2</v>
      </c>
      <c r="V104" s="390"/>
      <c r="W104" s="390"/>
      <c r="X104" s="390"/>
      <c r="Y104" s="390"/>
      <c r="Z104" s="390"/>
      <c r="AA104" s="390"/>
      <c r="AB104" s="393">
        <v>2</v>
      </c>
      <c r="AC104" s="390">
        <v>2</v>
      </c>
      <c r="AD104" s="390">
        <v>2</v>
      </c>
      <c r="AE104" s="390">
        <v>2</v>
      </c>
      <c r="AF104" s="390">
        <v>2</v>
      </c>
      <c r="AG104" s="390">
        <v>2</v>
      </c>
      <c r="AH104" s="390"/>
      <c r="AI104" s="390"/>
      <c r="AJ104" s="390"/>
      <c r="AK104" s="390"/>
      <c r="AL104" s="390"/>
      <c r="AM104" s="390"/>
      <c r="AN104" s="1757">
        <v>2</v>
      </c>
      <c r="AO104" s="385">
        <v>2</v>
      </c>
      <c r="AQ104" s="603">
        <f t="shared" si="28"/>
        <v>32</v>
      </c>
      <c r="AR104" s="604">
        <f t="shared" si="29"/>
        <v>36883.339999999997</v>
      </c>
      <c r="AS104" s="590">
        <f t="shared" si="30"/>
        <v>1180266.8799999999</v>
      </c>
      <c r="AT104" s="606">
        <f t="shared" si="31"/>
        <v>1181783.5399999998</v>
      </c>
      <c r="AU104" s="605">
        <f t="shared" si="32"/>
        <v>-1143383.5399999998</v>
      </c>
      <c r="AV104" s="380"/>
    </row>
    <row r="105" spans="1:48" ht="24.95" customHeight="1">
      <c r="A105" s="966" t="s">
        <v>659</v>
      </c>
      <c r="B105" s="979" t="s">
        <v>371</v>
      </c>
      <c r="C105" s="984">
        <v>420000</v>
      </c>
      <c r="D105" s="989">
        <v>0</v>
      </c>
      <c r="E105" s="967">
        <v>0</v>
      </c>
      <c r="F105" s="968">
        <f t="shared" si="24"/>
        <v>420000</v>
      </c>
      <c r="G105" s="1775"/>
      <c r="H105" s="984">
        <v>31500</v>
      </c>
      <c r="I105" s="967">
        <v>31500</v>
      </c>
      <c r="J105" s="968">
        <v>0</v>
      </c>
      <c r="K105" s="382"/>
      <c r="L105" s="393"/>
      <c r="M105" s="390"/>
      <c r="N105" s="390"/>
      <c r="O105" s="390"/>
      <c r="P105" s="393"/>
      <c r="Q105" s="390"/>
      <c r="R105" s="390"/>
      <c r="S105" s="390"/>
      <c r="T105" s="390"/>
      <c r="U105" s="390"/>
      <c r="V105" s="390"/>
      <c r="W105" s="390"/>
      <c r="X105" s="390"/>
      <c r="Y105" s="390"/>
      <c r="Z105" s="390"/>
      <c r="AA105" s="390"/>
      <c r="AB105" s="393"/>
      <c r="AC105" s="390"/>
      <c r="AD105" s="390"/>
      <c r="AE105" s="390"/>
      <c r="AF105" s="390"/>
      <c r="AG105" s="390"/>
      <c r="AH105" s="390"/>
      <c r="AI105" s="390"/>
      <c r="AJ105" s="390"/>
      <c r="AK105" s="390"/>
      <c r="AL105" s="390"/>
      <c r="AM105" s="390"/>
      <c r="AN105" s="1757"/>
      <c r="AO105" s="385"/>
      <c r="AQ105" s="603">
        <f t="shared" si="28"/>
        <v>0</v>
      </c>
      <c r="AR105" s="604">
        <f t="shared" si="29"/>
        <v>388500</v>
      </c>
      <c r="AS105" s="590">
        <f t="shared" si="30"/>
        <v>0</v>
      </c>
      <c r="AT105" s="606">
        <f t="shared" si="31"/>
        <v>31500</v>
      </c>
      <c r="AU105" s="605">
        <f t="shared" si="32"/>
        <v>388500</v>
      </c>
      <c r="AV105" s="380"/>
    </row>
    <row r="106" spans="1:48" ht="24.95" customHeight="1">
      <c r="A106" s="966" t="s">
        <v>660</v>
      </c>
      <c r="B106" s="979" t="s">
        <v>661</v>
      </c>
      <c r="C106" s="984">
        <v>300000</v>
      </c>
      <c r="D106" s="989">
        <v>0</v>
      </c>
      <c r="E106" s="967">
        <v>0</v>
      </c>
      <c r="F106" s="968">
        <f t="shared" si="24"/>
        <v>300000</v>
      </c>
      <c r="G106" s="1775"/>
      <c r="H106" s="984">
        <v>74850</v>
      </c>
      <c r="I106" s="967">
        <v>74693.850000000006</v>
      </c>
      <c r="J106" s="968">
        <v>156.15</v>
      </c>
      <c r="K106" s="382"/>
      <c r="L106" s="393"/>
      <c r="M106" s="390"/>
      <c r="N106" s="390"/>
      <c r="O106" s="390"/>
      <c r="P106" s="393"/>
      <c r="Q106" s="390"/>
      <c r="R106" s="390"/>
      <c r="S106" s="390"/>
      <c r="T106" s="390"/>
      <c r="U106" s="390"/>
      <c r="V106" s="390"/>
      <c r="W106" s="390"/>
      <c r="X106" s="390"/>
      <c r="Y106" s="390"/>
      <c r="Z106" s="390"/>
      <c r="AA106" s="390"/>
      <c r="AB106" s="393"/>
      <c r="AC106" s="390"/>
      <c r="AD106" s="390"/>
      <c r="AE106" s="390"/>
      <c r="AF106" s="390"/>
      <c r="AG106" s="390"/>
      <c r="AH106" s="390"/>
      <c r="AI106" s="390"/>
      <c r="AJ106" s="390"/>
      <c r="AK106" s="390"/>
      <c r="AL106" s="390"/>
      <c r="AM106" s="390"/>
      <c r="AN106" s="1757"/>
      <c r="AO106" s="385"/>
      <c r="AQ106" s="603">
        <f t="shared" si="28"/>
        <v>0</v>
      </c>
      <c r="AR106" s="604">
        <f t="shared" si="29"/>
        <v>225306.15</v>
      </c>
      <c r="AS106" s="590">
        <f t="shared" si="30"/>
        <v>0</v>
      </c>
      <c r="AT106" s="606">
        <f t="shared" si="31"/>
        <v>74693.850000000006</v>
      </c>
      <c r="AU106" s="605">
        <f t="shared" si="32"/>
        <v>225306.15</v>
      </c>
      <c r="AV106" s="380"/>
    </row>
    <row r="107" spans="1:48" ht="24.95" customHeight="1">
      <c r="A107" s="966" t="s">
        <v>662</v>
      </c>
      <c r="B107" s="979" t="s">
        <v>663</v>
      </c>
      <c r="C107" s="984">
        <v>1649000</v>
      </c>
      <c r="D107" s="989">
        <v>0</v>
      </c>
      <c r="E107" s="967">
        <v>0</v>
      </c>
      <c r="F107" s="968">
        <f t="shared" si="24"/>
        <v>1649000</v>
      </c>
      <c r="G107" s="1775"/>
      <c r="H107" s="984">
        <v>0</v>
      </c>
      <c r="I107" s="967">
        <v>0</v>
      </c>
      <c r="J107" s="968">
        <v>0</v>
      </c>
      <c r="K107" s="382"/>
      <c r="L107" s="393"/>
      <c r="M107" s="390"/>
      <c r="N107" s="390"/>
      <c r="O107" s="390"/>
      <c r="P107" s="393"/>
      <c r="Q107" s="390"/>
      <c r="R107" s="390"/>
      <c r="S107" s="390"/>
      <c r="T107" s="390"/>
      <c r="U107" s="390"/>
      <c r="V107" s="390"/>
      <c r="W107" s="390"/>
      <c r="X107" s="390"/>
      <c r="Y107" s="390"/>
      <c r="Z107" s="390"/>
      <c r="AA107" s="390"/>
      <c r="AB107" s="393"/>
      <c r="AC107" s="390"/>
      <c r="AD107" s="390"/>
      <c r="AE107" s="390"/>
      <c r="AF107" s="390"/>
      <c r="AG107" s="390"/>
      <c r="AH107" s="390"/>
      <c r="AI107" s="390"/>
      <c r="AJ107" s="390"/>
      <c r="AK107" s="390"/>
      <c r="AL107" s="390"/>
      <c r="AM107" s="390"/>
      <c r="AN107" s="1757"/>
      <c r="AO107" s="385"/>
      <c r="AQ107" s="603">
        <f t="shared" si="28"/>
        <v>0</v>
      </c>
      <c r="AR107" s="604">
        <f t="shared" si="29"/>
        <v>1649000</v>
      </c>
      <c r="AS107" s="590">
        <f t="shared" si="30"/>
        <v>0</v>
      </c>
      <c r="AT107" s="606">
        <f t="shared" si="31"/>
        <v>0</v>
      </c>
      <c r="AU107" s="605">
        <f t="shared" si="32"/>
        <v>1649000</v>
      </c>
      <c r="AV107" s="380"/>
    </row>
    <row r="108" spans="1:48" ht="24.95" customHeight="1">
      <c r="A108" s="966" t="s">
        <v>664</v>
      </c>
      <c r="B108" s="979" t="s">
        <v>665</v>
      </c>
      <c r="C108" s="984">
        <v>364800</v>
      </c>
      <c r="D108" s="989">
        <v>0</v>
      </c>
      <c r="E108" s="967">
        <v>0</v>
      </c>
      <c r="F108" s="968">
        <f t="shared" si="24"/>
        <v>364800</v>
      </c>
      <c r="G108" s="1775"/>
      <c r="H108" s="984">
        <v>0</v>
      </c>
      <c r="I108" s="967">
        <v>0</v>
      </c>
      <c r="J108" s="968">
        <v>0</v>
      </c>
      <c r="K108" s="382"/>
      <c r="L108" s="393"/>
      <c r="M108" s="390"/>
      <c r="N108" s="390">
        <v>8</v>
      </c>
      <c r="O108" s="390">
        <v>8</v>
      </c>
      <c r="P108" s="393">
        <v>8</v>
      </c>
      <c r="Q108" s="390">
        <v>8</v>
      </c>
      <c r="R108" s="390">
        <v>8</v>
      </c>
      <c r="S108" s="390">
        <v>8</v>
      </c>
      <c r="T108" s="390">
        <v>8</v>
      </c>
      <c r="U108" s="390">
        <v>8</v>
      </c>
      <c r="V108" s="390"/>
      <c r="W108" s="390"/>
      <c r="X108" s="390"/>
      <c r="Y108" s="390"/>
      <c r="Z108" s="390"/>
      <c r="AA108" s="390"/>
      <c r="AB108" s="393">
        <v>8</v>
      </c>
      <c r="AC108" s="390">
        <v>8</v>
      </c>
      <c r="AD108" s="390">
        <v>8</v>
      </c>
      <c r="AE108" s="390">
        <v>8</v>
      </c>
      <c r="AF108" s="390">
        <v>8</v>
      </c>
      <c r="AG108" s="390">
        <v>8</v>
      </c>
      <c r="AH108" s="390"/>
      <c r="AI108" s="390"/>
      <c r="AJ108" s="390"/>
      <c r="AK108" s="390"/>
      <c r="AL108" s="390"/>
      <c r="AM108" s="390"/>
      <c r="AN108" s="1757">
        <v>8</v>
      </c>
      <c r="AO108" s="385">
        <v>8</v>
      </c>
      <c r="AQ108" s="603">
        <f t="shared" si="28"/>
        <v>128</v>
      </c>
      <c r="AR108" s="604">
        <f t="shared" si="29"/>
        <v>364800</v>
      </c>
      <c r="AS108" s="590">
        <f t="shared" si="30"/>
        <v>46694400</v>
      </c>
      <c r="AT108" s="606">
        <f t="shared" si="31"/>
        <v>46694400</v>
      </c>
      <c r="AU108" s="605">
        <f t="shared" si="32"/>
        <v>-46329600</v>
      </c>
      <c r="AV108" s="380"/>
    </row>
    <row r="109" spans="1:48" ht="24.95" customHeight="1">
      <c r="A109" s="966" t="s">
        <v>666</v>
      </c>
      <c r="B109" s="979" t="s">
        <v>398</v>
      </c>
      <c r="C109" s="984">
        <v>246400</v>
      </c>
      <c r="D109" s="989">
        <v>0</v>
      </c>
      <c r="E109" s="967">
        <v>0</v>
      </c>
      <c r="F109" s="968">
        <f t="shared" si="24"/>
        <v>246400</v>
      </c>
      <c r="G109" s="1775"/>
      <c r="H109" s="984">
        <v>0</v>
      </c>
      <c r="I109" s="967">
        <v>0</v>
      </c>
      <c r="J109" s="968">
        <v>0</v>
      </c>
      <c r="K109" s="382"/>
      <c r="L109" s="393"/>
      <c r="M109" s="390"/>
      <c r="N109" s="390">
        <v>1</v>
      </c>
      <c r="O109" s="390">
        <v>1</v>
      </c>
      <c r="P109" s="393">
        <v>1</v>
      </c>
      <c r="Q109" s="390">
        <v>1</v>
      </c>
      <c r="R109" s="390">
        <v>1</v>
      </c>
      <c r="S109" s="390">
        <v>1</v>
      </c>
      <c r="T109" s="390">
        <v>1</v>
      </c>
      <c r="U109" s="390">
        <v>1</v>
      </c>
      <c r="V109" s="390"/>
      <c r="W109" s="390"/>
      <c r="X109" s="390"/>
      <c r="Y109" s="390"/>
      <c r="Z109" s="390"/>
      <c r="AA109" s="390"/>
      <c r="AB109" s="393">
        <v>1</v>
      </c>
      <c r="AC109" s="390">
        <v>1</v>
      </c>
      <c r="AD109" s="390">
        <v>1</v>
      </c>
      <c r="AE109" s="390">
        <v>1</v>
      </c>
      <c r="AF109" s="390">
        <v>1</v>
      </c>
      <c r="AG109" s="390">
        <v>1</v>
      </c>
      <c r="AH109" s="390"/>
      <c r="AI109" s="390"/>
      <c r="AJ109" s="390"/>
      <c r="AK109" s="390"/>
      <c r="AL109" s="390"/>
      <c r="AM109" s="390"/>
      <c r="AN109" s="1757">
        <v>1</v>
      </c>
      <c r="AO109" s="385">
        <v>1</v>
      </c>
      <c r="AQ109" s="603">
        <f t="shared" si="28"/>
        <v>16</v>
      </c>
      <c r="AR109" s="604">
        <f t="shared" si="29"/>
        <v>246400</v>
      </c>
      <c r="AS109" s="590">
        <f t="shared" si="30"/>
        <v>3942400</v>
      </c>
      <c r="AT109" s="606">
        <f t="shared" si="31"/>
        <v>3942400</v>
      </c>
      <c r="AU109" s="605">
        <f t="shared" si="32"/>
        <v>-3696000</v>
      </c>
      <c r="AV109" s="380"/>
    </row>
    <row r="110" spans="1:48" ht="24.95" customHeight="1">
      <c r="A110" s="966" t="s">
        <v>667</v>
      </c>
      <c r="B110" s="979" t="s">
        <v>367</v>
      </c>
      <c r="C110" s="984">
        <v>24000</v>
      </c>
      <c r="D110" s="989">
        <v>0</v>
      </c>
      <c r="E110" s="967">
        <v>0</v>
      </c>
      <c r="F110" s="968">
        <f t="shared" si="24"/>
        <v>24000</v>
      </c>
      <c r="G110" s="1775"/>
      <c r="H110" s="984">
        <v>0</v>
      </c>
      <c r="I110" s="967">
        <v>0</v>
      </c>
      <c r="J110" s="968">
        <v>0</v>
      </c>
      <c r="K110" s="382"/>
      <c r="L110" s="393"/>
      <c r="M110" s="390"/>
      <c r="N110" s="390">
        <v>3</v>
      </c>
      <c r="O110" s="390">
        <v>3</v>
      </c>
      <c r="P110" s="393">
        <v>3</v>
      </c>
      <c r="Q110" s="390">
        <v>3</v>
      </c>
      <c r="R110" s="390">
        <v>3</v>
      </c>
      <c r="S110" s="390">
        <v>3</v>
      </c>
      <c r="T110" s="390">
        <v>3</v>
      </c>
      <c r="U110" s="390">
        <v>3</v>
      </c>
      <c r="V110" s="390"/>
      <c r="W110" s="390"/>
      <c r="X110" s="390"/>
      <c r="Y110" s="390"/>
      <c r="Z110" s="390"/>
      <c r="AA110" s="390"/>
      <c r="AB110" s="393">
        <v>3</v>
      </c>
      <c r="AC110" s="390">
        <v>3</v>
      </c>
      <c r="AD110" s="390">
        <v>3</v>
      </c>
      <c r="AE110" s="390">
        <v>3</v>
      </c>
      <c r="AF110" s="390">
        <v>3</v>
      </c>
      <c r="AG110" s="390">
        <v>3</v>
      </c>
      <c r="AH110" s="390"/>
      <c r="AI110" s="390"/>
      <c r="AJ110" s="390"/>
      <c r="AK110" s="390"/>
      <c r="AL110" s="390"/>
      <c r="AM110" s="390"/>
      <c r="AN110" s="1757">
        <v>3</v>
      </c>
      <c r="AO110" s="385">
        <v>3</v>
      </c>
      <c r="AQ110" s="603">
        <f t="shared" si="28"/>
        <v>48</v>
      </c>
      <c r="AR110" s="604">
        <f t="shared" si="29"/>
        <v>24000</v>
      </c>
      <c r="AS110" s="590">
        <f t="shared" si="30"/>
        <v>1152000</v>
      </c>
      <c r="AT110" s="606">
        <f t="shared" si="31"/>
        <v>1152000</v>
      </c>
      <c r="AU110" s="605">
        <f t="shared" si="32"/>
        <v>-1128000</v>
      </c>
      <c r="AV110" s="380"/>
    </row>
    <row r="111" spans="1:48" ht="24.95" customHeight="1">
      <c r="A111" s="966" t="s">
        <v>668</v>
      </c>
      <c r="B111" s="979" t="s">
        <v>669</v>
      </c>
      <c r="C111" s="984">
        <v>110600</v>
      </c>
      <c r="D111" s="989">
        <v>0</v>
      </c>
      <c r="E111" s="967">
        <v>0</v>
      </c>
      <c r="F111" s="968">
        <f t="shared" si="24"/>
        <v>110600</v>
      </c>
      <c r="G111" s="1775"/>
      <c r="H111" s="984">
        <v>0</v>
      </c>
      <c r="I111" s="967">
        <v>0</v>
      </c>
      <c r="J111" s="968">
        <v>0</v>
      </c>
      <c r="K111" s="382"/>
      <c r="L111" s="393"/>
      <c r="M111" s="390"/>
      <c r="N111" s="390"/>
      <c r="O111" s="390"/>
      <c r="P111" s="393"/>
      <c r="Q111" s="390"/>
      <c r="R111" s="390"/>
      <c r="S111" s="390"/>
      <c r="T111" s="390"/>
      <c r="U111" s="390"/>
      <c r="V111" s="390"/>
      <c r="W111" s="390"/>
      <c r="X111" s="390"/>
      <c r="Y111" s="390"/>
      <c r="Z111" s="390"/>
      <c r="AA111" s="390"/>
      <c r="AB111" s="393"/>
      <c r="AC111" s="390"/>
      <c r="AD111" s="390"/>
      <c r="AE111" s="390"/>
      <c r="AF111" s="390"/>
      <c r="AG111" s="390"/>
      <c r="AH111" s="390"/>
      <c r="AI111" s="390"/>
      <c r="AJ111" s="390"/>
      <c r="AK111" s="390"/>
      <c r="AL111" s="390"/>
      <c r="AM111" s="390"/>
      <c r="AN111" s="1757"/>
      <c r="AO111" s="385"/>
      <c r="AQ111" s="603">
        <f t="shared" si="28"/>
        <v>0</v>
      </c>
      <c r="AR111" s="604">
        <f t="shared" si="29"/>
        <v>110600</v>
      </c>
      <c r="AS111" s="590">
        <f t="shared" si="30"/>
        <v>0</v>
      </c>
      <c r="AT111" s="606">
        <f t="shared" si="31"/>
        <v>0</v>
      </c>
      <c r="AU111" s="605">
        <f t="shared" si="32"/>
        <v>110600</v>
      </c>
      <c r="AV111" s="380"/>
    </row>
    <row r="112" spans="1:48" ht="24.95" customHeight="1">
      <c r="A112" s="966" t="s">
        <v>670</v>
      </c>
      <c r="B112" s="979" t="s">
        <v>363</v>
      </c>
      <c r="C112" s="984">
        <v>77250</v>
      </c>
      <c r="D112" s="989">
        <v>0</v>
      </c>
      <c r="E112" s="967">
        <v>0</v>
      </c>
      <c r="F112" s="968">
        <f t="shared" si="24"/>
        <v>77250</v>
      </c>
      <c r="G112" s="1775"/>
      <c r="H112" s="984">
        <v>0</v>
      </c>
      <c r="I112" s="967">
        <v>0</v>
      </c>
      <c r="J112" s="968">
        <v>0</v>
      </c>
      <c r="K112" s="382"/>
      <c r="L112" s="393"/>
      <c r="M112" s="390"/>
      <c r="N112" s="390">
        <v>1</v>
      </c>
      <c r="O112" s="390">
        <v>1</v>
      </c>
      <c r="P112" s="393">
        <v>1</v>
      </c>
      <c r="Q112" s="390"/>
      <c r="R112" s="390"/>
      <c r="S112" s="390"/>
      <c r="T112" s="390"/>
      <c r="U112" s="390"/>
      <c r="V112" s="390"/>
      <c r="W112" s="390"/>
      <c r="X112" s="390"/>
      <c r="Y112" s="390"/>
      <c r="Z112" s="390"/>
      <c r="AA112" s="390"/>
      <c r="AB112" s="393">
        <v>1</v>
      </c>
      <c r="AC112" s="390"/>
      <c r="AD112" s="390"/>
      <c r="AE112" s="390"/>
      <c r="AF112" s="390"/>
      <c r="AG112" s="390"/>
      <c r="AH112" s="390"/>
      <c r="AI112" s="390"/>
      <c r="AJ112" s="390"/>
      <c r="AK112" s="390"/>
      <c r="AL112" s="390"/>
      <c r="AM112" s="390"/>
      <c r="AN112" s="1757">
        <v>1</v>
      </c>
      <c r="AO112" s="385"/>
      <c r="AQ112" s="603">
        <f t="shared" si="28"/>
        <v>5</v>
      </c>
      <c r="AR112" s="604">
        <f t="shared" si="29"/>
        <v>77250</v>
      </c>
      <c r="AS112" s="590">
        <f t="shared" si="30"/>
        <v>386250</v>
      </c>
      <c r="AT112" s="606">
        <f t="shared" si="31"/>
        <v>386250</v>
      </c>
      <c r="AU112" s="605">
        <f t="shared" si="32"/>
        <v>-309000</v>
      </c>
      <c r="AV112" s="380"/>
    </row>
    <row r="113" spans="1:48" ht="24.95" customHeight="1">
      <c r="A113" s="966" t="s">
        <v>671</v>
      </c>
      <c r="B113" s="979" t="s">
        <v>672</v>
      </c>
      <c r="C113" s="984">
        <v>72000</v>
      </c>
      <c r="D113" s="989">
        <v>0</v>
      </c>
      <c r="E113" s="967">
        <v>0</v>
      </c>
      <c r="F113" s="968">
        <f t="shared" si="24"/>
        <v>72000</v>
      </c>
      <c r="G113" s="1775"/>
      <c r="H113" s="984">
        <v>0</v>
      </c>
      <c r="I113" s="967">
        <v>0</v>
      </c>
      <c r="J113" s="968">
        <v>0</v>
      </c>
      <c r="K113" s="382"/>
      <c r="L113" s="393"/>
      <c r="M113" s="390"/>
      <c r="N113" s="390"/>
      <c r="O113" s="390"/>
      <c r="P113" s="393"/>
      <c r="Q113" s="390"/>
      <c r="R113" s="390"/>
      <c r="S113" s="390"/>
      <c r="T113" s="390"/>
      <c r="U113" s="390"/>
      <c r="V113" s="390"/>
      <c r="W113" s="390"/>
      <c r="X113" s="390"/>
      <c r="Y113" s="390"/>
      <c r="Z113" s="390"/>
      <c r="AA113" s="390"/>
      <c r="AB113" s="393"/>
      <c r="AC113" s="390"/>
      <c r="AD113" s="390"/>
      <c r="AE113" s="390"/>
      <c r="AF113" s="390"/>
      <c r="AG113" s="390"/>
      <c r="AH113" s="390"/>
      <c r="AI113" s="390"/>
      <c r="AJ113" s="390"/>
      <c r="AK113" s="390"/>
      <c r="AL113" s="390"/>
      <c r="AM113" s="390"/>
      <c r="AN113" s="1757"/>
      <c r="AO113" s="385"/>
      <c r="AQ113" s="603">
        <f t="shared" si="28"/>
        <v>0</v>
      </c>
      <c r="AR113" s="604">
        <f t="shared" si="29"/>
        <v>72000</v>
      </c>
      <c r="AS113" s="590">
        <f t="shared" si="30"/>
        <v>0</v>
      </c>
      <c r="AT113" s="606">
        <f t="shared" si="31"/>
        <v>0</v>
      </c>
      <c r="AU113" s="605">
        <f t="shared" si="32"/>
        <v>72000</v>
      </c>
      <c r="AV113" s="380"/>
    </row>
    <row r="114" spans="1:48" ht="24.95" customHeight="1">
      <c r="A114" s="966" t="s">
        <v>673</v>
      </c>
      <c r="B114" s="979" t="s">
        <v>674</v>
      </c>
      <c r="C114" s="984">
        <v>126000</v>
      </c>
      <c r="D114" s="989">
        <v>0</v>
      </c>
      <c r="E114" s="967">
        <v>0</v>
      </c>
      <c r="F114" s="968">
        <f t="shared" si="24"/>
        <v>126000</v>
      </c>
      <c r="G114" s="1775"/>
      <c r="H114" s="984">
        <v>9198</v>
      </c>
      <c r="I114" s="967">
        <v>9200.01</v>
      </c>
      <c r="J114" s="968">
        <v>-2.0099999999999998</v>
      </c>
      <c r="K114" s="382"/>
      <c r="L114" s="393"/>
      <c r="M114" s="390"/>
      <c r="N114" s="390">
        <v>1</v>
      </c>
      <c r="O114" s="390">
        <v>1</v>
      </c>
      <c r="P114" s="393">
        <v>1</v>
      </c>
      <c r="Q114" s="390">
        <v>1</v>
      </c>
      <c r="R114" s="390">
        <v>1</v>
      </c>
      <c r="S114" s="390">
        <v>1</v>
      </c>
      <c r="T114" s="390"/>
      <c r="U114" s="390"/>
      <c r="V114" s="390"/>
      <c r="W114" s="390"/>
      <c r="X114" s="390"/>
      <c r="Y114" s="390"/>
      <c r="Z114" s="390"/>
      <c r="AA114" s="390"/>
      <c r="AB114" s="393">
        <v>1</v>
      </c>
      <c r="AC114" s="390">
        <v>1</v>
      </c>
      <c r="AD114" s="390">
        <v>1</v>
      </c>
      <c r="AE114" s="390">
        <v>1</v>
      </c>
      <c r="AF114" s="390"/>
      <c r="AG114" s="390"/>
      <c r="AH114" s="390"/>
      <c r="AI114" s="390"/>
      <c r="AJ114" s="390"/>
      <c r="AK114" s="390"/>
      <c r="AL114" s="390"/>
      <c r="AM114" s="390"/>
      <c r="AN114" s="1757">
        <v>1</v>
      </c>
      <c r="AO114" s="385">
        <v>1</v>
      </c>
      <c r="AQ114" s="603">
        <f t="shared" si="28"/>
        <v>12</v>
      </c>
      <c r="AR114" s="604">
        <f t="shared" si="29"/>
        <v>116799.99</v>
      </c>
      <c r="AS114" s="590">
        <f t="shared" si="30"/>
        <v>1401599.8800000001</v>
      </c>
      <c r="AT114" s="606">
        <f t="shared" si="31"/>
        <v>1410799.8900000001</v>
      </c>
      <c r="AU114" s="605">
        <f t="shared" si="32"/>
        <v>-1284799.8900000001</v>
      </c>
      <c r="AV114" s="380"/>
    </row>
    <row r="115" spans="1:48" ht="24.95" customHeight="1">
      <c r="A115" s="966" t="s">
        <v>675</v>
      </c>
      <c r="B115" s="979" t="s">
        <v>676</v>
      </c>
      <c r="C115" s="984">
        <v>168300</v>
      </c>
      <c r="D115" s="989">
        <v>0</v>
      </c>
      <c r="E115" s="967">
        <v>0</v>
      </c>
      <c r="F115" s="968">
        <f t="shared" si="24"/>
        <v>168300</v>
      </c>
      <c r="G115" s="1775"/>
      <c r="H115" s="984">
        <v>9593.1</v>
      </c>
      <c r="I115" s="967">
        <v>9600</v>
      </c>
      <c r="J115" s="968">
        <v>-6.9</v>
      </c>
      <c r="K115" s="382"/>
      <c r="L115" s="393"/>
      <c r="M115" s="390"/>
      <c r="N115" s="390"/>
      <c r="O115" s="390"/>
      <c r="P115" s="393"/>
      <c r="Q115" s="390"/>
      <c r="R115" s="390"/>
      <c r="S115" s="390"/>
      <c r="T115" s="390"/>
      <c r="U115" s="390"/>
      <c r="V115" s="390"/>
      <c r="W115" s="390"/>
      <c r="X115" s="390"/>
      <c r="Y115" s="390"/>
      <c r="Z115" s="390"/>
      <c r="AA115" s="390"/>
      <c r="AB115" s="393"/>
      <c r="AC115" s="390"/>
      <c r="AD115" s="390"/>
      <c r="AE115" s="390"/>
      <c r="AF115" s="390"/>
      <c r="AG115" s="390"/>
      <c r="AH115" s="390"/>
      <c r="AI115" s="390"/>
      <c r="AJ115" s="390"/>
      <c r="AK115" s="390"/>
      <c r="AL115" s="390"/>
      <c r="AM115" s="390"/>
      <c r="AN115" s="1757"/>
      <c r="AO115" s="385"/>
      <c r="AQ115" s="603">
        <f t="shared" si="28"/>
        <v>0</v>
      </c>
      <c r="AR115" s="604">
        <f t="shared" si="29"/>
        <v>158700</v>
      </c>
      <c r="AS115" s="590">
        <f t="shared" si="30"/>
        <v>0</v>
      </c>
      <c r="AT115" s="606">
        <f t="shared" si="31"/>
        <v>9600</v>
      </c>
      <c r="AU115" s="605">
        <f t="shared" si="32"/>
        <v>158700</v>
      </c>
      <c r="AV115" s="380"/>
    </row>
    <row r="116" spans="1:48" ht="24.95" customHeight="1">
      <c r="A116" s="966" t="s">
        <v>677</v>
      </c>
      <c r="B116" s="979" t="s">
        <v>678</v>
      </c>
      <c r="C116" s="984">
        <v>269178</v>
      </c>
      <c r="D116" s="989">
        <v>0</v>
      </c>
      <c r="E116" s="967">
        <v>0</v>
      </c>
      <c r="F116" s="968">
        <f t="shared" si="24"/>
        <v>269178</v>
      </c>
      <c r="G116" s="1775"/>
      <c r="H116" s="984">
        <v>55935.19</v>
      </c>
      <c r="I116" s="967">
        <v>55530.19</v>
      </c>
      <c r="J116" s="968">
        <v>405</v>
      </c>
      <c r="K116" s="382"/>
      <c r="L116" s="393"/>
      <c r="M116" s="390"/>
      <c r="N116" s="390">
        <v>1</v>
      </c>
      <c r="O116" s="390"/>
      <c r="P116" s="393"/>
      <c r="Q116" s="390"/>
      <c r="R116" s="390"/>
      <c r="S116" s="390"/>
      <c r="T116" s="390"/>
      <c r="U116" s="390"/>
      <c r="V116" s="390"/>
      <c r="W116" s="390"/>
      <c r="X116" s="390"/>
      <c r="Y116" s="390"/>
      <c r="Z116" s="390"/>
      <c r="AA116" s="390"/>
      <c r="AB116" s="393"/>
      <c r="AC116" s="390"/>
      <c r="AD116" s="390"/>
      <c r="AE116" s="390"/>
      <c r="AF116" s="390"/>
      <c r="AG116" s="390"/>
      <c r="AH116" s="390"/>
      <c r="AI116" s="390"/>
      <c r="AJ116" s="390"/>
      <c r="AK116" s="390"/>
      <c r="AL116" s="390"/>
      <c r="AM116" s="390"/>
      <c r="AN116" s="1757"/>
      <c r="AO116" s="385"/>
      <c r="AQ116" s="603">
        <f t="shared" si="28"/>
        <v>1</v>
      </c>
      <c r="AR116" s="604">
        <f t="shared" si="29"/>
        <v>213647.81</v>
      </c>
      <c r="AS116" s="590">
        <f t="shared" si="30"/>
        <v>213647.81</v>
      </c>
      <c r="AT116" s="606">
        <f t="shared" si="31"/>
        <v>269178</v>
      </c>
      <c r="AU116" s="605">
        <f t="shared" si="32"/>
        <v>0</v>
      </c>
      <c r="AV116" s="380"/>
    </row>
    <row r="117" spans="1:48" ht="24.95" customHeight="1">
      <c r="A117" s="966" t="s">
        <v>679</v>
      </c>
      <c r="B117" s="979" t="s">
        <v>680</v>
      </c>
      <c r="C117" s="984">
        <v>576000</v>
      </c>
      <c r="D117" s="989">
        <v>0</v>
      </c>
      <c r="E117" s="967">
        <v>0</v>
      </c>
      <c r="F117" s="968">
        <f t="shared" si="24"/>
        <v>576000</v>
      </c>
      <c r="G117" s="1775"/>
      <c r="H117" s="984">
        <v>0</v>
      </c>
      <c r="I117" s="967">
        <v>0</v>
      </c>
      <c r="J117" s="968">
        <v>0</v>
      </c>
      <c r="K117" s="382"/>
      <c r="L117" s="393"/>
      <c r="M117" s="390"/>
      <c r="N117" s="390">
        <v>1</v>
      </c>
      <c r="O117" s="390">
        <v>1</v>
      </c>
      <c r="P117" s="393">
        <v>1</v>
      </c>
      <c r="Q117" s="390">
        <v>1</v>
      </c>
      <c r="R117" s="390">
        <v>1</v>
      </c>
      <c r="S117" s="390">
        <v>1</v>
      </c>
      <c r="T117" s="390">
        <v>1</v>
      </c>
      <c r="U117" s="390">
        <v>1</v>
      </c>
      <c r="V117" s="390"/>
      <c r="W117" s="390"/>
      <c r="X117" s="390"/>
      <c r="Y117" s="390"/>
      <c r="Z117" s="390"/>
      <c r="AA117" s="390"/>
      <c r="AB117" s="393">
        <v>1</v>
      </c>
      <c r="AC117" s="390">
        <v>1</v>
      </c>
      <c r="AD117" s="390">
        <v>1</v>
      </c>
      <c r="AE117" s="390">
        <v>1</v>
      </c>
      <c r="AF117" s="390">
        <v>1</v>
      </c>
      <c r="AG117" s="390">
        <v>1</v>
      </c>
      <c r="AH117" s="390"/>
      <c r="AI117" s="390"/>
      <c r="AJ117" s="390"/>
      <c r="AK117" s="390"/>
      <c r="AL117" s="390"/>
      <c r="AM117" s="390"/>
      <c r="AN117" s="1757">
        <v>1</v>
      </c>
      <c r="AO117" s="385">
        <v>1</v>
      </c>
      <c r="AQ117" s="603">
        <f t="shared" si="28"/>
        <v>16</v>
      </c>
      <c r="AR117" s="604">
        <f t="shared" si="29"/>
        <v>576000</v>
      </c>
      <c r="AS117" s="590">
        <f t="shared" si="30"/>
        <v>9216000</v>
      </c>
      <c r="AT117" s="606">
        <f t="shared" si="31"/>
        <v>9216000</v>
      </c>
      <c r="AU117" s="605">
        <f t="shared" si="32"/>
        <v>-8640000</v>
      </c>
      <c r="AV117" s="380"/>
    </row>
    <row r="118" spans="1:48" ht="24.95" customHeight="1">
      <c r="A118" s="966" t="s">
        <v>681</v>
      </c>
      <c r="B118" s="979" t="s">
        <v>682</v>
      </c>
      <c r="C118" s="984">
        <v>20250</v>
      </c>
      <c r="D118" s="989">
        <v>0</v>
      </c>
      <c r="E118" s="967">
        <v>0</v>
      </c>
      <c r="F118" s="968">
        <f t="shared" si="24"/>
        <v>20250</v>
      </c>
      <c r="G118" s="1775"/>
      <c r="H118" s="984">
        <v>0</v>
      </c>
      <c r="I118" s="967">
        <v>0</v>
      </c>
      <c r="J118" s="968">
        <v>0</v>
      </c>
      <c r="K118" s="382"/>
      <c r="L118" s="393"/>
      <c r="M118" s="390"/>
      <c r="N118" s="390"/>
      <c r="O118" s="390"/>
      <c r="P118" s="393"/>
      <c r="Q118" s="390"/>
      <c r="R118" s="390"/>
      <c r="S118" s="390"/>
      <c r="T118" s="390"/>
      <c r="U118" s="390"/>
      <c r="V118" s="390"/>
      <c r="W118" s="390"/>
      <c r="X118" s="390"/>
      <c r="Y118" s="390"/>
      <c r="Z118" s="390"/>
      <c r="AA118" s="390"/>
      <c r="AB118" s="393"/>
      <c r="AC118" s="390"/>
      <c r="AD118" s="390"/>
      <c r="AE118" s="390"/>
      <c r="AF118" s="390"/>
      <c r="AG118" s="390"/>
      <c r="AH118" s="390"/>
      <c r="AI118" s="390"/>
      <c r="AJ118" s="390"/>
      <c r="AK118" s="390"/>
      <c r="AL118" s="390"/>
      <c r="AM118" s="390"/>
      <c r="AN118" s="1757"/>
      <c r="AO118" s="385"/>
      <c r="AQ118" s="603">
        <f t="shared" si="28"/>
        <v>0</v>
      </c>
      <c r="AR118" s="604">
        <f t="shared" si="29"/>
        <v>20250</v>
      </c>
      <c r="AS118" s="590">
        <f t="shared" si="30"/>
        <v>0</v>
      </c>
      <c r="AT118" s="606">
        <f t="shared" si="31"/>
        <v>0</v>
      </c>
      <c r="AU118" s="605">
        <f t="shared" si="32"/>
        <v>20250</v>
      </c>
      <c r="AV118" s="380"/>
    </row>
    <row r="119" spans="1:48" ht="24.95" customHeight="1">
      <c r="A119" s="966" t="s">
        <v>683</v>
      </c>
      <c r="B119" s="979" t="s">
        <v>684</v>
      </c>
      <c r="C119" s="984">
        <v>33600</v>
      </c>
      <c r="D119" s="989">
        <v>0</v>
      </c>
      <c r="E119" s="967">
        <v>0</v>
      </c>
      <c r="F119" s="968">
        <f t="shared" si="24"/>
        <v>33600</v>
      </c>
      <c r="G119" s="1775"/>
      <c r="H119" s="984">
        <v>0</v>
      </c>
      <c r="I119" s="967">
        <v>0</v>
      </c>
      <c r="J119" s="968">
        <v>0</v>
      </c>
      <c r="K119" s="382"/>
      <c r="L119" s="393"/>
      <c r="M119" s="390"/>
      <c r="N119" s="390"/>
      <c r="O119" s="390"/>
      <c r="P119" s="393"/>
      <c r="Q119" s="390"/>
      <c r="R119" s="390"/>
      <c r="S119" s="390"/>
      <c r="T119" s="390"/>
      <c r="U119" s="390"/>
      <c r="V119" s="390"/>
      <c r="W119" s="390"/>
      <c r="X119" s="390"/>
      <c r="Y119" s="390"/>
      <c r="Z119" s="390"/>
      <c r="AA119" s="390"/>
      <c r="AB119" s="393"/>
      <c r="AC119" s="390"/>
      <c r="AD119" s="390"/>
      <c r="AE119" s="390"/>
      <c r="AF119" s="390"/>
      <c r="AG119" s="390"/>
      <c r="AH119" s="390"/>
      <c r="AI119" s="390"/>
      <c r="AJ119" s="390"/>
      <c r="AK119" s="390"/>
      <c r="AL119" s="390"/>
      <c r="AM119" s="390"/>
      <c r="AN119" s="1757"/>
      <c r="AO119" s="385"/>
      <c r="AQ119" s="603">
        <f t="shared" si="28"/>
        <v>0</v>
      </c>
      <c r="AR119" s="604">
        <f t="shared" si="29"/>
        <v>33600</v>
      </c>
      <c r="AS119" s="590">
        <f t="shared" si="30"/>
        <v>0</v>
      </c>
      <c r="AT119" s="606">
        <f t="shared" si="31"/>
        <v>0</v>
      </c>
      <c r="AU119" s="605">
        <f t="shared" si="32"/>
        <v>33600</v>
      </c>
      <c r="AV119" s="380"/>
    </row>
    <row r="120" spans="1:48" ht="24.95" customHeight="1">
      <c r="A120" s="966" t="s">
        <v>685</v>
      </c>
      <c r="B120" s="979" t="s">
        <v>377</v>
      </c>
      <c r="C120" s="984">
        <v>52000</v>
      </c>
      <c r="D120" s="989">
        <v>0</v>
      </c>
      <c r="E120" s="967">
        <v>0</v>
      </c>
      <c r="F120" s="968">
        <f t="shared" si="24"/>
        <v>52000</v>
      </c>
      <c r="G120" s="1775"/>
      <c r="H120" s="984">
        <v>0</v>
      </c>
      <c r="I120" s="967">
        <v>0</v>
      </c>
      <c r="J120" s="968">
        <v>0</v>
      </c>
      <c r="K120" s="382"/>
      <c r="L120" s="393"/>
      <c r="M120" s="390"/>
      <c r="N120" s="390">
        <v>1</v>
      </c>
      <c r="O120" s="390">
        <v>1</v>
      </c>
      <c r="P120" s="393">
        <v>1</v>
      </c>
      <c r="Q120" s="390">
        <v>1</v>
      </c>
      <c r="R120" s="390">
        <v>1</v>
      </c>
      <c r="S120" s="390">
        <v>1</v>
      </c>
      <c r="T120" s="390">
        <v>1</v>
      </c>
      <c r="U120" s="390">
        <v>1</v>
      </c>
      <c r="V120" s="390"/>
      <c r="W120" s="390"/>
      <c r="X120" s="390"/>
      <c r="Y120" s="390"/>
      <c r="Z120" s="390"/>
      <c r="AA120" s="390"/>
      <c r="AB120" s="393">
        <v>1</v>
      </c>
      <c r="AC120" s="390">
        <v>1</v>
      </c>
      <c r="AD120" s="390">
        <v>1</v>
      </c>
      <c r="AE120" s="390">
        <v>1</v>
      </c>
      <c r="AF120" s="390">
        <v>1</v>
      </c>
      <c r="AG120" s="390">
        <v>1</v>
      </c>
      <c r="AH120" s="390"/>
      <c r="AI120" s="390"/>
      <c r="AJ120" s="390"/>
      <c r="AK120" s="390"/>
      <c r="AL120" s="390"/>
      <c r="AM120" s="390"/>
      <c r="AN120" s="1757">
        <v>1</v>
      </c>
      <c r="AO120" s="385">
        <v>1</v>
      </c>
      <c r="AQ120" s="603">
        <f t="shared" si="28"/>
        <v>16</v>
      </c>
      <c r="AR120" s="604">
        <f t="shared" si="29"/>
        <v>52000</v>
      </c>
      <c r="AS120" s="590">
        <f t="shared" si="30"/>
        <v>832000</v>
      </c>
      <c r="AT120" s="606">
        <f t="shared" si="31"/>
        <v>832000</v>
      </c>
      <c r="AU120" s="605">
        <f t="shared" si="32"/>
        <v>-780000</v>
      </c>
      <c r="AV120" s="380"/>
    </row>
    <row r="121" spans="1:48" ht="24.95" customHeight="1">
      <c r="A121" s="966" t="s">
        <v>686</v>
      </c>
      <c r="B121" s="979" t="s">
        <v>687</v>
      </c>
      <c r="C121" s="984">
        <v>48000</v>
      </c>
      <c r="D121" s="989">
        <v>0</v>
      </c>
      <c r="E121" s="967">
        <v>0</v>
      </c>
      <c r="F121" s="968">
        <f t="shared" si="24"/>
        <v>48000</v>
      </c>
      <c r="G121" s="1775"/>
      <c r="H121" s="984">
        <v>1699.2</v>
      </c>
      <c r="I121" s="967">
        <v>1706.67</v>
      </c>
      <c r="J121" s="968">
        <v>-7.47</v>
      </c>
      <c r="K121" s="382"/>
      <c r="L121" s="393"/>
      <c r="M121" s="390"/>
      <c r="N121" s="390">
        <v>1</v>
      </c>
      <c r="O121" s="390"/>
      <c r="P121" s="393"/>
      <c r="Q121" s="390"/>
      <c r="R121" s="390"/>
      <c r="S121" s="390"/>
      <c r="T121" s="390"/>
      <c r="U121" s="390"/>
      <c r="V121" s="390"/>
      <c r="W121" s="390"/>
      <c r="X121" s="390"/>
      <c r="Y121" s="390"/>
      <c r="Z121" s="390"/>
      <c r="AA121" s="390"/>
      <c r="AB121" s="393"/>
      <c r="AC121" s="390"/>
      <c r="AD121" s="390"/>
      <c r="AE121" s="390"/>
      <c r="AF121" s="390"/>
      <c r="AG121" s="390"/>
      <c r="AH121" s="390"/>
      <c r="AI121" s="390"/>
      <c r="AJ121" s="390"/>
      <c r="AK121" s="390"/>
      <c r="AL121" s="390"/>
      <c r="AM121" s="390"/>
      <c r="AN121" s="1757"/>
      <c r="AO121" s="385"/>
      <c r="AQ121" s="603">
        <f t="shared" si="28"/>
        <v>1</v>
      </c>
      <c r="AR121" s="604">
        <f t="shared" si="29"/>
        <v>46293.33</v>
      </c>
      <c r="AS121" s="590">
        <f t="shared" si="30"/>
        <v>46293.33</v>
      </c>
      <c r="AT121" s="606">
        <f t="shared" si="31"/>
        <v>48000</v>
      </c>
      <c r="AU121" s="605">
        <f t="shared" si="32"/>
        <v>0</v>
      </c>
      <c r="AV121" s="380"/>
    </row>
    <row r="122" spans="1:48" ht="24.95" customHeight="1">
      <c r="A122" s="966" t="s">
        <v>688</v>
      </c>
      <c r="B122" s="979" t="s">
        <v>689</v>
      </c>
      <c r="C122" s="984">
        <v>29430</v>
      </c>
      <c r="D122" s="989">
        <v>0</v>
      </c>
      <c r="E122" s="967">
        <v>0</v>
      </c>
      <c r="F122" s="968">
        <f t="shared" si="24"/>
        <v>29430</v>
      </c>
      <c r="G122" s="1775"/>
      <c r="H122" s="984">
        <v>2489.7800000000002</v>
      </c>
      <c r="I122" s="967">
        <v>2508</v>
      </c>
      <c r="J122" s="968">
        <v>-18.22</v>
      </c>
      <c r="K122" s="382"/>
      <c r="L122" s="393"/>
      <c r="M122" s="390"/>
      <c r="N122" s="390">
        <v>1</v>
      </c>
      <c r="O122" s="390">
        <v>1</v>
      </c>
      <c r="P122" s="393">
        <v>1</v>
      </c>
      <c r="Q122" s="390"/>
      <c r="R122" s="390"/>
      <c r="S122" s="390"/>
      <c r="T122" s="390"/>
      <c r="U122" s="390"/>
      <c r="V122" s="390"/>
      <c r="W122" s="390"/>
      <c r="X122" s="390"/>
      <c r="Y122" s="390"/>
      <c r="Z122" s="390"/>
      <c r="AA122" s="390"/>
      <c r="AB122" s="393">
        <v>1</v>
      </c>
      <c r="AC122" s="390"/>
      <c r="AD122" s="390"/>
      <c r="AE122" s="390"/>
      <c r="AF122" s="390"/>
      <c r="AG122" s="390"/>
      <c r="AH122" s="390"/>
      <c r="AI122" s="390"/>
      <c r="AJ122" s="390"/>
      <c r="AK122" s="390"/>
      <c r="AL122" s="390"/>
      <c r="AM122" s="390"/>
      <c r="AN122" s="1757">
        <v>1</v>
      </c>
      <c r="AO122" s="385"/>
      <c r="AQ122" s="603">
        <f t="shared" ref="AQ122:AQ141" si="33">SUM(K122:AO122)</f>
        <v>5</v>
      </c>
      <c r="AR122" s="604">
        <f t="shared" ref="AR122:AR141" si="34">IFERROR(IF(F122-I122&lt;0,0,F122-I122),0)</f>
        <v>26922</v>
      </c>
      <c r="AS122" s="590">
        <f t="shared" ref="AS122:AS141" si="35">IFERROR(AQ122*AR122,0)</f>
        <v>134610</v>
      </c>
      <c r="AT122" s="606">
        <f t="shared" ref="AT122:AT141" si="36">I122+AS122</f>
        <v>137118</v>
      </c>
      <c r="AU122" s="605">
        <f t="shared" ref="AU122:AU141" si="37">F122-AT122</f>
        <v>-107688</v>
      </c>
      <c r="AV122" s="380"/>
    </row>
    <row r="123" spans="1:48" ht="24.95" customHeight="1">
      <c r="A123" s="966" t="s">
        <v>690</v>
      </c>
      <c r="B123" s="979" t="s">
        <v>691</v>
      </c>
      <c r="C123" s="984">
        <v>238500</v>
      </c>
      <c r="D123" s="989">
        <v>0</v>
      </c>
      <c r="E123" s="967">
        <v>0</v>
      </c>
      <c r="F123" s="968">
        <f t="shared" si="24"/>
        <v>238500</v>
      </c>
      <c r="G123" s="1775"/>
      <c r="H123" s="984">
        <v>0</v>
      </c>
      <c r="I123" s="967">
        <v>0</v>
      </c>
      <c r="J123" s="968">
        <v>0</v>
      </c>
      <c r="K123" s="382"/>
      <c r="L123" s="393"/>
      <c r="M123" s="390"/>
      <c r="N123" s="390"/>
      <c r="O123" s="390"/>
      <c r="P123" s="393"/>
      <c r="Q123" s="390">
        <v>1</v>
      </c>
      <c r="R123" s="390"/>
      <c r="S123" s="390"/>
      <c r="T123" s="390"/>
      <c r="U123" s="390"/>
      <c r="V123" s="390"/>
      <c r="W123" s="390"/>
      <c r="X123" s="390"/>
      <c r="Y123" s="390"/>
      <c r="Z123" s="390"/>
      <c r="AA123" s="390"/>
      <c r="AB123" s="393"/>
      <c r="AC123" s="390">
        <v>1</v>
      </c>
      <c r="AD123" s="390"/>
      <c r="AE123" s="390"/>
      <c r="AF123" s="390"/>
      <c r="AG123" s="390"/>
      <c r="AH123" s="390"/>
      <c r="AI123" s="390"/>
      <c r="AJ123" s="390"/>
      <c r="AK123" s="390"/>
      <c r="AL123" s="390"/>
      <c r="AM123" s="390"/>
      <c r="AN123" s="1757"/>
      <c r="AO123" s="385">
        <v>1</v>
      </c>
      <c r="AQ123" s="603">
        <f t="shared" si="33"/>
        <v>3</v>
      </c>
      <c r="AR123" s="604">
        <f t="shared" si="34"/>
        <v>238500</v>
      </c>
      <c r="AS123" s="590">
        <f t="shared" si="35"/>
        <v>715500</v>
      </c>
      <c r="AT123" s="606">
        <f t="shared" si="36"/>
        <v>715500</v>
      </c>
      <c r="AU123" s="605">
        <f t="shared" si="37"/>
        <v>-477000</v>
      </c>
      <c r="AV123" s="380"/>
    </row>
    <row r="124" spans="1:48" ht="24.95" customHeight="1">
      <c r="A124" s="966" t="s">
        <v>692</v>
      </c>
      <c r="B124" s="979" t="s">
        <v>693</v>
      </c>
      <c r="C124" s="984">
        <v>211200</v>
      </c>
      <c r="D124" s="989">
        <v>0</v>
      </c>
      <c r="E124" s="967">
        <v>0</v>
      </c>
      <c r="F124" s="968">
        <f t="shared" si="24"/>
        <v>211200</v>
      </c>
      <c r="G124" s="1775"/>
      <c r="H124" s="984">
        <v>7708.8</v>
      </c>
      <c r="I124" s="967">
        <v>6812</v>
      </c>
      <c r="J124" s="968">
        <v>896.8</v>
      </c>
      <c r="K124" s="382"/>
      <c r="L124" s="393"/>
      <c r="M124" s="390"/>
      <c r="N124" s="390"/>
      <c r="O124" s="390"/>
      <c r="P124" s="393"/>
      <c r="Q124" s="390"/>
      <c r="R124" s="390"/>
      <c r="S124" s="390"/>
      <c r="T124" s="390"/>
      <c r="U124" s="390"/>
      <c r="V124" s="390"/>
      <c r="W124" s="390"/>
      <c r="X124" s="390"/>
      <c r="Y124" s="390"/>
      <c r="Z124" s="390"/>
      <c r="AA124" s="390"/>
      <c r="AB124" s="393"/>
      <c r="AC124" s="390"/>
      <c r="AD124" s="390"/>
      <c r="AE124" s="390"/>
      <c r="AF124" s="390"/>
      <c r="AG124" s="390"/>
      <c r="AH124" s="390"/>
      <c r="AI124" s="390"/>
      <c r="AJ124" s="390"/>
      <c r="AK124" s="390"/>
      <c r="AL124" s="390"/>
      <c r="AM124" s="390"/>
      <c r="AN124" s="1757"/>
      <c r="AO124" s="385"/>
      <c r="AQ124" s="603">
        <f t="shared" si="33"/>
        <v>0</v>
      </c>
      <c r="AR124" s="604">
        <f t="shared" si="34"/>
        <v>204388</v>
      </c>
      <c r="AS124" s="590">
        <f t="shared" si="35"/>
        <v>0</v>
      </c>
      <c r="AT124" s="606">
        <f t="shared" si="36"/>
        <v>6812</v>
      </c>
      <c r="AU124" s="605">
        <f t="shared" si="37"/>
        <v>204388</v>
      </c>
      <c r="AV124" s="380"/>
    </row>
    <row r="125" spans="1:48" ht="24.95" customHeight="1">
      <c r="A125" s="966" t="s">
        <v>694</v>
      </c>
      <c r="B125" s="979" t="s">
        <v>366</v>
      </c>
      <c r="C125" s="984">
        <v>66000</v>
      </c>
      <c r="D125" s="989">
        <v>0</v>
      </c>
      <c r="E125" s="967">
        <v>0</v>
      </c>
      <c r="F125" s="968">
        <f t="shared" si="24"/>
        <v>66000</v>
      </c>
      <c r="G125" s="1775"/>
      <c r="H125" s="984">
        <v>0</v>
      </c>
      <c r="I125" s="967">
        <v>0</v>
      </c>
      <c r="J125" s="968">
        <v>0</v>
      </c>
      <c r="K125" s="382"/>
      <c r="L125" s="393"/>
      <c r="M125" s="390"/>
      <c r="N125" s="390">
        <v>1</v>
      </c>
      <c r="O125" s="390">
        <v>1</v>
      </c>
      <c r="P125" s="393">
        <v>1</v>
      </c>
      <c r="Q125" s="390">
        <v>1</v>
      </c>
      <c r="R125" s="390">
        <v>1</v>
      </c>
      <c r="S125" s="390"/>
      <c r="T125" s="390"/>
      <c r="U125" s="390"/>
      <c r="V125" s="390"/>
      <c r="W125" s="390"/>
      <c r="X125" s="390"/>
      <c r="Y125" s="390"/>
      <c r="Z125" s="390"/>
      <c r="AA125" s="390"/>
      <c r="AB125" s="393">
        <v>1</v>
      </c>
      <c r="AC125" s="390">
        <v>1</v>
      </c>
      <c r="AD125" s="390">
        <v>1</v>
      </c>
      <c r="AE125" s="390"/>
      <c r="AF125" s="390"/>
      <c r="AG125" s="390"/>
      <c r="AH125" s="390"/>
      <c r="AI125" s="390"/>
      <c r="AJ125" s="390"/>
      <c r="AK125" s="390"/>
      <c r="AL125" s="390"/>
      <c r="AM125" s="390"/>
      <c r="AN125" s="1757">
        <v>1</v>
      </c>
      <c r="AO125" s="385">
        <v>1</v>
      </c>
      <c r="AQ125" s="603">
        <f t="shared" si="33"/>
        <v>10</v>
      </c>
      <c r="AR125" s="604">
        <f t="shared" si="34"/>
        <v>66000</v>
      </c>
      <c r="AS125" s="590">
        <f t="shared" si="35"/>
        <v>660000</v>
      </c>
      <c r="AT125" s="606">
        <f t="shared" si="36"/>
        <v>660000</v>
      </c>
      <c r="AU125" s="605">
        <f t="shared" si="37"/>
        <v>-594000</v>
      </c>
      <c r="AV125" s="380"/>
    </row>
    <row r="126" spans="1:48" ht="24.95" customHeight="1">
      <c r="A126" s="966" t="s">
        <v>695</v>
      </c>
      <c r="B126" s="979" t="s">
        <v>696</v>
      </c>
      <c r="C126" s="984">
        <v>359040</v>
      </c>
      <c r="D126" s="989">
        <v>0</v>
      </c>
      <c r="E126" s="967">
        <v>0</v>
      </c>
      <c r="F126" s="968">
        <f t="shared" si="24"/>
        <v>359040</v>
      </c>
      <c r="G126" s="1775"/>
      <c r="H126" s="984">
        <v>8365.6299999999992</v>
      </c>
      <c r="I126" s="967">
        <v>8375.33</v>
      </c>
      <c r="J126" s="968">
        <v>-9.6999999999999993</v>
      </c>
      <c r="K126" s="382"/>
      <c r="L126" s="393"/>
      <c r="M126" s="390"/>
      <c r="N126" s="390"/>
      <c r="O126" s="390"/>
      <c r="P126" s="393"/>
      <c r="Q126" s="390"/>
      <c r="R126" s="390"/>
      <c r="S126" s="390"/>
      <c r="T126" s="390"/>
      <c r="U126" s="390"/>
      <c r="V126" s="390"/>
      <c r="W126" s="390"/>
      <c r="X126" s="390"/>
      <c r="Y126" s="390"/>
      <c r="Z126" s="390"/>
      <c r="AA126" s="390"/>
      <c r="AB126" s="393"/>
      <c r="AC126" s="390"/>
      <c r="AD126" s="390"/>
      <c r="AE126" s="390"/>
      <c r="AF126" s="390"/>
      <c r="AG126" s="390"/>
      <c r="AH126" s="390"/>
      <c r="AI126" s="390"/>
      <c r="AJ126" s="390"/>
      <c r="AK126" s="390"/>
      <c r="AL126" s="390"/>
      <c r="AM126" s="390"/>
      <c r="AN126" s="1757"/>
      <c r="AO126" s="385"/>
      <c r="AQ126" s="603">
        <f t="shared" si="33"/>
        <v>0</v>
      </c>
      <c r="AR126" s="604">
        <f t="shared" si="34"/>
        <v>350664.67</v>
      </c>
      <c r="AS126" s="590">
        <f t="shared" si="35"/>
        <v>0</v>
      </c>
      <c r="AT126" s="606">
        <f t="shared" si="36"/>
        <v>8375.33</v>
      </c>
      <c r="AU126" s="605">
        <f t="shared" si="37"/>
        <v>350664.67</v>
      </c>
      <c r="AV126" s="380"/>
    </row>
    <row r="127" spans="1:48" s="381" customFormat="1" ht="24.95" customHeight="1">
      <c r="A127" s="966" t="s">
        <v>697</v>
      </c>
      <c r="B127" s="979" t="s">
        <v>698</v>
      </c>
      <c r="C127" s="984">
        <v>5500</v>
      </c>
      <c r="D127" s="989">
        <v>0</v>
      </c>
      <c r="E127" s="967">
        <v>0</v>
      </c>
      <c r="F127" s="968">
        <f t="shared" si="24"/>
        <v>5500</v>
      </c>
      <c r="G127" s="1775"/>
      <c r="H127" s="984">
        <v>2116.4</v>
      </c>
      <c r="I127" s="967">
        <v>2112</v>
      </c>
      <c r="J127" s="968">
        <v>4.4000000000000004</v>
      </c>
      <c r="K127" s="382"/>
      <c r="L127" s="393"/>
      <c r="M127" s="390"/>
      <c r="N127" s="390">
        <v>1</v>
      </c>
      <c r="O127" s="390">
        <v>1</v>
      </c>
      <c r="P127" s="393">
        <v>2</v>
      </c>
      <c r="Q127" s="390">
        <v>1</v>
      </c>
      <c r="R127" s="390">
        <v>1</v>
      </c>
      <c r="S127" s="390">
        <v>1</v>
      </c>
      <c r="T127" s="390"/>
      <c r="U127" s="390"/>
      <c r="V127" s="390"/>
      <c r="W127" s="390"/>
      <c r="X127" s="390"/>
      <c r="Y127" s="390"/>
      <c r="Z127" s="390"/>
      <c r="AA127" s="390"/>
      <c r="AB127" s="393">
        <v>2</v>
      </c>
      <c r="AC127" s="390">
        <v>1</v>
      </c>
      <c r="AD127" s="390">
        <v>1</v>
      </c>
      <c r="AE127" s="390">
        <v>1</v>
      </c>
      <c r="AF127" s="390"/>
      <c r="AG127" s="390"/>
      <c r="AH127" s="390"/>
      <c r="AI127" s="390"/>
      <c r="AJ127" s="390"/>
      <c r="AK127" s="390"/>
      <c r="AL127" s="390"/>
      <c r="AM127" s="390"/>
      <c r="AN127" s="1757">
        <v>2</v>
      </c>
      <c r="AO127" s="385">
        <v>1</v>
      </c>
      <c r="AP127" s="382"/>
      <c r="AQ127" s="603">
        <f t="shared" si="33"/>
        <v>15</v>
      </c>
      <c r="AR127" s="604">
        <f t="shared" si="34"/>
        <v>3388</v>
      </c>
      <c r="AS127" s="590">
        <f t="shared" si="35"/>
        <v>50820</v>
      </c>
      <c r="AT127" s="606">
        <f t="shared" si="36"/>
        <v>52932</v>
      </c>
      <c r="AU127" s="605">
        <f t="shared" si="37"/>
        <v>-47432</v>
      </c>
      <c r="AV127" s="380"/>
    </row>
    <row r="128" spans="1:48" s="381" customFormat="1" ht="24.95" customHeight="1">
      <c r="A128" s="966" t="s">
        <v>699</v>
      </c>
      <c r="B128" s="979" t="s">
        <v>700</v>
      </c>
      <c r="C128" s="984">
        <v>60000</v>
      </c>
      <c r="D128" s="989">
        <v>0</v>
      </c>
      <c r="E128" s="967">
        <v>0</v>
      </c>
      <c r="F128" s="968">
        <f t="shared" si="24"/>
        <v>60000</v>
      </c>
      <c r="G128" s="1775"/>
      <c r="H128" s="984">
        <v>0</v>
      </c>
      <c r="I128" s="967">
        <v>0</v>
      </c>
      <c r="J128" s="968">
        <v>0</v>
      </c>
      <c r="K128" s="382"/>
      <c r="L128" s="393"/>
      <c r="M128" s="390"/>
      <c r="N128" s="390"/>
      <c r="O128" s="390"/>
      <c r="P128" s="393"/>
      <c r="Q128" s="390"/>
      <c r="R128" s="390"/>
      <c r="S128" s="390"/>
      <c r="T128" s="390"/>
      <c r="U128" s="390"/>
      <c r="V128" s="390"/>
      <c r="W128" s="390"/>
      <c r="X128" s="390"/>
      <c r="Y128" s="390"/>
      <c r="Z128" s="390"/>
      <c r="AA128" s="390"/>
      <c r="AB128" s="393"/>
      <c r="AC128" s="390"/>
      <c r="AD128" s="390"/>
      <c r="AE128" s="390"/>
      <c r="AF128" s="390"/>
      <c r="AG128" s="390"/>
      <c r="AH128" s="390"/>
      <c r="AI128" s="390"/>
      <c r="AJ128" s="390"/>
      <c r="AK128" s="390"/>
      <c r="AL128" s="390"/>
      <c r="AM128" s="390"/>
      <c r="AN128" s="1757"/>
      <c r="AO128" s="385"/>
      <c r="AP128" s="382"/>
      <c r="AQ128" s="603">
        <f t="shared" si="33"/>
        <v>0</v>
      </c>
      <c r="AR128" s="604">
        <f t="shared" si="34"/>
        <v>60000</v>
      </c>
      <c r="AS128" s="590">
        <f t="shared" si="35"/>
        <v>0</v>
      </c>
      <c r="AT128" s="606">
        <f t="shared" si="36"/>
        <v>0</v>
      </c>
      <c r="AU128" s="605">
        <f t="shared" si="37"/>
        <v>60000</v>
      </c>
      <c r="AV128" s="380"/>
    </row>
    <row r="129" spans="1:48" s="381" customFormat="1" ht="24.95" customHeight="1">
      <c r="A129" s="966" t="s">
        <v>701</v>
      </c>
      <c r="B129" s="979" t="s">
        <v>365</v>
      </c>
      <c r="C129" s="984">
        <v>150000</v>
      </c>
      <c r="D129" s="989">
        <v>0</v>
      </c>
      <c r="E129" s="967">
        <v>0</v>
      </c>
      <c r="F129" s="968">
        <f t="shared" si="24"/>
        <v>150000</v>
      </c>
      <c r="G129" s="1775"/>
      <c r="H129" s="984">
        <v>26070</v>
      </c>
      <c r="I129" s="967">
        <v>26100</v>
      </c>
      <c r="J129" s="968">
        <v>-30</v>
      </c>
      <c r="K129" s="382"/>
      <c r="L129" s="393"/>
      <c r="M129" s="390"/>
      <c r="N129" s="390">
        <v>1</v>
      </c>
      <c r="O129" s="390">
        <v>1</v>
      </c>
      <c r="P129" s="393">
        <v>2</v>
      </c>
      <c r="Q129" s="390">
        <v>1</v>
      </c>
      <c r="R129" s="390">
        <v>1</v>
      </c>
      <c r="S129" s="390">
        <v>1</v>
      </c>
      <c r="T129" s="390"/>
      <c r="U129" s="390"/>
      <c r="V129" s="390"/>
      <c r="W129" s="390"/>
      <c r="X129" s="390"/>
      <c r="Y129" s="390"/>
      <c r="Z129" s="390"/>
      <c r="AA129" s="390"/>
      <c r="AB129" s="393">
        <v>2</v>
      </c>
      <c r="AC129" s="390">
        <v>1</v>
      </c>
      <c r="AD129" s="390">
        <v>1</v>
      </c>
      <c r="AE129" s="390">
        <v>1</v>
      </c>
      <c r="AF129" s="390"/>
      <c r="AG129" s="390"/>
      <c r="AH129" s="390"/>
      <c r="AI129" s="390"/>
      <c r="AJ129" s="390"/>
      <c r="AK129" s="390"/>
      <c r="AL129" s="390"/>
      <c r="AM129" s="390"/>
      <c r="AN129" s="1757">
        <v>2</v>
      </c>
      <c r="AO129" s="385">
        <v>1</v>
      </c>
      <c r="AP129" s="382"/>
      <c r="AQ129" s="603">
        <f t="shared" si="33"/>
        <v>15</v>
      </c>
      <c r="AR129" s="604">
        <f t="shared" si="34"/>
        <v>123900</v>
      </c>
      <c r="AS129" s="590">
        <f t="shared" si="35"/>
        <v>1858500</v>
      </c>
      <c r="AT129" s="606">
        <f t="shared" si="36"/>
        <v>1884600</v>
      </c>
      <c r="AU129" s="605">
        <f t="shared" si="37"/>
        <v>-1734600</v>
      </c>
      <c r="AV129" s="380"/>
    </row>
    <row r="130" spans="1:48" s="381" customFormat="1" ht="24.95" customHeight="1">
      <c r="A130" s="966" t="s">
        <v>702</v>
      </c>
      <c r="B130" s="979" t="s">
        <v>370</v>
      </c>
      <c r="C130" s="984">
        <v>242700</v>
      </c>
      <c r="D130" s="989">
        <v>0</v>
      </c>
      <c r="E130" s="967">
        <v>0</v>
      </c>
      <c r="F130" s="968">
        <f t="shared" si="24"/>
        <v>242700</v>
      </c>
      <c r="G130" s="1775"/>
      <c r="H130" s="984">
        <v>92226</v>
      </c>
      <c r="I130" s="967">
        <v>87131</v>
      </c>
      <c r="J130" s="968">
        <v>5095</v>
      </c>
      <c r="K130" s="382"/>
      <c r="L130" s="393"/>
      <c r="M130" s="390"/>
      <c r="N130" s="390">
        <v>1</v>
      </c>
      <c r="O130" s="390">
        <v>1</v>
      </c>
      <c r="P130" s="393">
        <v>1</v>
      </c>
      <c r="Q130" s="390">
        <v>1</v>
      </c>
      <c r="R130" s="390">
        <v>1</v>
      </c>
      <c r="S130" s="390">
        <v>1</v>
      </c>
      <c r="T130" s="390">
        <v>1</v>
      </c>
      <c r="U130" s="390">
        <v>1</v>
      </c>
      <c r="V130" s="390"/>
      <c r="W130" s="390"/>
      <c r="X130" s="390"/>
      <c r="Y130" s="390"/>
      <c r="Z130" s="390"/>
      <c r="AA130" s="390"/>
      <c r="AB130" s="393">
        <v>1</v>
      </c>
      <c r="AC130" s="390">
        <v>1</v>
      </c>
      <c r="AD130" s="390">
        <v>1</v>
      </c>
      <c r="AE130" s="390">
        <v>1</v>
      </c>
      <c r="AF130" s="390">
        <v>1</v>
      </c>
      <c r="AG130" s="390">
        <v>1</v>
      </c>
      <c r="AH130" s="390"/>
      <c r="AI130" s="390"/>
      <c r="AJ130" s="390"/>
      <c r="AK130" s="390"/>
      <c r="AL130" s="390"/>
      <c r="AM130" s="390"/>
      <c r="AN130" s="1757">
        <v>1</v>
      </c>
      <c r="AO130" s="385">
        <v>1</v>
      </c>
      <c r="AP130" s="382"/>
      <c r="AQ130" s="603">
        <f t="shared" si="33"/>
        <v>16</v>
      </c>
      <c r="AR130" s="604">
        <f t="shared" si="34"/>
        <v>155569</v>
      </c>
      <c r="AS130" s="590">
        <f t="shared" si="35"/>
        <v>2489104</v>
      </c>
      <c r="AT130" s="606">
        <f t="shared" si="36"/>
        <v>2576235</v>
      </c>
      <c r="AU130" s="605">
        <f t="shared" si="37"/>
        <v>-2333535</v>
      </c>
      <c r="AV130" s="380"/>
    </row>
    <row r="131" spans="1:48" s="381" customFormat="1" ht="24.95" customHeight="1">
      <c r="A131" s="966" t="s">
        <v>703</v>
      </c>
      <c r="B131" s="979" t="s">
        <v>704</v>
      </c>
      <c r="C131" s="984">
        <v>19620</v>
      </c>
      <c r="D131" s="989">
        <v>0</v>
      </c>
      <c r="E131" s="967">
        <v>0</v>
      </c>
      <c r="F131" s="968">
        <f t="shared" si="24"/>
        <v>19620</v>
      </c>
      <c r="G131" s="1775"/>
      <c r="H131" s="984">
        <v>2999.9</v>
      </c>
      <c r="I131" s="967">
        <v>3000</v>
      </c>
      <c r="J131" s="968">
        <v>-0.1</v>
      </c>
      <c r="K131" s="382"/>
      <c r="L131" s="393"/>
      <c r="M131" s="390"/>
      <c r="N131" s="390">
        <v>1</v>
      </c>
      <c r="O131" s="390">
        <v>1</v>
      </c>
      <c r="P131" s="393">
        <v>1</v>
      </c>
      <c r="Q131" s="390">
        <v>1</v>
      </c>
      <c r="R131" s="390">
        <v>1</v>
      </c>
      <c r="S131" s="390">
        <v>1</v>
      </c>
      <c r="T131" s="390">
        <v>1</v>
      </c>
      <c r="U131" s="390">
        <v>1</v>
      </c>
      <c r="V131" s="390"/>
      <c r="W131" s="390"/>
      <c r="X131" s="390"/>
      <c r="Y131" s="390"/>
      <c r="Z131" s="390"/>
      <c r="AA131" s="390"/>
      <c r="AB131" s="393">
        <v>1</v>
      </c>
      <c r="AC131" s="390">
        <v>1</v>
      </c>
      <c r="AD131" s="390">
        <v>1</v>
      </c>
      <c r="AE131" s="390">
        <v>1</v>
      </c>
      <c r="AF131" s="390">
        <v>1</v>
      </c>
      <c r="AG131" s="390">
        <v>1</v>
      </c>
      <c r="AH131" s="390"/>
      <c r="AI131" s="390"/>
      <c r="AJ131" s="390"/>
      <c r="AK131" s="390"/>
      <c r="AL131" s="390"/>
      <c r="AM131" s="390"/>
      <c r="AN131" s="1757">
        <v>1</v>
      </c>
      <c r="AO131" s="385">
        <v>1</v>
      </c>
      <c r="AP131" s="382"/>
      <c r="AQ131" s="603">
        <f t="shared" si="33"/>
        <v>16</v>
      </c>
      <c r="AR131" s="604">
        <f t="shared" si="34"/>
        <v>16620</v>
      </c>
      <c r="AS131" s="590">
        <f t="shared" si="35"/>
        <v>265920</v>
      </c>
      <c r="AT131" s="606">
        <f t="shared" si="36"/>
        <v>268920</v>
      </c>
      <c r="AU131" s="605">
        <f t="shared" si="37"/>
        <v>-249300</v>
      </c>
      <c r="AV131" s="380"/>
    </row>
    <row r="132" spans="1:48" s="381" customFormat="1" ht="24.95" customHeight="1">
      <c r="A132" s="966" t="s">
        <v>705</v>
      </c>
      <c r="B132" s="979" t="s">
        <v>706</v>
      </c>
      <c r="C132" s="984">
        <v>-8771845</v>
      </c>
      <c r="D132" s="989">
        <v>0</v>
      </c>
      <c r="E132" s="967">
        <v>0</v>
      </c>
      <c r="F132" s="968">
        <f t="shared" si="24"/>
        <v>-8771845</v>
      </c>
      <c r="G132" s="1775"/>
      <c r="H132" s="984">
        <v>0</v>
      </c>
      <c r="I132" s="967">
        <v>0</v>
      </c>
      <c r="J132" s="968">
        <v>0</v>
      </c>
      <c r="K132" s="382"/>
      <c r="L132" s="393"/>
      <c r="M132" s="390">
        <f t="shared" ref="M132:V132" si="38">+M101</f>
        <v>0</v>
      </c>
      <c r="N132" s="390">
        <f t="shared" si="38"/>
        <v>1</v>
      </c>
      <c r="O132" s="390">
        <f t="shared" si="38"/>
        <v>1</v>
      </c>
      <c r="P132" s="393">
        <f t="shared" si="38"/>
        <v>1</v>
      </c>
      <c r="Q132" s="390">
        <f t="shared" si="38"/>
        <v>1</v>
      </c>
      <c r="R132" s="390">
        <f t="shared" si="38"/>
        <v>1</v>
      </c>
      <c r="S132" s="390">
        <f t="shared" si="38"/>
        <v>1</v>
      </c>
      <c r="T132" s="390">
        <f t="shared" si="38"/>
        <v>0</v>
      </c>
      <c r="U132" s="390">
        <f t="shared" si="38"/>
        <v>0</v>
      </c>
      <c r="V132" s="390">
        <f t="shared" si="38"/>
        <v>0</v>
      </c>
      <c r="W132" s="390"/>
      <c r="X132" s="390"/>
      <c r="Y132" s="390"/>
      <c r="Z132" s="390"/>
      <c r="AA132" s="390"/>
      <c r="AB132" s="393">
        <f t="shared" ref="AB132:AH132" si="39">+AB101</f>
        <v>1</v>
      </c>
      <c r="AC132" s="390">
        <f t="shared" si="39"/>
        <v>1</v>
      </c>
      <c r="AD132" s="390">
        <f t="shared" si="39"/>
        <v>1</v>
      </c>
      <c r="AE132" s="390">
        <f t="shared" si="39"/>
        <v>1</v>
      </c>
      <c r="AF132" s="390">
        <f t="shared" si="39"/>
        <v>0</v>
      </c>
      <c r="AG132" s="390">
        <f t="shared" si="39"/>
        <v>0</v>
      </c>
      <c r="AH132" s="390">
        <f t="shared" si="39"/>
        <v>0</v>
      </c>
      <c r="AI132" s="390"/>
      <c r="AJ132" s="390"/>
      <c r="AK132" s="390"/>
      <c r="AL132" s="390"/>
      <c r="AM132" s="390"/>
      <c r="AN132" s="1757">
        <f t="shared" ref="AN132:AO132" si="40">+AN101</f>
        <v>1</v>
      </c>
      <c r="AO132" s="385">
        <f t="shared" si="40"/>
        <v>1</v>
      </c>
      <c r="AP132" s="382"/>
      <c r="AQ132" s="603">
        <f t="shared" si="33"/>
        <v>12</v>
      </c>
      <c r="AR132" s="604">
        <f t="shared" si="34"/>
        <v>0</v>
      </c>
      <c r="AS132" s="590">
        <f t="shared" si="35"/>
        <v>0</v>
      </c>
      <c r="AT132" s="606">
        <f t="shared" si="36"/>
        <v>0</v>
      </c>
      <c r="AU132" s="605">
        <f t="shared" si="37"/>
        <v>-8771845</v>
      </c>
      <c r="AV132" s="380"/>
    </row>
    <row r="133" spans="1:48" s="381" customFormat="1" ht="24.95" customHeight="1">
      <c r="A133" s="966" t="s">
        <v>707</v>
      </c>
      <c r="B133" s="979" t="s">
        <v>708</v>
      </c>
      <c r="C133" s="984">
        <v>45783.27</v>
      </c>
      <c r="D133" s="989">
        <v>0</v>
      </c>
      <c r="E133" s="967">
        <v>0</v>
      </c>
      <c r="F133" s="968">
        <f t="shared" si="24"/>
        <v>45783.27</v>
      </c>
      <c r="G133" s="1775"/>
      <c r="H133" s="984">
        <v>23660.79</v>
      </c>
      <c r="I133" s="967">
        <v>23660.03</v>
      </c>
      <c r="J133" s="968">
        <v>0.76</v>
      </c>
      <c r="K133" s="382"/>
      <c r="L133" s="393"/>
      <c r="M133" s="390"/>
      <c r="N133" s="390"/>
      <c r="O133" s="390"/>
      <c r="P133" s="393"/>
      <c r="Q133" s="390"/>
      <c r="R133" s="390"/>
      <c r="S133" s="390"/>
      <c r="T133" s="390"/>
      <c r="U133" s="390"/>
      <c r="V133" s="390"/>
      <c r="W133" s="390"/>
      <c r="X133" s="390"/>
      <c r="Y133" s="390"/>
      <c r="Z133" s="390"/>
      <c r="AA133" s="390"/>
      <c r="AB133" s="393"/>
      <c r="AC133" s="390"/>
      <c r="AD133" s="390"/>
      <c r="AE133" s="390"/>
      <c r="AF133" s="390"/>
      <c r="AG133" s="390"/>
      <c r="AH133" s="390"/>
      <c r="AI133" s="390"/>
      <c r="AJ133" s="390"/>
      <c r="AK133" s="390"/>
      <c r="AL133" s="390"/>
      <c r="AM133" s="390"/>
      <c r="AN133" s="1757"/>
      <c r="AO133" s="385"/>
      <c r="AP133" s="382"/>
      <c r="AQ133" s="603">
        <f t="shared" si="33"/>
        <v>0</v>
      </c>
      <c r="AR133" s="604">
        <f t="shared" si="34"/>
        <v>22123.239999999998</v>
      </c>
      <c r="AS133" s="590">
        <f t="shared" si="35"/>
        <v>0</v>
      </c>
      <c r="AT133" s="606">
        <f t="shared" si="36"/>
        <v>23660.03</v>
      </c>
      <c r="AU133" s="605">
        <f t="shared" si="37"/>
        <v>22123.239999999998</v>
      </c>
      <c r="AV133" s="380"/>
    </row>
    <row r="134" spans="1:48" s="381" customFormat="1" ht="24.95" customHeight="1">
      <c r="A134" s="966" t="s">
        <v>709</v>
      </c>
      <c r="B134" s="979" t="s">
        <v>710</v>
      </c>
      <c r="C134" s="984">
        <v>88290</v>
      </c>
      <c r="D134" s="989">
        <v>0</v>
      </c>
      <c r="E134" s="967">
        <v>0</v>
      </c>
      <c r="F134" s="968">
        <f t="shared" si="24"/>
        <v>88290</v>
      </c>
      <c r="G134" s="1775"/>
      <c r="H134" s="984">
        <v>26822.5</v>
      </c>
      <c r="I134" s="967">
        <v>26805</v>
      </c>
      <c r="J134" s="968">
        <v>17.5</v>
      </c>
      <c r="K134" s="382"/>
      <c r="L134" s="393"/>
      <c r="M134" s="390"/>
      <c r="N134" s="390">
        <v>1</v>
      </c>
      <c r="O134" s="390">
        <v>1</v>
      </c>
      <c r="P134" s="393">
        <v>1</v>
      </c>
      <c r="Q134" s="390">
        <v>1</v>
      </c>
      <c r="R134" s="390">
        <v>1</v>
      </c>
      <c r="S134" s="390"/>
      <c r="T134" s="390"/>
      <c r="U134" s="390"/>
      <c r="V134" s="390"/>
      <c r="W134" s="390"/>
      <c r="X134" s="390"/>
      <c r="Y134" s="390"/>
      <c r="Z134" s="390"/>
      <c r="AA134" s="390"/>
      <c r="AB134" s="393">
        <v>1</v>
      </c>
      <c r="AC134" s="390">
        <v>1</v>
      </c>
      <c r="AD134" s="390">
        <v>1</v>
      </c>
      <c r="AE134" s="390"/>
      <c r="AF134" s="390"/>
      <c r="AG134" s="390"/>
      <c r="AH134" s="390"/>
      <c r="AI134" s="390"/>
      <c r="AJ134" s="390"/>
      <c r="AK134" s="390"/>
      <c r="AL134" s="390"/>
      <c r="AM134" s="390"/>
      <c r="AN134" s="1757">
        <v>1</v>
      </c>
      <c r="AO134" s="385">
        <v>1</v>
      </c>
      <c r="AP134" s="382"/>
      <c r="AQ134" s="603">
        <f t="shared" si="33"/>
        <v>10</v>
      </c>
      <c r="AR134" s="604">
        <f t="shared" si="34"/>
        <v>61485</v>
      </c>
      <c r="AS134" s="590">
        <f t="shared" si="35"/>
        <v>614850</v>
      </c>
      <c r="AT134" s="606">
        <f t="shared" si="36"/>
        <v>641655</v>
      </c>
      <c r="AU134" s="605">
        <f t="shared" si="37"/>
        <v>-553365</v>
      </c>
      <c r="AV134" s="380"/>
    </row>
    <row r="135" spans="1:48" s="381" customFormat="1" ht="24.95" customHeight="1">
      <c r="A135" s="966" t="s">
        <v>711</v>
      </c>
      <c r="B135" s="979" t="s">
        <v>712</v>
      </c>
      <c r="C135" s="984">
        <v>68670</v>
      </c>
      <c r="D135" s="989">
        <v>0</v>
      </c>
      <c r="E135" s="967">
        <v>0</v>
      </c>
      <c r="F135" s="968">
        <f t="shared" si="24"/>
        <v>68670</v>
      </c>
      <c r="G135" s="1775"/>
      <c r="H135" s="984">
        <v>16240.46</v>
      </c>
      <c r="I135" s="967">
        <v>16130</v>
      </c>
      <c r="J135" s="968">
        <v>110.46</v>
      </c>
      <c r="K135" s="382"/>
      <c r="L135" s="393"/>
      <c r="M135" s="390"/>
      <c r="N135" s="390"/>
      <c r="O135" s="390"/>
      <c r="P135" s="393"/>
      <c r="Q135" s="390"/>
      <c r="R135" s="390"/>
      <c r="S135" s="390"/>
      <c r="T135" s="390"/>
      <c r="U135" s="390"/>
      <c r="V135" s="390"/>
      <c r="W135" s="390"/>
      <c r="X135" s="390"/>
      <c r="Y135" s="390"/>
      <c r="Z135" s="390"/>
      <c r="AA135" s="390"/>
      <c r="AB135" s="393"/>
      <c r="AC135" s="390"/>
      <c r="AD135" s="390"/>
      <c r="AE135" s="390"/>
      <c r="AF135" s="390"/>
      <c r="AG135" s="390"/>
      <c r="AH135" s="390"/>
      <c r="AI135" s="390"/>
      <c r="AJ135" s="390"/>
      <c r="AK135" s="390"/>
      <c r="AL135" s="390"/>
      <c r="AM135" s="390"/>
      <c r="AN135" s="1757"/>
      <c r="AO135" s="385"/>
      <c r="AP135" s="382"/>
      <c r="AQ135" s="603">
        <f t="shared" si="33"/>
        <v>0</v>
      </c>
      <c r="AR135" s="604">
        <f t="shared" si="34"/>
        <v>52540</v>
      </c>
      <c r="AS135" s="590">
        <f t="shared" si="35"/>
        <v>0</v>
      </c>
      <c r="AT135" s="606">
        <f t="shared" si="36"/>
        <v>16130</v>
      </c>
      <c r="AU135" s="605">
        <f t="shared" si="37"/>
        <v>52540</v>
      </c>
      <c r="AV135" s="380"/>
    </row>
    <row r="136" spans="1:48" s="381" customFormat="1" ht="24.95" customHeight="1">
      <c r="A136" s="966" t="s">
        <v>713</v>
      </c>
      <c r="B136" s="979" t="s">
        <v>714</v>
      </c>
      <c r="C136" s="984">
        <v>73100</v>
      </c>
      <c r="D136" s="989">
        <v>0</v>
      </c>
      <c r="E136" s="967">
        <v>0</v>
      </c>
      <c r="F136" s="968">
        <f t="shared" ref="F136:F199" si="41">SUM(C136:E136)</f>
        <v>73100</v>
      </c>
      <c r="G136" s="1775"/>
      <c r="H136" s="984">
        <v>29897.9</v>
      </c>
      <c r="I136" s="967">
        <v>29875</v>
      </c>
      <c r="J136" s="968">
        <v>22.9</v>
      </c>
      <c r="K136" s="382"/>
      <c r="L136" s="393"/>
      <c r="M136" s="390"/>
      <c r="N136" s="390">
        <v>1</v>
      </c>
      <c r="O136" s="390">
        <v>1</v>
      </c>
      <c r="P136" s="393"/>
      <c r="Q136" s="390"/>
      <c r="R136" s="390"/>
      <c r="S136" s="390"/>
      <c r="T136" s="390"/>
      <c r="U136" s="390"/>
      <c r="V136" s="390"/>
      <c r="W136" s="390"/>
      <c r="X136" s="390"/>
      <c r="Y136" s="390"/>
      <c r="Z136" s="390"/>
      <c r="AA136" s="390"/>
      <c r="AB136" s="393"/>
      <c r="AC136" s="390"/>
      <c r="AD136" s="390"/>
      <c r="AE136" s="390"/>
      <c r="AF136" s="390"/>
      <c r="AG136" s="390"/>
      <c r="AH136" s="390"/>
      <c r="AI136" s="390"/>
      <c r="AJ136" s="390"/>
      <c r="AK136" s="390"/>
      <c r="AL136" s="390"/>
      <c r="AM136" s="390"/>
      <c r="AN136" s="1757"/>
      <c r="AO136" s="385"/>
      <c r="AP136" s="382"/>
      <c r="AQ136" s="603">
        <f t="shared" si="33"/>
        <v>2</v>
      </c>
      <c r="AR136" s="604">
        <f t="shared" si="34"/>
        <v>43225</v>
      </c>
      <c r="AS136" s="590">
        <f t="shared" si="35"/>
        <v>86450</v>
      </c>
      <c r="AT136" s="606">
        <f t="shared" si="36"/>
        <v>116325</v>
      </c>
      <c r="AU136" s="605">
        <f t="shared" si="37"/>
        <v>-43225</v>
      </c>
      <c r="AV136" s="380"/>
    </row>
    <row r="137" spans="1:48" s="381" customFormat="1" ht="24.95" customHeight="1">
      <c r="A137" s="966" t="s">
        <v>715</v>
      </c>
      <c r="B137" s="979" t="s">
        <v>716</v>
      </c>
      <c r="C137" s="984">
        <v>168000</v>
      </c>
      <c r="D137" s="989">
        <v>0</v>
      </c>
      <c r="E137" s="967">
        <v>0</v>
      </c>
      <c r="F137" s="968">
        <f t="shared" si="41"/>
        <v>168000</v>
      </c>
      <c r="G137" s="1775"/>
      <c r="H137" s="984">
        <v>52852.800000000003</v>
      </c>
      <c r="I137" s="967">
        <v>52833.33</v>
      </c>
      <c r="J137" s="968">
        <v>19.47</v>
      </c>
      <c r="K137" s="382"/>
      <c r="L137" s="393"/>
      <c r="M137" s="390"/>
      <c r="N137" s="390">
        <v>5</v>
      </c>
      <c r="O137" s="390"/>
      <c r="P137" s="393"/>
      <c r="Q137" s="390"/>
      <c r="R137" s="390"/>
      <c r="S137" s="390"/>
      <c r="T137" s="390"/>
      <c r="U137" s="390"/>
      <c r="V137" s="390"/>
      <c r="W137" s="390"/>
      <c r="X137" s="390"/>
      <c r="Y137" s="390"/>
      <c r="Z137" s="390"/>
      <c r="AA137" s="390"/>
      <c r="AB137" s="393"/>
      <c r="AC137" s="390"/>
      <c r="AD137" s="390"/>
      <c r="AE137" s="390"/>
      <c r="AF137" s="390"/>
      <c r="AG137" s="390"/>
      <c r="AH137" s="390"/>
      <c r="AI137" s="390"/>
      <c r="AJ137" s="390"/>
      <c r="AK137" s="390"/>
      <c r="AL137" s="390"/>
      <c r="AM137" s="390"/>
      <c r="AN137" s="1757"/>
      <c r="AO137" s="385"/>
      <c r="AP137" s="382"/>
      <c r="AQ137" s="603">
        <f t="shared" si="33"/>
        <v>5</v>
      </c>
      <c r="AR137" s="604">
        <f t="shared" si="34"/>
        <v>115166.67</v>
      </c>
      <c r="AS137" s="590">
        <f t="shared" si="35"/>
        <v>575833.35</v>
      </c>
      <c r="AT137" s="606">
        <f t="shared" si="36"/>
        <v>628666.67999999993</v>
      </c>
      <c r="AU137" s="605">
        <f t="shared" si="37"/>
        <v>-460666.67999999993</v>
      </c>
      <c r="AV137" s="380"/>
    </row>
    <row r="138" spans="1:48" s="381" customFormat="1" ht="24.95" customHeight="1">
      <c r="A138" s="966" t="s">
        <v>717</v>
      </c>
      <c r="B138" s="979" t="s">
        <v>718</v>
      </c>
      <c r="C138" s="984">
        <v>51170</v>
      </c>
      <c r="D138" s="989">
        <v>0</v>
      </c>
      <c r="E138" s="967">
        <v>0</v>
      </c>
      <c r="F138" s="968">
        <f t="shared" si="41"/>
        <v>51170</v>
      </c>
      <c r="G138" s="1775"/>
      <c r="H138" s="984">
        <v>19321.79</v>
      </c>
      <c r="I138" s="967">
        <v>19026.669999999998</v>
      </c>
      <c r="J138" s="968">
        <v>295.12</v>
      </c>
      <c r="K138" s="382"/>
      <c r="L138" s="393"/>
      <c r="M138" s="390"/>
      <c r="N138" s="390"/>
      <c r="O138" s="390">
        <v>5</v>
      </c>
      <c r="P138" s="393">
        <v>5</v>
      </c>
      <c r="Q138" s="390">
        <v>5</v>
      </c>
      <c r="R138" s="390">
        <v>5</v>
      </c>
      <c r="S138" s="390"/>
      <c r="T138" s="390"/>
      <c r="U138" s="390"/>
      <c r="V138" s="390"/>
      <c r="W138" s="390"/>
      <c r="X138" s="390"/>
      <c r="Y138" s="390"/>
      <c r="Z138" s="390"/>
      <c r="AA138" s="390"/>
      <c r="AB138" s="393">
        <v>5</v>
      </c>
      <c r="AC138" s="390">
        <v>5</v>
      </c>
      <c r="AD138" s="390">
        <v>5</v>
      </c>
      <c r="AE138" s="390"/>
      <c r="AF138" s="390"/>
      <c r="AG138" s="390"/>
      <c r="AH138" s="390"/>
      <c r="AI138" s="390"/>
      <c r="AJ138" s="390"/>
      <c r="AK138" s="390"/>
      <c r="AL138" s="390"/>
      <c r="AM138" s="390"/>
      <c r="AN138" s="1757">
        <v>5</v>
      </c>
      <c r="AO138" s="385">
        <v>5</v>
      </c>
      <c r="AP138" s="382"/>
      <c r="AQ138" s="603">
        <f t="shared" si="33"/>
        <v>45</v>
      </c>
      <c r="AR138" s="604">
        <f t="shared" si="34"/>
        <v>32143.33</v>
      </c>
      <c r="AS138" s="590">
        <f t="shared" si="35"/>
        <v>1446449.85</v>
      </c>
      <c r="AT138" s="606">
        <f t="shared" si="36"/>
        <v>1465476.52</v>
      </c>
      <c r="AU138" s="605">
        <f t="shared" si="37"/>
        <v>-1414306.52</v>
      </c>
      <c r="AV138" s="380"/>
    </row>
    <row r="139" spans="1:48" s="381" customFormat="1" ht="24.95" customHeight="1">
      <c r="A139" s="966" t="s">
        <v>719</v>
      </c>
      <c r="B139" s="979" t="s">
        <v>720</v>
      </c>
      <c r="C139" s="984">
        <v>280000</v>
      </c>
      <c r="D139" s="989">
        <v>0</v>
      </c>
      <c r="E139" s="967">
        <v>0</v>
      </c>
      <c r="F139" s="968">
        <f t="shared" si="41"/>
        <v>280000</v>
      </c>
      <c r="G139" s="1775"/>
      <c r="H139" s="984">
        <v>59360</v>
      </c>
      <c r="I139" s="967">
        <v>59283.33</v>
      </c>
      <c r="J139" s="968">
        <v>76.67</v>
      </c>
      <c r="K139" s="382"/>
      <c r="L139" s="393"/>
      <c r="M139" s="390"/>
      <c r="N139" s="390"/>
      <c r="O139" s="390"/>
      <c r="P139" s="393"/>
      <c r="Q139" s="390"/>
      <c r="R139" s="390"/>
      <c r="S139" s="390"/>
      <c r="T139" s="390">
        <v>10</v>
      </c>
      <c r="U139" s="390"/>
      <c r="V139" s="390"/>
      <c r="W139" s="390"/>
      <c r="X139" s="390"/>
      <c r="Y139" s="390"/>
      <c r="Z139" s="390"/>
      <c r="AA139" s="390"/>
      <c r="AB139" s="393"/>
      <c r="AC139" s="390"/>
      <c r="AD139" s="390"/>
      <c r="AE139" s="390"/>
      <c r="AF139" s="390">
        <v>10</v>
      </c>
      <c r="AG139" s="390"/>
      <c r="AH139" s="390"/>
      <c r="AI139" s="390"/>
      <c r="AJ139" s="390"/>
      <c r="AK139" s="390"/>
      <c r="AL139" s="390"/>
      <c r="AM139" s="390"/>
      <c r="AN139" s="1757"/>
      <c r="AO139" s="385"/>
      <c r="AP139" s="382"/>
      <c r="AQ139" s="603">
        <f t="shared" si="33"/>
        <v>20</v>
      </c>
      <c r="AR139" s="604">
        <f t="shared" si="34"/>
        <v>220716.66999999998</v>
      </c>
      <c r="AS139" s="590">
        <f t="shared" si="35"/>
        <v>4414333.3999999994</v>
      </c>
      <c r="AT139" s="606">
        <f t="shared" si="36"/>
        <v>4473616.7299999995</v>
      </c>
      <c r="AU139" s="605">
        <f t="shared" si="37"/>
        <v>-4193616.7299999995</v>
      </c>
      <c r="AV139" s="380"/>
    </row>
    <row r="140" spans="1:48" s="381" customFormat="1" ht="24.95" customHeight="1">
      <c r="A140" s="966" t="s">
        <v>721</v>
      </c>
      <c r="B140" s="979" t="s">
        <v>722</v>
      </c>
      <c r="C140" s="984">
        <v>238000</v>
      </c>
      <c r="D140" s="989">
        <v>0</v>
      </c>
      <c r="E140" s="967">
        <v>0</v>
      </c>
      <c r="F140" s="968">
        <f t="shared" si="41"/>
        <v>238000</v>
      </c>
      <c r="G140" s="1775"/>
      <c r="H140" s="984">
        <v>0</v>
      </c>
      <c r="I140" s="967">
        <v>0</v>
      </c>
      <c r="J140" s="968">
        <v>0</v>
      </c>
      <c r="K140" s="382"/>
      <c r="L140" s="393"/>
      <c r="M140" s="390"/>
      <c r="N140" s="390">
        <v>1</v>
      </c>
      <c r="O140" s="390">
        <v>1</v>
      </c>
      <c r="P140" s="393">
        <v>1</v>
      </c>
      <c r="Q140" s="390">
        <v>1</v>
      </c>
      <c r="R140" s="390"/>
      <c r="S140" s="390"/>
      <c r="T140" s="390"/>
      <c r="U140" s="390"/>
      <c r="V140" s="390"/>
      <c r="W140" s="390"/>
      <c r="X140" s="390"/>
      <c r="Y140" s="390"/>
      <c r="Z140" s="390"/>
      <c r="AA140" s="390"/>
      <c r="AB140" s="393">
        <v>1</v>
      </c>
      <c r="AC140" s="390">
        <v>1</v>
      </c>
      <c r="AD140" s="390"/>
      <c r="AE140" s="390"/>
      <c r="AF140" s="390"/>
      <c r="AG140" s="390"/>
      <c r="AH140" s="390"/>
      <c r="AI140" s="390"/>
      <c r="AJ140" s="390"/>
      <c r="AK140" s="390"/>
      <c r="AL140" s="390"/>
      <c r="AM140" s="390"/>
      <c r="AN140" s="1757">
        <v>1</v>
      </c>
      <c r="AO140" s="385">
        <v>1</v>
      </c>
      <c r="AP140" s="382"/>
      <c r="AQ140" s="603">
        <f t="shared" si="33"/>
        <v>8</v>
      </c>
      <c r="AR140" s="604">
        <f t="shared" si="34"/>
        <v>238000</v>
      </c>
      <c r="AS140" s="590">
        <f t="shared" si="35"/>
        <v>1904000</v>
      </c>
      <c r="AT140" s="606">
        <f t="shared" si="36"/>
        <v>1904000</v>
      </c>
      <c r="AU140" s="605">
        <f t="shared" si="37"/>
        <v>-1666000</v>
      </c>
      <c r="AV140" s="380"/>
    </row>
    <row r="141" spans="1:48" s="381" customFormat="1" ht="24.95" customHeight="1">
      <c r="A141" s="966" t="s">
        <v>723</v>
      </c>
      <c r="B141" s="979" t="s">
        <v>724</v>
      </c>
      <c r="C141" s="984">
        <v>248500</v>
      </c>
      <c r="D141" s="989">
        <v>0</v>
      </c>
      <c r="E141" s="967">
        <v>0</v>
      </c>
      <c r="F141" s="968">
        <f t="shared" si="41"/>
        <v>248500</v>
      </c>
      <c r="G141" s="1775"/>
      <c r="H141" s="984">
        <v>0</v>
      </c>
      <c r="I141" s="967">
        <v>0</v>
      </c>
      <c r="J141" s="968">
        <v>0</v>
      </c>
      <c r="K141" s="382"/>
      <c r="L141" s="393"/>
      <c r="M141" s="390"/>
      <c r="N141" s="390">
        <v>1</v>
      </c>
      <c r="O141" s="390">
        <v>1</v>
      </c>
      <c r="P141" s="393">
        <v>1</v>
      </c>
      <c r="Q141" s="390">
        <v>1</v>
      </c>
      <c r="R141" s="390"/>
      <c r="S141" s="390"/>
      <c r="T141" s="390"/>
      <c r="U141" s="390"/>
      <c r="V141" s="390"/>
      <c r="W141" s="390"/>
      <c r="X141" s="390"/>
      <c r="Y141" s="390"/>
      <c r="Z141" s="390"/>
      <c r="AA141" s="390"/>
      <c r="AB141" s="393">
        <v>1</v>
      </c>
      <c r="AC141" s="390">
        <v>1</v>
      </c>
      <c r="AD141" s="390"/>
      <c r="AE141" s="390"/>
      <c r="AF141" s="390"/>
      <c r="AG141" s="390"/>
      <c r="AH141" s="390"/>
      <c r="AI141" s="390"/>
      <c r="AJ141" s="390"/>
      <c r="AK141" s="390"/>
      <c r="AL141" s="390"/>
      <c r="AM141" s="390"/>
      <c r="AN141" s="1757">
        <v>1</v>
      </c>
      <c r="AO141" s="385">
        <v>1</v>
      </c>
      <c r="AP141" s="382"/>
      <c r="AQ141" s="603">
        <f t="shared" si="33"/>
        <v>8</v>
      </c>
      <c r="AR141" s="604">
        <f t="shared" si="34"/>
        <v>248500</v>
      </c>
      <c r="AS141" s="590">
        <f t="shared" si="35"/>
        <v>1988000</v>
      </c>
      <c r="AT141" s="606">
        <f t="shared" si="36"/>
        <v>1988000</v>
      </c>
      <c r="AU141" s="605">
        <f t="shared" si="37"/>
        <v>-1739500</v>
      </c>
      <c r="AV141" s="380"/>
    </row>
    <row r="142" spans="1:48" s="381" customFormat="1" ht="24.95" customHeight="1">
      <c r="A142" s="972" t="s">
        <v>725</v>
      </c>
      <c r="B142" s="981" t="s">
        <v>372</v>
      </c>
      <c r="C142" s="986">
        <v>2553105</v>
      </c>
      <c r="D142" s="991">
        <v>0</v>
      </c>
      <c r="E142" s="973">
        <v>0</v>
      </c>
      <c r="F142" s="974">
        <f t="shared" si="41"/>
        <v>2553105</v>
      </c>
      <c r="G142" s="1775"/>
      <c r="H142" s="986">
        <v>327292.55</v>
      </c>
      <c r="I142" s="973">
        <v>427896.76</v>
      </c>
      <c r="J142" s="974">
        <v>-100604.21</v>
      </c>
      <c r="K142" s="382"/>
      <c r="L142" s="393"/>
      <c r="M142" s="390"/>
      <c r="N142" s="390">
        <v>1</v>
      </c>
      <c r="O142" s="390">
        <v>1</v>
      </c>
      <c r="P142" s="393">
        <v>1</v>
      </c>
      <c r="Q142" s="390">
        <v>1</v>
      </c>
      <c r="R142" s="390">
        <v>1</v>
      </c>
      <c r="S142" s="390">
        <v>1</v>
      </c>
      <c r="T142" s="390">
        <v>1</v>
      </c>
      <c r="U142" s="390">
        <v>1</v>
      </c>
      <c r="V142" s="390"/>
      <c r="W142" s="390"/>
      <c r="X142" s="390"/>
      <c r="Y142" s="390"/>
      <c r="Z142" s="390"/>
      <c r="AA142" s="390"/>
      <c r="AB142" s="393">
        <v>1</v>
      </c>
      <c r="AC142" s="390">
        <v>1</v>
      </c>
      <c r="AD142" s="390">
        <v>1</v>
      </c>
      <c r="AE142" s="390">
        <v>1</v>
      </c>
      <c r="AF142" s="390">
        <v>1</v>
      </c>
      <c r="AG142" s="390">
        <v>1</v>
      </c>
      <c r="AH142" s="390"/>
      <c r="AI142" s="390"/>
      <c r="AJ142" s="390"/>
      <c r="AK142" s="390"/>
      <c r="AL142" s="390"/>
      <c r="AM142" s="390"/>
      <c r="AN142" s="1757">
        <v>1</v>
      </c>
      <c r="AO142" s="385">
        <v>1</v>
      </c>
      <c r="AP142" s="382"/>
      <c r="AQ142" s="607">
        <f t="shared" ref="AQ142:AU142" si="42">+AQ174+AQ173+AQ172+AQ171+AQ170+AQ169+AQ168+AQ167+AQ166+AQ165+AQ164+AQ163+AQ162+AQ161+AQ160+AQ159+AQ158+AQ157+AQ156+AQ155+AQ154+AQ153+AQ152+AQ151+AQ150+AQ149+AQ148+AQ147+AQ146+AQ145+AQ144+AQ143</f>
        <v>238</v>
      </c>
      <c r="AR142" s="608">
        <f t="shared" si="42"/>
        <v>2170098.2400000002</v>
      </c>
      <c r="AS142" s="586">
        <f t="shared" si="42"/>
        <v>6905394.4000000004</v>
      </c>
      <c r="AT142" s="610">
        <f t="shared" si="42"/>
        <v>7333291.1600000001</v>
      </c>
      <c r="AU142" s="609">
        <f t="shared" si="42"/>
        <v>-4780186.16</v>
      </c>
      <c r="AV142" s="380"/>
    </row>
    <row r="143" spans="1:48" s="381" customFormat="1" ht="24.95" customHeight="1">
      <c r="A143" s="966" t="s">
        <v>726</v>
      </c>
      <c r="B143" s="979" t="s">
        <v>727</v>
      </c>
      <c r="C143" s="984">
        <v>139992</v>
      </c>
      <c r="D143" s="989">
        <v>0</v>
      </c>
      <c r="E143" s="967">
        <v>0</v>
      </c>
      <c r="F143" s="968">
        <f t="shared" si="41"/>
        <v>139992</v>
      </c>
      <c r="G143" s="1775"/>
      <c r="H143" s="984">
        <v>0</v>
      </c>
      <c r="I143" s="967">
        <v>0</v>
      </c>
      <c r="J143" s="968">
        <v>0</v>
      </c>
      <c r="K143" s="382"/>
      <c r="L143" s="393"/>
      <c r="M143" s="390"/>
      <c r="N143" s="390"/>
      <c r="O143" s="390"/>
      <c r="P143" s="393"/>
      <c r="Q143" s="390"/>
      <c r="R143" s="390"/>
      <c r="S143" s="390"/>
      <c r="T143" s="390"/>
      <c r="U143" s="390"/>
      <c r="V143" s="390"/>
      <c r="W143" s="390"/>
      <c r="X143" s="390"/>
      <c r="Y143" s="390"/>
      <c r="Z143" s="390"/>
      <c r="AA143" s="390"/>
      <c r="AB143" s="393"/>
      <c r="AC143" s="390"/>
      <c r="AD143" s="390"/>
      <c r="AE143" s="390"/>
      <c r="AF143" s="390"/>
      <c r="AG143" s="390"/>
      <c r="AH143" s="390"/>
      <c r="AI143" s="390"/>
      <c r="AJ143" s="390"/>
      <c r="AK143" s="390"/>
      <c r="AL143" s="390"/>
      <c r="AM143" s="390"/>
      <c r="AN143" s="1757"/>
      <c r="AO143" s="385"/>
      <c r="AP143" s="382"/>
      <c r="AQ143" s="603">
        <f t="shared" ref="AQ143:AQ174" si="43">SUM(K143:AO143)</f>
        <v>0</v>
      </c>
      <c r="AR143" s="604">
        <f t="shared" ref="AR143:AR174" si="44">IFERROR(IF(F143-I143&lt;0,0,F143-I143),0)</f>
        <v>139992</v>
      </c>
      <c r="AS143" s="590">
        <f t="shared" ref="AS143:AS174" si="45">IFERROR(AQ143*AR143,0)</f>
        <v>0</v>
      </c>
      <c r="AT143" s="606">
        <f t="shared" ref="AT143:AT174" si="46">I143+AS143</f>
        <v>0</v>
      </c>
      <c r="AU143" s="605">
        <f t="shared" ref="AU143:AU174" si="47">F143-AT143</f>
        <v>139992</v>
      </c>
      <c r="AV143" s="380"/>
    </row>
    <row r="144" spans="1:48" s="381" customFormat="1" ht="24.95" customHeight="1">
      <c r="A144" s="966" t="s">
        <v>728</v>
      </c>
      <c r="B144" s="979" t="s">
        <v>729</v>
      </c>
      <c r="C144" s="984">
        <v>11200</v>
      </c>
      <c r="D144" s="989">
        <v>0</v>
      </c>
      <c r="E144" s="967">
        <v>0</v>
      </c>
      <c r="F144" s="968">
        <f t="shared" si="41"/>
        <v>11200</v>
      </c>
      <c r="G144" s="1775"/>
      <c r="H144" s="984">
        <v>0</v>
      </c>
      <c r="I144" s="967">
        <v>0</v>
      </c>
      <c r="J144" s="968">
        <v>0</v>
      </c>
      <c r="K144" s="382"/>
      <c r="L144" s="393"/>
      <c r="M144" s="390"/>
      <c r="N144" s="390"/>
      <c r="O144" s="390">
        <v>1</v>
      </c>
      <c r="P144" s="393">
        <v>1</v>
      </c>
      <c r="Q144" s="390">
        <v>1</v>
      </c>
      <c r="R144" s="390">
        <v>1</v>
      </c>
      <c r="S144" s="390">
        <v>1</v>
      </c>
      <c r="T144" s="390">
        <v>1</v>
      </c>
      <c r="U144" s="390">
        <v>1</v>
      </c>
      <c r="V144" s="390"/>
      <c r="W144" s="390"/>
      <c r="X144" s="390"/>
      <c r="Y144" s="390"/>
      <c r="Z144" s="390"/>
      <c r="AA144" s="390"/>
      <c r="AB144" s="393">
        <v>1</v>
      </c>
      <c r="AC144" s="390">
        <v>1</v>
      </c>
      <c r="AD144" s="390">
        <v>1</v>
      </c>
      <c r="AE144" s="390">
        <v>1</v>
      </c>
      <c r="AF144" s="390">
        <v>1</v>
      </c>
      <c r="AG144" s="390">
        <v>1</v>
      </c>
      <c r="AH144" s="390"/>
      <c r="AI144" s="390"/>
      <c r="AJ144" s="390"/>
      <c r="AK144" s="390"/>
      <c r="AL144" s="390"/>
      <c r="AM144" s="390"/>
      <c r="AN144" s="1757">
        <v>1</v>
      </c>
      <c r="AO144" s="385">
        <v>1</v>
      </c>
      <c r="AP144" s="382"/>
      <c r="AQ144" s="603">
        <f t="shared" si="43"/>
        <v>15</v>
      </c>
      <c r="AR144" s="604">
        <f t="shared" si="44"/>
        <v>11200</v>
      </c>
      <c r="AS144" s="590">
        <f t="shared" si="45"/>
        <v>168000</v>
      </c>
      <c r="AT144" s="606">
        <f t="shared" si="46"/>
        <v>168000</v>
      </c>
      <c r="AU144" s="605">
        <f t="shared" si="47"/>
        <v>-156800</v>
      </c>
      <c r="AV144" s="380"/>
    </row>
    <row r="145" spans="1:48" ht="24.95" customHeight="1">
      <c r="A145" s="966" t="s">
        <v>730</v>
      </c>
      <c r="B145" s="979" t="s">
        <v>731</v>
      </c>
      <c r="C145" s="984">
        <v>20160</v>
      </c>
      <c r="D145" s="989">
        <v>0</v>
      </c>
      <c r="E145" s="967">
        <v>0</v>
      </c>
      <c r="F145" s="968">
        <f t="shared" si="41"/>
        <v>20160</v>
      </c>
      <c r="G145" s="1775"/>
      <c r="H145" s="984">
        <v>0</v>
      </c>
      <c r="I145" s="967">
        <v>0</v>
      </c>
      <c r="J145" s="968">
        <v>0</v>
      </c>
      <c r="K145" s="382"/>
      <c r="L145" s="393"/>
      <c r="M145" s="390"/>
      <c r="N145" s="390"/>
      <c r="O145" s="390"/>
      <c r="P145" s="393"/>
      <c r="Q145" s="390"/>
      <c r="R145" s="390"/>
      <c r="S145" s="390"/>
      <c r="T145" s="390"/>
      <c r="U145" s="390"/>
      <c r="V145" s="390"/>
      <c r="W145" s="390"/>
      <c r="X145" s="390"/>
      <c r="Y145" s="390"/>
      <c r="Z145" s="390"/>
      <c r="AA145" s="390"/>
      <c r="AB145" s="393"/>
      <c r="AC145" s="390"/>
      <c r="AD145" s="390"/>
      <c r="AE145" s="390"/>
      <c r="AF145" s="390"/>
      <c r="AG145" s="390"/>
      <c r="AH145" s="390"/>
      <c r="AI145" s="390"/>
      <c r="AJ145" s="390"/>
      <c r="AK145" s="390"/>
      <c r="AL145" s="390"/>
      <c r="AM145" s="390"/>
      <c r="AN145" s="1757"/>
      <c r="AO145" s="385"/>
      <c r="AQ145" s="571">
        <f t="shared" si="43"/>
        <v>0</v>
      </c>
      <c r="AR145" s="574">
        <f t="shared" si="44"/>
        <v>20160</v>
      </c>
      <c r="AS145" s="573">
        <f t="shared" si="45"/>
        <v>0</v>
      </c>
      <c r="AT145" s="572">
        <f t="shared" si="46"/>
        <v>0</v>
      </c>
      <c r="AU145" s="573">
        <f t="shared" si="47"/>
        <v>20160</v>
      </c>
      <c r="AV145" s="380"/>
    </row>
    <row r="146" spans="1:48" s="381" customFormat="1" ht="24.95" customHeight="1">
      <c r="A146" s="966" t="s">
        <v>732</v>
      </c>
      <c r="B146" s="979" t="s">
        <v>733</v>
      </c>
      <c r="C146" s="984">
        <v>23296</v>
      </c>
      <c r="D146" s="989">
        <v>0</v>
      </c>
      <c r="E146" s="967">
        <v>0</v>
      </c>
      <c r="F146" s="968">
        <f t="shared" si="41"/>
        <v>23296</v>
      </c>
      <c r="G146" s="1775"/>
      <c r="H146" s="984">
        <v>0</v>
      </c>
      <c r="I146" s="967">
        <v>0</v>
      </c>
      <c r="J146" s="968">
        <v>0</v>
      </c>
      <c r="K146" s="382"/>
      <c r="L146" s="393"/>
      <c r="M146" s="390"/>
      <c r="N146" s="390">
        <v>1</v>
      </c>
      <c r="O146" s="390">
        <v>1</v>
      </c>
      <c r="P146" s="393">
        <v>2</v>
      </c>
      <c r="Q146" s="390">
        <v>1</v>
      </c>
      <c r="R146" s="390"/>
      <c r="S146" s="390"/>
      <c r="T146" s="390"/>
      <c r="U146" s="390"/>
      <c r="V146" s="390"/>
      <c r="W146" s="390"/>
      <c r="X146" s="390"/>
      <c r="Y146" s="390"/>
      <c r="Z146" s="390"/>
      <c r="AA146" s="390"/>
      <c r="AB146" s="393">
        <v>2</v>
      </c>
      <c r="AC146" s="390">
        <v>1</v>
      </c>
      <c r="AD146" s="390"/>
      <c r="AE146" s="390"/>
      <c r="AF146" s="390"/>
      <c r="AG146" s="390"/>
      <c r="AH146" s="390"/>
      <c r="AI146" s="390"/>
      <c r="AJ146" s="390"/>
      <c r="AK146" s="390"/>
      <c r="AL146" s="390"/>
      <c r="AM146" s="390"/>
      <c r="AN146" s="1757">
        <v>2</v>
      </c>
      <c r="AO146" s="385">
        <v>1</v>
      </c>
      <c r="AP146" s="382"/>
      <c r="AQ146" s="603">
        <f t="shared" si="43"/>
        <v>11</v>
      </c>
      <c r="AR146" s="604">
        <f t="shared" si="44"/>
        <v>23296</v>
      </c>
      <c r="AS146" s="590">
        <f t="shared" si="45"/>
        <v>256256</v>
      </c>
      <c r="AT146" s="606">
        <f t="shared" si="46"/>
        <v>256256</v>
      </c>
      <c r="AU146" s="605">
        <f t="shared" si="47"/>
        <v>-232960</v>
      </c>
      <c r="AV146" s="380"/>
    </row>
    <row r="147" spans="1:48" s="381" customFormat="1" ht="24.95" customHeight="1">
      <c r="A147" s="966" t="s">
        <v>734</v>
      </c>
      <c r="B147" s="979" t="s">
        <v>735</v>
      </c>
      <c r="C147" s="984">
        <v>44800</v>
      </c>
      <c r="D147" s="989">
        <v>0</v>
      </c>
      <c r="E147" s="967">
        <v>0</v>
      </c>
      <c r="F147" s="968">
        <f t="shared" si="41"/>
        <v>44800</v>
      </c>
      <c r="G147" s="1775"/>
      <c r="H147" s="984">
        <v>32780.160000000003</v>
      </c>
      <c r="I147" s="967">
        <v>32780.199999999997</v>
      </c>
      <c r="J147" s="968">
        <v>-0.04</v>
      </c>
      <c r="K147" s="382"/>
      <c r="L147" s="393"/>
      <c r="M147" s="390"/>
      <c r="N147" s="390">
        <v>1</v>
      </c>
      <c r="O147" s="390">
        <v>1</v>
      </c>
      <c r="P147" s="393">
        <v>2</v>
      </c>
      <c r="Q147" s="390"/>
      <c r="R147" s="390"/>
      <c r="S147" s="390"/>
      <c r="T147" s="390"/>
      <c r="U147" s="390"/>
      <c r="V147" s="390"/>
      <c r="W147" s="390"/>
      <c r="X147" s="390"/>
      <c r="Y147" s="390"/>
      <c r="Z147" s="390"/>
      <c r="AA147" s="390"/>
      <c r="AB147" s="393">
        <v>2</v>
      </c>
      <c r="AC147" s="390"/>
      <c r="AD147" s="390"/>
      <c r="AE147" s="390"/>
      <c r="AF147" s="390"/>
      <c r="AG147" s="390"/>
      <c r="AH147" s="390"/>
      <c r="AI147" s="390"/>
      <c r="AJ147" s="390"/>
      <c r="AK147" s="390"/>
      <c r="AL147" s="390"/>
      <c r="AM147" s="390"/>
      <c r="AN147" s="1757">
        <v>2</v>
      </c>
      <c r="AO147" s="385"/>
      <c r="AP147" s="382"/>
      <c r="AQ147" s="603">
        <f t="shared" si="43"/>
        <v>8</v>
      </c>
      <c r="AR147" s="604">
        <f t="shared" si="44"/>
        <v>12019.800000000003</v>
      </c>
      <c r="AS147" s="590">
        <f t="shared" si="45"/>
        <v>96158.400000000023</v>
      </c>
      <c r="AT147" s="606">
        <f t="shared" si="46"/>
        <v>128938.60000000002</v>
      </c>
      <c r="AU147" s="605">
        <f t="shared" si="47"/>
        <v>-84138.60000000002</v>
      </c>
      <c r="AV147" s="380"/>
    </row>
    <row r="148" spans="1:48" s="381" customFormat="1" ht="24.95" customHeight="1">
      <c r="A148" s="966" t="s">
        <v>736</v>
      </c>
      <c r="B148" s="979" t="s">
        <v>737</v>
      </c>
      <c r="C148" s="984">
        <v>44400</v>
      </c>
      <c r="D148" s="989">
        <v>0</v>
      </c>
      <c r="E148" s="967">
        <v>0</v>
      </c>
      <c r="F148" s="968">
        <f t="shared" si="41"/>
        <v>44400</v>
      </c>
      <c r="G148" s="1775"/>
      <c r="H148" s="984">
        <v>4404.4799999999996</v>
      </c>
      <c r="I148" s="967">
        <v>4980</v>
      </c>
      <c r="J148" s="968">
        <v>-575.52</v>
      </c>
      <c r="K148" s="382"/>
      <c r="L148" s="393"/>
      <c r="M148" s="390"/>
      <c r="N148" s="390">
        <v>1</v>
      </c>
      <c r="O148" s="390">
        <v>1</v>
      </c>
      <c r="P148" s="393">
        <v>2</v>
      </c>
      <c r="Q148" s="390">
        <v>1</v>
      </c>
      <c r="R148" s="390">
        <v>1</v>
      </c>
      <c r="S148" s="390">
        <v>1</v>
      </c>
      <c r="T148" s="390">
        <v>1</v>
      </c>
      <c r="U148" s="390">
        <v>1</v>
      </c>
      <c r="V148" s="390"/>
      <c r="W148" s="390"/>
      <c r="X148" s="390"/>
      <c r="Y148" s="390"/>
      <c r="Z148" s="390"/>
      <c r="AA148" s="390"/>
      <c r="AB148" s="393">
        <v>2</v>
      </c>
      <c r="AC148" s="390">
        <v>1</v>
      </c>
      <c r="AD148" s="390">
        <v>1</v>
      </c>
      <c r="AE148" s="390">
        <v>1</v>
      </c>
      <c r="AF148" s="390">
        <v>1</v>
      </c>
      <c r="AG148" s="390">
        <v>1</v>
      </c>
      <c r="AH148" s="390"/>
      <c r="AI148" s="390"/>
      <c r="AJ148" s="390"/>
      <c r="AK148" s="390"/>
      <c r="AL148" s="390"/>
      <c r="AM148" s="390"/>
      <c r="AN148" s="1757">
        <v>2</v>
      </c>
      <c r="AO148" s="385">
        <v>1</v>
      </c>
      <c r="AP148" s="382"/>
      <c r="AQ148" s="603">
        <f t="shared" si="43"/>
        <v>19</v>
      </c>
      <c r="AR148" s="604">
        <f t="shared" si="44"/>
        <v>39420</v>
      </c>
      <c r="AS148" s="590">
        <f t="shared" si="45"/>
        <v>748980</v>
      </c>
      <c r="AT148" s="606">
        <f t="shared" si="46"/>
        <v>753960</v>
      </c>
      <c r="AU148" s="605">
        <f t="shared" si="47"/>
        <v>-709560</v>
      </c>
      <c r="AV148" s="380"/>
    </row>
    <row r="149" spans="1:48" ht="24.95" customHeight="1">
      <c r="A149" s="966" t="s">
        <v>738</v>
      </c>
      <c r="B149" s="979" t="s">
        <v>739</v>
      </c>
      <c r="C149" s="984">
        <v>13888</v>
      </c>
      <c r="D149" s="989">
        <v>0</v>
      </c>
      <c r="E149" s="967">
        <v>0</v>
      </c>
      <c r="F149" s="968">
        <f t="shared" si="41"/>
        <v>13888</v>
      </c>
      <c r="G149" s="1775"/>
      <c r="H149" s="984">
        <v>0</v>
      </c>
      <c r="I149" s="967">
        <v>0</v>
      </c>
      <c r="J149" s="968">
        <v>0</v>
      </c>
      <c r="K149" s="382"/>
      <c r="L149" s="393"/>
      <c r="M149" s="390"/>
      <c r="N149" s="390"/>
      <c r="O149" s="390"/>
      <c r="P149" s="393"/>
      <c r="Q149" s="390"/>
      <c r="R149" s="390"/>
      <c r="S149" s="390"/>
      <c r="T149" s="390"/>
      <c r="U149" s="390"/>
      <c r="V149" s="390"/>
      <c r="W149" s="390"/>
      <c r="X149" s="390"/>
      <c r="Y149" s="390"/>
      <c r="Z149" s="390"/>
      <c r="AA149" s="390"/>
      <c r="AB149" s="393"/>
      <c r="AC149" s="390"/>
      <c r="AD149" s="390"/>
      <c r="AE149" s="390"/>
      <c r="AF149" s="390"/>
      <c r="AG149" s="390"/>
      <c r="AH149" s="390"/>
      <c r="AI149" s="390"/>
      <c r="AJ149" s="390"/>
      <c r="AK149" s="390"/>
      <c r="AL149" s="390"/>
      <c r="AM149" s="390"/>
      <c r="AN149" s="1757"/>
      <c r="AO149" s="385"/>
      <c r="AQ149" s="571">
        <f t="shared" si="43"/>
        <v>0</v>
      </c>
      <c r="AR149" s="574">
        <f t="shared" si="44"/>
        <v>13888</v>
      </c>
      <c r="AS149" s="573">
        <f t="shared" si="45"/>
        <v>0</v>
      </c>
      <c r="AT149" s="572">
        <f t="shared" si="46"/>
        <v>0</v>
      </c>
      <c r="AU149" s="573">
        <f t="shared" si="47"/>
        <v>13888</v>
      </c>
      <c r="AV149" s="380"/>
    </row>
    <row r="150" spans="1:48" ht="24.95" customHeight="1">
      <c r="A150" s="966" t="s">
        <v>740</v>
      </c>
      <c r="B150" s="979" t="s">
        <v>741</v>
      </c>
      <c r="C150" s="984">
        <v>11984</v>
      </c>
      <c r="D150" s="989">
        <v>0</v>
      </c>
      <c r="E150" s="967">
        <v>0</v>
      </c>
      <c r="F150" s="968">
        <f t="shared" si="41"/>
        <v>11984</v>
      </c>
      <c r="G150" s="1775"/>
      <c r="H150" s="984">
        <v>0</v>
      </c>
      <c r="I150" s="967">
        <v>0</v>
      </c>
      <c r="J150" s="968">
        <v>0</v>
      </c>
      <c r="K150" s="382"/>
      <c r="L150" s="393"/>
      <c r="M150" s="390"/>
      <c r="N150" s="390"/>
      <c r="O150" s="390"/>
      <c r="P150" s="393">
        <v>1</v>
      </c>
      <c r="Q150" s="390"/>
      <c r="R150" s="390"/>
      <c r="S150" s="390"/>
      <c r="T150" s="390"/>
      <c r="U150" s="390"/>
      <c r="V150" s="390"/>
      <c r="W150" s="390"/>
      <c r="X150" s="390"/>
      <c r="Y150" s="390"/>
      <c r="Z150" s="390"/>
      <c r="AA150" s="390"/>
      <c r="AB150" s="393">
        <v>1</v>
      </c>
      <c r="AC150" s="390"/>
      <c r="AD150" s="390"/>
      <c r="AE150" s="390"/>
      <c r="AF150" s="390"/>
      <c r="AG150" s="390"/>
      <c r="AH150" s="390"/>
      <c r="AI150" s="390"/>
      <c r="AJ150" s="390"/>
      <c r="AK150" s="390"/>
      <c r="AL150" s="390"/>
      <c r="AM150" s="390"/>
      <c r="AN150" s="1757">
        <v>1</v>
      </c>
      <c r="AO150" s="385"/>
      <c r="AQ150" s="603">
        <f t="shared" si="43"/>
        <v>3</v>
      </c>
      <c r="AR150" s="604">
        <f t="shared" si="44"/>
        <v>11984</v>
      </c>
      <c r="AS150" s="590">
        <f t="shared" si="45"/>
        <v>35952</v>
      </c>
      <c r="AT150" s="606">
        <f t="shared" si="46"/>
        <v>35952</v>
      </c>
      <c r="AU150" s="605">
        <f t="shared" si="47"/>
        <v>-23968</v>
      </c>
      <c r="AV150" s="380"/>
    </row>
    <row r="151" spans="1:48" ht="24.95" customHeight="1">
      <c r="A151" s="966" t="s">
        <v>742</v>
      </c>
      <c r="B151" s="979" t="s">
        <v>743</v>
      </c>
      <c r="C151" s="984">
        <v>26800</v>
      </c>
      <c r="D151" s="989">
        <v>0</v>
      </c>
      <c r="E151" s="967">
        <v>0</v>
      </c>
      <c r="F151" s="968">
        <f t="shared" si="41"/>
        <v>26800</v>
      </c>
      <c r="G151" s="1775"/>
      <c r="H151" s="984">
        <v>0</v>
      </c>
      <c r="I151" s="967">
        <v>0</v>
      </c>
      <c r="J151" s="968">
        <v>0</v>
      </c>
      <c r="K151" s="382"/>
      <c r="L151" s="393"/>
      <c r="M151" s="390"/>
      <c r="N151" s="390"/>
      <c r="O151" s="390"/>
      <c r="P151" s="393"/>
      <c r="Q151" s="390"/>
      <c r="R151" s="390"/>
      <c r="S151" s="390"/>
      <c r="T151" s="390"/>
      <c r="U151" s="390"/>
      <c r="V151" s="390"/>
      <c r="W151" s="390"/>
      <c r="X151" s="390"/>
      <c r="Y151" s="390"/>
      <c r="Z151" s="390"/>
      <c r="AA151" s="390"/>
      <c r="AB151" s="393"/>
      <c r="AC151" s="390"/>
      <c r="AD151" s="390"/>
      <c r="AE151" s="390"/>
      <c r="AF151" s="390"/>
      <c r="AG151" s="390"/>
      <c r="AH151" s="390"/>
      <c r="AI151" s="390"/>
      <c r="AJ151" s="390"/>
      <c r="AK151" s="390"/>
      <c r="AL151" s="390"/>
      <c r="AM151" s="390"/>
      <c r="AN151" s="1757"/>
      <c r="AO151" s="385"/>
      <c r="AQ151" s="603">
        <f t="shared" si="43"/>
        <v>0</v>
      </c>
      <c r="AR151" s="604">
        <f t="shared" si="44"/>
        <v>26800</v>
      </c>
      <c r="AS151" s="590">
        <f t="shared" si="45"/>
        <v>0</v>
      </c>
      <c r="AT151" s="606">
        <f t="shared" si="46"/>
        <v>0</v>
      </c>
      <c r="AU151" s="605">
        <f t="shared" si="47"/>
        <v>26800</v>
      </c>
      <c r="AV151" s="380"/>
    </row>
    <row r="152" spans="1:48" ht="24.95" customHeight="1">
      <c r="A152" s="966" t="s">
        <v>744</v>
      </c>
      <c r="B152" s="979" t="s">
        <v>745</v>
      </c>
      <c r="C152" s="984">
        <v>18000</v>
      </c>
      <c r="D152" s="989">
        <v>0</v>
      </c>
      <c r="E152" s="967">
        <v>0</v>
      </c>
      <c r="F152" s="968">
        <f t="shared" si="41"/>
        <v>18000</v>
      </c>
      <c r="G152" s="1775"/>
      <c r="H152" s="984">
        <v>10188</v>
      </c>
      <c r="I152" s="967">
        <v>10188</v>
      </c>
      <c r="J152" s="968">
        <v>0</v>
      </c>
      <c r="K152" s="382"/>
      <c r="L152" s="393"/>
      <c r="M152" s="390"/>
      <c r="N152" s="390"/>
      <c r="O152" s="390"/>
      <c r="P152" s="393">
        <v>1</v>
      </c>
      <c r="Q152" s="390"/>
      <c r="R152" s="390"/>
      <c r="S152" s="390"/>
      <c r="T152" s="390"/>
      <c r="U152" s="390"/>
      <c r="V152" s="390"/>
      <c r="W152" s="390"/>
      <c r="X152" s="390"/>
      <c r="Y152" s="390"/>
      <c r="Z152" s="390"/>
      <c r="AA152" s="390"/>
      <c r="AB152" s="393">
        <v>1</v>
      </c>
      <c r="AC152" s="390"/>
      <c r="AD152" s="390"/>
      <c r="AE152" s="390"/>
      <c r="AF152" s="390"/>
      <c r="AG152" s="390"/>
      <c r="AH152" s="390"/>
      <c r="AI152" s="390"/>
      <c r="AJ152" s="390"/>
      <c r="AK152" s="390"/>
      <c r="AL152" s="390"/>
      <c r="AM152" s="390"/>
      <c r="AN152" s="1757">
        <v>1</v>
      </c>
      <c r="AO152" s="385"/>
      <c r="AQ152" s="603">
        <f t="shared" si="43"/>
        <v>3</v>
      </c>
      <c r="AR152" s="604">
        <f t="shared" si="44"/>
        <v>7812</v>
      </c>
      <c r="AS152" s="590">
        <f t="shared" si="45"/>
        <v>23436</v>
      </c>
      <c r="AT152" s="606">
        <f t="shared" si="46"/>
        <v>33624</v>
      </c>
      <c r="AU152" s="605">
        <f t="shared" si="47"/>
        <v>-15624</v>
      </c>
      <c r="AV152" s="380"/>
    </row>
    <row r="153" spans="1:48" ht="24.95" customHeight="1">
      <c r="A153" s="966" t="s">
        <v>746</v>
      </c>
      <c r="B153" s="979" t="s">
        <v>747</v>
      </c>
      <c r="C153" s="984">
        <v>45720</v>
      </c>
      <c r="D153" s="989">
        <v>0</v>
      </c>
      <c r="E153" s="967">
        <v>0</v>
      </c>
      <c r="F153" s="968">
        <f t="shared" si="41"/>
        <v>45720</v>
      </c>
      <c r="G153" s="1775"/>
      <c r="H153" s="984">
        <v>23097.74</v>
      </c>
      <c r="I153" s="967">
        <v>23100</v>
      </c>
      <c r="J153" s="968">
        <v>-2.2599999999999998</v>
      </c>
      <c r="K153" s="382"/>
      <c r="L153" s="393">
        <v>1</v>
      </c>
      <c r="M153" s="390"/>
      <c r="N153" s="390">
        <v>1</v>
      </c>
      <c r="O153" s="390">
        <v>1</v>
      </c>
      <c r="P153" s="393">
        <v>1</v>
      </c>
      <c r="Q153" s="390">
        <v>1</v>
      </c>
      <c r="R153" s="390">
        <v>1</v>
      </c>
      <c r="S153" s="390">
        <v>1</v>
      </c>
      <c r="T153" s="390"/>
      <c r="U153" s="390"/>
      <c r="V153" s="390"/>
      <c r="W153" s="390"/>
      <c r="X153" s="390"/>
      <c r="Y153" s="390"/>
      <c r="Z153" s="390"/>
      <c r="AA153" s="390"/>
      <c r="AB153" s="393">
        <v>1</v>
      </c>
      <c r="AC153" s="390">
        <v>1</v>
      </c>
      <c r="AD153" s="390">
        <v>1</v>
      </c>
      <c r="AE153" s="390">
        <v>1</v>
      </c>
      <c r="AF153" s="390"/>
      <c r="AG153" s="390"/>
      <c r="AH153" s="390"/>
      <c r="AI153" s="390"/>
      <c r="AJ153" s="390"/>
      <c r="AK153" s="390"/>
      <c r="AL153" s="390"/>
      <c r="AM153" s="390"/>
      <c r="AN153" s="1757">
        <v>1</v>
      </c>
      <c r="AO153" s="385">
        <v>1</v>
      </c>
      <c r="AQ153" s="603">
        <f t="shared" si="43"/>
        <v>13</v>
      </c>
      <c r="AR153" s="604">
        <f t="shared" si="44"/>
        <v>22620</v>
      </c>
      <c r="AS153" s="590">
        <f t="shared" si="45"/>
        <v>294060</v>
      </c>
      <c r="AT153" s="606">
        <f t="shared" si="46"/>
        <v>317160</v>
      </c>
      <c r="AU153" s="605">
        <f t="shared" si="47"/>
        <v>-271440</v>
      </c>
      <c r="AV153" s="380"/>
    </row>
    <row r="154" spans="1:48" ht="24.95" customHeight="1">
      <c r="A154" s="966" t="s">
        <v>748</v>
      </c>
      <c r="B154" s="979" t="s">
        <v>749</v>
      </c>
      <c r="C154" s="984">
        <v>69840</v>
      </c>
      <c r="D154" s="989">
        <v>0</v>
      </c>
      <c r="E154" s="967">
        <v>0</v>
      </c>
      <c r="F154" s="968">
        <f t="shared" si="41"/>
        <v>69840</v>
      </c>
      <c r="G154" s="1775"/>
      <c r="H154" s="984">
        <v>62800.13</v>
      </c>
      <c r="I154" s="967">
        <v>103300</v>
      </c>
      <c r="J154" s="968">
        <v>-40499.870000000003</v>
      </c>
      <c r="K154" s="382"/>
      <c r="L154" s="393">
        <v>1</v>
      </c>
      <c r="M154" s="390"/>
      <c r="N154" s="390">
        <v>1</v>
      </c>
      <c r="O154" s="390">
        <v>1</v>
      </c>
      <c r="P154" s="393">
        <v>1</v>
      </c>
      <c r="Q154" s="390">
        <v>1</v>
      </c>
      <c r="R154" s="390">
        <v>1</v>
      </c>
      <c r="S154" s="390">
        <v>1</v>
      </c>
      <c r="T154" s="390">
        <v>1</v>
      </c>
      <c r="U154" s="390">
        <v>1</v>
      </c>
      <c r="V154" s="390"/>
      <c r="W154" s="390"/>
      <c r="X154" s="390"/>
      <c r="Y154" s="390"/>
      <c r="Z154" s="390"/>
      <c r="AA154" s="390"/>
      <c r="AB154" s="393">
        <v>1</v>
      </c>
      <c r="AC154" s="390">
        <v>1</v>
      </c>
      <c r="AD154" s="390">
        <v>1</v>
      </c>
      <c r="AE154" s="390">
        <v>1</v>
      </c>
      <c r="AF154" s="390">
        <v>1</v>
      </c>
      <c r="AG154" s="390">
        <v>1</v>
      </c>
      <c r="AH154" s="390"/>
      <c r="AI154" s="390"/>
      <c r="AJ154" s="390"/>
      <c r="AK154" s="390"/>
      <c r="AL154" s="390"/>
      <c r="AM154" s="390"/>
      <c r="AN154" s="1757">
        <v>1</v>
      </c>
      <c r="AO154" s="385">
        <v>1</v>
      </c>
      <c r="AQ154" s="603">
        <f t="shared" si="43"/>
        <v>17</v>
      </c>
      <c r="AR154" s="604">
        <f t="shared" si="44"/>
        <v>0</v>
      </c>
      <c r="AS154" s="590">
        <f t="shared" si="45"/>
        <v>0</v>
      </c>
      <c r="AT154" s="606">
        <f t="shared" si="46"/>
        <v>103300</v>
      </c>
      <c r="AU154" s="605">
        <f t="shared" si="47"/>
        <v>-33460</v>
      </c>
      <c r="AV154" s="380"/>
    </row>
    <row r="155" spans="1:48" ht="24.95" customHeight="1">
      <c r="A155" s="966" t="s">
        <v>750</v>
      </c>
      <c r="B155" s="979" t="s">
        <v>751</v>
      </c>
      <c r="C155" s="984">
        <v>15000</v>
      </c>
      <c r="D155" s="989">
        <v>0</v>
      </c>
      <c r="E155" s="967">
        <v>0</v>
      </c>
      <c r="F155" s="968">
        <f t="shared" si="41"/>
        <v>15000</v>
      </c>
      <c r="G155" s="1775"/>
      <c r="H155" s="984">
        <v>975</v>
      </c>
      <c r="I155" s="967">
        <v>0</v>
      </c>
      <c r="J155" s="968">
        <v>975</v>
      </c>
      <c r="K155" s="382"/>
      <c r="L155" s="393"/>
      <c r="M155" s="390"/>
      <c r="N155" s="390"/>
      <c r="O155" s="390">
        <v>1</v>
      </c>
      <c r="P155" s="393"/>
      <c r="Q155" s="390"/>
      <c r="R155" s="390"/>
      <c r="S155" s="390"/>
      <c r="T155" s="390"/>
      <c r="U155" s="390"/>
      <c r="V155" s="390"/>
      <c r="W155" s="390"/>
      <c r="X155" s="390"/>
      <c r="Y155" s="390"/>
      <c r="Z155" s="390"/>
      <c r="AA155" s="390"/>
      <c r="AB155" s="393"/>
      <c r="AC155" s="390"/>
      <c r="AD155" s="390"/>
      <c r="AE155" s="390"/>
      <c r="AF155" s="390"/>
      <c r="AG155" s="390"/>
      <c r="AH155" s="390"/>
      <c r="AI155" s="390"/>
      <c r="AJ155" s="390"/>
      <c r="AK155" s="390"/>
      <c r="AL155" s="390"/>
      <c r="AM155" s="390"/>
      <c r="AN155" s="1757"/>
      <c r="AO155" s="385"/>
      <c r="AQ155" s="603">
        <f t="shared" si="43"/>
        <v>1</v>
      </c>
      <c r="AR155" s="604">
        <f t="shared" si="44"/>
        <v>15000</v>
      </c>
      <c r="AS155" s="590">
        <f t="shared" si="45"/>
        <v>15000</v>
      </c>
      <c r="AT155" s="606">
        <f t="shared" si="46"/>
        <v>15000</v>
      </c>
      <c r="AU155" s="605">
        <f t="shared" si="47"/>
        <v>0</v>
      </c>
      <c r="AV155" s="380"/>
    </row>
    <row r="156" spans="1:48" ht="24.95" customHeight="1">
      <c r="A156" s="966" t="s">
        <v>752</v>
      </c>
      <c r="B156" s="979" t="s">
        <v>753</v>
      </c>
      <c r="C156" s="984">
        <v>13648</v>
      </c>
      <c r="D156" s="989">
        <v>0</v>
      </c>
      <c r="E156" s="967">
        <v>0</v>
      </c>
      <c r="F156" s="968">
        <f t="shared" si="41"/>
        <v>13648</v>
      </c>
      <c r="G156" s="1775"/>
      <c r="H156" s="984">
        <v>0</v>
      </c>
      <c r="I156" s="967">
        <v>0</v>
      </c>
      <c r="J156" s="968">
        <v>0</v>
      </c>
      <c r="K156" s="382"/>
      <c r="L156" s="393"/>
      <c r="M156" s="390"/>
      <c r="N156" s="390"/>
      <c r="O156" s="390">
        <v>1</v>
      </c>
      <c r="P156" s="393"/>
      <c r="Q156" s="390"/>
      <c r="R156" s="390"/>
      <c r="S156" s="390"/>
      <c r="T156" s="390"/>
      <c r="U156" s="390"/>
      <c r="V156" s="390"/>
      <c r="W156" s="390"/>
      <c r="X156" s="390"/>
      <c r="Y156" s="390"/>
      <c r="Z156" s="390"/>
      <c r="AA156" s="390"/>
      <c r="AB156" s="393"/>
      <c r="AC156" s="390"/>
      <c r="AD156" s="390"/>
      <c r="AE156" s="390"/>
      <c r="AF156" s="390"/>
      <c r="AG156" s="390"/>
      <c r="AH156" s="390"/>
      <c r="AI156" s="390"/>
      <c r="AJ156" s="390"/>
      <c r="AK156" s="390"/>
      <c r="AL156" s="390"/>
      <c r="AM156" s="390"/>
      <c r="AN156" s="1757"/>
      <c r="AO156" s="385"/>
      <c r="AQ156" s="603">
        <f t="shared" si="43"/>
        <v>1</v>
      </c>
      <c r="AR156" s="604">
        <f t="shared" si="44"/>
        <v>13648</v>
      </c>
      <c r="AS156" s="590">
        <f t="shared" si="45"/>
        <v>13648</v>
      </c>
      <c r="AT156" s="606">
        <f t="shared" si="46"/>
        <v>13648</v>
      </c>
      <c r="AU156" s="605">
        <f t="shared" si="47"/>
        <v>0</v>
      </c>
      <c r="AV156" s="380"/>
    </row>
    <row r="157" spans="1:48" ht="24.95" customHeight="1">
      <c r="A157" s="966" t="s">
        <v>754</v>
      </c>
      <c r="B157" s="979" t="s">
        <v>755</v>
      </c>
      <c r="C157" s="984">
        <v>141968</v>
      </c>
      <c r="D157" s="989">
        <v>0</v>
      </c>
      <c r="E157" s="967">
        <v>0</v>
      </c>
      <c r="F157" s="968">
        <f t="shared" si="41"/>
        <v>141968</v>
      </c>
      <c r="G157" s="1775"/>
      <c r="H157" s="984">
        <v>0</v>
      </c>
      <c r="I157" s="967">
        <v>0</v>
      </c>
      <c r="J157" s="968">
        <v>0</v>
      </c>
      <c r="K157" s="382"/>
      <c r="L157" s="393"/>
      <c r="M157" s="390"/>
      <c r="N157" s="390"/>
      <c r="O157" s="390"/>
      <c r="P157" s="393"/>
      <c r="Q157" s="390"/>
      <c r="R157" s="390"/>
      <c r="S157" s="390"/>
      <c r="T157" s="390"/>
      <c r="U157" s="390"/>
      <c r="V157" s="390"/>
      <c r="W157" s="390"/>
      <c r="X157" s="390"/>
      <c r="Y157" s="390"/>
      <c r="Z157" s="390"/>
      <c r="AA157" s="390"/>
      <c r="AB157" s="393"/>
      <c r="AC157" s="390"/>
      <c r="AD157" s="390"/>
      <c r="AE157" s="390"/>
      <c r="AF157" s="390"/>
      <c r="AG157" s="390"/>
      <c r="AH157" s="390"/>
      <c r="AI157" s="390"/>
      <c r="AJ157" s="390"/>
      <c r="AK157" s="390"/>
      <c r="AL157" s="390"/>
      <c r="AM157" s="390"/>
      <c r="AN157" s="1757"/>
      <c r="AO157" s="385"/>
      <c r="AQ157" s="603">
        <f t="shared" si="43"/>
        <v>0</v>
      </c>
      <c r="AR157" s="604">
        <f t="shared" si="44"/>
        <v>141968</v>
      </c>
      <c r="AS157" s="590">
        <f t="shared" si="45"/>
        <v>0</v>
      </c>
      <c r="AT157" s="606">
        <f t="shared" si="46"/>
        <v>0</v>
      </c>
      <c r="AU157" s="605">
        <f t="shared" si="47"/>
        <v>141968</v>
      </c>
      <c r="AV157" s="380"/>
    </row>
    <row r="158" spans="1:48" ht="24.95" customHeight="1">
      <c r="A158" s="966" t="s">
        <v>756</v>
      </c>
      <c r="B158" s="979" t="s">
        <v>757</v>
      </c>
      <c r="C158" s="984">
        <v>50000</v>
      </c>
      <c r="D158" s="989">
        <v>0</v>
      </c>
      <c r="E158" s="967">
        <v>0</v>
      </c>
      <c r="F158" s="968">
        <f t="shared" si="41"/>
        <v>50000</v>
      </c>
      <c r="G158" s="1775"/>
      <c r="H158" s="984">
        <v>0</v>
      </c>
      <c r="I158" s="967">
        <v>0</v>
      </c>
      <c r="J158" s="968">
        <v>0</v>
      </c>
      <c r="K158" s="382"/>
      <c r="L158" s="393"/>
      <c r="M158" s="390"/>
      <c r="N158" s="390">
        <v>1</v>
      </c>
      <c r="O158" s="390">
        <v>1</v>
      </c>
      <c r="P158" s="393">
        <v>1</v>
      </c>
      <c r="Q158" s="390">
        <v>1</v>
      </c>
      <c r="R158" s="390">
        <v>1</v>
      </c>
      <c r="S158" s="390">
        <v>1</v>
      </c>
      <c r="T158" s="390">
        <v>1</v>
      </c>
      <c r="U158" s="390"/>
      <c r="V158" s="390"/>
      <c r="W158" s="390"/>
      <c r="X158" s="390"/>
      <c r="Y158" s="390"/>
      <c r="Z158" s="390"/>
      <c r="AA158" s="390"/>
      <c r="AB158" s="393">
        <v>1</v>
      </c>
      <c r="AC158" s="390">
        <v>1</v>
      </c>
      <c r="AD158" s="390">
        <v>1</v>
      </c>
      <c r="AE158" s="390">
        <v>1</v>
      </c>
      <c r="AF158" s="390">
        <v>1</v>
      </c>
      <c r="AG158" s="390"/>
      <c r="AH158" s="390"/>
      <c r="AI158" s="390"/>
      <c r="AJ158" s="390"/>
      <c r="AK158" s="390"/>
      <c r="AL158" s="390"/>
      <c r="AM158" s="390"/>
      <c r="AN158" s="1757">
        <v>1</v>
      </c>
      <c r="AO158" s="385">
        <v>1</v>
      </c>
      <c r="AQ158" s="603">
        <f t="shared" si="43"/>
        <v>14</v>
      </c>
      <c r="AR158" s="604">
        <f t="shared" si="44"/>
        <v>50000</v>
      </c>
      <c r="AS158" s="590">
        <f t="shared" si="45"/>
        <v>700000</v>
      </c>
      <c r="AT158" s="606">
        <f t="shared" si="46"/>
        <v>700000</v>
      </c>
      <c r="AU158" s="605">
        <f t="shared" si="47"/>
        <v>-650000</v>
      </c>
      <c r="AV158" s="380"/>
    </row>
    <row r="159" spans="1:48" ht="24.95" customHeight="1">
      <c r="A159" s="966" t="s">
        <v>758</v>
      </c>
      <c r="B159" s="979" t="s">
        <v>759</v>
      </c>
      <c r="C159" s="984">
        <v>35000</v>
      </c>
      <c r="D159" s="989">
        <v>0</v>
      </c>
      <c r="E159" s="967">
        <v>0</v>
      </c>
      <c r="F159" s="968">
        <f t="shared" si="41"/>
        <v>35000</v>
      </c>
      <c r="G159" s="1775"/>
      <c r="H159" s="984">
        <v>0</v>
      </c>
      <c r="I159" s="967">
        <v>0</v>
      </c>
      <c r="J159" s="968">
        <v>0</v>
      </c>
      <c r="K159" s="382"/>
      <c r="L159" s="393"/>
      <c r="M159" s="390"/>
      <c r="N159" s="390">
        <v>6</v>
      </c>
      <c r="O159" s="390">
        <v>6</v>
      </c>
      <c r="P159" s="393">
        <v>6</v>
      </c>
      <c r="Q159" s="390">
        <v>6</v>
      </c>
      <c r="R159" s="390">
        <v>8</v>
      </c>
      <c r="S159" s="390">
        <v>10</v>
      </c>
      <c r="T159" s="390">
        <v>10</v>
      </c>
      <c r="U159" s="390">
        <v>8</v>
      </c>
      <c r="V159" s="390"/>
      <c r="W159" s="390"/>
      <c r="X159" s="390"/>
      <c r="Y159" s="390"/>
      <c r="Z159" s="390"/>
      <c r="AA159" s="390"/>
      <c r="AB159" s="393">
        <v>6</v>
      </c>
      <c r="AC159" s="390">
        <v>6</v>
      </c>
      <c r="AD159" s="390">
        <v>8</v>
      </c>
      <c r="AE159" s="390">
        <v>10</v>
      </c>
      <c r="AF159" s="390">
        <v>10</v>
      </c>
      <c r="AG159" s="390">
        <v>8</v>
      </c>
      <c r="AH159" s="390"/>
      <c r="AI159" s="390"/>
      <c r="AJ159" s="390"/>
      <c r="AK159" s="390"/>
      <c r="AL159" s="390"/>
      <c r="AM159" s="390"/>
      <c r="AN159" s="1757">
        <v>6</v>
      </c>
      <c r="AO159" s="385">
        <v>6</v>
      </c>
      <c r="AQ159" s="603">
        <f t="shared" si="43"/>
        <v>120</v>
      </c>
      <c r="AR159" s="604">
        <f t="shared" si="44"/>
        <v>35000</v>
      </c>
      <c r="AS159" s="590">
        <f t="shared" si="45"/>
        <v>4200000</v>
      </c>
      <c r="AT159" s="606">
        <f t="shared" si="46"/>
        <v>4200000</v>
      </c>
      <c r="AU159" s="605">
        <f t="shared" si="47"/>
        <v>-4165000</v>
      </c>
      <c r="AV159" s="380"/>
    </row>
    <row r="160" spans="1:48" ht="24.95" customHeight="1">
      <c r="A160" s="966" t="s">
        <v>760</v>
      </c>
      <c r="B160" s="979" t="s">
        <v>373</v>
      </c>
      <c r="C160" s="984">
        <v>55584</v>
      </c>
      <c r="D160" s="989">
        <v>0</v>
      </c>
      <c r="E160" s="967">
        <v>0</v>
      </c>
      <c r="F160" s="968">
        <f t="shared" si="41"/>
        <v>55584</v>
      </c>
      <c r="G160" s="1775"/>
      <c r="H160" s="984">
        <v>0</v>
      </c>
      <c r="I160" s="967">
        <v>0</v>
      </c>
      <c r="J160" s="968">
        <v>0</v>
      </c>
      <c r="K160" s="382"/>
      <c r="L160" s="393"/>
      <c r="M160" s="390"/>
      <c r="N160" s="390"/>
      <c r="O160" s="390"/>
      <c r="P160" s="393"/>
      <c r="Q160" s="390"/>
      <c r="R160" s="390"/>
      <c r="S160" s="390"/>
      <c r="T160" s="390"/>
      <c r="U160" s="390"/>
      <c r="V160" s="390"/>
      <c r="W160" s="390"/>
      <c r="X160" s="390"/>
      <c r="Y160" s="390"/>
      <c r="Z160" s="390"/>
      <c r="AA160" s="390"/>
      <c r="AB160" s="393"/>
      <c r="AC160" s="390"/>
      <c r="AD160" s="390"/>
      <c r="AE160" s="390"/>
      <c r="AF160" s="390"/>
      <c r="AG160" s="390"/>
      <c r="AH160" s="390"/>
      <c r="AI160" s="390"/>
      <c r="AJ160" s="390"/>
      <c r="AK160" s="390"/>
      <c r="AL160" s="390"/>
      <c r="AM160" s="390"/>
      <c r="AN160" s="1757"/>
      <c r="AO160" s="385"/>
      <c r="AQ160" s="603">
        <f t="shared" si="43"/>
        <v>0</v>
      </c>
      <c r="AR160" s="604">
        <f t="shared" si="44"/>
        <v>55584</v>
      </c>
      <c r="AS160" s="590">
        <f t="shared" si="45"/>
        <v>0</v>
      </c>
      <c r="AT160" s="606">
        <f t="shared" si="46"/>
        <v>0</v>
      </c>
      <c r="AU160" s="605">
        <f t="shared" si="47"/>
        <v>55584</v>
      </c>
      <c r="AV160" s="380"/>
    </row>
    <row r="161" spans="1:48" ht="24.95" customHeight="1">
      <c r="A161" s="966" t="s">
        <v>761</v>
      </c>
      <c r="B161" s="979" t="s">
        <v>762</v>
      </c>
      <c r="C161" s="984">
        <v>68592</v>
      </c>
      <c r="D161" s="989">
        <v>0</v>
      </c>
      <c r="E161" s="967">
        <v>0</v>
      </c>
      <c r="F161" s="968">
        <f t="shared" si="41"/>
        <v>68592</v>
      </c>
      <c r="G161" s="1775"/>
      <c r="H161" s="984">
        <v>0</v>
      </c>
      <c r="I161" s="967">
        <v>0</v>
      </c>
      <c r="J161" s="968">
        <v>0</v>
      </c>
      <c r="K161" s="382"/>
      <c r="L161" s="393"/>
      <c r="M161" s="390"/>
      <c r="N161" s="390"/>
      <c r="O161" s="390"/>
      <c r="P161" s="393"/>
      <c r="Q161" s="390"/>
      <c r="R161" s="390"/>
      <c r="S161" s="390"/>
      <c r="T161" s="390"/>
      <c r="U161" s="390"/>
      <c r="V161" s="390"/>
      <c r="W161" s="390"/>
      <c r="X161" s="390"/>
      <c r="Y161" s="390"/>
      <c r="Z161" s="390"/>
      <c r="AA161" s="390"/>
      <c r="AB161" s="393"/>
      <c r="AC161" s="390"/>
      <c r="AD161" s="390"/>
      <c r="AE161" s="390"/>
      <c r="AF161" s="390"/>
      <c r="AG161" s="390"/>
      <c r="AH161" s="390"/>
      <c r="AI161" s="390"/>
      <c r="AJ161" s="390"/>
      <c r="AK161" s="390"/>
      <c r="AL161" s="390"/>
      <c r="AM161" s="390"/>
      <c r="AN161" s="1757"/>
      <c r="AO161" s="385"/>
      <c r="AQ161" s="603">
        <f t="shared" si="43"/>
        <v>0</v>
      </c>
      <c r="AR161" s="604">
        <f t="shared" si="44"/>
        <v>68592</v>
      </c>
      <c r="AS161" s="590">
        <f t="shared" si="45"/>
        <v>0</v>
      </c>
      <c r="AT161" s="606">
        <f t="shared" si="46"/>
        <v>0</v>
      </c>
      <c r="AU161" s="605">
        <f t="shared" si="47"/>
        <v>68592</v>
      </c>
      <c r="AV161" s="380"/>
    </row>
    <row r="162" spans="1:48" ht="24.95" customHeight="1">
      <c r="A162" s="966" t="s">
        <v>763</v>
      </c>
      <c r="B162" s="979" t="s">
        <v>764</v>
      </c>
      <c r="C162" s="984">
        <v>30072</v>
      </c>
      <c r="D162" s="989">
        <v>0</v>
      </c>
      <c r="E162" s="967">
        <v>0</v>
      </c>
      <c r="F162" s="968">
        <f t="shared" si="41"/>
        <v>30072</v>
      </c>
      <c r="G162" s="1775"/>
      <c r="H162" s="984">
        <v>0</v>
      </c>
      <c r="I162" s="967">
        <v>0</v>
      </c>
      <c r="J162" s="968">
        <v>0</v>
      </c>
      <c r="K162" s="382"/>
      <c r="L162" s="393">
        <v>1</v>
      </c>
      <c r="M162" s="390"/>
      <c r="N162" s="390">
        <v>1</v>
      </c>
      <c r="O162" s="390">
        <v>1</v>
      </c>
      <c r="P162" s="393">
        <v>1</v>
      </c>
      <c r="Q162" s="390">
        <v>1</v>
      </c>
      <c r="R162" s="390">
        <v>1</v>
      </c>
      <c r="S162" s="390"/>
      <c r="T162" s="390"/>
      <c r="U162" s="390"/>
      <c r="V162" s="390"/>
      <c r="W162" s="390"/>
      <c r="X162" s="390"/>
      <c r="Y162" s="390"/>
      <c r="Z162" s="390"/>
      <c r="AA162" s="390"/>
      <c r="AB162" s="393">
        <v>1</v>
      </c>
      <c r="AC162" s="390">
        <v>1</v>
      </c>
      <c r="AD162" s="390">
        <v>1</v>
      </c>
      <c r="AE162" s="390"/>
      <c r="AF162" s="390"/>
      <c r="AG162" s="390"/>
      <c r="AH162" s="390"/>
      <c r="AI162" s="390"/>
      <c r="AJ162" s="390"/>
      <c r="AK162" s="390"/>
      <c r="AL162" s="390"/>
      <c r="AM162" s="390"/>
      <c r="AN162" s="1757">
        <v>1</v>
      </c>
      <c r="AO162" s="385">
        <v>1</v>
      </c>
      <c r="AQ162" s="603">
        <f t="shared" si="43"/>
        <v>11</v>
      </c>
      <c r="AR162" s="604">
        <f t="shared" si="44"/>
        <v>30072</v>
      </c>
      <c r="AS162" s="590">
        <f t="shared" si="45"/>
        <v>330792</v>
      </c>
      <c r="AT162" s="606">
        <f t="shared" si="46"/>
        <v>330792</v>
      </c>
      <c r="AU162" s="605">
        <f t="shared" si="47"/>
        <v>-300720</v>
      </c>
      <c r="AV162" s="380"/>
    </row>
    <row r="163" spans="1:48" ht="24.95" customHeight="1">
      <c r="A163" s="966" t="s">
        <v>765</v>
      </c>
      <c r="B163" s="979" t="s">
        <v>766</v>
      </c>
      <c r="C163" s="984">
        <v>23112</v>
      </c>
      <c r="D163" s="989">
        <v>0</v>
      </c>
      <c r="E163" s="967">
        <v>0</v>
      </c>
      <c r="F163" s="968">
        <f t="shared" si="41"/>
        <v>23112</v>
      </c>
      <c r="G163" s="1775"/>
      <c r="H163" s="984">
        <v>0</v>
      </c>
      <c r="I163" s="967">
        <v>0</v>
      </c>
      <c r="J163" s="968">
        <v>0</v>
      </c>
      <c r="K163" s="382"/>
      <c r="L163" s="393"/>
      <c r="M163" s="390"/>
      <c r="N163" s="390">
        <v>1</v>
      </c>
      <c r="O163" s="390"/>
      <c r="P163" s="393"/>
      <c r="Q163" s="390"/>
      <c r="R163" s="390"/>
      <c r="S163" s="390"/>
      <c r="T163" s="390"/>
      <c r="U163" s="390"/>
      <c r="V163" s="390"/>
      <c r="W163" s="390"/>
      <c r="X163" s="390"/>
      <c r="Y163" s="390"/>
      <c r="Z163" s="390"/>
      <c r="AA163" s="390"/>
      <c r="AB163" s="393"/>
      <c r="AC163" s="390"/>
      <c r="AD163" s="390"/>
      <c r="AE163" s="390"/>
      <c r="AF163" s="390"/>
      <c r="AG163" s="390"/>
      <c r="AH163" s="390"/>
      <c r="AI163" s="390"/>
      <c r="AJ163" s="390"/>
      <c r="AK163" s="390"/>
      <c r="AL163" s="390"/>
      <c r="AM163" s="390"/>
      <c r="AN163" s="1757"/>
      <c r="AO163" s="385"/>
      <c r="AQ163" s="603">
        <f t="shared" si="43"/>
        <v>1</v>
      </c>
      <c r="AR163" s="604">
        <f t="shared" si="44"/>
        <v>23112</v>
      </c>
      <c r="AS163" s="590">
        <f t="shared" si="45"/>
        <v>23112</v>
      </c>
      <c r="AT163" s="606">
        <f t="shared" si="46"/>
        <v>23112</v>
      </c>
      <c r="AU163" s="605">
        <f t="shared" si="47"/>
        <v>0</v>
      </c>
      <c r="AV163" s="380"/>
    </row>
    <row r="164" spans="1:48" ht="24.95" customHeight="1">
      <c r="A164" s="966" t="s">
        <v>767</v>
      </c>
      <c r="B164" s="979" t="s">
        <v>768</v>
      </c>
      <c r="C164" s="984">
        <v>76992</v>
      </c>
      <c r="D164" s="989">
        <v>0</v>
      </c>
      <c r="E164" s="967">
        <v>0</v>
      </c>
      <c r="F164" s="968">
        <f t="shared" si="41"/>
        <v>76992</v>
      </c>
      <c r="G164" s="1775"/>
      <c r="H164" s="984">
        <v>0</v>
      </c>
      <c r="I164" s="967">
        <v>0</v>
      </c>
      <c r="J164" s="968">
        <v>0</v>
      </c>
      <c r="K164" s="382"/>
      <c r="L164" s="393"/>
      <c r="M164" s="390"/>
      <c r="N164" s="390"/>
      <c r="O164" s="390"/>
      <c r="P164" s="393"/>
      <c r="Q164" s="390"/>
      <c r="R164" s="390"/>
      <c r="S164" s="390"/>
      <c r="T164" s="390"/>
      <c r="U164" s="390"/>
      <c r="V164" s="390"/>
      <c r="W164" s="390"/>
      <c r="X164" s="390"/>
      <c r="Y164" s="390"/>
      <c r="Z164" s="390"/>
      <c r="AA164" s="390"/>
      <c r="AB164" s="393"/>
      <c r="AC164" s="390"/>
      <c r="AD164" s="390"/>
      <c r="AE164" s="390"/>
      <c r="AF164" s="390"/>
      <c r="AG164" s="390"/>
      <c r="AH164" s="390"/>
      <c r="AI164" s="390"/>
      <c r="AJ164" s="390"/>
      <c r="AK164" s="390"/>
      <c r="AL164" s="390"/>
      <c r="AM164" s="390"/>
      <c r="AN164" s="1757"/>
      <c r="AO164" s="385"/>
      <c r="AQ164" s="571">
        <f t="shared" si="43"/>
        <v>0</v>
      </c>
      <c r="AR164" s="574">
        <f t="shared" si="44"/>
        <v>76992</v>
      </c>
      <c r="AS164" s="573">
        <f t="shared" si="45"/>
        <v>0</v>
      </c>
      <c r="AT164" s="572">
        <f t="shared" si="46"/>
        <v>0</v>
      </c>
      <c r="AU164" s="573">
        <f t="shared" si="47"/>
        <v>76992</v>
      </c>
      <c r="AV164" s="380"/>
    </row>
    <row r="165" spans="1:48" ht="24.95" customHeight="1">
      <c r="A165" s="966" t="s">
        <v>769</v>
      </c>
      <c r="B165" s="979" t="s">
        <v>770</v>
      </c>
      <c r="C165" s="984">
        <v>16320</v>
      </c>
      <c r="D165" s="989">
        <v>0</v>
      </c>
      <c r="E165" s="967">
        <v>0</v>
      </c>
      <c r="F165" s="968">
        <f t="shared" si="41"/>
        <v>16320</v>
      </c>
      <c r="G165" s="1775"/>
      <c r="H165" s="984">
        <v>16156.8</v>
      </c>
      <c r="I165" s="967">
        <v>27750</v>
      </c>
      <c r="J165" s="968">
        <v>-11593.2</v>
      </c>
      <c r="K165" s="382"/>
      <c r="L165" s="393"/>
      <c r="M165" s="390"/>
      <c r="N165" s="390"/>
      <c r="O165" s="390">
        <v>1</v>
      </c>
      <c r="P165" s="393"/>
      <c r="Q165" s="390"/>
      <c r="R165" s="390"/>
      <c r="S165" s="390"/>
      <c r="T165" s="390"/>
      <c r="U165" s="390"/>
      <c r="V165" s="390"/>
      <c r="W165" s="390"/>
      <c r="X165" s="390"/>
      <c r="Y165" s="390"/>
      <c r="Z165" s="390"/>
      <c r="AA165" s="390"/>
      <c r="AB165" s="393"/>
      <c r="AC165" s="390"/>
      <c r="AD165" s="390"/>
      <c r="AE165" s="390"/>
      <c r="AF165" s="390"/>
      <c r="AG165" s="390"/>
      <c r="AH165" s="390"/>
      <c r="AI165" s="390"/>
      <c r="AJ165" s="390"/>
      <c r="AK165" s="390"/>
      <c r="AL165" s="390"/>
      <c r="AM165" s="390"/>
      <c r="AN165" s="1757"/>
      <c r="AO165" s="385"/>
      <c r="AQ165" s="603">
        <f t="shared" si="43"/>
        <v>1</v>
      </c>
      <c r="AR165" s="604">
        <f t="shared" si="44"/>
        <v>0</v>
      </c>
      <c r="AS165" s="590">
        <f t="shared" si="45"/>
        <v>0</v>
      </c>
      <c r="AT165" s="606">
        <f t="shared" si="46"/>
        <v>27750</v>
      </c>
      <c r="AU165" s="605">
        <f t="shared" si="47"/>
        <v>-11430</v>
      </c>
      <c r="AV165" s="380"/>
    </row>
    <row r="166" spans="1:48" ht="24.95" customHeight="1">
      <c r="A166" s="966" t="s">
        <v>771</v>
      </c>
      <c r="B166" s="979" t="s">
        <v>772</v>
      </c>
      <c r="C166" s="984">
        <v>15000</v>
      </c>
      <c r="D166" s="989">
        <v>0</v>
      </c>
      <c r="E166" s="967">
        <v>0</v>
      </c>
      <c r="F166" s="968">
        <f t="shared" si="41"/>
        <v>15000</v>
      </c>
      <c r="G166" s="1775"/>
      <c r="H166" s="984">
        <v>0</v>
      </c>
      <c r="I166" s="967">
        <v>0</v>
      </c>
      <c r="J166" s="968">
        <v>0</v>
      </c>
      <c r="K166" s="382"/>
      <c r="L166" s="393"/>
      <c r="M166" s="390"/>
      <c r="N166" s="390"/>
      <c r="O166" s="390"/>
      <c r="P166" s="393"/>
      <c r="Q166" s="390"/>
      <c r="R166" s="390"/>
      <c r="S166" s="390"/>
      <c r="T166" s="390"/>
      <c r="U166" s="390"/>
      <c r="V166" s="390"/>
      <c r="W166" s="390"/>
      <c r="X166" s="390"/>
      <c r="Y166" s="390"/>
      <c r="Z166" s="390"/>
      <c r="AA166" s="390"/>
      <c r="AB166" s="393"/>
      <c r="AC166" s="390"/>
      <c r="AD166" s="390"/>
      <c r="AE166" s="390"/>
      <c r="AF166" s="390"/>
      <c r="AG166" s="390"/>
      <c r="AH166" s="390"/>
      <c r="AI166" s="390"/>
      <c r="AJ166" s="390"/>
      <c r="AK166" s="390"/>
      <c r="AL166" s="390"/>
      <c r="AM166" s="390"/>
      <c r="AN166" s="1757"/>
      <c r="AO166" s="385"/>
      <c r="AQ166" s="603">
        <f t="shared" si="43"/>
        <v>0</v>
      </c>
      <c r="AR166" s="604">
        <f t="shared" si="44"/>
        <v>15000</v>
      </c>
      <c r="AS166" s="590">
        <f t="shared" si="45"/>
        <v>0</v>
      </c>
      <c r="AT166" s="606">
        <f t="shared" si="46"/>
        <v>0</v>
      </c>
      <c r="AU166" s="605">
        <f t="shared" si="47"/>
        <v>15000</v>
      </c>
      <c r="AV166" s="380"/>
    </row>
    <row r="167" spans="1:48" ht="24.95" customHeight="1">
      <c r="A167" s="966" t="s">
        <v>773</v>
      </c>
      <c r="B167" s="979" t="s">
        <v>774</v>
      </c>
      <c r="C167" s="984">
        <v>12240</v>
      </c>
      <c r="D167" s="989">
        <v>0</v>
      </c>
      <c r="E167" s="967">
        <v>0</v>
      </c>
      <c r="F167" s="968">
        <f t="shared" si="41"/>
        <v>12240</v>
      </c>
      <c r="G167" s="1775"/>
      <c r="H167" s="984">
        <v>0</v>
      </c>
      <c r="I167" s="967">
        <v>0</v>
      </c>
      <c r="J167" s="968">
        <v>0</v>
      </c>
      <c r="K167" s="382"/>
      <c r="L167" s="393"/>
      <c r="M167" s="390"/>
      <c r="N167" s="390"/>
      <c r="O167" s="390"/>
      <c r="P167" s="393"/>
      <c r="Q167" s="390"/>
      <c r="R167" s="390"/>
      <c r="S167" s="390"/>
      <c r="T167" s="390"/>
      <c r="U167" s="390"/>
      <c r="V167" s="390"/>
      <c r="W167" s="390"/>
      <c r="X167" s="390"/>
      <c r="Y167" s="390"/>
      <c r="Z167" s="390"/>
      <c r="AA167" s="390"/>
      <c r="AB167" s="393"/>
      <c r="AC167" s="390"/>
      <c r="AD167" s="390"/>
      <c r="AE167" s="390"/>
      <c r="AF167" s="390"/>
      <c r="AG167" s="390"/>
      <c r="AH167" s="390"/>
      <c r="AI167" s="390"/>
      <c r="AJ167" s="390"/>
      <c r="AK167" s="390"/>
      <c r="AL167" s="390"/>
      <c r="AM167" s="390"/>
      <c r="AN167" s="1757"/>
      <c r="AO167" s="385"/>
      <c r="AQ167" s="603">
        <f t="shared" si="43"/>
        <v>0</v>
      </c>
      <c r="AR167" s="604">
        <f t="shared" si="44"/>
        <v>12240</v>
      </c>
      <c r="AS167" s="590">
        <f t="shared" si="45"/>
        <v>0</v>
      </c>
      <c r="AT167" s="606">
        <f t="shared" si="46"/>
        <v>0</v>
      </c>
      <c r="AU167" s="605">
        <f t="shared" si="47"/>
        <v>12240</v>
      </c>
      <c r="AV167" s="380"/>
    </row>
    <row r="168" spans="1:48" ht="24.95" customHeight="1">
      <c r="A168" s="966" t="s">
        <v>775</v>
      </c>
      <c r="B168" s="979" t="s">
        <v>776</v>
      </c>
      <c r="C168" s="984">
        <v>50400</v>
      </c>
      <c r="D168" s="989">
        <v>0</v>
      </c>
      <c r="E168" s="967">
        <v>0</v>
      </c>
      <c r="F168" s="968">
        <f t="shared" si="41"/>
        <v>50400</v>
      </c>
      <c r="G168" s="1775"/>
      <c r="H168" s="984">
        <v>0</v>
      </c>
      <c r="I168" s="967">
        <v>0</v>
      </c>
      <c r="J168" s="968">
        <v>0</v>
      </c>
      <c r="K168" s="382"/>
      <c r="L168" s="393"/>
      <c r="M168" s="390"/>
      <c r="N168" s="390"/>
      <c r="O168" s="390"/>
      <c r="P168" s="393"/>
      <c r="Q168" s="390"/>
      <c r="R168" s="390"/>
      <c r="S168" s="390"/>
      <c r="T168" s="390"/>
      <c r="U168" s="390"/>
      <c r="V168" s="390"/>
      <c r="W168" s="390"/>
      <c r="X168" s="390"/>
      <c r="Y168" s="390"/>
      <c r="Z168" s="390"/>
      <c r="AA168" s="390"/>
      <c r="AB168" s="393"/>
      <c r="AC168" s="390"/>
      <c r="AD168" s="390"/>
      <c r="AE168" s="390"/>
      <c r="AF168" s="390"/>
      <c r="AG168" s="390"/>
      <c r="AH168" s="390"/>
      <c r="AI168" s="390"/>
      <c r="AJ168" s="390"/>
      <c r="AK168" s="390"/>
      <c r="AL168" s="390"/>
      <c r="AM168" s="390"/>
      <c r="AN168" s="1757"/>
      <c r="AO168" s="385"/>
      <c r="AQ168" s="603">
        <f t="shared" si="43"/>
        <v>0</v>
      </c>
      <c r="AR168" s="604">
        <f t="shared" si="44"/>
        <v>50400</v>
      </c>
      <c r="AS168" s="590">
        <f t="shared" si="45"/>
        <v>0</v>
      </c>
      <c r="AT168" s="606">
        <f t="shared" si="46"/>
        <v>0</v>
      </c>
      <c r="AU168" s="605">
        <f t="shared" si="47"/>
        <v>50400</v>
      </c>
      <c r="AV168" s="380"/>
    </row>
    <row r="169" spans="1:48" ht="24.95" customHeight="1">
      <c r="A169" s="966" t="s">
        <v>777</v>
      </c>
      <c r="B169" s="979" t="s">
        <v>375</v>
      </c>
      <c r="C169" s="984">
        <v>60312</v>
      </c>
      <c r="D169" s="989">
        <v>0</v>
      </c>
      <c r="E169" s="967">
        <v>0</v>
      </c>
      <c r="F169" s="968">
        <f t="shared" si="41"/>
        <v>60312</v>
      </c>
      <c r="G169" s="1775"/>
      <c r="H169" s="984">
        <v>0</v>
      </c>
      <c r="I169" s="967">
        <v>0</v>
      </c>
      <c r="J169" s="968">
        <v>0</v>
      </c>
      <c r="K169" s="382"/>
      <c r="L169" s="393"/>
      <c r="M169" s="390"/>
      <c r="N169" s="390"/>
      <c r="O169" s="390"/>
      <c r="P169" s="393"/>
      <c r="Q169" s="390"/>
      <c r="R169" s="390"/>
      <c r="S169" s="390"/>
      <c r="T169" s="390"/>
      <c r="U169" s="390"/>
      <c r="V169" s="390"/>
      <c r="W169" s="390"/>
      <c r="X169" s="390"/>
      <c r="Y169" s="390"/>
      <c r="Z169" s="390"/>
      <c r="AA169" s="390"/>
      <c r="AB169" s="393"/>
      <c r="AC169" s="390"/>
      <c r="AD169" s="390"/>
      <c r="AE169" s="390"/>
      <c r="AF169" s="390"/>
      <c r="AG169" s="390"/>
      <c r="AH169" s="390"/>
      <c r="AI169" s="390"/>
      <c r="AJ169" s="390"/>
      <c r="AK169" s="390"/>
      <c r="AL169" s="390"/>
      <c r="AM169" s="390"/>
      <c r="AN169" s="1757"/>
      <c r="AO169" s="385"/>
      <c r="AQ169" s="603">
        <f t="shared" si="43"/>
        <v>0</v>
      </c>
      <c r="AR169" s="604">
        <f t="shared" si="44"/>
        <v>60312</v>
      </c>
      <c r="AS169" s="590">
        <f t="shared" si="45"/>
        <v>0</v>
      </c>
      <c r="AT169" s="606">
        <f t="shared" si="46"/>
        <v>0</v>
      </c>
      <c r="AU169" s="605">
        <f t="shared" si="47"/>
        <v>60312</v>
      </c>
      <c r="AV169" s="380"/>
    </row>
    <row r="170" spans="1:48" ht="24.95" customHeight="1">
      <c r="A170" s="966" t="s">
        <v>778</v>
      </c>
      <c r="B170" s="979" t="s">
        <v>779</v>
      </c>
      <c r="C170" s="984">
        <v>79992</v>
      </c>
      <c r="D170" s="989">
        <v>0</v>
      </c>
      <c r="E170" s="967">
        <v>0</v>
      </c>
      <c r="F170" s="968">
        <f t="shared" si="41"/>
        <v>79992</v>
      </c>
      <c r="G170" s="1775"/>
      <c r="H170" s="984">
        <v>0</v>
      </c>
      <c r="I170" s="967">
        <v>0</v>
      </c>
      <c r="J170" s="968">
        <v>0</v>
      </c>
      <c r="K170" s="382"/>
      <c r="L170" s="393"/>
      <c r="M170" s="390"/>
      <c r="N170" s="390"/>
      <c r="O170" s="390"/>
      <c r="P170" s="393"/>
      <c r="Q170" s="390"/>
      <c r="R170" s="390"/>
      <c r="S170" s="390"/>
      <c r="T170" s="390"/>
      <c r="U170" s="390"/>
      <c r="V170" s="390"/>
      <c r="W170" s="390"/>
      <c r="X170" s="390"/>
      <c r="Y170" s="390"/>
      <c r="Z170" s="390"/>
      <c r="AA170" s="390"/>
      <c r="AB170" s="393"/>
      <c r="AC170" s="390"/>
      <c r="AD170" s="390"/>
      <c r="AE170" s="390"/>
      <c r="AF170" s="390"/>
      <c r="AG170" s="390"/>
      <c r="AH170" s="390"/>
      <c r="AI170" s="390"/>
      <c r="AJ170" s="390"/>
      <c r="AK170" s="390"/>
      <c r="AL170" s="390"/>
      <c r="AM170" s="390"/>
      <c r="AN170" s="1757"/>
      <c r="AO170" s="385"/>
      <c r="AQ170" s="603">
        <f t="shared" si="43"/>
        <v>0</v>
      </c>
      <c r="AR170" s="604">
        <f t="shared" si="44"/>
        <v>79992</v>
      </c>
      <c r="AS170" s="590">
        <f t="shared" si="45"/>
        <v>0</v>
      </c>
      <c r="AT170" s="606">
        <f t="shared" si="46"/>
        <v>0</v>
      </c>
      <c r="AU170" s="605">
        <f t="shared" si="47"/>
        <v>79992</v>
      </c>
      <c r="AV170" s="380"/>
    </row>
    <row r="171" spans="1:48" ht="24.95" customHeight="1">
      <c r="A171" s="966" t="s">
        <v>780</v>
      </c>
      <c r="B171" s="979" t="s">
        <v>376</v>
      </c>
      <c r="C171" s="984">
        <v>45000</v>
      </c>
      <c r="D171" s="989">
        <v>0</v>
      </c>
      <c r="E171" s="967">
        <v>0</v>
      </c>
      <c r="F171" s="968">
        <f t="shared" si="41"/>
        <v>45000</v>
      </c>
      <c r="G171" s="1775"/>
      <c r="H171" s="984">
        <v>0</v>
      </c>
      <c r="I171" s="967">
        <v>0</v>
      </c>
      <c r="J171" s="968">
        <v>0</v>
      </c>
      <c r="K171" s="382"/>
      <c r="L171" s="393"/>
      <c r="M171" s="390"/>
      <c r="N171" s="390"/>
      <c r="O171" s="390"/>
      <c r="P171" s="393"/>
      <c r="Q171" s="390"/>
      <c r="R171" s="390"/>
      <c r="S171" s="390"/>
      <c r="T171" s="390"/>
      <c r="U171" s="390"/>
      <c r="V171" s="390"/>
      <c r="W171" s="390"/>
      <c r="X171" s="390"/>
      <c r="Y171" s="390"/>
      <c r="Z171" s="390"/>
      <c r="AA171" s="390"/>
      <c r="AB171" s="393"/>
      <c r="AC171" s="390"/>
      <c r="AD171" s="390"/>
      <c r="AE171" s="390"/>
      <c r="AF171" s="390"/>
      <c r="AG171" s="390"/>
      <c r="AH171" s="390"/>
      <c r="AI171" s="390"/>
      <c r="AJ171" s="390"/>
      <c r="AK171" s="390"/>
      <c r="AL171" s="390"/>
      <c r="AM171" s="390"/>
      <c r="AN171" s="1757"/>
      <c r="AO171" s="385"/>
      <c r="AQ171" s="603">
        <f t="shared" si="43"/>
        <v>0</v>
      </c>
      <c r="AR171" s="604">
        <f t="shared" si="44"/>
        <v>45000</v>
      </c>
      <c r="AS171" s="590">
        <f t="shared" si="45"/>
        <v>0</v>
      </c>
      <c r="AT171" s="606">
        <f t="shared" si="46"/>
        <v>0</v>
      </c>
      <c r="AU171" s="605">
        <f t="shared" si="47"/>
        <v>45000</v>
      </c>
      <c r="AV171" s="380"/>
    </row>
    <row r="172" spans="1:48" ht="24.95" customHeight="1">
      <c r="A172" s="966" t="s">
        <v>781</v>
      </c>
      <c r="B172" s="979" t="s">
        <v>782</v>
      </c>
      <c r="C172" s="984">
        <v>79800</v>
      </c>
      <c r="D172" s="989">
        <v>0</v>
      </c>
      <c r="E172" s="967">
        <v>0</v>
      </c>
      <c r="F172" s="968">
        <f t="shared" si="41"/>
        <v>79800</v>
      </c>
      <c r="G172" s="1775"/>
      <c r="H172" s="984">
        <v>0</v>
      </c>
      <c r="I172" s="967">
        <v>0</v>
      </c>
      <c r="J172" s="968">
        <v>0</v>
      </c>
      <c r="K172" s="382"/>
      <c r="L172" s="393"/>
      <c r="M172" s="390"/>
      <c r="N172" s="390"/>
      <c r="O172" s="390"/>
      <c r="P172" s="393"/>
      <c r="Q172" s="390"/>
      <c r="R172" s="390"/>
      <c r="S172" s="390"/>
      <c r="T172" s="390"/>
      <c r="U172" s="390"/>
      <c r="V172" s="390"/>
      <c r="W172" s="390"/>
      <c r="X172" s="390"/>
      <c r="Y172" s="390"/>
      <c r="Z172" s="390"/>
      <c r="AA172" s="390"/>
      <c r="AB172" s="393"/>
      <c r="AC172" s="390"/>
      <c r="AD172" s="390"/>
      <c r="AE172" s="390"/>
      <c r="AF172" s="390"/>
      <c r="AG172" s="390"/>
      <c r="AH172" s="390"/>
      <c r="AI172" s="390"/>
      <c r="AJ172" s="390"/>
      <c r="AK172" s="390"/>
      <c r="AL172" s="390"/>
      <c r="AM172" s="390"/>
      <c r="AN172" s="1757"/>
      <c r="AO172" s="385"/>
      <c r="AQ172" s="603">
        <f t="shared" si="43"/>
        <v>0</v>
      </c>
      <c r="AR172" s="604">
        <f t="shared" si="44"/>
        <v>79800</v>
      </c>
      <c r="AS172" s="590">
        <f t="shared" si="45"/>
        <v>0</v>
      </c>
      <c r="AT172" s="606">
        <f t="shared" si="46"/>
        <v>0</v>
      </c>
      <c r="AU172" s="605">
        <f t="shared" si="47"/>
        <v>79800</v>
      </c>
      <c r="AV172" s="380"/>
    </row>
    <row r="173" spans="1:48" ht="24.95" customHeight="1">
      <c r="A173" s="966" t="s">
        <v>783</v>
      </c>
      <c r="B173" s="979" t="s">
        <v>378</v>
      </c>
      <c r="C173" s="984">
        <v>168000</v>
      </c>
      <c r="D173" s="989">
        <v>0</v>
      </c>
      <c r="E173" s="967">
        <v>0</v>
      </c>
      <c r="F173" s="968">
        <f t="shared" si="41"/>
        <v>168000</v>
      </c>
      <c r="G173" s="1775"/>
      <c r="H173" s="984">
        <v>3360</v>
      </c>
      <c r="I173" s="967">
        <v>3024</v>
      </c>
      <c r="J173" s="968">
        <v>336</v>
      </c>
      <c r="K173" s="382"/>
      <c r="L173" s="393"/>
      <c r="M173" s="390"/>
      <c r="N173" s="390"/>
      <c r="O173" s="390"/>
      <c r="P173" s="393"/>
      <c r="Q173" s="390"/>
      <c r="R173" s="390"/>
      <c r="S173" s="390"/>
      <c r="T173" s="390"/>
      <c r="U173" s="390"/>
      <c r="V173" s="390"/>
      <c r="W173" s="390"/>
      <c r="X173" s="390"/>
      <c r="Y173" s="390"/>
      <c r="Z173" s="390"/>
      <c r="AA173" s="390"/>
      <c r="AB173" s="393"/>
      <c r="AC173" s="390"/>
      <c r="AD173" s="390"/>
      <c r="AE173" s="390"/>
      <c r="AF173" s="390"/>
      <c r="AG173" s="390"/>
      <c r="AH173" s="390"/>
      <c r="AI173" s="390"/>
      <c r="AJ173" s="390"/>
      <c r="AK173" s="390"/>
      <c r="AL173" s="390"/>
      <c r="AM173" s="390"/>
      <c r="AN173" s="1757"/>
      <c r="AO173" s="385"/>
      <c r="AQ173" s="603">
        <f t="shared" si="43"/>
        <v>0</v>
      </c>
      <c r="AR173" s="604">
        <f t="shared" si="44"/>
        <v>164976</v>
      </c>
      <c r="AS173" s="590">
        <f t="shared" si="45"/>
        <v>0</v>
      </c>
      <c r="AT173" s="606">
        <f t="shared" si="46"/>
        <v>3024</v>
      </c>
      <c r="AU173" s="605">
        <f t="shared" si="47"/>
        <v>164976</v>
      </c>
      <c r="AV173" s="380"/>
    </row>
    <row r="174" spans="1:48" ht="24.95" customHeight="1">
      <c r="A174" s="966" t="s">
        <v>784</v>
      </c>
      <c r="B174" s="979" t="s">
        <v>374</v>
      </c>
      <c r="C174" s="984">
        <v>1045993</v>
      </c>
      <c r="D174" s="989">
        <v>0</v>
      </c>
      <c r="E174" s="967">
        <v>0</v>
      </c>
      <c r="F174" s="968">
        <f t="shared" si="41"/>
        <v>1045993</v>
      </c>
      <c r="G174" s="1775"/>
      <c r="H174" s="984">
        <v>173530.23999999999</v>
      </c>
      <c r="I174" s="967">
        <v>222774.56</v>
      </c>
      <c r="J174" s="968">
        <v>-49244.32</v>
      </c>
      <c r="K174" s="382"/>
      <c r="L174" s="393"/>
      <c r="M174" s="390"/>
      <c r="N174" s="390"/>
      <c r="O174" s="390"/>
      <c r="P174" s="393"/>
      <c r="Q174" s="390"/>
      <c r="R174" s="390"/>
      <c r="S174" s="390"/>
      <c r="T174" s="390"/>
      <c r="U174" s="390"/>
      <c r="V174" s="390"/>
      <c r="W174" s="390"/>
      <c r="X174" s="390"/>
      <c r="Y174" s="390"/>
      <c r="Z174" s="390"/>
      <c r="AA174" s="390"/>
      <c r="AB174" s="393"/>
      <c r="AC174" s="390"/>
      <c r="AD174" s="390"/>
      <c r="AE174" s="390"/>
      <c r="AF174" s="390"/>
      <c r="AG174" s="390"/>
      <c r="AH174" s="390"/>
      <c r="AI174" s="390"/>
      <c r="AJ174" s="390"/>
      <c r="AK174" s="390"/>
      <c r="AL174" s="390"/>
      <c r="AM174" s="390"/>
      <c r="AN174" s="1757"/>
      <c r="AO174" s="385"/>
      <c r="AQ174" s="603">
        <f t="shared" si="43"/>
        <v>0</v>
      </c>
      <c r="AR174" s="604">
        <f t="shared" si="44"/>
        <v>823218.44</v>
      </c>
      <c r="AS174" s="590">
        <f t="shared" si="45"/>
        <v>0</v>
      </c>
      <c r="AT174" s="606">
        <f t="shared" si="46"/>
        <v>222774.56</v>
      </c>
      <c r="AU174" s="605">
        <f t="shared" si="47"/>
        <v>823218.44</v>
      </c>
      <c r="AV174" s="380"/>
    </row>
    <row r="175" spans="1:48" ht="24.95" customHeight="1">
      <c r="A175" s="972" t="s">
        <v>785</v>
      </c>
      <c r="B175" s="981" t="s">
        <v>80</v>
      </c>
      <c r="C175" s="986">
        <v>4974500</v>
      </c>
      <c r="D175" s="991">
        <v>0</v>
      </c>
      <c r="E175" s="973">
        <v>0</v>
      </c>
      <c r="F175" s="974">
        <f t="shared" si="41"/>
        <v>4974500</v>
      </c>
      <c r="G175" s="1775"/>
      <c r="H175" s="986">
        <v>772983.03</v>
      </c>
      <c r="I175" s="973">
        <v>759752.99</v>
      </c>
      <c r="J175" s="974">
        <v>13230.04</v>
      </c>
      <c r="K175" s="382"/>
      <c r="L175" s="393"/>
      <c r="M175" s="390"/>
      <c r="N175" s="390"/>
      <c r="O175" s="390"/>
      <c r="P175" s="393"/>
      <c r="Q175" s="390"/>
      <c r="R175" s="390"/>
      <c r="S175" s="390"/>
      <c r="T175" s="390"/>
      <c r="U175" s="390"/>
      <c r="V175" s="390"/>
      <c r="W175" s="390"/>
      <c r="X175" s="390"/>
      <c r="Y175" s="390"/>
      <c r="Z175" s="390"/>
      <c r="AA175" s="390"/>
      <c r="AB175" s="393"/>
      <c r="AC175" s="390"/>
      <c r="AD175" s="390"/>
      <c r="AE175" s="390"/>
      <c r="AF175" s="390"/>
      <c r="AG175" s="390"/>
      <c r="AH175" s="390"/>
      <c r="AI175" s="390"/>
      <c r="AJ175" s="390"/>
      <c r="AK175" s="390"/>
      <c r="AL175" s="390"/>
      <c r="AM175" s="390"/>
      <c r="AN175" s="1757"/>
      <c r="AO175" s="385"/>
      <c r="AQ175" s="607">
        <f t="shared" ref="AQ175:AU175" si="48">+AQ204+AQ203+AQ202+AQ201+AQ200+AQ199+AQ198+AQ197+AQ196+AQ195+AQ194+AQ193+AQ192+AQ191+AQ190+AQ189+AQ188+AQ187+AQ186+AQ185+AQ184+AQ183+AQ182+AQ181+AQ180+AQ179+AQ178+AQ177+AQ176</f>
        <v>223</v>
      </c>
      <c r="AR175" s="608">
        <f t="shared" si="48"/>
        <v>4214747.01</v>
      </c>
      <c r="AS175" s="586">
        <f t="shared" si="48"/>
        <v>42960447.239999995</v>
      </c>
      <c r="AT175" s="610">
        <f t="shared" si="48"/>
        <v>43720200.229999989</v>
      </c>
      <c r="AU175" s="609">
        <f t="shared" si="48"/>
        <v>-38745700.229999989</v>
      </c>
      <c r="AV175" s="380"/>
    </row>
    <row r="176" spans="1:48" ht="24.95" customHeight="1">
      <c r="A176" s="966" t="s">
        <v>786</v>
      </c>
      <c r="B176" s="979" t="s">
        <v>256</v>
      </c>
      <c r="C176" s="984">
        <v>108750</v>
      </c>
      <c r="D176" s="989">
        <v>0</v>
      </c>
      <c r="E176" s="967">
        <v>0</v>
      </c>
      <c r="F176" s="968">
        <f t="shared" si="41"/>
        <v>108750</v>
      </c>
      <c r="G176" s="1775"/>
      <c r="H176" s="984">
        <v>22620</v>
      </c>
      <c r="I176" s="967">
        <v>20728.61</v>
      </c>
      <c r="J176" s="968">
        <v>1891.39</v>
      </c>
      <c r="K176" s="382"/>
      <c r="L176" s="393"/>
      <c r="M176" s="390"/>
      <c r="N176" s="390"/>
      <c r="O176" s="390"/>
      <c r="P176" s="393"/>
      <c r="Q176" s="390"/>
      <c r="R176" s="390"/>
      <c r="S176" s="390"/>
      <c r="T176" s="390"/>
      <c r="U176" s="390"/>
      <c r="V176" s="390"/>
      <c r="W176" s="390"/>
      <c r="X176" s="390"/>
      <c r="Y176" s="390"/>
      <c r="Z176" s="390"/>
      <c r="AA176" s="390"/>
      <c r="AB176" s="393"/>
      <c r="AC176" s="390"/>
      <c r="AD176" s="390"/>
      <c r="AE176" s="390"/>
      <c r="AF176" s="390"/>
      <c r="AG176" s="390"/>
      <c r="AH176" s="390"/>
      <c r="AI176" s="390"/>
      <c r="AJ176" s="390"/>
      <c r="AK176" s="390"/>
      <c r="AL176" s="390"/>
      <c r="AM176" s="390"/>
      <c r="AN176" s="1757"/>
      <c r="AO176" s="385"/>
      <c r="AQ176" s="603">
        <f t="shared" ref="AQ176:AQ204" si="49">SUM(K176:AO176)</f>
        <v>0</v>
      </c>
      <c r="AR176" s="604">
        <f t="shared" ref="AR176:AR204" si="50">IFERROR(IF(F176-I176&lt;0,0,F176-I176),0)</f>
        <v>88021.39</v>
      </c>
      <c r="AS176" s="590">
        <f t="shared" ref="AS176:AS204" si="51">IFERROR(AQ176*AR176,0)</f>
        <v>0</v>
      </c>
      <c r="AT176" s="606">
        <f t="shared" ref="AT176:AT204" si="52">I176+AS176</f>
        <v>20728.61</v>
      </c>
      <c r="AU176" s="605">
        <f t="shared" ref="AU176:AU204" si="53">F176-AT176</f>
        <v>88021.39</v>
      </c>
      <c r="AV176" s="380"/>
    </row>
    <row r="177" spans="1:48" ht="24.95" customHeight="1">
      <c r="A177" s="966" t="s">
        <v>787</v>
      </c>
      <c r="B177" s="979" t="s">
        <v>258</v>
      </c>
      <c r="C177" s="984">
        <v>108750</v>
      </c>
      <c r="D177" s="989">
        <v>0</v>
      </c>
      <c r="E177" s="967">
        <v>0</v>
      </c>
      <c r="F177" s="968">
        <f t="shared" si="41"/>
        <v>108750</v>
      </c>
      <c r="G177" s="1775"/>
      <c r="H177" s="984">
        <v>16965</v>
      </c>
      <c r="I177" s="967">
        <v>16354.12</v>
      </c>
      <c r="J177" s="968">
        <v>610.88</v>
      </c>
      <c r="K177" s="382"/>
      <c r="L177" s="393"/>
      <c r="M177" s="390"/>
      <c r="N177" s="390"/>
      <c r="O177" s="390"/>
      <c r="P177" s="393"/>
      <c r="Q177" s="390"/>
      <c r="R177" s="390"/>
      <c r="S177" s="390"/>
      <c r="T177" s="390"/>
      <c r="U177" s="390"/>
      <c r="V177" s="390"/>
      <c r="W177" s="390"/>
      <c r="X177" s="390"/>
      <c r="Y177" s="390"/>
      <c r="Z177" s="390"/>
      <c r="AA177" s="390"/>
      <c r="AB177" s="393"/>
      <c r="AC177" s="390"/>
      <c r="AD177" s="390"/>
      <c r="AE177" s="390"/>
      <c r="AF177" s="390"/>
      <c r="AG177" s="390"/>
      <c r="AH177" s="390"/>
      <c r="AI177" s="390"/>
      <c r="AJ177" s="390"/>
      <c r="AK177" s="390"/>
      <c r="AL177" s="390"/>
      <c r="AM177" s="390"/>
      <c r="AN177" s="1757"/>
      <c r="AO177" s="385"/>
      <c r="AQ177" s="603">
        <f t="shared" si="49"/>
        <v>0</v>
      </c>
      <c r="AR177" s="604">
        <f t="shared" si="50"/>
        <v>92395.88</v>
      </c>
      <c r="AS177" s="590">
        <f t="shared" si="51"/>
        <v>0</v>
      </c>
      <c r="AT177" s="606">
        <f t="shared" si="52"/>
        <v>16354.12</v>
      </c>
      <c r="AU177" s="605">
        <f t="shared" si="53"/>
        <v>92395.88</v>
      </c>
      <c r="AV177" s="380"/>
    </row>
    <row r="178" spans="1:48" ht="24.95" customHeight="1">
      <c r="A178" s="966" t="s">
        <v>788</v>
      </c>
      <c r="B178" s="979" t="s">
        <v>260</v>
      </c>
      <c r="C178" s="984">
        <v>36250</v>
      </c>
      <c r="D178" s="989">
        <v>0</v>
      </c>
      <c r="E178" s="967">
        <v>0</v>
      </c>
      <c r="F178" s="968">
        <f t="shared" si="41"/>
        <v>36250</v>
      </c>
      <c r="G178" s="1775"/>
      <c r="H178" s="984">
        <v>22692.5</v>
      </c>
      <c r="I178" s="967">
        <v>21079.83</v>
      </c>
      <c r="J178" s="968">
        <v>1612.67</v>
      </c>
      <c r="K178" s="382"/>
      <c r="L178" s="393"/>
      <c r="M178" s="390"/>
      <c r="N178" s="390"/>
      <c r="O178" s="390"/>
      <c r="P178" s="393"/>
      <c r="Q178" s="390"/>
      <c r="R178" s="390"/>
      <c r="S178" s="390"/>
      <c r="T178" s="390"/>
      <c r="U178" s="390"/>
      <c r="V178" s="390"/>
      <c r="W178" s="390"/>
      <c r="X178" s="390"/>
      <c r="Y178" s="390"/>
      <c r="Z178" s="390"/>
      <c r="AA178" s="390"/>
      <c r="AB178" s="393"/>
      <c r="AC178" s="390"/>
      <c r="AD178" s="390"/>
      <c r="AE178" s="390"/>
      <c r="AF178" s="390"/>
      <c r="AG178" s="390"/>
      <c r="AH178" s="390"/>
      <c r="AI178" s="390"/>
      <c r="AJ178" s="390"/>
      <c r="AK178" s="390"/>
      <c r="AL178" s="390"/>
      <c r="AM178" s="390"/>
      <c r="AN178" s="1757"/>
      <c r="AO178" s="385"/>
      <c r="AQ178" s="571">
        <f t="shared" si="49"/>
        <v>0</v>
      </c>
      <c r="AR178" s="574">
        <f t="shared" si="50"/>
        <v>15170.169999999998</v>
      </c>
      <c r="AS178" s="573">
        <f t="shared" si="51"/>
        <v>0</v>
      </c>
      <c r="AT178" s="572">
        <f t="shared" si="52"/>
        <v>21079.83</v>
      </c>
      <c r="AU178" s="573">
        <f t="shared" si="53"/>
        <v>15170.169999999998</v>
      </c>
      <c r="AV178" s="380"/>
    </row>
    <row r="179" spans="1:48" ht="24.95" customHeight="1">
      <c r="A179" s="966" t="s">
        <v>789</v>
      </c>
      <c r="B179" s="979" t="s">
        <v>262</v>
      </c>
      <c r="C179" s="984">
        <v>108750</v>
      </c>
      <c r="D179" s="989">
        <v>0</v>
      </c>
      <c r="E179" s="967">
        <v>0</v>
      </c>
      <c r="F179" s="968">
        <f t="shared" si="41"/>
        <v>108750</v>
      </c>
      <c r="G179" s="1775"/>
      <c r="H179" s="984">
        <v>21097.5</v>
      </c>
      <c r="I179" s="967">
        <v>18741.11</v>
      </c>
      <c r="J179" s="968">
        <v>2356.39</v>
      </c>
      <c r="K179" s="382"/>
      <c r="L179" s="393"/>
      <c r="M179" s="390"/>
      <c r="N179" s="390">
        <v>1</v>
      </c>
      <c r="O179" s="390">
        <v>2</v>
      </c>
      <c r="P179" s="393">
        <v>2</v>
      </c>
      <c r="Q179" s="390">
        <v>1</v>
      </c>
      <c r="R179" s="390">
        <v>1</v>
      </c>
      <c r="S179" s="390"/>
      <c r="T179" s="390"/>
      <c r="U179" s="390"/>
      <c r="V179" s="390"/>
      <c r="W179" s="390"/>
      <c r="X179" s="390"/>
      <c r="Y179" s="390"/>
      <c r="Z179" s="390"/>
      <c r="AA179" s="390"/>
      <c r="AB179" s="393">
        <v>2</v>
      </c>
      <c r="AC179" s="390">
        <v>1</v>
      </c>
      <c r="AD179" s="390">
        <v>1</v>
      </c>
      <c r="AE179" s="390"/>
      <c r="AF179" s="390"/>
      <c r="AG179" s="390"/>
      <c r="AH179" s="390"/>
      <c r="AI179" s="390"/>
      <c r="AJ179" s="390"/>
      <c r="AK179" s="390"/>
      <c r="AL179" s="390"/>
      <c r="AM179" s="390"/>
      <c r="AN179" s="1757">
        <v>2</v>
      </c>
      <c r="AO179" s="385">
        <v>1</v>
      </c>
      <c r="AQ179" s="603">
        <f t="shared" si="49"/>
        <v>14</v>
      </c>
      <c r="AR179" s="604">
        <f t="shared" si="50"/>
        <v>90008.89</v>
      </c>
      <c r="AS179" s="590">
        <f t="shared" si="51"/>
        <v>1260124.46</v>
      </c>
      <c r="AT179" s="606">
        <f t="shared" si="52"/>
        <v>1278865.57</v>
      </c>
      <c r="AU179" s="605">
        <f t="shared" si="53"/>
        <v>-1170115.57</v>
      </c>
      <c r="AV179" s="380"/>
    </row>
    <row r="180" spans="1:48" ht="24.95" customHeight="1">
      <c r="A180" s="966" t="s">
        <v>790</v>
      </c>
      <c r="B180" s="979" t="s">
        <v>264</v>
      </c>
      <c r="C180" s="984">
        <v>108750</v>
      </c>
      <c r="D180" s="989">
        <v>0</v>
      </c>
      <c r="E180" s="967">
        <v>0</v>
      </c>
      <c r="F180" s="968">
        <f t="shared" si="41"/>
        <v>108750</v>
      </c>
      <c r="G180" s="1775"/>
      <c r="H180" s="984">
        <v>14355</v>
      </c>
      <c r="I180" s="967">
        <v>13952.14</v>
      </c>
      <c r="J180" s="968">
        <v>402.86</v>
      </c>
      <c r="K180" s="382"/>
      <c r="L180" s="393"/>
      <c r="M180" s="390"/>
      <c r="N180" s="390">
        <v>1</v>
      </c>
      <c r="O180" s="390">
        <v>3</v>
      </c>
      <c r="P180" s="393"/>
      <c r="Q180" s="390"/>
      <c r="R180" s="390"/>
      <c r="S180" s="390"/>
      <c r="T180" s="390"/>
      <c r="U180" s="390"/>
      <c r="V180" s="390"/>
      <c r="W180" s="390"/>
      <c r="X180" s="390"/>
      <c r="Y180" s="390"/>
      <c r="Z180" s="390"/>
      <c r="AA180" s="390"/>
      <c r="AB180" s="393"/>
      <c r="AC180" s="390"/>
      <c r="AD180" s="390"/>
      <c r="AE180" s="390"/>
      <c r="AF180" s="390"/>
      <c r="AG180" s="390"/>
      <c r="AH180" s="390"/>
      <c r="AI180" s="390"/>
      <c r="AJ180" s="390"/>
      <c r="AK180" s="390"/>
      <c r="AL180" s="390"/>
      <c r="AM180" s="390"/>
      <c r="AN180" s="1757"/>
      <c r="AO180" s="385"/>
      <c r="AQ180" s="603">
        <f t="shared" si="49"/>
        <v>4</v>
      </c>
      <c r="AR180" s="604">
        <f t="shared" si="50"/>
        <v>94797.86</v>
      </c>
      <c r="AS180" s="590">
        <f t="shared" si="51"/>
        <v>379191.44</v>
      </c>
      <c r="AT180" s="606">
        <f t="shared" si="52"/>
        <v>393143.58</v>
      </c>
      <c r="AU180" s="605">
        <f t="shared" si="53"/>
        <v>-284393.58</v>
      </c>
      <c r="AV180" s="380"/>
    </row>
    <row r="181" spans="1:48" ht="24.95" customHeight="1">
      <c r="A181" s="966" t="s">
        <v>791</v>
      </c>
      <c r="B181" s="979" t="s">
        <v>792</v>
      </c>
      <c r="C181" s="984">
        <v>116000</v>
      </c>
      <c r="D181" s="989">
        <v>0</v>
      </c>
      <c r="E181" s="967">
        <v>0</v>
      </c>
      <c r="F181" s="968">
        <f t="shared" si="41"/>
        <v>116000</v>
      </c>
      <c r="G181" s="1775"/>
      <c r="H181" s="984">
        <v>0</v>
      </c>
      <c r="I181" s="967">
        <v>0</v>
      </c>
      <c r="J181" s="968">
        <v>0</v>
      </c>
      <c r="K181" s="382"/>
      <c r="L181" s="393"/>
      <c r="M181" s="390"/>
      <c r="N181" s="390">
        <v>1</v>
      </c>
      <c r="O181" s="390">
        <v>1</v>
      </c>
      <c r="P181" s="393">
        <v>2</v>
      </c>
      <c r="Q181" s="390">
        <v>1</v>
      </c>
      <c r="R181" s="390"/>
      <c r="S181" s="390"/>
      <c r="T181" s="390"/>
      <c r="U181" s="390"/>
      <c r="V181" s="390"/>
      <c r="W181" s="390"/>
      <c r="X181" s="390"/>
      <c r="Y181" s="390"/>
      <c r="Z181" s="390"/>
      <c r="AA181" s="390"/>
      <c r="AB181" s="393">
        <v>2</v>
      </c>
      <c r="AC181" s="390">
        <v>1</v>
      </c>
      <c r="AD181" s="390"/>
      <c r="AE181" s="390"/>
      <c r="AF181" s="390"/>
      <c r="AG181" s="390"/>
      <c r="AH181" s="390"/>
      <c r="AI181" s="390"/>
      <c r="AJ181" s="390"/>
      <c r="AK181" s="390"/>
      <c r="AL181" s="390"/>
      <c r="AM181" s="390"/>
      <c r="AN181" s="1757">
        <v>2</v>
      </c>
      <c r="AO181" s="385">
        <v>1</v>
      </c>
      <c r="AQ181" s="603">
        <f t="shared" si="49"/>
        <v>11</v>
      </c>
      <c r="AR181" s="604">
        <f t="shared" si="50"/>
        <v>116000</v>
      </c>
      <c r="AS181" s="590">
        <f t="shared" si="51"/>
        <v>1276000</v>
      </c>
      <c r="AT181" s="606">
        <f t="shared" si="52"/>
        <v>1276000</v>
      </c>
      <c r="AU181" s="605">
        <f t="shared" si="53"/>
        <v>-1160000</v>
      </c>
      <c r="AV181" s="380"/>
    </row>
    <row r="182" spans="1:48" ht="24.95" customHeight="1">
      <c r="A182" s="966" t="s">
        <v>793</v>
      </c>
      <c r="B182" s="979" t="s">
        <v>268</v>
      </c>
      <c r="C182" s="984">
        <v>20500</v>
      </c>
      <c r="D182" s="989">
        <v>0</v>
      </c>
      <c r="E182" s="967">
        <v>0</v>
      </c>
      <c r="F182" s="968">
        <f t="shared" si="41"/>
        <v>20500</v>
      </c>
      <c r="G182" s="1775"/>
      <c r="H182" s="984">
        <v>20448.75</v>
      </c>
      <c r="I182" s="967">
        <v>13952.81</v>
      </c>
      <c r="J182" s="968">
        <v>6495.94</v>
      </c>
      <c r="K182" s="382"/>
      <c r="L182" s="393"/>
      <c r="M182" s="390"/>
      <c r="N182" s="390">
        <v>1</v>
      </c>
      <c r="O182" s="390">
        <v>2</v>
      </c>
      <c r="P182" s="393">
        <v>2</v>
      </c>
      <c r="Q182" s="390">
        <v>1</v>
      </c>
      <c r="R182" s="390">
        <v>1</v>
      </c>
      <c r="S182" s="390">
        <v>1</v>
      </c>
      <c r="T182" s="390">
        <v>1</v>
      </c>
      <c r="U182" s="390">
        <v>1</v>
      </c>
      <c r="V182" s="390"/>
      <c r="W182" s="390"/>
      <c r="X182" s="390"/>
      <c r="Y182" s="390"/>
      <c r="Z182" s="390"/>
      <c r="AA182" s="390"/>
      <c r="AB182" s="393">
        <v>2</v>
      </c>
      <c r="AC182" s="390">
        <v>1</v>
      </c>
      <c r="AD182" s="390">
        <v>1</v>
      </c>
      <c r="AE182" s="390">
        <v>1</v>
      </c>
      <c r="AF182" s="390">
        <v>1</v>
      </c>
      <c r="AG182" s="390">
        <v>1</v>
      </c>
      <c r="AH182" s="390"/>
      <c r="AI182" s="390"/>
      <c r="AJ182" s="390"/>
      <c r="AK182" s="390"/>
      <c r="AL182" s="390"/>
      <c r="AM182" s="390"/>
      <c r="AN182" s="1757">
        <v>2</v>
      </c>
      <c r="AO182" s="385">
        <v>1</v>
      </c>
      <c r="AQ182" s="603">
        <f t="shared" si="49"/>
        <v>20</v>
      </c>
      <c r="AR182" s="604">
        <f t="shared" si="50"/>
        <v>6547.1900000000005</v>
      </c>
      <c r="AS182" s="590">
        <f t="shared" si="51"/>
        <v>130943.80000000002</v>
      </c>
      <c r="AT182" s="606">
        <f t="shared" si="52"/>
        <v>144896.61000000002</v>
      </c>
      <c r="AU182" s="605">
        <f t="shared" si="53"/>
        <v>-124396.61000000002</v>
      </c>
      <c r="AV182" s="380"/>
    </row>
    <row r="183" spans="1:48" ht="24.95" customHeight="1">
      <c r="A183" s="966" t="s">
        <v>794</v>
      </c>
      <c r="B183" s="979" t="s">
        <v>270</v>
      </c>
      <c r="C183" s="984">
        <v>348500</v>
      </c>
      <c r="D183" s="989">
        <v>0</v>
      </c>
      <c r="E183" s="967">
        <v>0</v>
      </c>
      <c r="F183" s="968">
        <f t="shared" si="41"/>
        <v>348500</v>
      </c>
      <c r="G183" s="1775"/>
      <c r="H183" s="984">
        <v>106083.4</v>
      </c>
      <c r="I183" s="967">
        <v>105191.82</v>
      </c>
      <c r="J183" s="968">
        <v>891.58</v>
      </c>
      <c r="K183" s="382"/>
      <c r="L183" s="393"/>
      <c r="M183" s="390"/>
      <c r="N183" s="390">
        <v>1</v>
      </c>
      <c r="O183" s="390">
        <v>2</v>
      </c>
      <c r="P183" s="393">
        <v>2</v>
      </c>
      <c r="Q183" s="390">
        <v>1</v>
      </c>
      <c r="R183" s="390">
        <v>1</v>
      </c>
      <c r="S183" s="390">
        <v>1</v>
      </c>
      <c r="T183" s="390">
        <v>1</v>
      </c>
      <c r="U183" s="390">
        <v>1</v>
      </c>
      <c r="V183" s="390">
        <v>1</v>
      </c>
      <c r="W183" s="390">
        <v>1</v>
      </c>
      <c r="X183" s="390"/>
      <c r="Y183" s="390"/>
      <c r="Z183" s="390"/>
      <c r="AA183" s="390"/>
      <c r="AB183" s="393">
        <v>2</v>
      </c>
      <c r="AC183" s="390">
        <v>1</v>
      </c>
      <c r="AD183" s="390">
        <v>1</v>
      </c>
      <c r="AE183" s="390">
        <v>1</v>
      </c>
      <c r="AF183" s="390">
        <v>1</v>
      </c>
      <c r="AG183" s="390">
        <v>1</v>
      </c>
      <c r="AH183" s="390">
        <v>1</v>
      </c>
      <c r="AI183" s="390">
        <v>1</v>
      </c>
      <c r="AJ183" s="390"/>
      <c r="AK183" s="390"/>
      <c r="AL183" s="390"/>
      <c r="AM183" s="390"/>
      <c r="AN183" s="1757">
        <v>2</v>
      </c>
      <c r="AO183" s="385">
        <v>1</v>
      </c>
      <c r="AQ183" s="603">
        <f t="shared" si="49"/>
        <v>24</v>
      </c>
      <c r="AR183" s="604">
        <f t="shared" si="50"/>
        <v>243308.18</v>
      </c>
      <c r="AS183" s="590">
        <f t="shared" si="51"/>
        <v>5839396.3200000003</v>
      </c>
      <c r="AT183" s="606">
        <f t="shared" si="52"/>
        <v>5944588.1400000006</v>
      </c>
      <c r="AU183" s="605">
        <f t="shared" si="53"/>
        <v>-5596088.1400000006</v>
      </c>
      <c r="AV183" s="380"/>
    </row>
    <row r="184" spans="1:48" ht="24.95" customHeight="1">
      <c r="A184" s="966" t="s">
        <v>795</v>
      </c>
      <c r="B184" s="979" t="s">
        <v>272</v>
      </c>
      <c r="C184" s="984">
        <v>307500</v>
      </c>
      <c r="D184" s="989">
        <v>0</v>
      </c>
      <c r="E184" s="967">
        <v>0</v>
      </c>
      <c r="F184" s="968">
        <f t="shared" si="41"/>
        <v>307500</v>
      </c>
      <c r="G184" s="1775"/>
      <c r="H184" s="984">
        <v>37299.75</v>
      </c>
      <c r="I184" s="967">
        <v>32578.67</v>
      </c>
      <c r="J184" s="968">
        <v>4721.08</v>
      </c>
      <c r="K184" s="382"/>
      <c r="L184" s="393"/>
      <c r="M184" s="390"/>
      <c r="N184" s="390">
        <v>1</v>
      </c>
      <c r="O184" s="390">
        <v>1</v>
      </c>
      <c r="P184" s="393">
        <v>2</v>
      </c>
      <c r="Q184" s="390">
        <v>1</v>
      </c>
      <c r="R184" s="390">
        <v>1</v>
      </c>
      <c r="S184" s="390">
        <v>1</v>
      </c>
      <c r="T184" s="390">
        <v>1</v>
      </c>
      <c r="U184" s="390">
        <v>1</v>
      </c>
      <c r="V184" s="390"/>
      <c r="W184" s="390"/>
      <c r="X184" s="390"/>
      <c r="Y184" s="390"/>
      <c r="Z184" s="390"/>
      <c r="AA184" s="390"/>
      <c r="AB184" s="393">
        <v>2</v>
      </c>
      <c r="AC184" s="390">
        <v>1</v>
      </c>
      <c r="AD184" s="390">
        <v>1</v>
      </c>
      <c r="AE184" s="390">
        <v>1</v>
      </c>
      <c r="AF184" s="390">
        <v>1</v>
      </c>
      <c r="AG184" s="390">
        <v>1</v>
      </c>
      <c r="AH184" s="390"/>
      <c r="AI184" s="390"/>
      <c r="AJ184" s="390"/>
      <c r="AK184" s="390"/>
      <c r="AL184" s="390"/>
      <c r="AM184" s="390"/>
      <c r="AN184" s="1757">
        <v>2</v>
      </c>
      <c r="AO184" s="385">
        <v>1</v>
      </c>
      <c r="AQ184" s="603">
        <f t="shared" si="49"/>
        <v>19</v>
      </c>
      <c r="AR184" s="604">
        <f t="shared" si="50"/>
        <v>274921.33</v>
      </c>
      <c r="AS184" s="590">
        <f t="shared" si="51"/>
        <v>5223505.2700000005</v>
      </c>
      <c r="AT184" s="606">
        <f t="shared" si="52"/>
        <v>5256083.9400000004</v>
      </c>
      <c r="AU184" s="605">
        <f t="shared" si="53"/>
        <v>-4948583.9400000004</v>
      </c>
      <c r="AV184" s="380"/>
    </row>
    <row r="185" spans="1:48" ht="24.95" customHeight="1">
      <c r="A185" s="966" t="s">
        <v>796</v>
      </c>
      <c r="B185" s="979" t="s">
        <v>274</v>
      </c>
      <c r="C185" s="984">
        <v>948125</v>
      </c>
      <c r="D185" s="989">
        <v>0</v>
      </c>
      <c r="E185" s="967">
        <v>0</v>
      </c>
      <c r="F185" s="968">
        <f t="shared" si="41"/>
        <v>948125</v>
      </c>
      <c r="G185" s="1775"/>
      <c r="H185" s="984">
        <v>0</v>
      </c>
      <c r="I185" s="967">
        <v>0</v>
      </c>
      <c r="J185" s="968">
        <v>0</v>
      </c>
      <c r="K185" s="382"/>
      <c r="L185" s="393"/>
      <c r="M185" s="390"/>
      <c r="N185" s="390">
        <v>1</v>
      </c>
      <c r="O185" s="390">
        <v>1</v>
      </c>
      <c r="P185" s="393">
        <v>2</v>
      </c>
      <c r="Q185" s="390">
        <v>1</v>
      </c>
      <c r="R185" s="390">
        <v>1</v>
      </c>
      <c r="S185" s="390">
        <v>1</v>
      </c>
      <c r="T185" s="390"/>
      <c r="U185" s="390"/>
      <c r="V185" s="390"/>
      <c r="W185" s="390"/>
      <c r="X185" s="390"/>
      <c r="Y185" s="390"/>
      <c r="Z185" s="390"/>
      <c r="AA185" s="390"/>
      <c r="AB185" s="393">
        <v>2</v>
      </c>
      <c r="AC185" s="390">
        <v>1</v>
      </c>
      <c r="AD185" s="390">
        <v>1</v>
      </c>
      <c r="AE185" s="390">
        <v>1</v>
      </c>
      <c r="AF185" s="390"/>
      <c r="AG185" s="390"/>
      <c r="AH185" s="390"/>
      <c r="AI185" s="390"/>
      <c r="AJ185" s="390"/>
      <c r="AK185" s="390"/>
      <c r="AL185" s="390"/>
      <c r="AM185" s="390"/>
      <c r="AN185" s="1757">
        <v>2</v>
      </c>
      <c r="AO185" s="385">
        <v>1</v>
      </c>
      <c r="AQ185" s="603">
        <f t="shared" si="49"/>
        <v>15</v>
      </c>
      <c r="AR185" s="604">
        <f t="shared" si="50"/>
        <v>948125</v>
      </c>
      <c r="AS185" s="590">
        <f t="shared" si="51"/>
        <v>14221875</v>
      </c>
      <c r="AT185" s="606">
        <f t="shared" si="52"/>
        <v>14221875</v>
      </c>
      <c r="AU185" s="605">
        <f t="shared" si="53"/>
        <v>-13273750</v>
      </c>
      <c r="AV185" s="380"/>
    </row>
    <row r="186" spans="1:48" ht="24.95" customHeight="1">
      <c r="A186" s="966" t="s">
        <v>797</v>
      </c>
      <c r="B186" s="979" t="s">
        <v>276</v>
      </c>
      <c r="C186" s="984">
        <v>112500</v>
      </c>
      <c r="D186" s="989">
        <v>0</v>
      </c>
      <c r="E186" s="967">
        <v>0</v>
      </c>
      <c r="F186" s="968">
        <f t="shared" si="41"/>
        <v>112500</v>
      </c>
      <c r="G186" s="1775"/>
      <c r="H186" s="984">
        <v>0</v>
      </c>
      <c r="I186" s="967">
        <v>0</v>
      </c>
      <c r="J186" s="968">
        <v>0</v>
      </c>
      <c r="K186" s="382"/>
      <c r="L186" s="393"/>
      <c r="M186" s="390"/>
      <c r="N186" s="390">
        <v>1</v>
      </c>
      <c r="O186" s="390">
        <v>1</v>
      </c>
      <c r="P186" s="393">
        <v>2</v>
      </c>
      <c r="Q186" s="390">
        <v>1</v>
      </c>
      <c r="R186" s="390">
        <v>1</v>
      </c>
      <c r="S186" s="390">
        <v>1</v>
      </c>
      <c r="T186" s="390">
        <v>1</v>
      </c>
      <c r="U186" s="390">
        <v>1</v>
      </c>
      <c r="V186" s="390">
        <v>1</v>
      </c>
      <c r="W186" s="390"/>
      <c r="X186" s="390"/>
      <c r="Y186" s="390"/>
      <c r="Z186" s="390"/>
      <c r="AA186" s="390"/>
      <c r="AB186" s="393">
        <v>2</v>
      </c>
      <c r="AC186" s="390">
        <v>1</v>
      </c>
      <c r="AD186" s="390">
        <v>1</v>
      </c>
      <c r="AE186" s="390">
        <v>1</v>
      </c>
      <c r="AF186" s="390">
        <v>1</v>
      </c>
      <c r="AG186" s="390">
        <v>1</v>
      </c>
      <c r="AH186" s="390">
        <v>1</v>
      </c>
      <c r="AI186" s="390"/>
      <c r="AJ186" s="390"/>
      <c r="AK186" s="390"/>
      <c r="AL186" s="390"/>
      <c r="AM186" s="390"/>
      <c r="AN186" s="1757">
        <v>2</v>
      </c>
      <c r="AO186" s="385">
        <v>1</v>
      </c>
      <c r="AQ186" s="603">
        <f t="shared" si="49"/>
        <v>21</v>
      </c>
      <c r="AR186" s="604">
        <f t="shared" si="50"/>
        <v>112500</v>
      </c>
      <c r="AS186" s="590">
        <f t="shared" si="51"/>
        <v>2362500</v>
      </c>
      <c r="AT186" s="606">
        <f t="shared" si="52"/>
        <v>2362500</v>
      </c>
      <c r="AU186" s="605">
        <f t="shared" si="53"/>
        <v>-2250000</v>
      </c>
      <c r="AV186" s="380"/>
    </row>
    <row r="187" spans="1:48" ht="24.95" customHeight="1">
      <c r="A187" s="966" t="s">
        <v>798</v>
      </c>
      <c r="B187" s="979" t="s">
        <v>278</v>
      </c>
      <c r="C187" s="984">
        <v>348500</v>
      </c>
      <c r="D187" s="989">
        <v>0</v>
      </c>
      <c r="E187" s="967">
        <v>0</v>
      </c>
      <c r="F187" s="968">
        <f t="shared" si="41"/>
        <v>348500</v>
      </c>
      <c r="G187" s="1775"/>
      <c r="H187" s="984">
        <v>13800.6</v>
      </c>
      <c r="I187" s="967">
        <v>15518.84</v>
      </c>
      <c r="J187" s="968">
        <v>-1718.24</v>
      </c>
      <c r="K187" s="382"/>
      <c r="L187" s="393"/>
      <c r="M187" s="390"/>
      <c r="N187" s="390">
        <v>1</v>
      </c>
      <c r="O187" s="390">
        <v>1</v>
      </c>
      <c r="P187" s="393">
        <v>2</v>
      </c>
      <c r="Q187" s="390">
        <v>1</v>
      </c>
      <c r="R187" s="390">
        <v>1</v>
      </c>
      <c r="S187" s="390">
        <v>1</v>
      </c>
      <c r="T187" s="390">
        <v>1</v>
      </c>
      <c r="U187" s="390">
        <v>1</v>
      </c>
      <c r="V187" s="390"/>
      <c r="W187" s="390"/>
      <c r="X187" s="390"/>
      <c r="Y187" s="390"/>
      <c r="Z187" s="390"/>
      <c r="AA187" s="390"/>
      <c r="AB187" s="393">
        <v>2</v>
      </c>
      <c r="AC187" s="390">
        <v>1</v>
      </c>
      <c r="AD187" s="390">
        <v>1</v>
      </c>
      <c r="AE187" s="390">
        <v>1</v>
      </c>
      <c r="AF187" s="390">
        <v>1</v>
      </c>
      <c r="AG187" s="390">
        <v>1</v>
      </c>
      <c r="AH187" s="390"/>
      <c r="AI187" s="390"/>
      <c r="AJ187" s="390"/>
      <c r="AK187" s="390"/>
      <c r="AL187" s="390"/>
      <c r="AM187" s="390"/>
      <c r="AN187" s="1757">
        <v>2</v>
      </c>
      <c r="AO187" s="385">
        <v>1</v>
      </c>
      <c r="AQ187" s="603">
        <f t="shared" si="49"/>
        <v>19</v>
      </c>
      <c r="AR187" s="604">
        <f t="shared" si="50"/>
        <v>332981.15999999997</v>
      </c>
      <c r="AS187" s="590">
        <f t="shared" si="51"/>
        <v>6326642.0399999991</v>
      </c>
      <c r="AT187" s="606">
        <f t="shared" si="52"/>
        <v>6342160.879999999</v>
      </c>
      <c r="AU187" s="605">
        <f t="shared" si="53"/>
        <v>-5993660.879999999</v>
      </c>
      <c r="AV187" s="380"/>
    </row>
    <row r="188" spans="1:48" ht="24.95" customHeight="1">
      <c r="A188" s="966" t="s">
        <v>799</v>
      </c>
      <c r="B188" s="979" t="s">
        <v>280</v>
      </c>
      <c r="C188" s="984">
        <v>205000</v>
      </c>
      <c r="D188" s="989">
        <v>0</v>
      </c>
      <c r="E188" s="967">
        <v>0</v>
      </c>
      <c r="F188" s="968">
        <f t="shared" si="41"/>
        <v>205000</v>
      </c>
      <c r="G188" s="1775"/>
      <c r="H188" s="984">
        <v>69085</v>
      </c>
      <c r="I188" s="967">
        <v>68957.11</v>
      </c>
      <c r="J188" s="968">
        <v>127.89</v>
      </c>
      <c r="K188" s="382"/>
      <c r="L188" s="393"/>
      <c r="M188" s="390"/>
      <c r="N188" s="390">
        <v>1</v>
      </c>
      <c r="O188" s="390">
        <v>1</v>
      </c>
      <c r="P188" s="393">
        <v>2</v>
      </c>
      <c r="Q188" s="390">
        <v>1</v>
      </c>
      <c r="R188" s="390">
        <v>1</v>
      </c>
      <c r="S188" s="390">
        <v>1</v>
      </c>
      <c r="T188" s="390"/>
      <c r="U188" s="390"/>
      <c r="V188" s="390"/>
      <c r="W188" s="390"/>
      <c r="X188" s="390"/>
      <c r="Y188" s="390"/>
      <c r="Z188" s="390"/>
      <c r="AA188" s="390"/>
      <c r="AB188" s="393">
        <v>2</v>
      </c>
      <c r="AC188" s="390">
        <v>1</v>
      </c>
      <c r="AD188" s="390">
        <v>1</v>
      </c>
      <c r="AE188" s="390">
        <v>1</v>
      </c>
      <c r="AF188" s="390"/>
      <c r="AG188" s="390"/>
      <c r="AH188" s="390"/>
      <c r="AI188" s="390"/>
      <c r="AJ188" s="390"/>
      <c r="AK188" s="390"/>
      <c r="AL188" s="390"/>
      <c r="AM188" s="390"/>
      <c r="AN188" s="1757">
        <v>2</v>
      </c>
      <c r="AO188" s="385">
        <v>1</v>
      </c>
      <c r="AQ188" s="603">
        <f t="shared" si="49"/>
        <v>15</v>
      </c>
      <c r="AR188" s="604">
        <f t="shared" si="50"/>
        <v>136042.89000000001</v>
      </c>
      <c r="AS188" s="590">
        <f t="shared" si="51"/>
        <v>2040643.35</v>
      </c>
      <c r="AT188" s="606">
        <f t="shared" si="52"/>
        <v>2109600.46</v>
      </c>
      <c r="AU188" s="605">
        <f t="shared" si="53"/>
        <v>-1904600.46</v>
      </c>
      <c r="AV188" s="380"/>
    </row>
    <row r="189" spans="1:48" ht="24.95" customHeight="1">
      <c r="A189" s="966" t="s">
        <v>800</v>
      </c>
      <c r="B189" s="979" t="s">
        <v>282</v>
      </c>
      <c r="C189" s="984">
        <v>63765</v>
      </c>
      <c r="D189" s="989">
        <v>0</v>
      </c>
      <c r="E189" s="967">
        <v>0</v>
      </c>
      <c r="F189" s="968">
        <f t="shared" si="41"/>
        <v>63765</v>
      </c>
      <c r="G189" s="1775"/>
      <c r="H189" s="984">
        <v>13454.42</v>
      </c>
      <c r="I189" s="967">
        <v>13927.04</v>
      </c>
      <c r="J189" s="968">
        <v>-472.62</v>
      </c>
      <c r="K189" s="382"/>
      <c r="L189" s="393"/>
      <c r="M189" s="390"/>
      <c r="N189" s="390">
        <v>1</v>
      </c>
      <c r="O189" s="390">
        <v>2</v>
      </c>
      <c r="P189" s="393">
        <v>2</v>
      </c>
      <c r="Q189" s="390">
        <v>1</v>
      </c>
      <c r="R189" s="390">
        <v>1</v>
      </c>
      <c r="S189" s="390">
        <v>1</v>
      </c>
      <c r="T189" s="390">
        <v>1</v>
      </c>
      <c r="U189" s="390">
        <v>1</v>
      </c>
      <c r="V189" s="390"/>
      <c r="W189" s="390"/>
      <c r="X189" s="390"/>
      <c r="Y189" s="390"/>
      <c r="Z189" s="390"/>
      <c r="AA189" s="390"/>
      <c r="AB189" s="393">
        <v>2</v>
      </c>
      <c r="AC189" s="390">
        <v>1</v>
      </c>
      <c r="AD189" s="390">
        <v>1</v>
      </c>
      <c r="AE189" s="390">
        <v>1</v>
      </c>
      <c r="AF189" s="390">
        <v>1</v>
      </c>
      <c r="AG189" s="390">
        <v>1</v>
      </c>
      <c r="AH189" s="390"/>
      <c r="AI189" s="390"/>
      <c r="AJ189" s="390"/>
      <c r="AK189" s="390"/>
      <c r="AL189" s="390"/>
      <c r="AM189" s="390"/>
      <c r="AN189" s="1757">
        <v>2</v>
      </c>
      <c r="AO189" s="385">
        <v>1</v>
      </c>
      <c r="AQ189" s="603">
        <f t="shared" si="49"/>
        <v>20</v>
      </c>
      <c r="AR189" s="604">
        <f t="shared" si="50"/>
        <v>49837.96</v>
      </c>
      <c r="AS189" s="590">
        <f t="shared" si="51"/>
        <v>996759.2</v>
      </c>
      <c r="AT189" s="606">
        <f t="shared" si="52"/>
        <v>1010686.24</v>
      </c>
      <c r="AU189" s="605">
        <f t="shared" si="53"/>
        <v>-946921.24</v>
      </c>
      <c r="AV189" s="380"/>
    </row>
    <row r="190" spans="1:48" ht="24.95" customHeight="1">
      <c r="A190" s="966" t="s">
        <v>801</v>
      </c>
      <c r="B190" s="979" t="s">
        <v>284</v>
      </c>
      <c r="C190" s="984">
        <v>68670</v>
      </c>
      <c r="D190" s="989">
        <v>0</v>
      </c>
      <c r="E190" s="967">
        <v>0</v>
      </c>
      <c r="F190" s="968">
        <f t="shared" si="41"/>
        <v>68670</v>
      </c>
      <c r="G190" s="1775"/>
      <c r="H190" s="984">
        <v>15327.14</v>
      </c>
      <c r="I190" s="967">
        <v>16345.91</v>
      </c>
      <c r="J190" s="968">
        <v>-1018.77</v>
      </c>
      <c r="K190" s="382"/>
      <c r="L190" s="393"/>
      <c r="M190" s="390"/>
      <c r="N190" s="390">
        <v>1</v>
      </c>
      <c r="O190" s="390">
        <v>1</v>
      </c>
      <c r="P190" s="393">
        <v>2</v>
      </c>
      <c r="Q190" s="390">
        <v>2</v>
      </c>
      <c r="R190" s="390">
        <v>2</v>
      </c>
      <c r="S190" s="390">
        <v>2</v>
      </c>
      <c r="T190" s="390">
        <v>1</v>
      </c>
      <c r="U190" s="390"/>
      <c r="V190" s="390"/>
      <c r="W190" s="390"/>
      <c r="X190" s="390"/>
      <c r="Y190" s="390"/>
      <c r="Z190" s="390"/>
      <c r="AA190" s="390"/>
      <c r="AB190" s="393">
        <v>2</v>
      </c>
      <c r="AC190" s="390">
        <v>2</v>
      </c>
      <c r="AD190" s="390">
        <v>2</v>
      </c>
      <c r="AE190" s="390">
        <v>2</v>
      </c>
      <c r="AF190" s="390">
        <v>1</v>
      </c>
      <c r="AG190" s="390"/>
      <c r="AH190" s="390"/>
      <c r="AI190" s="390"/>
      <c r="AJ190" s="390"/>
      <c r="AK190" s="390"/>
      <c r="AL190" s="390"/>
      <c r="AM190" s="390"/>
      <c r="AN190" s="1757">
        <v>2</v>
      </c>
      <c r="AO190" s="385">
        <v>2</v>
      </c>
      <c r="AQ190" s="603">
        <f t="shared" si="49"/>
        <v>24</v>
      </c>
      <c r="AR190" s="604">
        <f t="shared" si="50"/>
        <v>52324.09</v>
      </c>
      <c r="AS190" s="590">
        <f t="shared" si="51"/>
        <v>1255778.1599999999</v>
      </c>
      <c r="AT190" s="606">
        <f t="shared" si="52"/>
        <v>1272124.0699999998</v>
      </c>
      <c r="AU190" s="605">
        <f t="shared" si="53"/>
        <v>-1203454.0699999998</v>
      </c>
      <c r="AV190" s="380"/>
    </row>
    <row r="191" spans="1:48" ht="24.95" customHeight="1">
      <c r="A191" s="966" t="s">
        <v>802</v>
      </c>
      <c r="B191" s="979" t="s">
        <v>286</v>
      </c>
      <c r="C191" s="984">
        <v>181250</v>
      </c>
      <c r="D191" s="989">
        <v>0</v>
      </c>
      <c r="E191" s="967">
        <v>0</v>
      </c>
      <c r="F191" s="968">
        <f t="shared" si="41"/>
        <v>181250</v>
      </c>
      <c r="G191" s="1775"/>
      <c r="H191" s="984">
        <v>36250</v>
      </c>
      <c r="I191" s="967">
        <v>36250</v>
      </c>
      <c r="J191" s="968">
        <v>0</v>
      </c>
      <c r="K191" s="382"/>
      <c r="L191" s="393"/>
      <c r="M191" s="390"/>
      <c r="N191" s="390"/>
      <c r="O191" s="390"/>
      <c r="P191" s="393"/>
      <c r="Q191" s="390"/>
      <c r="R191" s="390"/>
      <c r="S191" s="390"/>
      <c r="T191" s="390"/>
      <c r="U191" s="390"/>
      <c r="V191" s="390"/>
      <c r="W191" s="390"/>
      <c r="X191" s="390"/>
      <c r="Y191" s="390"/>
      <c r="Z191" s="390"/>
      <c r="AA191" s="390"/>
      <c r="AB191" s="393"/>
      <c r="AC191" s="390"/>
      <c r="AD191" s="390"/>
      <c r="AE191" s="390"/>
      <c r="AF191" s="390"/>
      <c r="AG191" s="390"/>
      <c r="AH191" s="390"/>
      <c r="AI191" s="390"/>
      <c r="AJ191" s="390"/>
      <c r="AK191" s="390"/>
      <c r="AL191" s="390"/>
      <c r="AM191" s="390"/>
      <c r="AN191" s="1757"/>
      <c r="AO191" s="385"/>
      <c r="AQ191" s="571">
        <f t="shared" si="49"/>
        <v>0</v>
      </c>
      <c r="AR191" s="574">
        <f t="shared" si="50"/>
        <v>145000</v>
      </c>
      <c r="AS191" s="573">
        <f t="shared" si="51"/>
        <v>0</v>
      </c>
      <c r="AT191" s="572">
        <f t="shared" si="52"/>
        <v>36250</v>
      </c>
      <c r="AU191" s="573">
        <f t="shared" si="53"/>
        <v>145000</v>
      </c>
      <c r="AV191" s="380"/>
    </row>
    <row r="192" spans="1:48" ht="24.95" customHeight="1">
      <c r="A192" s="966" t="s">
        <v>803</v>
      </c>
      <c r="B192" s="979" t="s">
        <v>288</v>
      </c>
      <c r="C192" s="984">
        <v>69310</v>
      </c>
      <c r="D192" s="989">
        <v>0</v>
      </c>
      <c r="E192" s="967">
        <v>0</v>
      </c>
      <c r="F192" s="968">
        <f t="shared" si="41"/>
        <v>69310</v>
      </c>
      <c r="G192" s="1775"/>
      <c r="H192" s="984">
        <v>20883.099999999999</v>
      </c>
      <c r="I192" s="967">
        <v>20887.54</v>
      </c>
      <c r="J192" s="968">
        <v>-4.4400000000000004</v>
      </c>
      <c r="K192" s="382"/>
      <c r="L192" s="393"/>
      <c r="M192" s="390"/>
      <c r="N192" s="390"/>
      <c r="O192" s="390"/>
      <c r="P192" s="393"/>
      <c r="Q192" s="390"/>
      <c r="R192" s="390"/>
      <c r="S192" s="390"/>
      <c r="T192" s="390"/>
      <c r="U192" s="390"/>
      <c r="V192" s="390"/>
      <c r="W192" s="390"/>
      <c r="X192" s="390"/>
      <c r="Y192" s="390"/>
      <c r="Z192" s="390"/>
      <c r="AA192" s="390"/>
      <c r="AB192" s="393"/>
      <c r="AC192" s="390"/>
      <c r="AD192" s="390"/>
      <c r="AE192" s="390"/>
      <c r="AF192" s="390"/>
      <c r="AG192" s="390"/>
      <c r="AH192" s="390"/>
      <c r="AI192" s="390"/>
      <c r="AJ192" s="390"/>
      <c r="AK192" s="390"/>
      <c r="AL192" s="390"/>
      <c r="AM192" s="390"/>
      <c r="AN192" s="1757"/>
      <c r="AO192" s="385"/>
      <c r="AQ192" s="603">
        <f t="shared" si="49"/>
        <v>0</v>
      </c>
      <c r="AR192" s="604">
        <f t="shared" si="50"/>
        <v>48422.46</v>
      </c>
      <c r="AS192" s="590">
        <f t="shared" si="51"/>
        <v>0</v>
      </c>
      <c r="AT192" s="606">
        <f t="shared" si="52"/>
        <v>20887.54</v>
      </c>
      <c r="AU192" s="605">
        <f t="shared" si="53"/>
        <v>48422.46</v>
      </c>
      <c r="AV192" s="380"/>
    </row>
    <row r="193" spans="1:48" ht="24.95" customHeight="1">
      <c r="A193" s="966" t="s">
        <v>804</v>
      </c>
      <c r="B193" s="979" t="s">
        <v>290</v>
      </c>
      <c r="C193" s="984">
        <v>181485</v>
      </c>
      <c r="D193" s="989">
        <v>0</v>
      </c>
      <c r="E193" s="967">
        <v>0</v>
      </c>
      <c r="F193" s="968">
        <f t="shared" si="41"/>
        <v>181485</v>
      </c>
      <c r="G193" s="1775"/>
      <c r="H193" s="984">
        <v>53828.45</v>
      </c>
      <c r="I193" s="967">
        <v>53826.59</v>
      </c>
      <c r="J193" s="968">
        <v>1.86</v>
      </c>
      <c r="K193" s="382"/>
      <c r="L193" s="393"/>
      <c r="M193" s="390"/>
      <c r="N193" s="390"/>
      <c r="O193" s="390"/>
      <c r="P193" s="393">
        <v>1</v>
      </c>
      <c r="Q193" s="390"/>
      <c r="R193" s="390"/>
      <c r="S193" s="390"/>
      <c r="T193" s="390"/>
      <c r="U193" s="390"/>
      <c r="V193" s="390"/>
      <c r="W193" s="390"/>
      <c r="X193" s="390"/>
      <c r="Y193" s="390"/>
      <c r="Z193" s="390"/>
      <c r="AA193" s="390"/>
      <c r="AB193" s="393">
        <v>1</v>
      </c>
      <c r="AC193" s="390"/>
      <c r="AD193" s="390"/>
      <c r="AE193" s="390"/>
      <c r="AF193" s="390"/>
      <c r="AG193" s="390"/>
      <c r="AH193" s="390"/>
      <c r="AI193" s="390"/>
      <c r="AJ193" s="390"/>
      <c r="AK193" s="390"/>
      <c r="AL193" s="390"/>
      <c r="AM193" s="390"/>
      <c r="AN193" s="1757">
        <v>1</v>
      </c>
      <c r="AO193" s="385"/>
      <c r="AQ193" s="603">
        <f t="shared" si="49"/>
        <v>3</v>
      </c>
      <c r="AR193" s="604">
        <f t="shared" si="50"/>
        <v>127658.41</v>
      </c>
      <c r="AS193" s="590">
        <f t="shared" si="51"/>
        <v>382975.23</v>
      </c>
      <c r="AT193" s="606">
        <f t="shared" si="52"/>
        <v>436801.81999999995</v>
      </c>
      <c r="AU193" s="605">
        <f t="shared" si="53"/>
        <v>-255316.81999999995</v>
      </c>
      <c r="AV193" s="380"/>
    </row>
    <row r="194" spans="1:48" ht="24.95" customHeight="1">
      <c r="A194" s="966" t="s">
        <v>805</v>
      </c>
      <c r="B194" s="979" t="s">
        <v>292</v>
      </c>
      <c r="C194" s="984">
        <v>125000</v>
      </c>
      <c r="D194" s="989">
        <v>0</v>
      </c>
      <c r="E194" s="967">
        <v>0</v>
      </c>
      <c r="F194" s="968">
        <f t="shared" si="41"/>
        <v>125000</v>
      </c>
      <c r="G194" s="1775"/>
      <c r="H194" s="984">
        <v>9400</v>
      </c>
      <c r="I194" s="967">
        <v>9416.4699999999993</v>
      </c>
      <c r="J194" s="968">
        <v>-16.47</v>
      </c>
      <c r="K194" s="382"/>
      <c r="L194" s="393"/>
      <c r="M194" s="390"/>
      <c r="N194" s="390"/>
      <c r="O194" s="390"/>
      <c r="P194" s="393"/>
      <c r="Q194" s="390"/>
      <c r="R194" s="390"/>
      <c r="S194" s="390"/>
      <c r="T194" s="390"/>
      <c r="U194" s="390"/>
      <c r="V194" s="390"/>
      <c r="W194" s="390"/>
      <c r="X194" s="390"/>
      <c r="Y194" s="390"/>
      <c r="Z194" s="390"/>
      <c r="AA194" s="390"/>
      <c r="AB194" s="393"/>
      <c r="AC194" s="390"/>
      <c r="AD194" s="390"/>
      <c r="AE194" s="390"/>
      <c r="AF194" s="390"/>
      <c r="AG194" s="390"/>
      <c r="AH194" s="390"/>
      <c r="AI194" s="390"/>
      <c r="AJ194" s="390"/>
      <c r="AK194" s="390"/>
      <c r="AL194" s="390"/>
      <c r="AM194" s="390"/>
      <c r="AN194" s="1757"/>
      <c r="AO194" s="385"/>
      <c r="AQ194" s="603">
        <f t="shared" si="49"/>
        <v>0</v>
      </c>
      <c r="AR194" s="604">
        <f t="shared" si="50"/>
        <v>115583.53</v>
      </c>
      <c r="AS194" s="590">
        <f t="shared" si="51"/>
        <v>0</v>
      </c>
      <c r="AT194" s="606">
        <f t="shared" si="52"/>
        <v>9416.4699999999993</v>
      </c>
      <c r="AU194" s="605">
        <f t="shared" si="53"/>
        <v>115583.53</v>
      </c>
      <c r="AV194" s="380"/>
    </row>
    <row r="195" spans="1:48" ht="24.95" customHeight="1">
      <c r="A195" s="966" t="s">
        <v>806</v>
      </c>
      <c r="B195" s="979" t="s">
        <v>294</v>
      </c>
      <c r="C195" s="984">
        <v>53955</v>
      </c>
      <c r="D195" s="989">
        <v>0</v>
      </c>
      <c r="E195" s="967">
        <v>0</v>
      </c>
      <c r="F195" s="968">
        <f t="shared" si="41"/>
        <v>53955</v>
      </c>
      <c r="G195" s="1775"/>
      <c r="H195" s="984">
        <v>40369.129999999997</v>
      </c>
      <c r="I195" s="967">
        <v>40201.43</v>
      </c>
      <c r="J195" s="968">
        <v>167.7</v>
      </c>
      <c r="K195" s="382"/>
      <c r="L195" s="393"/>
      <c r="M195" s="390"/>
      <c r="N195" s="390"/>
      <c r="O195" s="390"/>
      <c r="P195" s="393"/>
      <c r="Q195" s="390"/>
      <c r="R195" s="390"/>
      <c r="S195" s="390"/>
      <c r="T195" s="390"/>
      <c r="U195" s="390"/>
      <c r="V195" s="390"/>
      <c r="W195" s="390"/>
      <c r="X195" s="390"/>
      <c r="Y195" s="390"/>
      <c r="Z195" s="390"/>
      <c r="AA195" s="390"/>
      <c r="AB195" s="393"/>
      <c r="AC195" s="390"/>
      <c r="AD195" s="390"/>
      <c r="AE195" s="390"/>
      <c r="AF195" s="390"/>
      <c r="AG195" s="390"/>
      <c r="AH195" s="390"/>
      <c r="AI195" s="390"/>
      <c r="AJ195" s="390"/>
      <c r="AK195" s="390"/>
      <c r="AL195" s="390"/>
      <c r="AM195" s="390"/>
      <c r="AN195" s="1757"/>
      <c r="AO195" s="385"/>
      <c r="AQ195" s="603">
        <f t="shared" si="49"/>
        <v>0</v>
      </c>
      <c r="AR195" s="604">
        <f t="shared" si="50"/>
        <v>13753.57</v>
      </c>
      <c r="AS195" s="590">
        <f t="shared" si="51"/>
        <v>0</v>
      </c>
      <c r="AT195" s="606">
        <f t="shared" si="52"/>
        <v>40201.43</v>
      </c>
      <c r="AU195" s="605">
        <f t="shared" si="53"/>
        <v>13753.57</v>
      </c>
      <c r="AV195" s="380"/>
    </row>
    <row r="196" spans="1:48" ht="24.95" customHeight="1">
      <c r="A196" s="966" t="s">
        <v>807</v>
      </c>
      <c r="B196" s="979" t="s">
        <v>296</v>
      </c>
      <c r="C196" s="984">
        <v>125000</v>
      </c>
      <c r="D196" s="989">
        <v>0</v>
      </c>
      <c r="E196" s="967">
        <v>0</v>
      </c>
      <c r="F196" s="968">
        <f t="shared" si="41"/>
        <v>125000</v>
      </c>
      <c r="G196" s="1775"/>
      <c r="H196" s="984">
        <v>38750</v>
      </c>
      <c r="I196" s="967">
        <v>37006.31</v>
      </c>
      <c r="J196" s="968">
        <v>1743.69</v>
      </c>
      <c r="K196" s="382"/>
      <c r="L196" s="393"/>
      <c r="M196" s="390"/>
      <c r="N196" s="390"/>
      <c r="O196" s="390"/>
      <c r="P196" s="393">
        <v>1</v>
      </c>
      <c r="Q196" s="390"/>
      <c r="R196" s="390"/>
      <c r="S196" s="390"/>
      <c r="T196" s="390"/>
      <c r="U196" s="390"/>
      <c r="V196" s="390"/>
      <c r="W196" s="390"/>
      <c r="X196" s="390"/>
      <c r="Y196" s="390"/>
      <c r="Z196" s="390"/>
      <c r="AA196" s="390"/>
      <c r="AB196" s="393">
        <v>1</v>
      </c>
      <c r="AC196" s="390"/>
      <c r="AD196" s="390"/>
      <c r="AE196" s="390"/>
      <c r="AF196" s="390"/>
      <c r="AG196" s="390"/>
      <c r="AH196" s="390"/>
      <c r="AI196" s="390"/>
      <c r="AJ196" s="390"/>
      <c r="AK196" s="390"/>
      <c r="AL196" s="390"/>
      <c r="AM196" s="390"/>
      <c r="AN196" s="1757">
        <v>1</v>
      </c>
      <c r="AO196" s="385"/>
      <c r="AQ196" s="603">
        <f t="shared" si="49"/>
        <v>3</v>
      </c>
      <c r="AR196" s="604">
        <f t="shared" si="50"/>
        <v>87993.69</v>
      </c>
      <c r="AS196" s="590">
        <f t="shared" si="51"/>
        <v>263981.07</v>
      </c>
      <c r="AT196" s="606">
        <f t="shared" si="52"/>
        <v>300987.38</v>
      </c>
      <c r="AU196" s="605">
        <f t="shared" si="53"/>
        <v>-175987.38</v>
      </c>
      <c r="AV196" s="380"/>
    </row>
    <row r="197" spans="1:48" ht="24.95" customHeight="1">
      <c r="A197" s="966" t="s">
        <v>808</v>
      </c>
      <c r="B197" s="979" t="s">
        <v>298</v>
      </c>
      <c r="C197" s="984">
        <v>82000</v>
      </c>
      <c r="D197" s="989">
        <v>0</v>
      </c>
      <c r="E197" s="967">
        <v>0</v>
      </c>
      <c r="F197" s="968">
        <f t="shared" si="41"/>
        <v>82000</v>
      </c>
      <c r="G197" s="1775"/>
      <c r="H197" s="984">
        <v>0</v>
      </c>
      <c r="I197" s="967">
        <v>0</v>
      </c>
      <c r="J197" s="968">
        <v>0</v>
      </c>
      <c r="K197" s="382"/>
      <c r="L197" s="393"/>
      <c r="M197" s="390"/>
      <c r="N197" s="390"/>
      <c r="O197" s="390"/>
      <c r="P197" s="393">
        <v>1</v>
      </c>
      <c r="Q197" s="390"/>
      <c r="R197" s="390"/>
      <c r="S197" s="390"/>
      <c r="T197" s="390"/>
      <c r="U197" s="390"/>
      <c r="V197" s="390"/>
      <c r="W197" s="390"/>
      <c r="X197" s="390"/>
      <c r="Y197" s="390"/>
      <c r="Z197" s="390"/>
      <c r="AA197" s="390"/>
      <c r="AB197" s="393">
        <v>1</v>
      </c>
      <c r="AC197" s="390"/>
      <c r="AD197" s="390"/>
      <c r="AE197" s="390"/>
      <c r="AF197" s="390"/>
      <c r="AG197" s="390"/>
      <c r="AH197" s="390"/>
      <c r="AI197" s="390"/>
      <c r="AJ197" s="390"/>
      <c r="AK197" s="390"/>
      <c r="AL197" s="390"/>
      <c r="AM197" s="390"/>
      <c r="AN197" s="1757">
        <v>1</v>
      </c>
      <c r="AO197" s="385"/>
      <c r="AQ197" s="603">
        <f t="shared" si="49"/>
        <v>3</v>
      </c>
      <c r="AR197" s="604">
        <f t="shared" si="50"/>
        <v>82000</v>
      </c>
      <c r="AS197" s="590">
        <f t="shared" si="51"/>
        <v>246000</v>
      </c>
      <c r="AT197" s="606">
        <f t="shared" si="52"/>
        <v>246000</v>
      </c>
      <c r="AU197" s="605">
        <f t="shared" si="53"/>
        <v>-164000</v>
      </c>
      <c r="AV197" s="380"/>
    </row>
    <row r="198" spans="1:48" ht="24.95" customHeight="1">
      <c r="A198" s="966" t="s">
        <v>809</v>
      </c>
      <c r="B198" s="979" t="s">
        <v>300</v>
      </c>
      <c r="C198" s="984">
        <v>50895</v>
      </c>
      <c r="D198" s="989">
        <v>0</v>
      </c>
      <c r="E198" s="967">
        <v>0</v>
      </c>
      <c r="F198" s="968">
        <f t="shared" si="41"/>
        <v>50895</v>
      </c>
      <c r="G198" s="1775"/>
      <c r="H198" s="984">
        <v>8189.01</v>
      </c>
      <c r="I198" s="967">
        <v>8106.79</v>
      </c>
      <c r="J198" s="968">
        <v>82.22</v>
      </c>
      <c r="K198" s="382"/>
      <c r="L198" s="393"/>
      <c r="M198" s="390"/>
      <c r="N198" s="390"/>
      <c r="O198" s="390"/>
      <c r="P198" s="393"/>
      <c r="Q198" s="390"/>
      <c r="R198" s="390"/>
      <c r="S198" s="390"/>
      <c r="T198" s="390"/>
      <c r="U198" s="390"/>
      <c r="V198" s="390"/>
      <c r="W198" s="390"/>
      <c r="X198" s="390"/>
      <c r="Y198" s="390"/>
      <c r="Z198" s="390"/>
      <c r="AA198" s="390"/>
      <c r="AB198" s="393"/>
      <c r="AC198" s="390"/>
      <c r="AD198" s="390"/>
      <c r="AE198" s="390"/>
      <c r="AF198" s="390"/>
      <c r="AG198" s="390"/>
      <c r="AH198" s="390"/>
      <c r="AI198" s="390"/>
      <c r="AJ198" s="390"/>
      <c r="AK198" s="390"/>
      <c r="AL198" s="390"/>
      <c r="AM198" s="390"/>
      <c r="AN198" s="1757"/>
      <c r="AO198" s="385"/>
      <c r="AQ198" s="603">
        <f t="shared" si="49"/>
        <v>0</v>
      </c>
      <c r="AR198" s="604">
        <f t="shared" si="50"/>
        <v>42788.21</v>
      </c>
      <c r="AS198" s="590">
        <f t="shared" si="51"/>
        <v>0</v>
      </c>
      <c r="AT198" s="606">
        <f t="shared" si="52"/>
        <v>8106.79</v>
      </c>
      <c r="AU198" s="605">
        <f t="shared" si="53"/>
        <v>42788.21</v>
      </c>
      <c r="AV198" s="380"/>
    </row>
    <row r="199" spans="1:48" ht="24.95" customHeight="1">
      <c r="A199" s="966" t="s">
        <v>810</v>
      </c>
      <c r="B199" s="979" t="s">
        <v>302</v>
      </c>
      <c r="C199" s="984">
        <v>98100</v>
      </c>
      <c r="D199" s="989">
        <v>0</v>
      </c>
      <c r="E199" s="967">
        <v>0</v>
      </c>
      <c r="F199" s="968">
        <f t="shared" si="41"/>
        <v>98100</v>
      </c>
      <c r="G199" s="1775"/>
      <c r="H199" s="984">
        <v>25604.1</v>
      </c>
      <c r="I199" s="967">
        <v>25647.200000000001</v>
      </c>
      <c r="J199" s="968">
        <v>-43.1</v>
      </c>
      <c r="K199" s="382"/>
      <c r="L199" s="393"/>
      <c r="M199" s="390"/>
      <c r="N199" s="390"/>
      <c r="O199" s="390"/>
      <c r="P199" s="393"/>
      <c r="Q199" s="390"/>
      <c r="R199" s="390"/>
      <c r="S199" s="390"/>
      <c r="T199" s="390"/>
      <c r="U199" s="390"/>
      <c r="V199" s="390"/>
      <c r="W199" s="390"/>
      <c r="X199" s="390"/>
      <c r="Y199" s="390"/>
      <c r="Z199" s="390"/>
      <c r="AA199" s="390"/>
      <c r="AB199" s="393"/>
      <c r="AC199" s="390"/>
      <c r="AD199" s="390"/>
      <c r="AE199" s="390"/>
      <c r="AF199" s="390"/>
      <c r="AG199" s="390"/>
      <c r="AH199" s="390"/>
      <c r="AI199" s="390"/>
      <c r="AJ199" s="390"/>
      <c r="AK199" s="390"/>
      <c r="AL199" s="390"/>
      <c r="AM199" s="390"/>
      <c r="AN199" s="1757"/>
      <c r="AO199" s="385"/>
      <c r="AQ199" s="603">
        <f t="shared" si="49"/>
        <v>0</v>
      </c>
      <c r="AR199" s="604">
        <f t="shared" si="50"/>
        <v>72452.800000000003</v>
      </c>
      <c r="AS199" s="590">
        <f t="shared" si="51"/>
        <v>0</v>
      </c>
      <c r="AT199" s="606">
        <f t="shared" si="52"/>
        <v>25647.200000000001</v>
      </c>
      <c r="AU199" s="605">
        <f t="shared" si="53"/>
        <v>72452.800000000003</v>
      </c>
      <c r="AV199" s="380"/>
    </row>
    <row r="200" spans="1:48" ht="24.95" customHeight="1">
      <c r="A200" s="966" t="s">
        <v>811</v>
      </c>
      <c r="B200" s="979" t="s">
        <v>304</v>
      </c>
      <c r="C200" s="984">
        <v>58860</v>
      </c>
      <c r="D200" s="989">
        <v>0</v>
      </c>
      <c r="E200" s="967">
        <v>0</v>
      </c>
      <c r="F200" s="968">
        <f t="shared" ref="F200:F263" si="54">SUM(C200:E200)</f>
        <v>58860</v>
      </c>
      <c r="G200" s="1775"/>
      <c r="H200" s="984">
        <v>15539.04</v>
      </c>
      <c r="I200" s="967">
        <v>15346.14</v>
      </c>
      <c r="J200" s="968">
        <v>192.9</v>
      </c>
      <c r="K200" s="382"/>
      <c r="L200" s="393"/>
      <c r="M200" s="390"/>
      <c r="N200" s="390"/>
      <c r="O200" s="390"/>
      <c r="P200" s="393"/>
      <c r="Q200" s="390"/>
      <c r="R200" s="390"/>
      <c r="S200" s="390"/>
      <c r="T200" s="390"/>
      <c r="U200" s="390"/>
      <c r="V200" s="390"/>
      <c r="W200" s="390"/>
      <c r="X200" s="390"/>
      <c r="Y200" s="390"/>
      <c r="Z200" s="390"/>
      <c r="AA200" s="390"/>
      <c r="AB200" s="393"/>
      <c r="AC200" s="390"/>
      <c r="AD200" s="390"/>
      <c r="AE200" s="390"/>
      <c r="AF200" s="390"/>
      <c r="AG200" s="390"/>
      <c r="AH200" s="390"/>
      <c r="AI200" s="390"/>
      <c r="AJ200" s="390"/>
      <c r="AK200" s="390"/>
      <c r="AL200" s="390"/>
      <c r="AM200" s="390"/>
      <c r="AN200" s="1757"/>
      <c r="AO200" s="385"/>
      <c r="AQ200" s="603">
        <f t="shared" si="49"/>
        <v>0</v>
      </c>
      <c r="AR200" s="604">
        <f t="shared" si="50"/>
        <v>43513.86</v>
      </c>
      <c r="AS200" s="590">
        <f t="shared" si="51"/>
        <v>0</v>
      </c>
      <c r="AT200" s="606">
        <f t="shared" si="52"/>
        <v>15346.14</v>
      </c>
      <c r="AU200" s="605">
        <f t="shared" si="53"/>
        <v>43513.86</v>
      </c>
      <c r="AV200" s="380"/>
    </row>
    <row r="201" spans="1:48" ht="24.95" customHeight="1">
      <c r="A201" s="966" t="s">
        <v>812</v>
      </c>
      <c r="B201" s="979" t="s">
        <v>306</v>
      </c>
      <c r="C201" s="984">
        <v>75000</v>
      </c>
      <c r="D201" s="989">
        <v>0</v>
      </c>
      <c r="E201" s="967">
        <v>0</v>
      </c>
      <c r="F201" s="968">
        <f t="shared" si="54"/>
        <v>75000</v>
      </c>
      <c r="G201" s="1775"/>
      <c r="H201" s="984">
        <v>0</v>
      </c>
      <c r="I201" s="967">
        <v>0</v>
      </c>
      <c r="J201" s="968">
        <v>0</v>
      </c>
      <c r="K201" s="382"/>
      <c r="L201" s="393"/>
      <c r="M201" s="390"/>
      <c r="N201" s="390"/>
      <c r="O201" s="390"/>
      <c r="P201" s="393">
        <v>1</v>
      </c>
      <c r="Q201" s="390"/>
      <c r="R201" s="390"/>
      <c r="S201" s="390"/>
      <c r="T201" s="390"/>
      <c r="U201" s="390"/>
      <c r="V201" s="390"/>
      <c r="W201" s="390"/>
      <c r="X201" s="390"/>
      <c r="Y201" s="390"/>
      <c r="Z201" s="390"/>
      <c r="AA201" s="390"/>
      <c r="AB201" s="393">
        <v>1</v>
      </c>
      <c r="AC201" s="390"/>
      <c r="AD201" s="390"/>
      <c r="AE201" s="390"/>
      <c r="AF201" s="390"/>
      <c r="AG201" s="390"/>
      <c r="AH201" s="390"/>
      <c r="AI201" s="390"/>
      <c r="AJ201" s="390"/>
      <c r="AK201" s="390"/>
      <c r="AL201" s="390"/>
      <c r="AM201" s="390"/>
      <c r="AN201" s="1757">
        <v>1</v>
      </c>
      <c r="AO201" s="385"/>
      <c r="AQ201" s="603">
        <f t="shared" si="49"/>
        <v>3</v>
      </c>
      <c r="AR201" s="604">
        <f t="shared" si="50"/>
        <v>75000</v>
      </c>
      <c r="AS201" s="590">
        <f t="shared" si="51"/>
        <v>225000</v>
      </c>
      <c r="AT201" s="606">
        <f t="shared" si="52"/>
        <v>225000</v>
      </c>
      <c r="AU201" s="605">
        <f t="shared" si="53"/>
        <v>-150000</v>
      </c>
      <c r="AV201" s="380"/>
    </row>
    <row r="202" spans="1:48" ht="24.95" customHeight="1">
      <c r="A202" s="966" t="s">
        <v>813</v>
      </c>
      <c r="B202" s="979" t="s">
        <v>308</v>
      </c>
      <c r="C202" s="984">
        <v>58860</v>
      </c>
      <c r="D202" s="989">
        <v>0</v>
      </c>
      <c r="E202" s="967">
        <v>0</v>
      </c>
      <c r="F202" s="968">
        <f t="shared" si="54"/>
        <v>58860</v>
      </c>
      <c r="G202" s="1775"/>
      <c r="H202" s="984">
        <v>16439.599999999999</v>
      </c>
      <c r="I202" s="967">
        <v>16430.7</v>
      </c>
      <c r="J202" s="968">
        <v>8.9</v>
      </c>
      <c r="K202" s="382"/>
      <c r="L202" s="393"/>
      <c r="M202" s="390"/>
      <c r="N202" s="390"/>
      <c r="O202" s="390"/>
      <c r="P202" s="393">
        <v>1</v>
      </c>
      <c r="Q202" s="390"/>
      <c r="R202" s="390"/>
      <c r="S202" s="390"/>
      <c r="T202" s="390"/>
      <c r="U202" s="390"/>
      <c r="V202" s="390"/>
      <c r="W202" s="390"/>
      <c r="X202" s="390"/>
      <c r="Y202" s="390"/>
      <c r="Z202" s="390"/>
      <c r="AA202" s="390"/>
      <c r="AB202" s="393">
        <v>1</v>
      </c>
      <c r="AC202" s="390"/>
      <c r="AD202" s="390"/>
      <c r="AE202" s="390"/>
      <c r="AF202" s="390"/>
      <c r="AG202" s="390"/>
      <c r="AH202" s="390"/>
      <c r="AI202" s="390"/>
      <c r="AJ202" s="390"/>
      <c r="AK202" s="390"/>
      <c r="AL202" s="390"/>
      <c r="AM202" s="390"/>
      <c r="AN202" s="1757">
        <v>1</v>
      </c>
      <c r="AO202" s="385"/>
      <c r="AQ202" s="603">
        <f t="shared" si="49"/>
        <v>3</v>
      </c>
      <c r="AR202" s="604">
        <f t="shared" si="50"/>
        <v>42429.3</v>
      </c>
      <c r="AS202" s="590">
        <f t="shared" si="51"/>
        <v>127287.90000000001</v>
      </c>
      <c r="AT202" s="606">
        <f t="shared" si="52"/>
        <v>143718.6</v>
      </c>
      <c r="AU202" s="605">
        <f t="shared" si="53"/>
        <v>-84858.6</v>
      </c>
      <c r="AV202" s="380"/>
    </row>
    <row r="203" spans="1:48" ht="24.95" customHeight="1">
      <c r="A203" s="966" t="s">
        <v>814</v>
      </c>
      <c r="B203" s="979" t="s">
        <v>815</v>
      </c>
      <c r="C203" s="984">
        <v>550000</v>
      </c>
      <c r="D203" s="989">
        <v>0</v>
      </c>
      <c r="E203" s="967">
        <v>0</v>
      </c>
      <c r="F203" s="968">
        <f t="shared" si="54"/>
        <v>550000</v>
      </c>
      <c r="G203" s="1775"/>
      <c r="H203" s="984">
        <v>80960</v>
      </c>
      <c r="I203" s="967">
        <v>85752.81</v>
      </c>
      <c r="J203" s="968">
        <v>-4792.8100000000004</v>
      </c>
      <c r="K203" s="382"/>
      <c r="L203" s="393"/>
      <c r="M203" s="390"/>
      <c r="N203" s="390"/>
      <c r="O203" s="390"/>
      <c r="P203" s="393"/>
      <c r="Q203" s="390"/>
      <c r="R203" s="390"/>
      <c r="S203" s="390"/>
      <c r="T203" s="390"/>
      <c r="U203" s="390"/>
      <c r="V203" s="390"/>
      <c r="W203" s="390"/>
      <c r="X203" s="390"/>
      <c r="Y203" s="390"/>
      <c r="Z203" s="390"/>
      <c r="AA203" s="390"/>
      <c r="AB203" s="393"/>
      <c r="AC203" s="390"/>
      <c r="AD203" s="390"/>
      <c r="AE203" s="390"/>
      <c r="AF203" s="390"/>
      <c r="AG203" s="390"/>
      <c r="AH203" s="390"/>
      <c r="AI203" s="390"/>
      <c r="AJ203" s="390"/>
      <c r="AK203" s="390"/>
      <c r="AL203" s="390"/>
      <c r="AM203" s="390"/>
      <c r="AN203" s="1757"/>
      <c r="AO203" s="385"/>
      <c r="AQ203" s="571">
        <f t="shared" si="49"/>
        <v>0</v>
      </c>
      <c r="AR203" s="574">
        <f t="shared" si="50"/>
        <v>464247.19</v>
      </c>
      <c r="AS203" s="573">
        <f t="shared" si="51"/>
        <v>0</v>
      </c>
      <c r="AT203" s="572">
        <f t="shared" si="52"/>
        <v>85752.81</v>
      </c>
      <c r="AU203" s="573">
        <f t="shared" si="53"/>
        <v>464247.19</v>
      </c>
      <c r="AV203" s="380"/>
    </row>
    <row r="204" spans="1:48" s="381" customFormat="1" ht="24.95" customHeight="1">
      <c r="A204" s="966" t="s">
        <v>816</v>
      </c>
      <c r="B204" s="979" t="s">
        <v>312</v>
      </c>
      <c r="C204" s="984">
        <v>254475</v>
      </c>
      <c r="D204" s="989">
        <v>0</v>
      </c>
      <c r="E204" s="967">
        <v>0</v>
      </c>
      <c r="F204" s="968">
        <f t="shared" si="54"/>
        <v>254475</v>
      </c>
      <c r="G204" s="1775"/>
      <c r="H204" s="984">
        <v>53541.54</v>
      </c>
      <c r="I204" s="967">
        <v>53553</v>
      </c>
      <c r="J204" s="968">
        <v>-11.46</v>
      </c>
      <c r="K204" s="382"/>
      <c r="L204" s="393"/>
      <c r="M204" s="390"/>
      <c r="N204" s="390"/>
      <c r="O204" s="390"/>
      <c r="P204" s="393"/>
      <c r="Q204" s="390"/>
      <c r="R204" s="390"/>
      <c r="S204" s="390"/>
      <c r="T204" s="390"/>
      <c r="U204" s="390">
        <v>1</v>
      </c>
      <c r="V204" s="390"/>
      <c r="W204" s="390"/>
      <c r="X204" s="390"/>
      <c r="Y204" s="390"/>
      <c r="Z204" s="390"/>
      <c r="AA204" s="390"/>
      <c r="AB204" s="393"/>
      <c r="AC204" s="390"/>
      <c r="AD204" s="390"/>
      <c r="AE204" s="390"/>
      <c r="AF204" s="390"/>
      <c r="AG204" s="390">
        <v>1</v>
      </c>
      <c r="AH204" s="390"/>
      <c r="AI204" s="390"/>
      <c r="AJ204" s="390"/>
      <c r="AK204" s="390"/>
      <c r="AL204" s="390"/>
      <c r="AM204" s="390"/>
      <c r="AN204" s="1757"/>
      <c r="AO204" s="385"/>
      <c r="AP204" s="382"/>
      <c r="AQ204" s="603">
        <f t="shared" si="49"/>
        <v>2</v>
      </c>
      <c r="AR204" s="604">
        <f t="shared" si="50"/>
        <v>200922</v>
      </c>
      <c r="AS204" s="590">
        <f t="shared" si="51"/>
        <v>401844</v>
      </c>
      <c r="AT204" s="606">
        <f t="shared" si="52"/>
        <v>455397</v>
      </c>
      <c r="AU204" s="605">
        <f t="shared" si="53"/>
        <v>-200922</v>
      </c>
      <c r="AV204" s="380"/>
    </row>
    <row r="205" spans="1:48" s="381" customFormat="1" ht="24.95" customHeight="1">
      <c r="A205" s="972" t="s">
        <v>817</v>
      </c>
      <c r="B205" s="981" t="s">
        <v>1014</v>
      </c>
      <c r="C205" s="986">
        <v>3365795.5</v>
      </c>
      <c r="D205" s="991">
        <v>0</v>
      </c>
      <c r="E205" s="973">
        <v>0</v>
      </c>
      <c r="F205" s="974">
        <f t="shared" si="54"/>
        <v>3365795.5</v>
      </c>
      <c r="G205" s="1775"/>
      <c r="H205" s="986">
        <v>933623.56</v>
      </c>
      <c r="I205" s="973">
        <v>791396.58</v>
      </c>
      <c r="J205" s="974">
        <v>142226.98000000001</v>
      </c>
      <c r="K205" s="382"/>
      <c r="L205" s="393"/>
      <c r="M205" s="390"/>
      <c r="N205" s="390"/>
      <c r="O205" s="390"/>
      <c r="P205" s="393"/>
      <c r="Q205" s="390"/>
      <c r="R205" s="390"/>
      <c r="S205" s="390"/>
      <c r="T205" s="390"/>
      <c r="U205" s="390">
        <v>1</v>
      </c>
      <c r="V205" s="390"/>
      <c r="W205" s="390"/>
      <c r="X205" s="390"/>
      <c r="Y205" s="390"/>
      <c r="Z205" s="390"/>
      <c r="AA205" s="390"/>
      <c r="AB205" s="393"/>
      <c r="AC205" s="390"/>
      <c r="AD205" s="390"/>
      <c r="AE205" s="390"/>
      <c r="AF205" s="390"/>
      <c r="AG205" s="390">
        <v>1</v>
      </c>
      <c r="AH205" s="390"/>
      <c r="AI205" s="390"/>
      <c r="AJ205" s="390"/>
      <c r="AK205" s="390"/>
      <c r="AL205" s="390"/>
      <c r="AM205" s="390"/>
      <c r="AN205" s="1757"/>
      <c r="AO205" s="385"/>
      <c r="AP205" s="382"/>
      <c r="AQ205" s="607">
        <f t="shared" ref="AQ205:AU205" si="55">+AQ214+AQ213+AQ212+AQ211+AQ210+AQ209+AQ208+AQ207+AQ206</f>
        <v>60</v>
      </c>
      <c r="AR205" s="608">
        <f t="shared" si="55"/>
        <v>2239685.66</v>
      </c>
      <c r="AS205" s="586">
        <f t="shared" si="55"/>
        <v>33394397.16</v>
      </c>
      <c r="AT205" s="610">
        <f t="shared" si="55"/>
        <v>34163814</v>
      </c>
      <c r="AU205" s="609">
        <f t="shared" si="55"/>
        <v>-31154711.5</v>
      </c>
      <c r="AV205" s="380"/>
    </row>
    <row r="206" spans="1:48" s="381" customFormat="1" ht="24.95" customHeight="1">
      <c r="A206" s="966" t="s">
        <v>818</v>
      </c>
      <c r="B206" s="979" t="s">
        <v>819</v>
      </c>
      <c r="C206" s="984">
        <v>489770</v>
      </c>
      <c r="D206" s="989">
        <v>0</v>
      </c>
      <c r="E206" s="967">
        <v>0</v>
      </c>
      <c r="F206" s="968">
        <f t="shared" si="54"/>
        <v>489770</v>
      </c>
      <c r="G206" s="1775"/>
      <c r="H206" s="984">
        <v>227792.03</v>
      </c>
      <c r="I206" s="967">
        <v>226149.72</v>
      </c>
      <c r="J206" s="968">
        <v>1642.31</v>
      </c>
      <c r="K206" s="382"/>
      <c r="L206" s="393"/>
      <c r="M206" s="390"/>
      <c r="N206" s="390"/>
      <c r="O206" s="390"/>
      <c r="P206" s="393"/>
      <c r="Q206" s="390"/>
      <c r="R206" s="390"/>
      <c r="S206" s="390"/>
      <c r="T206" s="390"/>
      <c r="U206" s="390">
        <v>1</v>
      </c>
      <c r="V206" s="390"/>
      <c r="W206" s="390"/>
      <c r="X206" s="390"/>
      <c r="Y206" s="390"/>
      <c r="Z206" s="390"/>
      <c r="AA206" s="390"/>
      <c r="AB206" s="393"/>
      <c r="AC206" s="390"/>
      <c r="AD206" s="390"/>
      <c r="AE206" s="390"/>
      <c r="AF206" s="390"/>
      <c r="AG206" s="390">
        <v>1</v>
      </c>
      <c r="AH206" s="390"/>
      <c r="AI206" s="390"/>
      <c r="AJ206" s="390"/>
      <c r="AK206" s="390"/>
      <c r="AL206" s="390"/>
      <c r="AM206" s="390"/>
      <c r="AN206" s="1757"/>
      <c r="AO206" s="385"/>
      <c r="AP206" s="382"/>
      <c r="AQ206" s="603">
        <f t="shared" ref="AQ206:AQ214" si="56">SUM(K206:AO206)</f>
        <v>2</v>
      </c>
      <c r="AR206" s="604">
        <f t="shared" ref="AR206:AR214" si="57">IFERROR(IF(F206-I206&lt;0,0,F206-I206),0)</f>
        <v>263620.28000000003</v>
      </c>
      <c r="AS206" s="590">
        <f t="shared" ref="AS206:AS214" si="58">IFERROR(AQ206*AR206,0)</f>
        <v>527240.56000000006</v>
      </c>
      <c r="AT206" s="606">
        <f t="shared" ref="AT206:AT214" si="59">I206+AS206</f>
        <v>753390.28</v>
      </c>
      <c r="AU206" s="605">
        <f t="shared" ref="AU206:AU214" si="60">F206-AT206</f>
        <v>-263620.28000000003</v>
      </c>
      <c r="AV206" s="380"/>
    </row>
    <row r="207" spans="1:48" ht="24.95" customHeight="1">
      <c r="A207" s="966" t="s">
        <v>820</v>
      </c>
      <c r="B207" s="979" t="s">
        <v>821</v>
      </c>
      <c r="C207" s="984">
        <v>219300</v>
      </c>
      <c r="D207" s="989">
        <v>0</v>
      </c>
      <c r="E207" s="967">
        <v>0</v>
      </c>
      <c r="F207" s="968">
        <f t="shared" si="54"/>
        <v>219300</v>
      </c>
      <c r="G207" s="1775"/>
      <c r="H207" s="984">
        <v>56996.07</v>
      </c>
      <c r="I207" s="967">
        <v>55984.62</v>
      </c>
      <c r="J207" s="968">
        <v>1011.45</v>
      </c>
      <c r="K207" s="382"/>
      <c r="L207" s="393"/>
      <c r="M207" s="390"/>
      <c r="N207" s="390"/>
      <c r="O207" s="390"/>
      <c r="P207" s="393"/>
      <c r="Q207" s="390"/>
      <c r="R207" s="390"/>
      <c r="S207" s="390"/>
      <c r="T207" s="390"/>
      <c r="U207" s="390"/>
      <c r="V207" s="390"/>
      <c r="W207" s="390"/>
      <c r="X207" s="390"/>
      <c r="Y207" s="390"/>
      <c r="Z207" s="390"/>
      <c r="AA207" s="390"/>
      <c r="AB207" s="393"/>
      <c r="AC207" s="390"/>
      <c r="AD207" s="390"/>
      <c r="AE207" s="390"/>
      <c r="AF207" s="390"/>
      <c r="AG207" s="390"/>
      <c r="AH207" s="390"/>
      <c r="AI207" s="390"/>
      <c r="AJ207" s="390"/>
      <c r="AK207" s="390"/>
      <c r="AL207" s="390"/>
      <c r="AM207" s="390"/>
      <c r="AN207" s="1757"/>
      <c r="AO207" s="385"/>
      <c r="AQ207" s="571">
        <f t="shared" si="56"/>
        <v>0</v>
      </c>
      <c r="AR207" s="574">
        <f t="shared" si="57"/>
        <v>163315.38</v>
      </c>
      <c r="AS207" s="573">
        <f t="shared" si="58"/>
        <v>0</v>
      </c>
      <c r="AT207" s="572">
        <f t="shared" si="59"/>
        <v>55984.62</v>
      </c>
      <c r="AU207" s="573">
        <f t="shared" si="60"/>
        <v>163315.38</v>
      </c>
      <c r="AV207" s="380"/>
    </row>
    <row r="208" spans="1:48" s="381" customFormat="1" ht="24.95" customHeight="1">
      <c r="A208" s="966" t="s">
        <v>822</v>
      </c>
      <c r="B208" s="979" t="s">
        <v>823</v>
      </c>
      <c r="C208" s="984">
        <v>1008000</v>
      </c>
      <c r="D208" s="989">
        <v>0</v>
      </c>
      <c r="E208" s="967">
        <v>0</v>
      </c>
      <c r="F208" s="968">
        <f t="shared" si="54"/>
        <v>1008000</v>
      </c>
      <c r="G208" s="1775"/>
      <c r="H208" s="984">
        <v>280123.2</v>
      </c>
      <c r="I208" s="967">
        <v>266678.2</v>
      </c>
      <c r="J208" s="968">
        <v>13445</v>
      </c>
      <c r="K208" s="382"/>
      <c r="L208" s="393"/>
      <c r="M208" s="390"/>
      <c r="N208" s="390">
        <v>1</v>
      </c>
      <c r="O208" s="390">
        <v>1</v>
      </c>
      <c r="P208" s="393">
        <v>1</v>
      </c>
      <c r="Q208" s="390">
        <v>1</v>
      </c>
      <c r="R208" s="390">
        <v>1</v>
      </c>
      <c r="S208" s="390">
        <v>1</v>
      </c>
      <c r="T208" s="390">
        <v>1</v>
      </c>
      <c r="U208" s="390">
        <v>1</v>
      </c>
      <c r="V208" s="390">
        <v>12</v>
      </c>
      <c r="W208" s="390"/>
      <c r="X208" s="390"/>
      <c r="Y208" s="390"/>
      <c r="Z208" s="390"/>
      <c r="AA208" s="390"/>
      <c r="AB208" s="393">
        <v>1</v>
      </c>
      <c r="AC208" s="390">
        <v>1</v>
      </c>
      <c r="AD208" s="390">
        <v>1</v>
      </c>
      <c r="AE208" s="390">
        <v>1</v>
      </c>
      <c r="AF208" s="390">
        <v>1</v>
      </c>
      <c r="AG208" s="390">
        <v>1</v>
      </c>
      <c r="AH208" s="390">
        <v>12</v>
      </c>
      <c r="AI208" s="390"/>
      <c r="AJ208" s="390"/>
      <c r="AK208" s="390"/>
      <c r="AL208" s="390"/>
      <c r="AM208" s="390"/>
      <c r="AN208" s="1757">
        <v>1</v>
      </c>
      <c r="AO208" s="385">
        <v>1</v>
      </c>
      <c r="AP208" s="382"/>
      <c r="AQ208" s="603">
        <f t="shared" si="56"/>
        <v>40</v>
      </c>
      <c r="AR208" s="604">
        <f t="shared" si="57"/>
        <v>741321.8</v>
      </c>
      <c r="AS208" s="590">
        <f t="shared" si="58"/>
        <v>29652872</v>
      </c>
      <c r="AT208" s="606">
        <f t="shared" si="59"/>
        <v>29919550.199999999</v>
      </c>
      <c r="AU208" s="605">
        <f t="shared" si="60"/>
        <v>-28911550.199999999</v>
      </c>
      <c r="AV208" s="380"/>
    </row>
    <row r="209" spans="1:48" s="381" customFormat="1" ht="24.95" customHeight="1">
      <c r="A209" s="966" t="s">
        <v>824</v>
      </c>
      <c r="B209" s="979" t="s">
        <v>825</v>
      </c>
      <c r="C209" s="984">
        <v>409692.5</v>
      </c>
      <c r="D209" s="989">
        <v>0</v>
      </c>
      <c r="E209" s="967">
        <v>0</v>
      </c>
      <c r="F209" s="968">
        <f t="shared" si="54"/>
        <v>409692.5</v>
      </c>
      <c r="G209" s="1775"/>
      <c r="H209" s="984">
        <v>221029.1</v>
      </c>
      <c r="I209" s="967">
        <v>128580.08</v>
      </c>
      <c r="J209" s="968">
        <v>92449.02</v>
      </c>
      <c r="K209" s="382"/>
      <c r="L209" s="393"/>
      <c r="M209" s="390"/>
      <c r="N209" s="390"/>
      <c r="O209" s="390"/>
      <c r="P209" s="393">
        <v>1</v>
      </c>
      <c r="Q209" s="390"/>
      <c r="R209" s="390"/>
      <c r="S209" s="390"/>
      <c r="T209" s="390"/>
      <c r="U209" s="390"/>
      <c r="V209" s="390"/>
      <c r="W209" s="390"/>
      <c r="X209" s="390"/>
      <c r="Y209" s="390"/>
      <c r="Z209" s="390"/>
      <c r="AA209" s="390"/>
      <c r="AB209" s="393">
        <v>1</v>
      </c>
      <c r="AC209" s="390"/>
      <c r="AD209" s="390"/>
      <c r="AE209" s="390"/>
      <c r="AF209" s="390"/>
      <c r="AG209" s="390"/>
      <c r="AH209" s="390"/>
      <c r="AI209" s="390"/>
      <c r="AJ209" s="390"/>
      <c r="AK209" s="390"/>
      <c r="AL209" s="390"/>
      <c r="AM209" s="390"/>
      <c r="AN209" s="1757">
        <v>1</v>
      </c>
      <c r="AO209" s="385"/>
      <c r="AP209" s="382"/>
      <c r="AQ209" s="603">
        <f t="shared" si="56"/>
        <v>3</v>
      </c>
      <c r="AR209" s="604">
        <f t="shared" si="57"/>
        <v>281112.42</v>
      </c>
      <c r="AS209" s="590">
        <f t="shared" si="58"/>
        <v>843337.26</v>
      </c>
      <c r="AT209" s="606">
        <f t="shared" si="59"/>
        <v>971917.34</v>
      </c>
      <c r="AU209" s="605">
        <f t="shared" si="60"/>
        <v>-562224.84</v>
      </c>
      <c r="AV209" s="380"/>
    </row>
    <row r="210" spans="1:48" s="381" customFormat="1" ht="24.95" customHeight="1">
      <c r="A210" s="966" t="s">
        <v>826</v>
      </c>
      <c r="B210" s="979" t="s">
        <v>827</v>
      </c>
      <c r="C210" s="984">
        <v>108999</v>
      </c>
      <c r="D210" s="989">
        <v>0</v>
      </c>
      <c r="E210" s="967">
        <v>0</v>
      </c>
      <c r="F210" s="968">
        <f t="shared" si="54"/>
        <v>108999</v>
      </c>
      <c r="G210" s="1775"/>
      <c r="H210" s="984">
        <v>0</v>
      </c>
      <c r="I210" s="967">
        <v>0</v>
      </c>
      <c r="J210" s="968">
        <v>0</v>
      </c>
      <c r="K210" s="382"/>
      <c r="L210" s="393"/>
      <c r="M210" s="390"/>
      <c r="N210" s="390"/>
      <c r="O210" s="390"/>
      <c r="P210" s="393">
        <v>1</v>
      </c>
      <c r="Q210" s="390"/>
      <c r="R210" s="390"/>
      <c r="S210" s="390"/>
      <c r="T210" s="390"/>
      <c r="U210" s="390"/>
      <c r="V210" s="390"/>
      <c r="W210" s="390"/>
      <c r="X210" s="390"/>
      <c r="Y210" s="390"/>
      <c r="Z210" s="390"/>
      <c r="AA210" s="390"/>
      <c r="AB210" s="393">
        <v>1</v>
      </c>
      <c r="AC210" s="390"/>
      <c r="AD210" s="390"/>
      <c r="AE210" s="390"/>
      <c r="AF210" s="390"/>
      <c r="AG210" s="390"/>
      <c r="AH210" s="390"/>
      <c r="AI210" s="390"/>
      <c r="AJ210" s="390"/>
      <c r="AK210" s="390"/>
      <c r="AL210" s="390"/>
      <c r="AM210" s="390"/>
      <c r="AN210" s="1757">
        <v>1</v>
      </c>
      <c r="AO210" s="385"/>
      <c r="AP210" s="382"/>
      <c r="AQ210" s="603">
        <f t="shared" si="56"/>
        <v>3</v>
      </c>
      <c r="AR210" s="604">
        <f t="shared" si="57"/>
        <v>108999</v>
      </c>
      <c r="AS210" s="590">
        <f t="shared" si="58"/>
        <v>326997</v>
      </c>
      <c r="AT210" s="606">
        <f t="shared" si="59"/>
        <v>326997</v>
      </c>
      <c r="AU210" s="605">
        <f t="shared" si="60"/>
        <v>-217998</v>
      </c>
      <c r="AV210" s="380"/>
    </row>
    <row r="211" spans="1:48" s="381" customFormat="1" ht="24.95" customHeight="1">
      <c r="A211" s="966" t="s">
        <v>828</v>
      </c>
      <c r="B211" s="979" t="s">
        <v>829</v>
      </c>
      <c r="C211" s="984">
        <v>319760</v>
      </c>
      <c r="D211" s="989">
        <v>0</v>
      </c>
      <c r="E211" s="967">
        <v>0</v>
      </c>
      <c r="F211" s="968">
        <f t="shared" si="54"/>
        <v>319760</v>
      </c>
      <c r="G211" s="1775"/>
      <c r="H211" s="984">
        <v>31368.46</v>
      </c>
      <c r="I211" s="967">
        <v>9413.5300000000007</v>
      </c>
      <c r="J211" s="968">
        <v>21954.93</v>
      </c>
      <c r="K211" s="382"/>
      <c r="L211" s="393"/>
      <c r="M211" s="390"/>
      <c r="N211" s="390"/>
      <c r="O211" s="390"/>
      <c r="P211" s="393">
        <v>1</v>
      </c>
      <c r="Q211" s="390"/>
      <c r="R211" s="390"/>
      <c r="S211" s="390"/>
      <c r="T211" s="390"/>
      <c r="U211" s="390"/>
      <c r="V211" s="390"/>
      <c r="W211" s="390"/>
      <c r="X211" s="390"/>
      <c r="Y211" s="390"/>
      <c r="Z211" s="390"/>
      <c r="AA211" s="390"/>
      <c r="AB211" s="393">
        <v>1</v>
      </c>
      <c r="AC211" s="390"/>
      <c r="AD211" s="390"/>
      <c r="AE211" s="390"/>
      <c r="AF211" s="390"/>
      <c r="AG211" s="390"/>
      <c r="AH211" s="390"/>
      <c r="AI211" s="390"/>
      <c r="AJ211" s="390"/>
      <c r="AK211" s="390"/>
      <c r="AL211" s="390"/>
      <c r="AM211" s="390"/>
      <c r="AN211" s="1757">
        <v>1</v>
      </c>
      <c r="AO211" s="385"/>
      <c r="AP211" s="382"/>
      <c r="AQ211" s="603">
        <f t="shared" si="56"/>
        <v>3</v>
      </c>
      <c r="AR211" s="604">
        <f t="shared" si="57"/>
        <v>310346.46999999997</v>
      </c>
      <c r="AS211" s="590">
        <f t="shared" si="58"/>
        <v>931039.40999999992</v>
      </c>
      <c r="AT211" s="606">
        <f t="shared" si="59"/>
        <v>940452.94</v>
      </c>
      <c r="AU211" s="605">
        <f t="shared" si="60"/>
        <v>-620692.93999999994</v>
      </c>
      <c r="AV211" s="380"/>
    </row>
    <row r="212" spans="1:48" s="381" customFormat="1" ht="24.95" customHeight="1">
      <c r="A212" s="966" t="s">
        <v>830</v>
      </c>
      <c r="B212" s="979" t="s">
        <v>827</v>
      </c>
      <c r="C212" s="984">
        <v>96888</v>
      </c>
      <c r="D212" s="989">
        <v>0</v>
      </c>
      <c r="E212" s="967">
        <v>0</v>
      </c>
      <c r="F212" s="968">
        <f t="shared" si="54"/>
        <v>96888</v>
      </c>
      <c r="G212" s="1775"/>
      <c r="H212" s="984">
        <v>0</v>
      </c>
      <c r="I212" s="967">
        <v>0</v>
      </c>
      <c r="J212" s="968">
        <v>0</v>
      </c>
      <c r="K212" s="382"/>
      <c r="L212" s="393"/>
      <c r="M212" s="390"/>
      <c r="N212" s="390"/>
      <c r="O212" s="390"/>
      <c r="P212" s="393">
        <v>1</v>
      </c>
      <c r="Q212" s="390"/>
      <c r="R212" s="390"/>
      <c r="S212" s="390"/>
      <c r="T212" s="390"/>
      <c r="U212" s="390"/>
      <c r="V212" s="390"/>
      <c r="W212" s="390"/>
      <c r="X212" s="390"/>
      <c r="Y212" s="390"/>
      <c r="Z212" s="390"/>
      <c r="AA212" s="390"/>
      <c r="AB212" s="393">
        <v>1</v>
      </c>
      <c r="AC212" s="390"/>
      <c r="AD212" s="390"/>
      <c r="AE212" s="390"/>
      <c r="AF212" s="390"/>
      <c r="AG212" s="390"/>
      <c r="AH212" s="390"/>
      <c r="AI212" s="390"/>
      <c r="AJ212" s="390"/>
      <c r="AK212" s="390"/>
      <c r="AL212" s="390"/>
      <c r="AM212" s="390"/>
      <c r="AN212" s="1757">
        <v>1</v>
      </c>
      <c r="AO212" s="385"/>
      <c r="AP212" s="382"/>
      <c r="AQ212" s="603">
        <f t="shared" si="56"/>
        <v>3</v>
      </c>
      <c r="AR212" s="604">
        <f t="shared" si="57"/>
        <v>96888</v>
      </c>
      <c r="AS212" s="590">
        <f t="shared" si="58"/>
        <v>290664</v>
      </c>
      <c r="AT212" s="606">
        <f t="shared" si="59"/>
        <v>290664</v>
      </c>
      <c r="AU212" s="605">
        <f t="shared" si="60"/>
        <v>-193776</v>
      </c>
      <c r="AV212" s="380"/>
    </row>
    <row r="213" spans="1:48" ht="24.95" customHeight="1">
      <c r="A213" s="966" t="s">
        <v>831</v>
      </c>
      <c r="B213" s="979" t="s">
        <v>832</v>
      </c>
      <c r="C213" s="984">
        <v>259805</v>
      </c>
      <c r="D213" s="989">
        <v>0</v>
      </c>
      <c r="E213" s="967">
        <v>0</v>
      </c>
      <c r="F213" s="968">
        <f t="shared" si="54"/>
        <v>259805</v>
      </c>
      <c r="G213" s="1775"/>
      <c r="H213" s="984">
        <v>86930.75</v>
      </c>
      <c r="I213" s="967">
        <v>82610.69</v>
      </c>
      <c r="J213" s="968">
        <v>4320.0600000000004</v>
      </c>
      <c r="K213" s="382"/>
      <c r="L213" s="393"/>
      <c r="M213" s="390"/>
      <c r="N213" s="390"/>
      <c r="O213" s="390"/>
      <c r="P213" s="393">
        <v>1</v>
      </c>
      <c r="Q213" s="390"/>
      <c r="R213" s="390"/>
      <c r="S213" s="390"/>
      <c r="T213" s="390"/>
      <c r="U213" s="390"/>
      <c r="V213" s="390"/>
      <c r="W213" s="390"/>
      <c r="X213" s="390"/>
      <c r="Y213" s="390"/>
      <c r="Z213" s="390"/>
      <c r="AA213" s="390"/>
      <c r="AB213" s="393">
        <v>1</v>
      </c>
      <c r="AC213" s="390"/>
      <c r="AD213" s="390"/>
      <c r="AE213" s="390"/>
      <c r="AF213" s="390"/>
      <c r="AG213" s="390"/>
      <c r="AH213" s="390"/>
      <c r="AI213" s="390"/>
      <c r="AJ213" s="390"/>
      <c r="AK213" s="390"/>
      <c r="AL213" s="390"/>
      <c r="AM213" s="390"/>
      <c r="AN213" s="1757">
        <v>1</v>
      </c>
      <c r="AO213" s="385"/>
      <c r="AQ213" s="571">
        <f t="shared" si="56"/>
        <v>3</v>
      </c>
      <c r="AR213" s="574">
        <f t="shared" si="57"/>
        <v>177194.31</v>
      </c>
      <c r="AS213" s="573">
        <f t="shared" si="58"/>
        <v>531582.92999999993</v>
      </c>
      <c r="AT213" s="572">
        <f t="shared" si="59"/>
        <v>614193.61999999988</v>
      </c>
      <c r="AU213" s="573">
        <f t="shared" si="60"/>
        <v>-354388.61999999988</v>
      </c>
      <c r="AV213" s="380"/>
    </row>
    <row r="214" spans="1:48" ht="24.95" customHeight="1">
      <c r="A214" s="966" t="s">
        <v>833</v>
      </c>
      <c r="B214" s="979" t="s">
        <v>827</v>
      </c>
      <c r="C214" s="984">
        <v>96888</v>
      </c>
      <c r="D214" s="989">
        <v>0</v>
      </c>
      <c r="E214" s="967">
        <v>0</v>
      </c>
      <c r="F214" s="968">
        <f t="shared" si="54"/>
        <v>96888</v>
      </c>
      <c r="G214" s="1775"/>
      <c r="H214" s="984">
        <v>0</v>
      </c>
      <c r="I214" s="967">
        <v>0</v>
      </c>
      <c r="J214" s="968">
        <v>0</v>
      </c>
      <c r="K214" s="382"/>
      <c r="L214" s="393"/>
      <c r="M214" s="390"/>
      <c r="N214" s="390"/>
      <c r="O214" s="390"/>
      <c r="P214" s="393">
        <v>1</v>
      </c>
      <c r="Q214" s="390"/>
      <c r="R214" s="390"/>
      <c r="S214" s="390"/>
      <c r="T214" s="390"/>
      <c r="U214" s="390"/>
      <c r="V214" s="390"/>
      <c r="W214" s="390"/>
      <c r="X214" s="390"/>
      <c r="Y214" s="390"/>
      <c r="Z214" s="390"/>
      <c r="AA214" s="390"/>
      <c r="AB214" s="393">
        <v>1</v>
      </c>
      <c r="AC214" s="390"/>
      <c r="AD214" s="390"/>
      <c r="AE214" s="390"/>
      <c r="AF214" s="390"/>
      <c r="AG214" s="390"/>
      <c r="AH214" s="390"/>
      <c r="AI214" s="390"/>
      <c r="AJ214" s="390"/>
      <c r="AK214" s="390"/>
      <c r="AL214" s="390"/>
      <c r="AM214" s="390"/>
      <c r="AN214" s="1757">
        <v>1</v>
      </c>
      <c r="AO214" s="385"/>
      <c r="AQ214" s="603">
        <f t="shared" si="56"/>
        <v>3</v>
      </c>
      <c r="AR214" s="604">
        <f t="shared" si="57"/>
        <v>96888</v>
      </c>
      <c r="AS214" s="590">
        <f t="shared" si="58"/>
        <v>290664</v>
      </c>
      <c r="AT214" s="606">
        <f t="shared" si="59"/>
        <v>290664</v>
      </c>
      <c r="AU214" s="605">
        <f t="shared" si="60"/>
        <v>-193776</v>
      </c>
      <c r="AV214" s="380"/>
    </row>
    <row r="215" spans="1:48" ht="24.95" customHeight="1">
      <c r="A215" s="972" t="s">
        <v>834</v>
      </c>
      <c r="B215" s="981" t="s">
        <v>91</v>
      </c>
      <c r="C215" s="986">
        <v>3876530</v>
      </c>
      <c r="D215" s="991">
        <v>0</v>
      </c>
      <c r="E215" s="973">
        <v>0</v>
      </c>
      <c r="F215" s="974">
        <f t="shared" si="54"/>
        <v>3876530</v>
      </c>
      <c r="G215" s="1775"/>
      <c r="H215" s="986">
        <v>954756.54</v>
      </c>
      <c r="I215" s="973">
        <v>998790.5</v>
      </c>
      <c r="J215" s="974">
        <v>-44033.96</v>
      </c>
      <c r="K215" s="382"/>
      <c r="L215" s="387"/>
      <c r="M215" s="391"/>
      <c r="N215" s="391"/>
      <c r="O215" s="391"/>
      <c r="P215" s="387"/>
      <c r="Q215" s="391"/>
      <c r="R215" s="391"/>
      <c r="S215" s="391"/>
      <c r="T215" s="391"/>
      <c r="U215" s="391"/>
      <c r="V215" s="391"/>
      <c r="W215" s="391"/>
      <c r="X215" s="391"/>
      <c r="Y215" s="391"/>
      <c r="Z215" s="391"/>
      <c r="AA215" s="391"/>
      <c r="AB215" s="387"/>
      <c r="AC215" s="391"/>
      <c r="AD215" s="391"/>
      <c r="AE215" s="391"/>
      <c r="AF215" s="391"/>
      <c r="AG215" s="391"/>
      <c r="AH215" s="391"/>
      <c r="AI215" s="391"/>
      <c r="AJ215" s="391"/>
      <c r="AK215" s="391"/>
      <c r="AL215" s="391"/>
      <c r="AM215" s="391"/>
      <c r="AN215" s="1758"/>
      <c r="AO215" s="386"/>
      <c r="AQ215" s="612">
        <f t="shared" ref="AQ215:AU215" si="61">+AQ241+AQ240+AQ239+AQ238+AQ237+AQ236+AQ235+AQ234+AQ233+AQ232+AQ231+AQ230+AQ229+AQ228+AQ227+AQ226+AQ225+AQ224+AQ223+AQ222+AQ221+AQ220+AQ219+AQ218+AQ217+AQ216</f>
        <v>0</v>
      </c>
      <c r="AR215" s="613">
        <f t="shared" si="61"/>
        <v>2877739.4999999995</v>
      </c>
      <c r="AS215" s="614">
        <f t="shared" si="61"/>
        <v>0</v>
      </c>
      <c r="AT215" s="610">
        <f t="shared" si="61"/>
        <v>998790.50000000023</v>
      </c>
      <c r="AU215" s="609">
        <f t="shared" si="61"/>
        <v>2877739.4999999995</v>
      </c>
    </row>
    <row r="216" spans="1:48" ht="24.95" customHeight="1">
      <c r="A216" s="966" t="s">
        <v>835</v>
      </c>
      <c r="B216" s="979" t="s">
        <v>379</v>
      </c>
      <c r="C216" s="984">
        <v>824040</v>
      </c>
      <c r="D216" s="989">
        <v>0</v>
      </c>
      <c r="E216" s="967">
        <v>0</v>
      </c>
      <c r="F216" s="968">
        <f t="shared" si="54"/>
        <v>824040</v>
      </c>
      <c r="G216" s="1775"/>
      <c r="H216" s="984">
        <v>284870.63</v>
      </c>
      <c r="I216" s="967">
        <v>285168.31</v>
      </c>
      <c r="J216" s="968">
        <v>-297.68</v>
      </c>
      <c r="K216" s="382"/>
      <c r="L216" s="387"/>
      <c r="M216" s="391"/>
      <c r="N216" s="391"/>
      <c r="O216" s="391"/>
      <c r="P216" s="387"/>
      <c r="Q216" s="391"/>
      <c r="R216" s="391"/>
      <c r="S216" s="391"/>
      <c r="T216" s="391"/>
      <c r="U216" s="391"/>
      <c r="V216" s="391"/>
      <c r="W216" s="391"/>
      <c r="X216" s="391"/>
      <c r="Y216" s="391"/>
      <c r="Z216" s="391"/>
      <c r="AA216" s="391"/>
      <c r="AB216" s="387"/>
      <c r="AC216" s="391"/>
      <c r="AD216" s="391"/>
      <c r="AE216" s="391"/>
      <c r="AF216" s="391"/>
      <c r="AG216" s="391"/>
      <c r="AH216" s="391"/>
      <c r="AI216" s="391"/>
      <c r="AJ216" s="391"/>
      <c r="AK216" s="391"/>
      <c r="AL216" s="391"/>
      <c r="AM216" s="391"/>
      <c r="AN216" s="1758"/>
      <c r="AO216" s="386"/>
      <c r="AQ216" s="615">
        <f t="shared" ref="AQ216:AQ241" si="62">SUM(K216:AO216)</f>
        <v>0</v>
      </c>
      <c r="AR216" s="616">
        <f t="shared" ref="AR216:AR241" si="63">IFERROR(IF(F216-I216&lt;0,0,F216-I216),0)</f>
        <v>538871.68999999994</v>
      </c>
      <c r="AS216" s="617">
        <f t="shared" ref="AS216:AS241" si="64">IFERROR(AQ216*AR216,0)</f>
        <v>0</v>
      </c>
      <c r="AT216" s="606">
        <f t="shared" ref="AT216:AT241" si="65">I216+AS216</f>
        <v>285168.31</v>
      </c>
      <c r="AU216" s="605">
        <f t="shared" ref="AU216:AU241" si="66">F216-AT216</f>
        <v>538871.68999999994</v>
      </c>
    </row>
    <row r="217" spans="1:48" ht="24.95" customHeight="1">
      <c r="A217" s="966" t="s">
        <v>836</v>
      </c>
      <c r="B217" s="979" t="s">
        <v>837</v>
      </c>
      <c r="C217" s="984">
        <v>225630</v>
      </c>
      <c r="D217" s="989">
        <v>0</v>
      </c>
      <c r="E217" s="967">
        <v>0</v>
      </c>
      <c r="F217" s="968">
        <f t="shared" si="54"/>
        <v>225630</v>
      </c>
      <c r="G217" s="1775"/>
      <c r="H217" s="984">
        <v>45306.5</v>
      </c>
      <c r="I217" s="967">
        <v>45188.43</v>
      </c>
      <c r="J217" s="968">
        <v>118.07</v>
      </c>
      <c r="K217" s="382"/>
      <c r="L217" s="387"/>
      <c r="M217" s="391"/>
      <c r="N217" s="391"/>
      <c r="O217" s="391"/>
      <c r="P217" s="387"/>
      <c r="Q217" s="391"/>
      <c r="R217" s="391"/>
      <c r="S217" s="391"/>
      <c r="T217" s="391"/>
      <c r="U217" s="391"/>
      <c r="V217" s="391"/>
      <c r="W217" s="391"/>
      <c r="X217" s="391"/>
      <c r="Y217" s="391"/>
      <c r="Z217" s="391"/>
      <c r="AA217" s="391"/>
      <c r="AB217" s="387"/>
      <c r="AC217" s="391"/>
      <c r="AD217" s="391"/>
      <c r="AE217" s="391"/>
      <c r="AF217" s="391"/>
      <c r="AG217" s="391"/>
      <c r="AH217" s="391"/>
      <c r="AI217" s="391"/>
      <c r="AJ217" s="391"/>
      <c r="AK217" s="391"/>
      <c r="AL217" s="391"/>
      <c r="AM217" s="391"/>
      <c r="AN217" s="1758"/>
      <c r="AO217" s="386"/>
      <c r="AQ217" s="615">
        <f t="shared" si="62"/>
        <v>0</v>
      </c>
      <c r="AR217" s="616">
        <f t="shared" si="63"/>
        <v>180441.57</v>
      </c>
      <c r="AS217" s="617">
        <f t="shared" si="64"/>
        <v>0</v>
      </c>
      <c r="AT217" s="606">
        <f t="shared" si="65"/>
        <v>45188.43</v>
      </c>
      <c r="AU217" s="605">
        <f t="shared" si="66"/>
        <v>180441.57</v>
      </c>
    </row>
    <row r="218" spans="1:48" ht="24.95" customHeight="1">
      <c r="A218" s="966" t="s">
        <v>838</v>
      </c>
      <c r="B218" s="979" t="s">
        <v>839</v>
      </c>
      <c r="C218" s="984">
        <v>470880</v>
      </c>
      <c r="D218" s="989">
        <v>0</v>
      </c>
      <c r="E218" s="967">
        <v>0</v>
      </c>
      <c r="F218" s="968">
        <f t="shared" si="54"/>
        <v>470880</v>
      </c>
      <c r="G218" s="1775"/>
      <c r="H218" s="984">
        <v>91680.34</v>
      </c>
      <c r="I218" s="967">
        <v>90216.42</v>
      </c>
      <c r="J218" s="968">
        <v>1463.92</v>
      </c>
      <c r="K218" s="382"/>
      <c r="L218" s="387"/>
      <c r="M218" s="391"/>
      <c r="N218" s="391"/>
      <c r="O218" s="391"/>
      <c r="P218" s="387"/>
      <c r="Q218" s="391"/>
      <c r="R218" s="391"/>
      <c r="S218" s="391"/>
      <c r="T218" s="391"/>
      <c r="U218" s="391"/>
      <c r="V218" s="391"/>
      <c r="W218" s="391"/>
      <c r="X218" s="391"/>
      <c r="Y218" s="391"/>
      <c r="Z218" s="391"/>
      <c r="AA218" s="391"/>
      <c r="AB218" s="387"/>
      <c r="AC218" s="391"/>
      <c r="AD218" s="391"/>
      <c r="AE218" s="391"/>
      <c r="AF218" s="391"/>
      <c r="AG218" s="391"/>
      <c r="AH218" s="391"/>
      <c r="AI218" s="391"/>
      <c r="AJ218" s="391"/>
      <c r="AK218" s="391"/>
      <c r="AL218" s="391"/>
      <c r="AM218" s="391"/>
      <c r="AN218" s="1758"/>
      <c r="AO218" s="386"/>
      <c r="AQ218" s="615">
        <f t="shared" si="62"/>
        <v>0</v>
      </c>
      <c r="AR218" s="616">
        <f t="shared" si="63"/>
        <v>380663.58</v>
      </c>
      <c r="AS218" s="617">
        <f t="shared" si="64"/>
        <v>0</v>
      </c>
      <c r="AT218" s="606">
        <f t="shared" si="65"/>
        <v>90216.42</v>
      </c>
      <c r="AU218" s="605">
        <f t="shared" si="66"/>
        <v>380663.58</v>
      </c>
    </row>
    <row r="219" spans="1:48" ht="24.95" customHeight="1">
      <c r="A219" s="966" t="s">
        <v>840</v>
      </c>
      <c r="B219" s="979" t="s">
        <v>841</v>
      </c>
      <c r="C219" s="984">
        <v>14715</v>
      </c>
      <c r="D219" s="989">
        <v>0</v>
      </c>
      <c r="E219" s="967">
        <v>0</v>
      </c>
      <c r="F219" s="968">
        <f t="shared" si="54"/>
        <v>14715</v>
      </c>
      <c r="G219" s="1775"/>
      <c r="H219" s="984">
        <v>6270.06</v>
      </c>
      <c r="I219" s="967">
        <v>6261.74</v>
      </c>
      <c r="J219" s="968">
        <v>8.32</v>
      </c>
      <c r="K219" s="382"/>
      <c r="L219" s="387"/>
      <c r="M219" s="391"/>
      <c r="N219" s="391"/>
      <c r="O219" s="391"/>
      <c r="P219" s="387"/>
      <c r="Q219" s="391"/>
      <c r="R219" s="391"/>
      <c r="S219" s="391"/>
      <c r="T219" s="391"/>
      <c r="U219" s="391"/>
      <c r="V219" s="391"/>
      <c r="W219" s="391"/>
      <c r="X219" s="391"/>
      <c r="Y219" s="391"/>
      <c r="Z219" s="391"/>
      <c r="AA219" s="391"/>
      <c r="AB219" s="387"/>
      <c r="AC219" s="391"/>
      <c r="AD219" s="391"/>
      <c r="AE219" s="391"/>
      <c r="AF219" s="391"/>
      <c r="AG219" s="391"/>
      <c r="AH219" s="391"/>
      <c r="AI219" s="391"/>
      <c r="AJ219" s="391"/>
      <c r="AK219" s="391"/>
      <c r="AL219" s="391"/>
      <c r="AM219" s="391"/>
      <c r="AN219" s="1758"/>
      <c r="AO219" s="386"/>
      <c r="AQ219" s="615">
        <f t="shared" si="62"/>
        <v>0</v>
      </c>
      <c r="AR219" s="616">
        <f t="shared" si="63"/>
        <v>8453.26</v>
      </c>
      <c r="AS219" s="617">
        <f t="shared" si="64"/>
        <v>0</v>
      </c>
      <c r="AT219" s="606">
        <f t="shared" si="65"/>
        <v>6261.74</v>
      </c>
      <c r="AU219" s="605">
        <f t="shared" si="66"/>
        <v>8453.26</v>
      </c>
    </row>
    <row r="220" spans="1:48" ht="24.95" customHeight="1">
      <c r="A220" s="966" t="s">
        <v>842</v>
      </c>
      <c r="B220" s="979" t="s">
        <v>381</v>
      </c>
      <c r="C220" s="984">
        <v>44145</v>
      </c>
      <c r="D220" s="989">
        <v>0</v>
      </c>
      <c r="E220" s="967">
        <v>0</v>
      </c>
      <c r="F220" s="968">
        <f t="shared" si="54"/>
        <v>44145</v>
      </c>
      <c r="G220" s="1775"/>
      <c r="H220" s="984">
        <v>16964.919999999998</v>
      </c>
      <c r="I220" s="967">
        <v>16905.310000000001</v>
      </c>
      <c r="J220" s="968">
        <v>59.61</v>
      </c>
      <c r="K220" s="382"/>
      <c r="L220" s="387"/>
      <c r="M220" s="391"/>
      <c r="N220" s="391"/>
      <c r="O220" s="391"/>
      <c r="P220" s="387"/>
      <c r="Q220" s="391"/>
      <c r="R220" s="391"/>
      <c r="S220" s="391"/>
      <c r="T220" s="391"/>
      <c r="U220" s="391"/>
      <c r="V220" s="391"/>
      <c r="W220" s="391"/>
      <c r="X220" s="391"/>
      <c r="Y220" s="391"/>
      <c r="Z220" s="391"/>
      <c r="AA220" s="391"/>
      <c r="AB220" s="387"/>
      <c r="AC220" s="391"/>
      <c r="AD220" s="391"/>
      <c r="AE220" s="391"/>
      <c r="AF220" s="391"/>
      <c r="AG220" s="391"/>
      <c r="AH220" s="391"/>
      <c r="AI220" s="391"/>
      <c r="AJ220" s="391"/>
      <c r="AK220" s="391"/>
      <c r="AL220" s="391"/>
      <c r="AM220" s="391"/>
      <c r="AN220" s="1758"/>
      <c r="AO220" s="386"/>
      <c r="AQ220" s="615">
        <f t="shared" si="62"/>
        <v>0</v>
      </c>
      <c r="AR220" s="616">
        <f t="shared" si="63"/>
        <v>27239.69</v>
      </c>
      <c r="AS220" s="617">
        <f t="shared" si="64"/>
        <v>0</v>
      </c>
      <c r="AT220" s="606">
        <f t="shared" si="65"/>
        <v>16905.310000000001</v>
      </c>
      <c r="AU220" s="605">
        <f t="shared" si="66"/>
        <v>27239.69</v>
      </c>
    </row>
    <row r="221" spans="1:48" ht="24.95" customHeight="1">
      <c r="A221" s="966" t="s">
        <v>843</v>
      </c>
      <c r="B221" s="979" t="s">
        <v>844</v>
      </c>
      <c r="C221" s="984">
        <v>39240</v>
      </c>
      <c r="D221" s="989">
        <v>0</v>
      </c>
      <c r="E221" s="967">
        <v>0</v>
      </c>
      <c r="F221" s="968">
        <f t="shared" si="54"/>
        <v>39240</v>
      </c>
      <c r="G221" s="1775"/>
      <c r="H221" s="984">
        <v>15621.44</v>
      </c>
      <c r="I221" s="967">
        <v>15620.29</v>
      </c>
      <c r="J221" s="968">
        <v>1.1499999999999999</v>
      </c>
      <c r="K221" s="382"/>
      <c r="L221" s="387"/>
      <c r="M221" s="391"/>
      <c r="N221" s="391"/>
      <c r="O221" s="391"/>
      <c r="P221" s="387"/>
      <c r="Q221" s="391"/>
      <c r="R221" s="391"/>
      <c r="S221" s="391"/>
      <c r="T221" s="391"/>
      <c r="U221" s="391"/>
      <c r="V221" s="391"/>
      <c r="W221" s="391"/>
      <c r="X221" s="391"/>
      <c r="Y221" s="391"/>
      <c r="Z221" s="391"/>
      <c r="AA221" s="391"/>
      <c r="AB221" s="387"/>
      <c r="AC221" s="391"/>
      <c r="AD221" s="391"/>
      <c r="AE221" s="391"/>
      <c r="AF221" s="391"/>
      <c r="AG221" s="391"/>
      <c r="AH221" s="391"/>
      <c r="AI221" s="391"/>
      <c r="AJ221" s="391"/>
      <c r="AK221" s="391"/>
      <c r="AL221" s="391"/>
      <c r="AM221" s="391"/>
      <c r="AN221" s="1758"/>
      <c r="AO221" s="386"/>
      <c r="AQ221" s="615">
        <f t="shared" si="62"/>
        <v>0</v>
      </c>
      <c r="AR221" s="616">
        <f t="shared" si="63"/>
        <v>23619.71</v>
      </c>
      <c r="AS221" s="617">
        <f t="shared" si="64"/>
        <v>0</v>
      </c>
      <c r="AT221" s="606">
        <f t="shared" si="65"/>
        <v>15620.29</v>
      </c>
      <c r="AU221" s="605">
        <f t="shared" si="66"/>
        <v>23619.71</v>
      </c>
    </row>
    <row r="222" spans="1:48" ht="24.95" customHeight="1">
      <c r="A222" s="966" t="s">
        <v>845</v>
      </c>
      <c r="B222" s="979" t="s">
        <v>846</v>
      </c>
      <c r="C222" s="984">
        <v>49050</v>
      </c>
      <c r="D222" s="989">
        <v>0</v>
      </c>
      <c r="E222" s="967">
        <v>0</v>
      </c>
      <c r="F222" s="968">
        <f t="shared" si="54"/>
        <v>49050</v>
      </c>
      <c r="G222" s="1775"/>
      <c r="H222" s="984">
        <v>15171.17</v>
      </c>
      <c r="I222" s="967">
        <v>15168.42</v>
      </c>
      <c r="J222" s="968">
        <v>2.75</v>
      </c>
      <c r="K222" s="382"/>
      <c r="L222" s="387"/>
      <c r="M222" s="391"/>
      <c r="N222" s="391"/>
      <c r="O222" s="391"/>
      <c r="P222" s="387"/>
      <c r="Q222" s="391"/>
      <c r="R222" s="391"/>
      <c r="S222" s="391"/>
      <c r="T222" s="391"/>
      <c r="U222" s="391"/>
      <c r="V222" s="391"/>
      <c r="W222" s="391"/>
      <c r="X222" s="391"/>
      <c r="Y222" s="391"/>
      <c r="Z222" s="391"/>
      <c r="AA222" s="391"/>
      <c r="AB222" s="387"/>
      <c r="AC222" s="391"/>
      <c r="AD222" s="391"/>
      <c r="AE222" s="391"/>
      <c r="AF222" s="391"/>
      <c r="AG222" s="391"/>
      <c r="AH222" s="391"/>
      <c r="AI222" s="391"/>
      <c r="AJ222" s="391"/>
      <c r="AK222" s="391"/>
      <c r="AL222" s="391"/>
      <c r="AM222" s="391"/>
      <c r="AN222" s="1758"/>
      <c r="AO222" s="386"/>
      <c r="AQ222" s="615">
        <f t="shared" si="62"/>
        <v>0</v>
      </c>
      <c r="AR222" s="616">
        <f t="shared" si="63"/>
        <v>33881.58</v>
      </c>
      <c r="AS222" s="617">
        <f t="shared" si="64"/>
        <v>0</v>
      </c>
      <c r="AT222" s="606">
        <f t="shared" si="65"/>
        <v>15168.42</v>
      </c>
      <c r="AU222" s="605">
        <f t="shared" si="66"/>
        <v>33881.58</v>
      </c>
    </row>
    <row r="223" spans="1:48" ht="24.95" customHeight="1">
      <c r="A223" s="966" t="s">
        <v>847</v>
      </c>
      <c r="B223" s="979" t="s">
        <v>848</v>
      </c>
      <c r="C223" s="984">
        <v>24525</v>
      </c>
      <c r="D223" s="989">
        <v>0</v>
      </c>
      <c r="E223" s="967">
        <v>0</v>
      </c>
      <c r="F223" s="968">
        <f t="shared" si="54"/>
        <v>24525</v>
      </c>
      <c r="G223" s="1775"/>
      <c r="H223" s="984">
        <v>6526.1</v>
      </c>
      <c r="I223" s="967">
        <v>6511.28</v>
      </c>
      <c r="J223" s="968">
        <v>14.82</v>
      </c>
      <c r="K223" s="382"/>
      <c r="L223" s="387"/>
      <c r="M223" s="391"/>
      <c r="N223" s="391"/>
      <c r="O223" s="391"/>
      <c r="P223" s="387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87"/>
      <c r="AC223" s="391"/>
      <c r="AD223" s="391"/>
      <c r="AE223" s="391"/>
      <c r="AF223" s="391"/>
      <c r="AG223" s="391"/>
      <c r="AH223" s="391"/>
      <c r="AI223" s="391"/>
      <c r="AJ223" s="391"/>
      <c r="AK223" s="391"/>
      <c r="AL223" s="391"/>
      <c r="AM223" s="391"/>
      <c r="AN223" s="1758"/>
      <c r="AO223" s="386"/>
      <c r="AQ223" s="615">
        <f t="shared" si="62"/>
        <v>0</v>
      </c>
      <c r="AR223" s="616">
        <f t="shared" si="63"/>
        <v>18013.72</v>
      </c>
      <c r="AS223" s="617">
        <f t="shared" si="64"/>
        <v>0</v>
      </c>
      <c r="AT223" s="606">
        <f t="shared" si="65"/>
        <v>6511.28</v>
      </c>
      <c r="AU223" s="605">
        <f t="shared" si="66"/>
        <v>18013.72</v>
      </c>
    </row>
    <row r="224" spans="1:48" ht="24.95" customHeight="1">
      <c r="A224" s="966" t="s">
        <v>849</v>
      </c>
      <c r="B224" s="979" t="s">
        <v>850</v>
      </c>
      <c r="C224" s="984">
        <v>42240</v>
      </c>
      <c r="D224" s="989">
        <v>0</v>
      </c>
      <c r="E224" s="967">
        <v>0</v>
      </c>
      <c r="F224" s="968">
        <f t="shared" si="54"/>
        <v>42240</v>
      </c>
      <c r="G224" s="1775"/>
      <c r="H224" s="984">
        <v>9558.91</v>
      </c>
      <c r="I224" s="967">
        <v>9560</v>
      </c>
      <c r="J224" s="968">
        <v>-1.0900000000000001</v>
      </c>
      <c r="K224" s="382"/>
      <c r="L224" s="387"/>
      <c r="M224" s="391"/>
      <c r="N224" s="391"/>
      <c r="O224" s="391"/>
      <c r="P224" s="387"/>
      <c r="Q224" s="391"/>
      <c r="R224" s="391"/>
      <c r="S224" s="391"/>
      <c r="T224" s="391"/>
      <c r="U224" s="391"/>
      <c r="V224" s="391"/>
      <c r="W224" s="391"/>
      <c r="X224" s="391"/>
      <c r="Y224" s="391"/>
      <c r="Z224" s="391"/>
      <c r="AA224" s="391"/>
      <c r="AB224" s="387"/>
      <c r="AC224" s="391"/>
      <c r="AD224" s="391"/>
      <c r="AE224" s="391"/>
      <c r="AF224" s="391"/>
      <c r="AG224" s="391"/>
      <c r="AH224" s="391"/>
      <c r="AI224" s="391"/>
      <c r="AJ224" s="391"/>
      <c r="AK224" s="391"/>
      <c r="AL224" s="391"/>
      <c r="AM224" s="391"/>
      <c r="AN224" s="1758"/>
      <c r="AO224" s="386"/>
      <c r="AQ224" s="615">
        <f t="shared" si="62"/>
        <v>0</v>
      </c>
      <c r="AR224" s="616">
        <f t="shared" si="63"/>
        <v>32680</v>
      </c>
      <c r="AS224" s="617">
        <f t="shared" si="64"/>
        <v>0</v>
      </c>
      <c r="AT224" s="606">
        <f t="shared" si="65"/>
        <v>9560</v>
      </c>
      <c r="AU224" s="605">
        <f t="shared" si="66"/>
        <v>32680</v>
      </c>
    </row>
    <row r="225" spans="1:47" ht="24.95" customHeight="1">
      <c r="A225" s="966" t="s">
        <v>851</v>
      </c>
      <c r="B225" s="979" t="s">
        <v>852</v>
      </c>
      <c r="C225" s="984">
        <v>34335</v>
      </c>
      <c r="D225" s="989">
        <v>0</v>
      </c>
      <c r="E225" s="967">
        <v>0</v>
      </c>
      <c r="F225" s="968">
        <f t="shared" si="54"/>
        <v>34335</v>
      </c>
      <c r="G225" s="1775"/>
      <c r="H225" s="984">
        <v>5706.48</v>
      </c>
      <c r="I225" s="967">
        <v>6286.68</v>
      </c>
      <c r="J225" s="968">
        <v>-580.20000000000005</v>
      </c>
      <c r="K225" s="382"/>
      <c r="L225" s="387"/>
      <c r="M225" s="391"/>
      <c r="N225" s="391"/>
      <c r="O225" s="391"/>
      <c r="P225" s="387"/>
      <c r="Q225" s="391"/>
      <c r="R225" s="391"/>
      <c r="S225" s="391"/>
      <c r="T225" s="391"/>
      <c r="U225" s="391"/>
      <c r="V225" s="391"/>
      <c r="W225" s="391"/>
      <c r="X225" s="391"/>
      <c r="Y225" s="391"/>
      <c r="Z225" s="391"/>
      <c r="AA225" s="391"/>
      <c r="AB225" s="387"/>
      <c r="AC225" s="391"/>
      <c r="AD225" s="391"/>
      <c r="AE225" s="391"/>
      <c r="AF225" s="391"/>
      <c r="AG225" s="391"/>
      <c r="AH225" s="391"/>
      <c r="AI225" s="391"/>
      <c r="AJ225" s="391"/>
      <c r="AK225" s="391"/>
      <c r="AL225" s="391"/>
      <c r="AM225" s="391"/>
      <c r="AN225" s="1758"/>
      <c r="AO225" s="386"/>
      <c r="AQ225" s="615">
        <f t="shared" si="62"/>
        <v>0</v>
      </c>
      <c r="AR225" s="616">
        <f t="shared" si="63"/>
        <v>28048.32</v>
      </c>
      <c r="AS225" s="617">
        <f t="shared" si="64"/>
        <v>0</v>
      </c>
      <c r="AT225" s="606">
        <f t="shared" si="65"/>
        <v>6286.68</v>
      </c>
      <c r="AU225" s="605">
        <f t="shared" si="66"/>
        <v>28048.32</v>
      </c>
    </row>
    <row r="226" spans="1:47" ht="24.95" customHeight="1">
      <c r="A226" s="966" t="s">
        <v>853</v>
      </c>
      <c r="B226" s="979" t="s">
        <v>322</v>
      </c>
      <c r="C226" s="984">
        <v>250000</v>
      </c>
      <c r="D226" s="989">
        <v>0</v>
      </c>
      <c r="E226" s="967">
        <v>0</v>
      </c>
      <c r="F226" s="968">
        <f t="shared" si="54"/>
        <v>250000</v>
      </c>
      <c r="G226" s="1775"/>
      <c r="H226" s="984">
        <v>12500</v>
      </c>
      <c r="I226" s="967">
        <v>12416.01</v>
      </c>
      <c r="J226" s="968">
        <v>83.99</v>
      </c>
      <c r="K226" s="382"/>
      <c r="L226" s="387"/>
      <c r="M226" s="391"/>
      <c r="N226" s="391"/>
      <c r="O226" s="391"/>
      <c r="P226" s="387"/>
      <c r="Q226" s="391"/>
      <c r="R226" s="391"/>
      <c r="S226" s="391"/>
      <c r="T226" s="391"/>
      <c r="U226" s="391"/>
      <c r="V226" s="391"/>
      <c r="W226" s="391"/>
      <c r="X226" s="391"/>
      <c r="Y226" s="391"/>
      <c r="Z226" s="391"/>
      <c r="AA226" s="391"/>
      <c r="AB226" s="387"/>
      <c r="AC226" s="391"/>
      <c r="AD226" s="391"/>
      <c r="AE226" s="391"/>
      <c r="AF226" s="391"/>
      <c r="AG226" s="391"/>
      <c r="AH226" s="391"/>
      <c r="AI226" s="391"/>
      <c r="AJ226" s="391"/>
      <c r="AK226" s="391"/>
      <c r="AL226" s="391"/>
      <c r="AM226" s="391"/>
      <c r="AN226" s="1758"/>
      <c r="AO226" s="386"/>
      <c r="AQ226" s="615">
        <f t="shared" si="62"/>
        <v>0</v>
      </c>
      <c r="AR226" s="616">
        <f t="shared" si="63"/>
        <v>237583.99</v>
      </c>
      <c r="AS226" s="617">
        <f t="shared" si="64"/>
        <v>0</v>
      </c>
      <c r="AT226" s="606">
        <f t="shared" si="65"/>
        <v>12416.01</v>
      </c>
      <c r="AU226" s="605">
        <f t="shared" si="66"/>
        <v>237583.99</v>
      </c>
    </row>
    <row r="227" spans="1:47" ht="24.95" customHeight="1">
      <c r="A227" s="966" t="s">
        <v>854</v>
      </c>
      <c r="B227" s="979" t="s">
        <v>855</v>
      </c>
      <c r="C227" s="984">
        <v>125000</v>
      </c>
      <c r="D227" s="989">
        <v>0</v>
      </c>
      <c r="E227" s="967">
        <v>0</v>
      </c>
      <c r="F227" s="968">
        <f t="shared" si="54"/>
        <v>125000</v>
      </c>
      <c r="G227" s="1775"/>
      <c r="H227" s="984">
        <v>30837.5</v>
      </c>
      <c r="I227" s="967">
        <v>46200</v>
      </c>
      <c r="J227" s="968">
        <v>-15362.5</v>
      </c>
      <c r="K227" s="382"/>
      <c r="L227" s="387"/>
      <c r="M227" s="391"/>
      <c r="N227" s="391"/>
      <c r="O227" s="391"/>
      <c r="P227" s="387"/>
      <c r="Q227" s="391"/>
      <c r="R227" s="391"/>
      <c r="S227" s="391"/>
      <c r="T227" s="391"/>
      <c r="U227" s="391"/>
      <c r="V227" s="391"/>
      <c r="W227" s="391"/>
      <c r="X227" s="391"/>
      <c r="Y227" s="391"/>
      <c r="Z227" s="391"/>
      <c r="AA227" s="391"/>
      <c r="AB227" s="387"/>
      <c r="AC227" s="391"/>
      <c r="AD227" s="391"/>
      <c r="AE227" s="391"/>
      <c r="AF227" s="391"/>
      <c r="AG227" s="391"/>
      <c r="AH227" s="391"/>
      <c r="AI227" s="391"/>
      <c r="AJ227" s="391"/>
      <c r="AK227" s="391"/>
      <c r="AL227" s="391"/>
      <c r="AM227" s="391"/>
      <c r="AN227" s="1758"/>
      <c r="AO227" s="386"/>
      <c r="AQ227" s="615">
        <f t="shared" si="62"/>
        <v>0</v>
      </c>
      <c r="AR227" s="616">
        <f t="shared" si="63"/>
        <v>78800</v>
      </c>
      <c r="AS227" s="617">
        <f t="shared" si="64"/>
        <v>0</v>
      </c>
      <c r="AT227" s="606">
        <f t="shared" si="65"/>
        <v>46200</v>
      </c>
      <c r="AU227" s="605">
        <f t="shared" si="66"/>
        <v>78800</v>
      </c>
    </row>
    <row r="228" spans="1:47" ht="24.95" customHeight="1">
      <c r="A228" s="966" t="s">
        <v>856</v>
      </c>
      <c r="B228" s="979" t="s">
        <v>857</v>
      </c>
      <c r="C228" s="984">
        <v>51200</v>
      </c>
      <c r="D228" s="989">
        <v>0</v>
      </c>
      <c r="E228" s="967">
        <v>0</v>
      </c>
      <c r="F228" s="968">
        <f t="shared" si="54"/>
        <v>51200</v>
      </c>
      <c r="G228" s="1775"/>
      <c r="H228" s="984">
        <v>35328</v>
      </c>
      <c r="I228" s="967">
        <v>35200</v>
      </c>
      <c r="J228" s="968">
        <v>128</v>
      </c>
      <c r="K228" s="382"/>
      <c r="L228" s="387"/>
      <c r="M228" s="391"/>
      <c r="N228" s="391"/>
      <c r="O228" s="391"/>
      <c r="P228" s="387"/>
      <c r="Q228" s="391"/>
      <c r="R228" s="391"/>
      <c r="S228" s="391"/>
      <c r="T228" s="391"/>
      <c r="U228" s="391"/>
      <c r="V228" s="391"/>
      <c r="W228" s="391"/>
      <c r="X228" s="391"/>
      <c r="Y228" s="391"/>
      <c r="Z228" s="391"/>
      <c r="AA228" s="391"/>
      <c r="AB228" s="387"/>
      <c r="AC228" s="391"/>
      <c r="AD228" s="391"/>
      <c r="AE228" s="391"/>
      <c r="AF228" s="391"/>
      <c r="AG228" s="391"/>
      <c r="AH228" s="391"/>
      <c r="AI228" s="391"/>
      <c r="AJ228" s="391"/>
      <c r="AK228" s="391"/>
      <c r="AL228" s="391"/>
      <c r="AM228" s="391"/>
      <c r="AN228" s="1758"/>
      <c r="AO228" s="386"/>
      <c r="AQ228" s="615">
        <f t="shared" si="62"/>
        <v>0</v>
      </c>
      <c r="AR228" s="616">
        <f t="shared" si="63"/>
        <v>16000</v>
      </c>
      <c r="AS228" s="617">
        <f t="shared" si="64"/>
        <v>0</v>
      </c>
      <c r="AT228" s="606">
        <f t="shared" si="65"/>
        <v>35200</v>
      </c>
      <c r="AU228" s="605">
        <f t="shared" si="66"/>
        <v>16000</v>
      </c>
    </row>
    <row r="229" spans="1:47" ht="24.95" customHeight="1">
      <c r="A229" s="966" t="s">
        <v>858</v>
      </c>
      <c r="B229" s="979" t="s">
        <v>859</v>
      </c>
      <c r="C229" s="984">
        <v>315000</v>
      </c>
      <c r="D229" s="989">
        <v>0</v>
      </c>
      <c r="E229" s="967">
        <v>0</v>
      </c>
      <c r="F229" s="968">
        <f t="shared" si="54"/>
        <v>315000</v>
      </c>
      <c r="G229" s="1775"/>
      <c r="H229" s="984">
        <v>88830</v>
      </c>
      <c r="I229" s="967">
        <v>88810</v>
      </c>
      <c r="J229" s="968">
        <v>20</v>
      </c>
      <c r="K229" s="382"/>
      <c r="L229" s="387"/>
      <c r="M229" s="391"/>
      <c r="N229" s="391"/>
      <c r="O229" s="391"/>
      <c r="P229" s="387"/>
      <c r="Q229" s="391"/>
      <c r="R229" s="391"/>
      <c r="S229" s="391"/>
      <c r="T229" s="391"/>
      <c r="U229" s="391"/>
      <c r="V229" s="391"/>
      <c r="W229" s="391"/>
      <c r="X229" s="391"/>
      <c r="Y229" s="391"/>
      <c r="Z229" s="391"/>
      <c r="AA229" s="391"/>
      <c r="AB229" s="387"/>
      <c r="AC229" s="391"/>
      <c r="AD229" s="391"/>
      <c r="AE229" s="391"/>
      <c r="AF229" s="391"/>
      <c r="AG229" s="391"/>
      <c r="AH229" s="391"/>
      <c r="AI229" s="391"/>
      <c r="AJ229" s="391"/>
      <c r="AK229" s="391"/>
      <c r="AL229" s="391"/>
      <c r="AM229" s="391"/>
      <c r="AN229" s="1758"/>
      <c r="AO229" s="386"/>
      <c r="AQ229" s="615">
        <f t="shared" si="62"/>
        <v>0</v>
      </c>
      <c r="AR229" s="616">
        <f t="shared" si="63"/>
        <v>226190</v>
      </c>
      <c r="AS229" s="617">
        <f t="shared" si="64"/>
        <v>0</v>
      </c>
      <c r="AT229" s="606">
        <f t="shared" si="65"/>
        <v>88810</v>
      </c>
      <c r="AU229" s="605">
        <f t="shared" si="66"/>
        <v>226190</v>
      </c>
    </row>
    <row r="230" spans="1:47" ht="24.95" customHeight="1">
      <c r="A230" s="966" t="s">
        <v>860</v>
      </c>
      <c r="B230" s="979" t="s">
        <v>861</v>
      </c>
      <c r="C230" s="984">
        <v>16000</v>
      </c>
      <c r="D230" s="989">
        <v>0</v>
      </c>
      <c r="E230" s="967">
        <v>0</v>
      </c>
      <c r="F230" s="968">
        <f t="shared" si="54"/>
        <v>16000</v>
      </c>
      <c r="G230" s="1775"/>
      <c r="H230" s="984">
        <v>0</v>
      </c>
      <c r="I230" s="967">
        <v>0</v>
      </c>
      <c r="J230" s="968">
        <v>0</v>
      </c>
      <c r="K230" s="382"/>
      <c r="L230" s="387"/>
      <c r="M230" s="391"/>
      <c r="N230" s="391"/>
      <c r="O230" s="391"/>
      <c r="P230" s="387"/>
      <c r="Q230" s="391"/>
      <c r="R230" s="391"/>
      <c r="S230" s="391"/>
      <c r="T230" s="391"/>
      <c r="U230" s="391"/>
      <c r="V230" s="391"/>
      <c r="W230" s="391"/>
      <c r="X230" s="391"/>
      <c r="Y230" s="391"/>
      <c r="Z230" s="391"/>
      <c r="AA230" s="391"/>
      <c r="AB230" s="387"/>
      <c r="AC230" s="391"/>
      <c r="AD230" s="391"/>
      <c r="AE230" s="391"/>
      <c r="AF230" s="391"/>
      <c r="AG230" s="391"/>
      <c r="AH230" s="391"/>
      <c r="AI230" s="391"/>
      <c r="AJ230" s="391"/>
      <c r="AK230" s="391"/>
      <c r="AL230" s="391"/>
      <c r="AM230" s="391"/>
      <c r="AN230" s="1758"/>
      <c r="AO230" s="386"/>
      <c r="AQ230" s="615">
        <f t="shared" si="62"/>
        <v>0</v>
      </c>
      <c r="AR230" s="616">
        <f t="shared" si="63"/>
        <v>16000</v>
      </c>
      <c r="AS230" s="617">
        <f t="shared" si="64"/>
        <v>0</v>
      </c>
      <c r="AT230" s="606">
        <f t="shared" si="65"/>
        <v>0</v>
      </c>
      <c r="AU230" s="605">
        <f t="shared" si="66"/>
        <v>16000</v>
      </c>
    </row>
    <row r="231" spans="1:47" ht="24.95" customHeight="1">
      <c r="A231" s="966" t="s">
        <v>862</v>
      </c>
      <c r="B231" s="979" t="s">
        <v>399</v>
      </c>
      <c r="C231" s="984">
        <v>454080</v>
      </c>
      <c r="D231" s="989">
        <v>0</v>
      </c>
      <c r="E231" s="967">
        <v>0</v>
      </c>
      <c r="F231" s="968">
        <f t="shared" si="54"/>
        <v>454080</v>
      </c>
      <c r="G231" s="1775"/>
      <c r="H231" s="984">
        <v>122964.86</v>
      </c>
      <c r="I231" s="967">
        <v>121755.44</v>
      </c>
      <c r="J231" s="968">
        <v>1209.42</v>
      </c>
      <c r="K231" s="382"/>
      <c r="L231" s="387"/>
      <c r="M231" s="391"/>
      <c r="N231" s="391"/>
      <c r="O231" s="391"/>
      <c r="P231" s="387"/>
      <c r="Q231" s="391"/>
      <c r="R231" s="391"/>
      <c r="S231" s="391"/>
      <c r="T231" s="391"/>
      <c r="U231" s="391"/>
      <c r="V231" s="391"/>
      <c r="W231" s="391"/>
      <c r="X231" s="391"/>
      <c r="Y231" s="391"/>
      <c r="Z231" s="391"/>
      <c r="AA231" s="391"/>
      <c r="AB231" s="387"/>
      <c r="AC231" s="391"/>
      <c r="AD231" s="391"/>
      <c r="AE231" s="391"/>
      <c r="AF231" s="391"/>
      <c r="AG231" s="391"/>
      <c r="AH231" s="391"/>
      <c r="AI231" s="391"/>
      <c r="AJ231" s="391"/>
      <c r="AK231" s="391"/>
      <c r="AL231" s="391"/>
      <c r="AM231" s="391"/>
      <c r="AN231" s="1758"/>
      <c r="AO231" s="386"/>
      <c r="AQ231" s="615">
        <f t="shared" si="62"/>
        <v>0</v>
      </c>
      <c r="AR231" s="616">
        <f t="shared" si="63"/>
        <v>332324.56</v>
      </c>
      <c r="AS231" s="617">
        <f t="shared" si="64"/>
        <v>0</v>
      </c>
      <c r="AT231" s="606">
        <f t="shared" si="65"/>
        <v>121755.44</v>
      </c>
      <c r="AU231" s="605">
        <f t="shared" si="66"/>
        <v>332324.56</v>
      </c>
    </row>
    <row r="232" spans="1:47" ht="24.95" customHeight="1">
      <c r="A232" s="966" t="s">
        <v>863</v>
      </c>
      <c r="B232" s="979" t="s">
        <v>380</v>
      </c>
      <c r="C232" s="984">
        <v>48000</v>
      </c>
      <c r="D232" s="989">
        <v>0</v>
      </c>
      <c r="E232" s="967">
        <v>0</v>
      </c>
      <c r="F232" s="968">
        <f t="shared" si="54"/>
        <v>48000</v>
      </c>
      <c r="G232" s="1775"/>
      <c r="H232" s="984">
        <v>48</v>
      </c>
      <c r="I232" s="967">
        <v>594.01</v>
      </c>
      <c r="J232" s="968">
        <v>-546.01</v>
      </c>
      <c r="K232" s="382"/>
      <c r="L232" s="387"/>
      <c r="M232" s="391"/>
      <c r="N232" s="391"/>
      <c r="O232" s="391"/>
      <c r="P232" s="387"/>
      <c r="Q232" s="391"/>
      <c r="R232" s="391"/>
      <c r="S232" s="391"/>
      <c r="T232" s="391"/>
      <c r="U232" s="391"/>
      <c r="V232" s="391"/>
      <c r="W232" s="391"/>
      <c r="X232" s="391"/>
      <c r="Y232" s="391"/>
      <c r="Z232" s="391"/>
      <c r="AA232" s="391"/>
      <c r="AB232" s="387"/>
      <c r="AC232" s="391"/>
      <c r="AD232" s="391"/>
      <c r="AE232" s="391"/>
      <c r="AF232" s="391"/>
      <c r="AG232" s="391"/>
      <c r="AH232" s="391"/>
      <c r="AI232" s="391"/>
      <c r="AJ232" s="391"/>
      <c r="AK232" s="391"/>
      <c r="AL232" s="391"/>
      <c r="AM232" s="391"/>
      <c r="AN232" s="1758"/>
      <c r="AO232" s="386"/>
      <c r="AQ232" s="615">
        <f t="shared" si="62"/>
        <v>0</v>
      </c>
      <c r="AR232" s="616">
        <f t="shared" si="63"/>
        <v>47405.99</v>
      </c>
      <c r="AS232" s="617">
        <f t="shared" si="64"/>
        <v>0</v>
      </c>
      <c r="AT232" s="606">
        <f t="shared" si="65"/>
        <v>594.01</v>
      </c>
      <c r="AU232" s="605">
        <f t="shared" si="66"/>
        <v>47405.99</v>
      </c>
    </row>
    <row r="233" spans="1:47" ht="24.95" customHeight="1">
      <c r="A233" s="966" t="s">
        <v>864</v>
      </c>
      <c r="B233" s="979" t="s">
        <v>383</v>
      </c>
      <c r="C233" s="984">
        <v>30000</v>
      </c>
      <c r="D233" s="989">
        <v>0</v>
      </c>
      <c r="E233" s="967">
        <v>0</v>
      </c>
      <c r="F233" s="968">
        <f t="shared" si="54"/>
        <v>30000</v>
      </c>
      <c r="G233" s="1775"/>
      <c r="H233" s="984">
        <v>0</v>
      </c>
      <c r="I233" s="967">
        <v>0</v>
      </c>
      <c r="J233" s="968">
        <v>0</v>
      </c>
      <c r="K233" s="382"/>
      <c r="L233" s="387"/>
      <c r="M233" s="391"/>
      <c r="N233" s="391"/>
      <c r="O233" s="391"/>
      <c r="P233" s="387"/>
      <c r="Q233" s="391"/>
      <c r="R233" s="391"/>
      <c r="S233" s="391"/>
      <c r="T233" s="391"/>
      <c r="U233" s="391"/>
      <c r="V233" s="391"/>
      <c r="W233" s="391"/>
      <c r="X233" s="391"/>
      <c r="Y233" s="391"/>
      <c r="Z233" s="391"/>
      <c r="AA233" s="391"/>
      <c r="AB233" s="387"/>
      <c r="AC233" s="391"/>
      <c r="AD233" s="391"/>
      <c r="AE233" s="391"/>
      <c r="AF233" s="391"/>
      <c r="AG233" s="391"/>
      <c r="AH233" s="391"/>
      <c r="AI233" s="391"/>
      <c r="AJ233" s="391"/>
      <c r="AK233" s="391"/>
      <c r="AL233" s="391"/>
      <c r="AM233" s="391"/>
      <c r="AN233" s="1758"/>
      <c r="AO233" s="386"/>
      <c r="AQ233" s="615">
        <f t="shared" si="62"/>
        <v>0</v>
      </c>
      <c r="AR233" s="616">
        <f t="shared" si="63"/>
        <v>30000</v>
      </c>
      <c r="AS233" s="617">
        <f t="shared" si="64"/>
        <v>0</v>
      </c>
      <c r="AT233" s="606">
        <f t="shared" si="65"/>
        <v>0</v>
      </c>
      <c r="AU233" s="605">
        <f t="shared" si="66"/>
        <v>30000</v>
      </c>
    </row>
    <row r="234" spans="1:47" ht="24.95" customHeight="1">
      <c r="A234" s="966" t="s">
        <v>865</v>
      </c>
      <c r="B234" s="979" t="s">
        <v>866</v>
      </c>
      <c r="C234" s="984">
        <v>100000</v>
      </c>
      <c r="D234" s="989">
        <v>0</v>
      </c>
      <c r="E234" s="967">
        <v>0</v>
      </c>
      <c r="F234" s="968">
        <f t="shared" si="54"/>
        <v>100000</v>
      </c>
      <c r="G234" s="1775"/>
      <c r="H234" s="984">
        <v>1000</v>
      </c>
      <c r="I234" s="967">
        <v>916</v>
      </c>
      <c r="J234" s="968">
        <v>84</v>
      </c>
      <c r="K234" s="382"/>
      <c r="L234" s="387"/>
      <c r="M234" s="391"/>
      <c r="N234" s="391"/>
      <c r="O234" s="391"/>
      <c r="P234" s="387"/>
      <c r="Q234" s="391"/>
      <c r="R234" s="391"/>
      <c r="S234" s="391"/>
      <c r="T234" s="391"/>
      <c r="U234" s="391"/>
      <c r="V234" s="391"/>
      <c r="W234" s="391"/>
      <c r="X234" s="391"/>
      <c r="Y234" s="391"/>
      <c r="Z234" s="391"/>
      <c r="AA234" s="391"/>
      <c r="AB234" s="387"/>
      <c r="AC234" s="391"/>
      <c r="AD234" s="391"/>
      <c r="AE234" s="391"/>
      <c r="AF234" s="391"/>
      <c r="AG234" s="391"/>
      <c r="AH234" s="391"/>
      <c r="AI234" s="391"/>
      <c r="AJ234" s="391"/>
      <c r="AK234" s="391"/>
      <c r="AL234" s="391"/>
      <c r="AM234" s="391"/>
      <c r="AN234" s="1758"/>
      <c r="AO234" s="386"/>
      <c r="AQ234" s="615">
        <f t="shared" si="62"/>
        <v>0</v>
      </c>
      <c r="AR234" s="616">
        <f t="shared" si="63"/>
        <v>99084</v>
      </c>
      <c r="AS234" s="617">
        <f t="shared" si="64"/>
        <v>0</v>
      </c>
      <c r="AT234" s="606">
        <f t="shared" si="65"/>
        <v>916</v>
      </c>
      <c r="AU234" s="605">
        <f t="shared" si="66"/>
        <v>99084</v>
      </c>
    </row>
    <row r="235" spans="1:47" ht="24.95" customHeight="1">
      <c r="A235" s="966" t="s">
        <v>867</v>
      </c>
      <c r="B235" s="979" t="s">
        <v>384</v>
      </c>
      <c r="C235" s="984">
        <v>194000</v>
      </c>
      <c r="D235" s="989">
        <v>0</v>
      </c>
      <c r="E235" s="967">
        <v>0</v>
      </c>
      <c r="F235" s="968">
        <f t="shared" si="54"/>
        <v>194000</v>
      </c>
      <c r="G235" s="1775"/>
      <c r="H235" s="984">
        <v>14879.8</v>
      </c>
      <c r="I235" s="967">
        <v>14860</v>
      </c>
      <c r="J235" s="968">
        <v>19.8</v>
      </c>
      <c r="K235" s="382"/>
      <c r="L235" s="387"/>
      <c r="M235" s="391"/>
      <c r="N235" s="391"/>
      <c r="O235" s="391"/>
      <c r="P235" s="387"/>
      <c r="Q235" s="391"/>
      <c r="R235" s="391"/>
      <c r="S235" s="391"/>
      <c r="T235" s="391"/>
      <c r="U235" s="391"/>
      <c r="V235" s="391"/>
      <c r="W235" s="391"/>
      <c r="X235" s="391"/>
      <c r="Y235" s="391"/>
      <c r="Z235" s="391"/>
      <c r="AA235" s="391"/>
      <c r="AB235" s="387"/>
      <c r="AC235" s="391"/>
      <c r="AD235" s="391"/>
      <c r="AE235" s="391"/>
      <c r="AF235" s="391"/>
      <c r="AG235" s="391"/>
      <c r="AH235" s="391"/>
      <c r="AI235" s="391"/>
      <c r="AJ235" s="391"/>
      <c r="AK235" s="391"/>
      <c r="AL235" s="391"/>
      <c r="AM235" s="391"/>
      <c r="AN235" s="1758"/>
      <c r="AO235" s="386"/>
      <c r="AQ235" s="615">
        <f t="shared" si="62"/>
        <v>0</v>
      </c>
      <c r="AR235" s="616">
        <f t="shared" si="63"/>
        <v>179140</v>
      </c>
      <c r="AS235" s="617">
        <f t="shared" si="64"/>
        <v>0</v>
      </c>
      <c r="AT235" s="606">
        <f t="shared" si="65"/>
        <v>14860</v>
      </c>
      <c r="AU235" s="605">
        <f t="shared" si="66"/>
        <v>179140</v>
      </c>
    </row>
    <row r="236" spans="1:47" ht="24.95" customHeight="1">
      <c r="A236" s="966" t="s">
        <v>868</v>
      </c>
      <c r="B236" s="979" t="s">
        <v>869</v>
      </c>
      <c r="C236" s="984">
        <v>345000</v>
      </c>
      <c r="D236" s="989">
        <v>0</v>
      </c>
      <c r="E236" s="967">
        <v>0</v>
      </c>
      <c r="F236" s="968">
        <f t="shared" si="54"/>
        <v>345000</v>
      </c>
      <c r="G236" s="1775"/>
      <c r="H236" s="984">
        <v>81006</v>
      </c>
      <c r="I236" s="967">
        <v>111455</v>
      </c>
      <c r="J236" s="968">
        <v>-30449</v>
      </c>
      <c r="K236" s="382"/>
      <c r="L236" s="387"/>
      <c r="M236" s="391"/>
      <c r="N236" s="391"/>
      <c r="O236" s="391"/>
      <c r="P236" s="387"/>
      <c r="Q236" s="391"/>
      <c r="R236" s="391"/>
      <c r="S236" s="391"/>
      <c r="T236" s="391"/>
      <c r="U236" s="391"/>
      <c r="V236" s="391"/>
      <c r="W236" s="391"/>
      <c r="X236" s="391"/>
      <c r="Y236" s="391"/>
      <c r="Z236" s="391"/>
      <c r="AA236" s="391"/>
      <c r="AB236" s="387"/>
      <c r="AC236" s="391"/>
      <c r="AD236" s="391"/>
      <c r="AE236" s="391"/>
      <c r="AF236" s="391"/>
      <c r="AG236" s="391"/>
      <c r="AH236" s="391"/>
      <c r="AI236" s="391"/>
      <c r="AJ236" s="391"/>
      <c r="AK236" s="391"/>
      <c r="AL236" s="391"/>
      <c r="AM236" s="391"/>
      <c r="AN236" s="1758"/>
      <c r="AO236" s="386"/>
      <c r="AQ236" s="615">
        <f t="shared" si="62"/>
        <v>0</v>
      </c>
      <c r="AR236" s="616">
        <f t="shared" si="63"/>
        <v>233545</v>
      </c>
      <c r="AS236" s="617">
        <f t="shared" si="64"/>
        <v>0</v>
      </c>
      <c r="AT236" s="606">
        <f t="shared" si="65"/>
        <v>111455</v>
      </c>
      <c r="AU236" s="605">
        <f t="shared" si="66"/>
        <v>233545</v>
      </c>
    </row>
    <row r="237" spans="1:47" ht="24.95" customHeight="1">
      <c r="A237" s="966" t="s">
        <v>870</v>
      </c>
      <c r="B237" s="979" t="s">
        <v>871</v>
      </c>
      <c r="C237" s="984">
        <v>78480</v>
      </c>
      <c r="D237" s="989">
        <v>0</v>
      </c>
      <c r="E237" s="967">
        <v>0</v>
      </c>
      <c r="F237" s="968">
        <f t="shared" si="54"/>
        <v>78480</v>
      </c>
      <c r="G237" s="1775"/>
      <c r="H237" s="984">
        <v>46318.9</v>
      </c>
      <c r="I237" s="967">
        <v>46330.82</v>
      </c>
      <c r="J237" s="968">
        <v>-11.92</v>
      </c>
      <c r="K237" s="382"/>
      <c r="L237" s="387"/>
      <c r="M237" s="391"/>
      <c r="N237" s="391"/>
      <c r="O237" s="391"/>
      <c r="P237" s="387"/>
      <c r="Q237" s="391"/>
      <c r="R237" s="391"/>
      <c r="S237" s="391"/>
      <c r="T237" s="391"/>
      <c r="U237" s="391"/>
      <c r="V237" s="391"/>
      <c r="W237" s="391"/>
      <c r="X237" s="391"/>
      <c r="Y237" s="391"/>
      <c r="Z237" s="391"/>
      <c r="AA237" s="391"/>
      <c r="AB237" s="387"/>
      <c r="AC237" s="391"/>
      <c r="AD237" s="391"/>
      <c r="AE237" s="391"/>
      <c r="AF237" s="391"/>
      <c r="AG237" s="391"/>
      <c r="AH237" s="391"/>
      <c r="AI237" s="391"/>
      <c r="AJ237" s="391"/>
      <c r="AK237" s="391"/>
      <c r="AL237" s="391"/>
      <c r="AM237" s="391"/>
      <c r="AN237" s="1758"/>
      <c r="AO237" s="386"/>
      <c r="AQ237" s="615">
        <f t="shared" si="62"/>
        <v>0</v>
      </c>
      <c r="AR237" s="616">
        <f t="shared" si="63"/>
        <v>32149.18</v>
      </c>
      <c r="AS237" s="617">
        <f t="shared" si="64"/>
        <v>0</v>
      </c>
      <c r="AT237" s="606">
        <f t="shared" si="65"/>
        <v>46330.82</v>
      </c>
      <c r="AU237" s="605">
        <f t="shared" si="66"/>
        <v>32149.18</v>
      </c>
    </row>
    <row r="238" spans="1:47" ht="24.95" customHeight="1">
      <c r="A238" s="966" t="s">
        <v>872</v>
      </c>
      <c r="B238" s="979" t="s">
        <v>873</v>
      </c>
      <c r="C238" s="984">
        <v>50970</v>
      </c>
      <c r="D238" s="989">
        <v>0</v>
      </c>
      <c r="E238" s="967">
        <v>0</v>
      </c>
      <c r="F238" s="968">
        <f t="shared" si="54"/>
        <v>50970</v>
      </c>
      <c r="G238" s="1775"/>
      <c r="H238" s="984">
        <v>17966.93</v>
      </c>
      <c r="I238" s="967">
        <v>17966.25</v>
      </c>
      <c r="J238" s="968">
        <v>0.68</v>
      </c>
      <c r="K238" s="382"/>
      <c r="L238" s="387"/>
      <c r="M238" s="391"/>
      <c r="N238" s="391"/>
      <c r="O238" s="391"/>
      <c r="P238" s="387"/>
      <c r="Q238" s="391"/>
      <c r="R238" s="391"/>
      <c r="S238" s="391"/>
      <c r="T238" s="391"/>
      <c r="U238" s="391"/>
      <c r="V238" s="391"/>
      <c r="W238" s="391"/>
      <c r="X238" s="391"/>
      <c r="Y238" s="391"/>
      <c r="Z238" s="391"/>
      <c r="AA238" s="391"/>
      <c r="AB238" s="387"/>
      <c r="AC238" s="391"/>
      <c r="AD238" s="391"/>
      <c r="AE238" s="391"/>
      <c r="AF238" s="391"/>
      <c r="AG238" s="391"/>
      <c r="AH238" s="391"/>
      <c r="AI238" s="391"/>
      <c r="AJ238" s="391"/>
      <c r="AK238" s="391"/>
      <c r="AL238" s="391"/>
      <c r="AM238" s="391"/>
      <c r="AN238" s="1758"/>
      <c r="AO238" s="386"/>
      <c r="AQ238" s="615">
        <f t="shared" si="62"/>
        <v>0</v>
      </c>
      <c r="AR238" s="616">
        <f t="shared" si="63"/>
        <v>33003.75</v>
      </c>
      <c r="AS238" s="617">
        <f t="shared" si="64"/>
        <v>0</v>
      </c>
      <c r="AT238" s="606">
        <f t="shared" si="65"/>
        <v>17966.25</v>
      </c>
      <c r="AU238" s="605">
        <f t="shared" si="66"/>
        <v>33003.75</v>
      </c>
    </row>
    <row r="239" spans="1:47" ht="24.95" customHeight="1">
      <c r="A239" s="966" t="s">
        <v>874</v>
      </c>
      <c r="B239" s="979" t="s">
        <v>875</v>
      </c>
      <c r="C239" s="984">
        <v>10000</v>
      </c>
      <c r="D239" s="989">
        <v>0</v>
      </c>
      <c r="E239" s="967">
        <v>0</v>
      </c>
      <c r="F239" s="968">
        <f t="shared" si="54"/>
        <v>10000</v>
      </c>
      <c r="G239" s="1775"/>
      <c r="H239" s="984">
        <v>5400</v>
      </c>
      <c r="I239" s="967">
        <v>5400.09</v>
      </c>
      <c r="J239" s="968">
        <v>-0.09</v>
      </c>
      <c r="K239" s="382"/>
      <c r="L239" s="387"/>
      <c r="M239" s="391"/>
      <c r="N239" s="391"/>
      <c r="O239" s="391"/>
      <c r="P239" s="387"/>
      <c r="Q239" s="391"/>
      <c r="R239" s="391"/>
      <c r="S239" s="391"/>
      <c r="T239" s="391"/>
      <c r="U239" s="391"/>
      <c r="V239" s="391"/>
      <c r="W239" s="391"/>
      <c r="X239" s="391"/>
      <c r="Y239" s="391"/>
      <c r="Z239" s="391"/>
      <c r="AA239" s="391"/>
      <c r="AB239" s="387"/>
      <c r="AC239" s="391"/>
      <c r="AD239" s="391"/>
      <c r="AE239" s="391"/>
      <c r="AF239" s="391"/>
      <c r="AG239" s="391"/>
      <c r="AH239" s="391"/>
      <c r="AI239" s="391"/>
      <c r="AJ239" s="391"/>
      <c r="AK239" s="391"/>
      <c r="AL239" s="391"/>
      <c r="AM239" s="391"/>
      <c r="AN239" s="1758"/>
      <c r="AO239" s="386"/>
      <c r="AQ239" s="615">
        <f t="shared" si="62"/>
        <v>0</v>
      </c>
      <c r="AR239" s="616">
        <f t="shared" si="63"/>
        <v>4599.91</v>
      </c>
      <c r="AS239" s="617">
        <f t="shared" si="64"/>
        <v>0</v>
      </c>
      <c r="AT239" s="606">
        <f t="shared" si="65"/>
        <v>5400.09</v>
      </c>
      <c r="AU239" s="605">
        <f t="shared" si="66"/>
        <v>4599.91</v>
      </c>
    </row>
    <row r="240" spans="1:47" ht="24.95" customHeight="1">
      <c r="A240" s="966" t="s">
        <v>876</v>
      </c>
      <c r="B240" s="979" t="s">
        <v>877</v>
      </c>
      <c r="C240" s="984">
        <v>30000</v>
      </c>
      <c r="D240" s="989">
        <v>0</v>
      </c>
      <c r="E240" s="967">
        <v>0</v>
      </c>
      <c r="F240" s="968">
        <f t="shared" si="54"/>
        <v>30000</v>
      </c>
      <c r="G240" s="1775"/>
      <c r="H240" s="984">
        <v>0</v>
      </c>
      <c r="I240" s="967">
        <v>0</v>
      </c>
      <c r="J240" s="968">
        <v>0</v>
      </c>
      <c r="K240" s="382"/>
      <c r="L240" s="387"/>
      <c r="M240" s="391"/>
      <c r="N240" s="391"/>
      <c r="O240" s="391"/>
      <c r="P240" s="387"/>
      <c r="Q240" s="391"/>
      <c r="R240" s="391"/>
      <c r="S240" s="391"/>
      <c r="T240" s="391"/>
      <c r="U240" s="391"/>
      <c r="V240" s="391"/>
      <c r="W240" s="391"/>
      <c r="X240" s="391"/>
      <c r="Y240" s="391"/>
      <c r="Z240" s="391"/>
      <c r="AA240" s="391"/>
      <c r="AB240" s="387"/>
      <c r="AC240" s="391"/>
      <c r="AD240" s="391"/>
      <c r="AE240" s="391"/>
      <c r="AF240" s="391"/>
      <c r="AG240" s="391"/>
      <c r="AH240" s="391"/>
      <c r="AI240" s="391"/>
      <c r="AJ240" s="391"/>
      <c r="AK240" s="391"/>
      <c r="AL240" s="391"/>
      <c r="AM240" s="391"/>
      <c r="AN240" s="1758"/>
      <c r="AO240" s="386"/>
      <c r="AQ240" s="615">
        <f t="shared" si="62"/>
        <v>0</v>
      </c>
      <c r="AR240" s="616">
        <f t="shared" si="63"/>
        <v>30000</v>
      </c>
      <c r="AS240" s="617">
        <f t="shared" si="64"/>
        <v>0</v>
      </c>
      <c r="AT240" s="606">
        <f t="shared" si="65"/>
        <v>0</v>
      </c>
      <c r="AU240" s="605">
        <f t="shared" si="66"/>
        <v>30000</v>
      </c>
    </row>
    <row r="241" spans="1:47" ht="24.95" customHeight="1">
      <c r="A241" s="966" t="s">
        <v>878</v>
      </c>
      <c r="B241" s="979" t="s">
        <v>382</v>
      </c>
      <c r="C241" s="984">
        <v>10000</v>
      </c>
      <c r="D241" s="989">
        <v>0</v>
      </c>
      <c r="E241" s="967">
        <v>0</v>
      </c>
      <c r="F241" s="968">
        <f t="shared" si="54"/>
        <v>10000</v>
      </c>
      <c r="G241" s="1775"/>
      <c r="H241" s="984">
        <v>0</v>
      </c>
      <c r="I241" s="967">
        <v>0</v>
      </c>
      <c r="J241" s="968">
        <v>0</v>
      </c>
      <c r="K241" s="382"/>
      <c r="L241" s="387"/>
      <c r="M241" s="391"/>
      <c r="N241" s="391"/>
      <c r="O241" s="391"/>
      <c r="P241" s="387"/>
      <c r="Q241" s="391"/>
      <c r="R241" s="391"/>
      <c r="S241" s="391"/>
      <c r="T241" s="391"/>
      <c r="U241" s="391"/>
      <c r="V241" s="391"/>
      <c r="W241" s="391"/>
      <c r="X241" s="391"/>
      <c r="Y241" s="391"/>
      <c r="Z241" s="391"/>
      <c r="AA241" s="391"/>
      <c r="AB241" s="387"/>
      <c r="AC241" s="391"/>
      <c r="AD241" s="391"/>
      <c r="AE241" s="391"/>
      <c r="AF241" s="391"/>
      <c r="AG241" s="391"/>
      <c r="AH241" s="391"/>
      <c r="AI241" s="391"/>
      <c r="AJ241" s="391"/>
      <c r="AK241" s="391"/>
      <c r="AL241" s="391"/>
      <c r="AM241" s="391"/>
      <c r="AN241" s="1758"/>
      <c r="AO241" s="386"/>
      <c r="AQ241" s="615">
        <f t="shared" si="62"/>
        <v>0</v>
      </c>
      <c r="AR241" s="616">
        <f t="shared" si="63"/>
        <v>10000</v>
      </c>
      <c r="AS241" s="617">
        <f t="shared" si="64"/>
        <v>0</v>
      </c>
      <c r="AT241" s="606">
        <f t="shared" si="65"/>
        <v>0</v>
      </c>
      <c r="AU241" s="605">
        <f t="shared" si="66"/>
        <v>10000</v>
      </c>
    </row>
    <row r="242" spans="1:47" ht="24.95" customHeight="1">
      <c r="A242" s="972" t="s">
        <v>879</v>
      </c>
      <c r="B242" s="981" t="s">
        <v>88</v>
      </c>
      <c r="C242" s="986">
        <v>12964870.76</v>
      </c>
      <c r="D242" s="991">
        <v>0</v>
      </c>
      <c r="E242" s="973">
        <v>0</v>
      </c>
      <c r="F242" s="974">
        <f t="shared" si="54"/>
        <v>12964870.76</v>
      </c>
      <c r="G242" s="1775"/>
      <c r="H242" s="986">
        <v>680835.86</v>
      </c>
      <c r="I242" s="973">
        <v>860748.76</v>
      </c>
      <c r="J242" s="974">
        <v>-179912.9</v>
      </c>
      <c r="K242" s="382"/>
      <c r="L242" s="387"/>
      <c r="M242" s="391"/>
      <c r="N242" s="391"/>
      <c r="O242" s="391"/>
      <c r="P242" s="387"/>
      <c r="Q242" s="391"/>
      <c r="R242" s="391"/>
      <c r="S242" s="391"/>
      <c r="T242" s="391"/>
      <c r="U242" s="391"/>
      <c r="V242" s="391"/>
      <c r="W242" s="391"/>
      <c r="X242" s="391"/>
      <c r="Y242" s="391"/>
      <c r="Z242" s="391"/>
      <c r="AA242" s="391"/>
      <c r="AB242" s="387"/>
      <c r="AC242" s="391"/>
      <c r="AD242" s="391"/>
      <c r="AE242" s="391"/>
      <c r="AF242" s="391"/>
      <c r="AG242" s="391"/>
      <c r="AH242" s="391"/>
      <c r="AI242" s="391"/>
      <c r="AJ242" s="391"/>
      <c r="AK242" s="391"/>
      <c r="AL242" s="391"/>
      <c r="AM242" s="391"/>
      <c r="AN242" s="1758"/>
      <c r="AO242" s="386"/>
      <c r="AQ242" s="612">
        <f t="shared" ref="AQ242:AU242" si="67">+AQ264+AQ263+AQ262+AQ261+AQ260+AQ259+AQ258+AQ257+AQ256+AQ255+AQ254+AQ253+AQ252+AQ251+AQ250+AQ249+AQ248+AQ247+AQ246+AQ245+AQ244+AQ243</f>
        <v>0</v>
      </c>
      <c r="AR242" s="613">
        <f t="shared" si="67"/>
        <v>12104122.000000002</v>
      </c>
      <c r="AS242" s="614">
        <f t="shared" si="67"/>
        <v>0</v>
      </c>
      <c r="AT242" s="610">
        <f t="shared" si="67"/>
        <v>860748.76</v>
      </c>
      <c r="AU242" s="609">
        <f t="shared" si="67"/>
        <v>12104122.000000002</v>
      </c>
    </row>
    <row r="243" spans="1:47" ht="24.95" customHeight="1">
      <c r="A243" s="966" t="s">
        <v>880</v>
      </c>
      <c r="B243" s="979" t="s">
        <v>881</v>
      </c>
      <c r="C243" s="984">
        <v>245725.32</v>
      </c>
      <c r="D243" s="989">
        <v>0</v>
      </c>
      <c r="E243" s="967">
        <v>0</v>
      </c>
      <c r="F243" s="968">
        <f t="shared" si="54"/>
        <v>245725.32</v>
      </c>
      <c r="G243" s="1775"/>
      <c r="H243" s="984">
        <v>31698.57</v>
      </c>
      <c r="I243" s="967">
        <v>75680</v>
      </c>
      <c r="J243" s="968">
        <v>-43981.43</v>
      </c>
      <c r="K243" s="382"/>
      <c r="L243" s="387"/>
      <c r="M243" s="391"/>
      <c r="N243" s="391"/>
      <c r="O243" s="391"/>
      <c r="P243" s="387"/>
      <c r="Q243" s="391"/>
      <c r="R243" s="391"/>
      <c r="S243" s="391"/>
      <c r="T243" s="391"/>
      <c r="U243" s="391"/>
      <c r="V243" s="391"/>
      <c r="W243" s="391"/>
      <c r="X243" s="391"/>
      <c r="Y243" s="391"/>
      <c r="Z243" s="391"/>
      <c r="AA243" s="391"/>
      <c r="AB243" s="387"/>
      <c r="AC243" s="391"/>
      <c r="AD243" s="391"/>
      <c r="AE243" s="391"/>
      <c r="AF243" s="391"/>
      <c r="AG243" s="391"/>
      <c r="AH243" s="391"/>
      <c r="AI243" s="391"/>
      <c r="AJ243" s="391"/>
      <c r="AK243" s="391"/>
      <c r="AL243" s="391"/>
      <c r="AM243" s="391"/>
      <c r="AN243" s="1758"/>
      <c r="AO243" s="386"/>
      <c r="AQ243" s="615">
        <f t="shared" ref="AQ243:AQ264" si="68">SUM(K243:AO243)</f>
        <v>0</v>
      </c>
      <c r="AR243" s="616">
        <f t="shared" ref="AR243:AR264" si="69">IFERROR(IF(F243-I243&lt;0,0,F243-I243),0)</f>
        <v>170045.32</v>
      </c>
      <c r="AS243" s="617">
        <f t="shared" ref="AS243:AS264" si="70">IFERROR(AQ243*AR243,0)</f>
        <v>0</v>
      </c>
      <c r="AT243" s="606">
        <f t="shared" ref="AT243:AT264" si="71">I243+AS243</f>
        <v>75680</v>
      </c>
      <c r="AU243" s="605">
        <f t="shared" ref="AU243:AU264" si="72">F243-AT243</f>
        <v>170045.32</v>
      </c>
    </row>
    <row r="244" spans="1:47" ht="24.95" customHeight="1">
      <c r="A244" s="966" t="s">
        <v>882</v>
      </c>
      <c r="B244" s="979" t="s">
        <v>387</v>
      </c>
      <c r="C244" s="984">
        <v>786327.75</v>
      </c>
      <c r="D244" s="989">
        <v>0</v>
      </c>
      <c r="E244" s="967">
        <v>0</v>
      </c>
      <c r="F244" s="968">
        <f t="shared" si="54"/>
        <v>786327.75</v>
      </c>
      <c r="G244" s="1775"/>
      <c r="H244" s="984">
        <v>174879.29</v>
      </c>
      <c r="I244" s="967">
        <v>250250</v>
      </c>
      <c r="J244" s="968">
        <v>-75370.710000000006</v>
      </c>
      <c r="K244" s="382"/>
      <c r="L244" s="387"/>
      <c r="M244" s="391"/>
      <c r="N244" s="391"/>
      <c r="O244" s="391"/>
      <c r="P244" s="387"/>
      <c r="Q244" s="391"/>
      <c r="R244" s="391"/>
      <c r="S244" s="391"/>
      <c r="T244" s="391"/>
      <c r="U244" s="391"/>
      <c r="V244" s="391"/>
      <c r="W244" s="391"/>
      <c r="X244" s="391"/>
      <c r="Y244" s="391"/>
      <c r="Z244" s="391"/>
      <c r="AA244" s="391"/>
      <c r="AB244" s="387"/>
      <c r="AC244" s="391"/>
      <c r="AD244" s="391"/>
      <c r="AE244" s="391"/>
      <c r="AF244" s="391"/>
      <c r="AG244" s="391"/>
      <c r="AH244" s="391"/>
      <c r="AI244" s="391"/>
      <c r="AJ244" s="391"/>
      <c r="AK244" s="391"/>
      <c r="AL244" s="391"/>
      <c r="AM244" s="391"/>
      <c r="AN244" s="1758"/>
      <c r="AO244" s="386"/>
      <c r="AQ244" s="615">
        <f t="shared" si="68"/>
        <v>0</v>
      </c>
      <c r="AR244" s="616">
        <f t="shared" si="69"/>
        <v>536077.75</v>
      </c>
      <c r="AS244" s="617">
        <f t="shared" si="70"/>
        <v>0</v>
      </c>
      <c r="AT244" s="606">
        <f t="shared" si="71"/>
        <v>250250</v>
      </c>
      <c r="AU244" s="605">
        <f t="shared" si="72"/>
        <v>536077.75</v>
      </c>
    </row>
    <row r="245" spans="1:47" ht="24.95" customHeight="1">
      <c r="A245" s="966" t="s">
        <v>883</v>
      </c>
      <c r="B245" s="979" t="s">
        <v>884</v>
      </c>
      <c r="C245" s="984">
        <v>294857.64</v>
      </c>
      <c r="D245" s="989">
        <v>0</v>
      </c>
      <c r="E245" s="967">
        <v>0</v>
      </c>
      <c r="F245" s="968">
        <f t="shared" si="54"/>
        <v>294857.64</v>
      </c>
      <c r="G245" s="1775"/>
      <c r="H245" s="984">
        <v>57202.38</v>
      </c>
      <c r="I245" s="967">
        <v>56325</v>
      </c>
      <c r="J245" s="968">
        <v>877.38</v>
      </c>
      <c r="K245" s="382"/>
      <c r="L245" s="387"/>
      <c r="M245" s="391"/>
      <c r="N245" s="391"/>
      <c r="O245" s="391"/>
      <c r="P245" s="387"/>
      <c r="Q245" s="391"/>
      <c r="R245" s="391"/>
      <c r="S245" s="391"/>
      <c r="T245" s="391"/>
      <c r="U245" s="391"/>
      <c r="V245" s="391"/>
      <c r="W245" s="391"/>
      <c r="X245" s="391"/>
      <c r="Y245" s="391"/>
      <c r="Z245" s="391"/>
      <c r="AA245" s="391"/>
      <c r="AB245" s="387"/>
      <c r="AC245" s="391"/>
      <c r="AD245" s="391"/>
      <c r="AE245" s="391"/>
      <c r="AF245" s="391"/>
      <c r="AG245" s="391"/>
      <c r="AH245" s="391"/>
      <c r="AI245" s="391"/>
      <c r="AJ245" s="391"/>
      <c r="AK245" s="391"/>
      <c r="AL245" s="391"/>
      <c r="AM245" s="391"/>
      <c r="AN245" s="1758"/>
      <c r="AO245" s="386"/>
      <c r="AQ245" s="615">
        <f t="shared" si="68"/>
        <v>0</v>
      </c>
      <c r="AR245" s="616">
        <f t="shared" si="69"/>
        <v>238532.64</v>
      </c>
      <c r="AS245" s="617">
        <f t="shared" si="70"/>
        <v>0</v>
      </c>
      <c r="AT245" s="606">
        <f t="shared" si="71"/>
        <v>56325</v>
      </c>
      <c r="AU245" s="605">
        <f t="shared" si="72"/>
        <v>238532.64</v>
      </c>
    </row>
    <row r="246" spans="1:47" ht="24.95" customHeight="1">
      <c r="A246" s="966" t="s">
        <v>885</v>
      </c>
      <c r="B246" s="979" t="s">
        <v>886</v>
      </c>
      <c r="C246" s="984">
        <v>227891.25</v>
      </c>
      <c r="D246" s="989">
        <v>0</v>
      </c>
      <c r="E246" s="967">
        <v>0</v>
      </c>
      <c r="F246" s="968">
        <f t="shared" si="54"/>
        <v>227891.25</v>
      </c>
      <c r="G246" s="1775"/>
      <c r="H246" s="984">
        <v>26731.64</v>
      </c>
      <c r="I246" s="967">
        <v>26676</v>
      </c>
      <c r="J246" s="968">
        <v>55.64</v>
      </c>
      <c r="K246" s="382"/>
      <c r="L246" s="387"/>
      <c r="M246" s="391"/>
      <c r="N246" s="391"/>
      <c r="O246" s="391"/>
      <c r="P246" s="387"/>
      <c r="Q246" s="391"/>
      <c r="R246" s="391"/>
      <c r="S246" s="391"/>
      <c r="T246" s="391"/>
      <c r="U246" s="391"/>
      <c r="V246" s="391"/>
      <c r="W246" s="391"/>
      <c r="X246" s="391"/>
      <c r="Y246" s="391"/>
      <c r="Z246" s="391"/>
      <c r="AA246" s="391"/>
      <c r="AB246" s="387"/>
      <c r="AC246" s="391"/>
      <c r="AD246" s="391"/>
      <c r="AE246" s="391"/>
      <c r="AF246" s="391"/>
      <c r="AG246" s="391"/>
      <c r="AH246" s="391"/>
      <c r="AI246" s="391"/>
      <c r="AJ246" s="391"/>
      <c r="AK246" s="391"/>
      <c r="AL246" s="391"/>
      <c r="AM246" s="391"/>
      <c r="AN246" s="1758"/>
      <c r="AO246" s="386"/>
      <c r="AQ246" s="615">
        <f t="shared" si="68"/>
        <v>0</v>
      </c>
      <c r="AR246" s="616">
        <f t="shared" si="69"/>
        <v>201215.25</v>
      </c>
      <c r="AS246" s="617">
        <f t="shared" si="70"/>
        <v>0</v>
      </c>
      <c r="AT246" s="606">
        <f t="shared" si="71"/>
        <v>26676</v>
      </c>
      <c r="AU246" s="605">
        <f t="shared" si="72"/>
        <v>201215.25</v>
      </c>
    </row>
    <row r="247" spans="1:47" ht="24.95" customHeight="1">
      <c r="A247" s="966" t="s">
        <v>887</v>
      </c>
      <c r="B247" s="979" t="s">
        <v>385</v>
      </c>
      <c r="C247" s="984">
        <v>493228.89</v>
      </c>
      <c r="D247" s="989">
        <v>0</v>
      </c>
      <c r="E247" s="967">
        <v>0</v>
      </c>
      <c r="F247" s="968">
        <f t="shared" si="54"/>
        <v>493228.89</v>
      </c>
      <c r="G247" s="1775"/>
      <c r="H247" s="984">
        <v>115760.82</v>
      </c>
      <c r="I247" s="967">
        <v>179574</v>
      </c>
      <c r="J247" s="968">
        <v>-63813.18</v>
      </c>
      <c r="K247" s="382"/>
      <c r="L247" s="387"/>
      <c r="M247" s="391"/>
      <c r="N247" s="391"/>
      <c r="O247" s="391"/>
      <c r="P247" s="387"/>
      <c r="Q247" s="391"/>
      <c r="R247" s="391"/>
      <c r="S247" s="391"/>
      <c r="T247" s="391"/>
      <c r="U247" s="391"/>
      <c r="V247" s="391"/>
      <c r="W247" s="391"/>
      <c r="X247" s="391"/>
      <c r="Y247" s="391"/>
      <c r="Z247" s="391"/>
      <c r="AA247" s="391"/>
      <c r="AB247" s="387"/>
      <c r="AC247" s="391"/>
      <c r="AD247" s="391"/>
      <c r="AE247" s="391"/>
      <c r="AF247" s="391"/>
      <c r="AG247" s="391"/>
      <c r="AH247" s="391"/>
      <c r="AI247" s="391"/>
      <c r="AJ247" s="391"/>
      <c r="AK247" s="391"/>
      <c r="AL247" s="391"/>
      <c r="AM247" s="391"/>
      <c r="AN247" s="1758"/>
      <c r="AO247" s="386"/>
      <c r="AQ247" s="615">
        <f t="shared" si="68"/>
        <v>0</v>
      </c>
      <c r="AR247" s="616">
        <f t="shared" si="69"/>
        <v>313654.89</v>
      </c>
      <c r="AS247" s="617">
        <f t="shared" si="70"/>
        <v>0</v>
      </c>
      <c r="AT247" s="606">
        <f t="shared" si="71"/>
        <v>179574</v>
      </c>
      <c r="AU247" s="605">
        <f t="shared" si="72"/>
        <v>313654.89</v>
      </c>
    </row>
    <row r="248" spans="1:47" ht="24.95" customHeight="1">
      <c r="A248" s="966" t="s">
        <v>888</v>
      </c>
      <c r="B248" s="979" t="s">
        <v>889</v>
      </c>
      <c r="C248" s="984">
        <v>135660</v>
      </c>
      <c r="D248" s="989">
        <v>0</v>
      </c>
      <c r="E248" s="967">
        <v>0</v>
      </c>
      <c r="F248" s="968">
        <f t="shared" si="54"/>
        <v>135660</v>
      </c>
      <c r="G248" s="1775"/>
      <c r="H248" s="984">
        <v>0</v>
      </c>
      <c r="I248" s="967">
        <v>0</v>
      </c>
      <c r="J248" s="968">
        <v>0</v>
      </c>
      <c r="K248" s="382"/>
      <c r="L248" s="387"/>
      <c r="M248" s="391"/>
      <c r="N248" s="391"/>
      <c r="O248" s="391"/>
      <c r="P248" s="387"/>
      <c r="Q248" s="391"/>
      <c r="R248" s="391"/>
      <c r="S248" s="391"/>
      <c r="T248" s="391"/>
      <c r="U248" s="391"/>
      <c r="V248" s="391"/>
      <c r="W248" s="391"/>
      <c r="X248" s="391"/>
      <c r="Y248" s="391"/>
      <c r="Z248" s="391"/>
      <c r="AA248" s="391"/>
      <c r="AB248" s="387"/>
      <c r="AC248" s="391"/>
      <c r="AD248" s="391"/>
      <c r="AE248" s="391"/>
      <c r="AF248" s="391"/>
      <c r="AG248" s="391"/>
      <c r="AH248" s="391"/>
      <c r="AI248" s="391"/>
      <c r="AJ248" s="391"/>
      <c r="AK248" s="391"/>
      <c r="AL248" s="391"/>
      <c r="AM248" s="391"/>
      <c r="AN248" s="1758"/>
      <c r="AO248" s="386"/>
      <c r="AQ248" s="615">
        <f t="shared" si="68"/>
        <v>0</v>
      </c>
      <c r="AR248" s="616">
        <f t="shared" si="69"/>
        <v>135660</v>
      </c>
      <c r="AS248" s="617">
        <f t="shared" si="70"/>
        <v>0</v>
      </c>
      <c r="AT248" s="606">
        <f t="shared" si="71"/>
        <v>0</v>
      </c>
      <c r="AU248" s="605">
        <f t="shared" si="72"/>
        <v>135660</v>
      </c>
    </row>
    <row r="249" spans="1:47" ht="24.95" customHeight="1">
      <c r="A249" s="966" t="s">
        <v>890</v>
      </c>
      <c r="B249" s="979" t="s">
        <v>891</v>
      </c>
      <c r="C249" s="984">
        <v>39286.949999999997</v>
      </c>
      <c r="D249" s="989">
        <v>0</v>
      </c>
      <c r="E249" s="967">
        <v>0</v>
      </c>
      <c r="F249" s="968">
        <f t="shared" si="54"/>
        <v>39286.949999999997</v>
      </c>
      <c r="G249" s="1775"/>
      <c r="H249" s="984">
        <v>0</v>
      </c>
      <c r="I249" s="967">
        <v>0</v>
      </c>
      <c r="J249" s="968">
        <v>0</v>
      </c>
      <c r="K249" s="382"/>
      <c r="L249" s="387"/>
      <c r="M249" s="391"/>
      <c r="N249" s="391"/>
      <c r="O249" s="391"/>
      <c r="P249" s="387"/>
      <c r="Q249" s="391"/>
      <c r="R249" s="391"/>
      <c r="S249" s="391"/>
      <c r="T249" s="391"/>
      <c r="U249" s="391"/>
      <c r="V249" s="391"/>
      <c r="W249" s="391"/>
      <c r="X249" s="391"/>
      <c r="Y249" s="391"/>
      <c r="Z249" s="391"/>
      <c r="AA249" s="391"/>
      <c r="AB249" s="387"/>
      <c r="AC249" s="391"/>
      <c r="AD249" s="391"/>
      <c r="AE249" s="391"/>
      <c r="AF249" s="391"/>
      <c r="AG249" s="391"/>
      <c r="AH249" s="391"/>
      <c r="AI249" s="391"/>
      <c r="AJ249" s="391"/>
      <c r="AK249" s="391"/>
      <c r="AL249" s="391"/>
      <c r="AM249" s="391"/>
      <c r="AN249" s="1758"/>
      <c r="AO249" s="386"/>
      <c r="AQ249" s="615">
        <f t="shared" si="68"/>
        <v>0</v>
      </c>
      <c r="AR249" s="616">
        <f t="shared" si="69"/>
        <v>39286.949999999997</v>
      </c>
      <c r="AS249" s="617">
        <f t="shared" si="70"/>
        <v>0</v>
      </c>
      <c r="AT249" s="606">
        <f t="shared" si="71"/>
        <v>0</v>
      </c>
      <c r="AU249" s="605">
        <f t="shared" si="72"/>
        <v>39286.949999999997</v>
      </c>
    </row>
    <row r="250" spans="1:47" ht="24.95" customHeight="1">
      <c r="A250" s="966" t="s">
        <v>892</v>
      </c>
      <c r="B250" s="979" t="s">
        <v>386</v>
      </c>
      <c r="C250" s="984">
        <v>245715.9</v>
      </c>
      <c r="D250" s="989">
        <v>0</v>
      </c>
      <c r="E250" s="967">
        <v>0</v>
      </c>
      <c r="F250" s="968">
        <f t="shared" si="54"/>
        <v>245715.9</v>
      </c>
      <c r="G250" s="1775"/>
      <c r="H250" s="984">
        <v>0</v>
      </c>
      <c r="I250" s="967">
        <v>0</v>
      </c>
      <c r="J250" s="968">
        <v>0</v>
      </c>
      <c r="K250" s="382"/>
      <c r="L250" s="387"/>
      <c r="M250" s="391"/>
      <c r="N250" s="391"/>
      <c r="O250" s="391"/>
      <c r="P250" s="387"/>
      <c r="Q250" s="391"/>
      <c r="R250" s="391"/>
      <c r="S250" s="391"/>
      <c r="T250" s="391"/>
      <c r="U250" s="391"/>
      <c r="V250" s="391"/>
      <c r="W250" s="391"/>
      <c r="X250" s="391"/>
      <c r="Y250" s="391"/>
      <c r="Z250" s="391"/>
      <c r="AA250" s="391"/>
      <c r="AB250" s="387"/>
      <c r="AC250" s="391"/>
      <c r="AD250" s="391"/>
      <c r="AE250" s="391"/>
      <c r="AF250" s="391"/>
      <c r="AG250" s="391"/>
      <c r="AH250" s="391"/>
      <c r="AI250" s="391"/>
      <c r="AJ250" s="391"/>
      <c r="AK250" s="391"/>
      <c r="AL250" s="391"/>
      <c r="AM250" s="391"/>
      <c r="AN250" s="1758"/>
      <c r="AO250" s="386"/>
      <c r="AQ250" s="615">
        <f t="shared" si="68"/>
        <v>0</v>
      </c>
      <c r="AR250" s="616">
        <f t="shared" si="69"/>
        <v>245715.9</v>
      </c>
      <c r="AS250" s="617">
        <f t="shared" si="70"/>
        <v>0</v>
      </c>
      <c r="AT250" s="606">
        <f t="shared" si="71"/>
        <v>0</v>
      </c>
      <c r="AU250" s="605">
        <f t="shared" si="72"/>
        <v>245715.9</v>
      </c>
    </row>
    <row r="251" spans="1:47" ht="24.95" customHeight="1">
      <c r="A251" s="966" t="s">
        <v>893</v>
      </c>
      <c r="B251" s="979" t="s">
        <v>894</v>
      </c>
      <c r="C251" s="984">
        <v>1867398.84</v>
      </c>
      <c r="D251" s="989">
        <v>0</v>
      </c>
      <c r="E251" s="967">
        <v>0</v>
      </c>
      <c r="F251" s="968">
        <f t="shared" si="54"/>
        <v>1867398.84</v>
      </c>
      <c r="G251" s="1775"/>
      <c r="H251" s="984">
        <v>0</v>
      </c>
      <c r="I251" s="967">
        <v>0</v>
      </c>
      <c r="J251" s="968">
        <v>0</v>
      </c>
      <c r="K251" s="382"/>
      <c r="L251" s="387"/>
      <c r="M251" s="391"/>
      <c r="N251" s="391"/>
      <c r="O251" s="391"/>
      <c r="P251" s="387"/>
      <c r="Q251" s="391"/>
      <c r="R251" s="391"/>
      <c r="S251" s="391"/>
      <c r="T251" s="391"/>
      <c r="U251" s="391"/>
      <c r="V251" s="391"/>
      <c r="W251" s="391"/>
      <c r="X251" s="391"/>
      <c r="Y251" s="391"/>
      <c r="Z251" s="391"/>
      <c r="AA251" s="391"/>
      <c r="AB251" s="387"/>
      <c r="AC251" s="391"/>
      <c r="AD251" s="391"/>
      <c r="AE251" s="391"/>
      <c r="AF251" s="391"/>
      <c r="AG251" s="391"/>
      <c r="AH251" s="391"/>
      <c r="AI251" s="391"/>
      <c r="AJ251" s="391"/>
      <c r="AK251" s="391"/>
      <c r="AL251" s="391"/>
      <c r="AM251" s="391"/>
      <c r="AN251" s="1758"/>
      <c r="AO251" s="386"/>
      <c r="AQ251" s="615">
        <f t="shared" si="68"/>
        <v>0</v>
      </c>
      <c r="AR251" s="616">
        <f t="shared" si="69"/>
        <v>1867398.84</v>
      </c>
      <c r="AS251" s="617">
        <f t="shared" si="70"/>
        <v>0</v>
      </c>
      <c r="AT251" s="606">
        <f t="shared" si="71"/>
        <v>0</v>
      </c>
      <c r="AU251" s="605">
        <f t="shared" si="72"/>
        <v>1867398.84</v>
      </c>
    </row>
    <row r="252" spans="1:47" ht="24.95" customHeight="1">
      <c r="A252" s="966" t="s">
        <v>895</v>
      </c>
      <c r="B252" s="979" t="s">
        <v>896</v>
      </c>
      <c r="C252" s="984">
        <v>1652238.5</v>
      </c>
      <c r="D252" s="989">
        <v>0</v>
      </c>
      <c r="E252" s="967">
        <v>0</v>
      </c>
      <c r="F252" s="968">
        <f t="shared" si="54"/>
        <v>1652238.5</v>
      </c>
      <c r="G252" s="1775"/>
      <c r="H252" s="984">
        <v>122430.87</v>
      </c>
      <c r="I252" s="967">
        <v>122325.14</v>
      </c>
      <c r="J252" s="968">
        <v>105.73</v>
      </c>
      <c r="K252" s="382"/>
      <c r="L252" s="387"/>
      <c r="M252" s="391"/>
      <c r="N252" s="391"/>
      <c r="O252" s="391"/>
      <c r="P252" s="387"/>
      <c r="Q252" s="391"/>
      <c r="R252" s="391"/>
      <c r="S252" s="391"/>
      <c r="T252" s="391"/>
      <c r="U252" s="391"/>
      <c r="V252" s="391"/>
      <c r="W252" s="391"/>
      <c r="X252" s="391"/>
      <c r="Y252" s="391"/>
      <c r="Z252" s="391"/>
      <c r="AA252" s="391"/>
      <c r="AB252" s="387"/>
      <c r="AC252" s="391"/>
      <c r="AD252" s="391"/>
      <c r="AE252" s="391"/>
      <c r="AF252" s="391"/>
      <c r="AG252" s="391"/>
      <c r="AH252" s="391"/>
      <c r="AI252" s="391"/>
      <c r="AJ252" s="391"/>
      <c r="AK252" s="391"/>
      <c r="AL252" s="391"/>
      <c r="AM252" s="391"/>
      <c r="AN252" s="1758"/>
      <c r="AO252" s="386"/>
      <c r="AQ252" s="615">
        <f t="shared" si="68"/>
        <v>0</v>
      </c>
      <c r="AR252" s="616">
        <f t="shared" si="69"/>
        <v>1529913.36</v>
      </c>
      <c r="AS252" s="617">
        <f t="shared" si="70"/>
        <v>0</v>
      </c>
      <c r="AT252" s="606">
        <f t="shared" si="71"/>
        <v>122325.14</v>
      </c>
      <c r="AU252" s="605">
        <f t="shared" si="72"/>
        <v>1529913.36</v>
      </c>
    </row>
    <row r="253" spans="1:47" ht="24.95" customHeight="1">
      <c r="A253" s="966" t="s">
        <v>897</v>
      </c>
      <c r="B253" s="979" t="s">
        <v>898</v>
      </c>
      <c r="C253" s="984">
        <v>648682.85</v>
      </c>
      <c r="D253" s="989">
        <v>0</v>
      </c>
      <c r="E253" s="967">
        <v>0</v>
      </c>
      <c r="F253" s="968">
        <f t="shared" si="54"/>
        <v>648682.85</v>
      </c>
      <c r="G253" s="1775"/>
      <c r="H253" s="984">
        <v>112222.13</v>
      </c>
      <c r="I253" s="967">
        <v>111808.15</v>
      </c>
      <c r="J253" s="968">
        <v>413.98</v>
      </c>
      <c r="K253" s="382"/>
      <c r="L253" s="387"/>
      <c r="M253" s="391"/>
      <c r="N253" s="391"/>
      <c r="O253" s="391"/>
      <c r="P253" s="387"/>
      <c r="Q253" s="391"/>
      <c r="R253" s="391"/>
      <c r="S253" s="391"/>
      <c r="T253" s="391"/>
      <c r="U253" s="391"/>
      <c r="V253" s="391"/>
      <c r="W253" s="391"/>
      <c r="X253" s="391"/>
      <c r="Y253" s="391"/>
      <c r="Z253" s="391"/>
      <c r="AA253" s="391"/>
      <c r="AB253" s="387"/>
      <c r="AC253" s="391"/>
      <c r="AD253" s="391"/>
      <c r="AE253" s="391"/>
      <c r="AF253" s="391"/>
      <c r="AG253" s="391"/>
      <c r="AH253" s="391"/>
      <c r="AI253" s="391"/>
      <c r="AJ253" s="391"/>
      <c r="AK253" s="391"/>
      <c r="AL253" s="391"/>
      <c r="AM253" s="391"/>
      <c r="AN253" s="1758"/>
      <c r="AO253" s="386"/>
      <c r="AQ253" s="615">
        <f t="shared" si="68"/>
        <v>0</v>
      </c>
      <c r="AR253" s="616">
        <f t="shared" si="69"/>
        <v>536874.69999999995</v>
      </c>
      <c r="AS253" s="617">
        <f t="shared" si="70"/>
        <v>0</v>
      </c>
      <c r="AT253" s="606">
        <f t="shared" si="71"/>
        <v>111808.15</v>
      </c>
      <c r="AU253" s="605">
        <f t="shared" si="72"/>
        <v>536874.69999999995</v>
      </c>
    </row>
    <row r="254" spans="1:47" ht="24.95" customHeight="1">
      <c r="A254" s="966" t="s">
        <v>899</v>
      </c>
      <c r="B254" s="979" t="s">
        <v>900</v>
      </c>
      <c r="C254" s="984">
        <v>1098904.1599999999</v>
      </c>
      <c r="D254" s="989">
        <v>0</v>
      </c>
      <c r="E254" s="967">
        <v>0</v>
      </c>
      <c r="F254" s="968">
        <f t="shared" si="54"/>
        <v>1098904.1599999999</v>
      </c>
      <c r="G254" s="1775"/>
      <c r="H254" s="984">
        <v>0</v>
      </c>
      <c r="I254" s="967">
        <v>0</v>
      </c>
      <c r="J254" s="968">
        <v>0</v>
      </c>
      <c r="K254" s="382"/>
      <c r="L254" s="387"/>
      <c r="M254" s="391"/>
      <c r="N254" s="391"/>
      <c r="O254" s="391"/>
      <c r="P254" s="387"/>
      <c r="Q254" s="391"/>
      <c r="R254" s="391"/>
      <c r="S254" s="391"/>
      <c r="T254" s="391"/>
      <c r="U254" s="391"/>
      <c r="V254" s="391"/>
      <c r="W254" s="391"/>
      <c r="X254" s="391"/>
      <c r="Y254" s="391"/>
      <c r="Z254" s="391"/>
      <c r="AA254" s="391"/>
      <c r="AB254" s="387"/>
      <c r="AC254" s="391"/>
      <c r="AD254" s="391"/>
      <c r="AE254" s="391"/>
      <c r="AF254" s="391"/>
      <c r="AG254" s="391"/>
      <c r="AH254" s="391"/>
      <c r="AI254" s="391"/>
      <c r="AJ254" s="391"/>
      <c r="AK254" s="391"/>
      <c r="AL254" s="391"/>
      <c r="AM254" s="391"/>
      <c r="AN254" s="1758"/>
      <c r="AO254" s="386"/>
      <c r="AQ254" s="615">
        <f t="shared" si="68"/>
        <v>0</v>
      </c>
      <c r="AR254" s="616">
        <f t="shared" si="69"/>
        <v>1098904.1599999999</v>
      </c>
      <c r="AS254" s="617">
        <f t="shared" si="70"/>
        <v>0</v>
      </c>
      <c r="AT254" s="606">
        <f t="shared" si="71"/>
        <v>0</v>
      </c>
      <c r="AU254" s="605">
        <f t="shared" si="72"/>
        <v>1098904.1599999999</v>
      </c>
    </row>
    <row r="255" spans="1:47" ht="24.95" customHeight="1">
      <c r="A255" s="966" t="s">
        <v>901</v>
      </c>
      <c r="B255" s="979" t="s">
        <v>902</v>
      </c>
      <c r="C255" s="984">
        <v>1223468.68</v>
      </c>
      <c r="D255" s="989">
        <v>0</v>
      </c>
      <c r="E255" s="967">
        <v>0</v>
      </c>
      <c r="F255" s="968">
        <f t="shared" si="54"/>
        <v>1223468.68</v>
      </c>
      <c r="G255" s="1775"/>
      <c r="H255" s="984">
        <v>0</v>
      </c>
      <c r="I255" s="967">
        <v>0</v>
      </c>
      <c r="J255" s="968">
        <v>0</v>
      </c>
      <c r="K255" s="382"/>
      <c r="L255" s="387"/>
      <c r="M255" s="391"/>
      <c r="N255" s="391"/>
      <c r="O255" s="391"/>
      <c r="P255" s="387"/>
      <c r="Q255" s="391"/>
      <c r="R255" s="391"/>
      <c r="S255" s="391"/>
      <c r="T255" s="391"/>
      <c r="U255" s="391"/>
      <c r="V255" s="391"/>
      <c r="W255" s="391"/>
      <c r="X255" s="391"/>
      <c r="Y255" s="391"/>
      <c r="Z255" s="391"/>
      <c r="AA255" s="391"/>
      <c r="AB255" s="387"/>
      <c r="AC255" s="391"/>
      <c r="AD255" s="391"/>
      <c r="AE255" s="391"/>
      <c r="AF255" s="391"/>
      <c r="AG255" s="391"/>
      <c r="AH255" s="391"/>
      <c r="AI255" s="391"/>
      <c r="AJ255" s="391"/>
      <c r="AK255" s="391"/>
      <c r="AL255" s="391"/>
      <c r="AM255" s="391"/>
      <c r="AN255" s="1758"/>
      <c r="AO255" s="386"/>
      <c r="AQ255" s="615">
        <f t="shared" si="68"/>
        <v>0</v>
      </c>
      <c r="AR255" s="616">
        <f t="shared" si="69"/>
        <v>1223468.68</v>
      </c>
      <c r="AS255" s="617">
        <f t="shared" si="70"/>
        <v>0</v>
      </c>
      <c r="AT255" s="606">
        <f t="shared" si="71"/>
        <v>0</v>
      </c>
      <c r="AU255" s="605">
        <f t="shared" si="72"/>
        <v>1223468.68</v>
      </c>
    </row>
    <row r="256" spans="1:47" ht="24.95" customHeight="1">
      <c r="A256" s="966" t="s">
        <v>903</v>
      </c>
      <c r="B256" s="979" t="s">
        <v>904</v>
      </c>
      <c r="C256" s="984">
        <v>149425.9</v>
      </c>
      <c r="D256" s="989">
        <v>0</v>
      </c>
      <c r="E256" s="967">
        <v>0</v>
      </c>
      <c r="F256" s="968">
        <f t="shared" si="54"/>
        <v>149425.9</v>
      </c>
      <c r="G256" s="1775"/>
      <c r="H256" s="984">
        <v>31663.35</v>
      </c>
      <c r="I256" s="967">
        <v>31646.799999999999</v>
      </c>
      <c r="J256" s="968">
        <v>16.55</v>
      </c>
      <c r="K256" s="382"/>
      <c r="L256" s="387"/>
      <c r="M256" s="391"/>
      <c r="N256" s="391"/>
      <c r="O256" s="391"/>
      <c r="P256" s="387"/>
      <c r="Q256" s="391"/>
      <c r="R256" s="391"/>
      <c r="S256" s="391"/>
      <c r="T256" s="391"/>
      <c r="U256" s="391"/>
      <c r="V256" s="391"/>
      <c r="W256" s="391"/>
      <c r="X256" s="391"/>
      <c r="Y256" s="391"/>
      <c r="Z256" s="391"/>
      <c r="AA256" s="391"/>
      <c r="AB256" s="387"/>
      <c r="AC256" s="391"/>
      <c r="AD256" s="391"/>
      <c r="AE256" s="391"/>
      <c r="AF256" s="391"/>
      <c r="AG256" s="391"/>
      <c r="AH256" s="391"/>
      <c r="AI256" s="391"/>
      <c r="AJ256" s="391"/>
      <c r="AK256" s="391"/>
      <c r="AL256" s="391"/>
      <c r="AM256" s="391"/>
      <c r="AN256" s="1758"/>
      <c r="AO256" s="386"/>
      <c r="AQ256" s="615">
        <f t="shared" si="68"/>
        <v>0</v>
      </c>
      <c r="AR256" s="616">
        <f t="shared" si="69"/>
        <v>117779.09999999999</v>
      </c>
      <c r="AS256" s="617">
        <f t="shared" si="70"/>
        <v>0</v>
      </c>
      <c r="AT256" s="606">
        <f t="shared" si="71"/>
        <v>31646.799999999999</v>
      </c>
      <c r="AU256" s="605">
        <f t="shared" si="72"/>
        <v>117779.09999999999</v>
      </c>
    </row>
    <row r="257" spans="1:47" ht="24.95" customHeight="1">
      <c r="A257" s="966" t="s">
        <v>905</v>
      </c>
      <c r="B257" s="979" t="s">
        <v>906</v>
      </c>
      <c r="C257" s="984">
        <v>627446.30000000005</v>
      </c>
      <c r="D257" s="989">
        <v>0</v>
      </c>
      <c r="E257" s="967">
        <v>0</v>
      </c>
      <c r="F257" s="968">
        <f t="shared" si="54"/>
        <v>627446.30000000005</v>
      </c>
      <c r="G257" s="1775"/>
      <c r="H257" s="984">
        <v>4392.12</v>
      </c>
      <c r="I257" s="967">
        <v>2737</v>
      </c>
      <c r="J257" s="968">
        <v>1655.12</v>
      </c>
      <c r="K257" s="382"/>
      <c r="L257" s="387"/>
      <c r="M257" s="391"/>
      <c r="N257" s="391"/>
      <c r="O257" s="391"/>
      <c r="P257" s="387"/>
      <c r="Q257" s="391"/>
      <c r="R257" s="391"/>
      <c r="S257" s="391"/>
      <c r="T257" s="391"/>
      <c r="U257" s="391"/>
      <c r="V257" s="391"/>
      <c r="W257" s="391"/>
      <c r="X257" s="391"/>
      <c r="Y257" s="391"/>
      <c r="Z257" s="391"/>
      <c r="AA257" s="391"/>
      <c r="AB257" s="387"/>
      <c r="AC257" s="391"/>
      <c r="AD257" s="391"/>
      <c r="AE257" s="391"/>
      <c r="AF257" s="391"/>
      <c r="AG257" s="391"/>
      <c r="AH257" s="391"/>
      <c r="AI257" s="391"/>
      <c r="AJ257" s="391"/>
      <c r="AK257" s="391"/>
      <c r="AL257" s="391"/>
      <c r="AM257" s="391"/>
      <c r="AN257" s="1758"/>
      <c r="AO257" s="386"/>
      <c r="AQ257" s="615">
        <f t="shared" si="68"/>
        <v>0</v>
      </c>
      <c r="AR257" s="616">
        <f t="shared" si="69"/>
        <v>624709.30000000005</v>
      </c>
      <c r="AS257" s="617">
        <f t="shared" si="70"/>
        <v>0</v>
      </c>
      <c r="AT257" s="606">
        <f t="shared" si="71"/>
        <v>2737</v>
      </c>
      <c r="AU257" s="605">
        <f t="shared" si="72"/>
        <v>624709.30000000005</v>
      </c>
    </row>
    <row r="258" spans="1:47" ht="24.95" customHeight="1">
      <c r="A258" s="966" t="s">
        <v>907</v>
      </c>
      <c r="B258" s="979" t="s">
        <v>908</v>
      </c>
      <c r="C258" s="984">
        <v>2334663.38</v>
      </c>
      <c r="D258" s="989">
        <v>0</v>
      </c>
      <c r="E258" s="967">
        <v>0</v>
      </c>
      <c r="F258" s="968">
        <f t="shared" si="54"/>
        <v>2334663.38</v>
      </c>
      <c r="G258" s="1775"/>
      <c r="H258" s="984">
        <v>0</v>
      </c>
      <c r="I258" s="967">
        <v>0</v>
      </c>
      <c r="J258" s="968">
        <v>0</v>
      </c>
      <c r="K258" s="382"/>
      <c r="L258" s="387"/>
      <c r="M258" s="391"/>
      <c r="N258" s="391"/>
      <c r="O258" s="391"/>
      <c r="P258" s="387"/>
      <c r="Q258" s="391"/>
      <c r="R258" s="391"/>
      <c r="S258" s="391"/>
      <c r="T258" s="391"/>
      <c r="U258" s="391"/>
      <c r="V258" s="391"/>
      <c r="W258" s="391"/>
      <c r="X258" s="391"/>
      <c r="Y258" s="391"/>
      <c r="Z258" s="391"/>
      <c r="AA258" s="391"/>
      <c r="AB258" s="387"/>
      <c r="AC258" s="391"/>
      <c r="AD258" s="391"/>
      <c r="AE258" s="391"/>
      <c r="AF258" s="391"/>
      <c r="AG258" s="391"/>
      <c r="AH258" s="391"/>
      <c r="AI258" s="391"/>
      <c r="AJ258" s="391"/>
      <c r="AK258" s="391"/>
      <c r="AL258" s="391"/>
      <c r="AM258" s="391"/>
      <c r="AN258" s="1758"/>
      <c r="AO258" s="386"/>
      <c r="AQ258" s="615">
        <f t="shared" si="68"/>
        <v>0</v>
      </c>
      <c r="AR258" s="616">
        <f t="shared" si="69"/>
        <v>2334663.38</v>
      </c>
      <c r="AS258" s="617">
        <f t="shared" si="70"/>
        <v>0</v>
      </c>
      <c r="AT258" s="606">
        <f t="shared" si="71"/>
        <v>0</v>
      </c>
      <c r="AU258" s="605">
        <f t="shared" si="72"/>
        <v>2334663.38</v>
      </c>
    </row>
    <row r="259" spans="1:47" ht="24.95" customHeight="1">
      <c r="A259" s="966" t="s">
        <v>909</v>
      </c>
      <c r="B259" s="979" t="s">
        <v>910</v>
      </c>
      <c r="C259" s="984">
        <v>29490.5</v>
      </c>
      <c r="D259" s="989">
        <v>0</v>
      </c>
      <c r="E259" s="967">
        <v>0</v>
      </c>
      <c r="F259" s="968">
        <f t="shared" si="54"/>
        <v>29490.5</v>
      </c>
      <c r="G259" s="1775"/>
      <c r="H259" s="984">
        <v>0</v>
      </c>
      <c r="I259" s="967">
        <v>0</v>
      </c>
      <c r="J259" s="968">
        <v>0</v>
      </c>
      <c r="K259" s="382"/>
      <c r="L259" s="387"/>
      <c r="M259" s="391"/>
      <c r="N259" s="391"/>
      <c r="O259" s="391"/>
      <c r="P259" s="387"/>
      <c r="Q259" s="391"/>
      <c r="R259" s="391"/>
      <c r="S259" s="391"/>
      <c r="T259" s="391"/>
      <c r="U259" s="391"/>
      <c r="V259" s="391"/>
      <c r="W259" s="391"/>
      <c r="X259" s="391"/>
      <c r="Y259" s="391"/>
      <c r="Z259" s="391"/>
      <c r="AA259" s="391"/>
      <c r="AB259" s="387"/>
      <c r="AC259" s="391"/>
      <c r="AD259" s="391"/>
      <c r="AE259" s="391"/>
      <c r="AF259" s="391"/>
      <c r="AG259" s="391"/>
      <c r="AH259" s="391"/>
      <c r="AI259" s="391"/>
      <c r="AJ259" s="391"/>
      <c r="AK259" s="391"/>
      <c r="AL259" s="391"/>
      <c r="AM259" s="391"/>
      <c r="AN259" s="1758"/>
      <c r="AO259" s="386"/>
      <c r="AQ259" s="615">
        <f t="shared" si="68"/>
        <v>0</v>
      </c>
      <c r="AR259" s="616">
        <f t="shared" si="69"/>
        <v>29490.5</v>
      </c>
      <c r="AS259" s="617">
        <f t="shared" si="70"/>
        <v>0</v>
      </c>
      <c r="AT259" s="606">
        <f t="shared" si="71"/>
        <v>0</v>
      </c>
      <c r="AU259" s="605">
        <f t="shared" si="72"/>
        <v>29490.5</v>
      </c>
    </row>
    <row r="260" spans="1:47" ht="24.95" customHeight="1">
      <c r="A260" s="966" t="s">
        <v>911</v>
      </c>
      <c r="B260" s="979" t="s">
        <v>912</v>
      </c>
      <c r="C260" s="984">
        <v>385468.65</v>
      </c>
      <c r="D260" s="989">
        <v>0</v>
      </c>
      <c r="E260" s="967">
        <v>0</v>
      </c>
      <c r="F260" s="968">
        <f t="shared" si="54"/>
        <v>385468.65</v>
      </c>
      <c r="G260" s="1775"/>
      <c r="H260" s="984">
        <v>3854.69</v>
      </c>
      <c r="I260" s="967">
        <v>3726.67</v>
      </c>
      <c r="J260" s="968">
        <v>128.02000000000001</v>
      </c>
      <c r="K260" s="382"/>
      <c r="L260" s="387"/>
      <c r="M260" s="391"/>
      <c r="N260" s="391"/>
      <c r="O260" s="391"/>
      <c r="P260" s="387"/>
      <c r="Q260" s="391"/>
      <c r="R260" s="391"/>
      <c r="S260" s="391"/>
      <c r="T260" s="391"/>
      <c r="U260" s="391"/>
      <c r="V260" s="391"/>
      <c r="W260" s="391"/>
      <c r="X260" s="391"/>
      <c r="Y260" s="391"/>
      <c r="Z260" s="391"/>
      <c r="AA260" s="391"/>
      <c r="AB260" s="387"/>
      <c r="AC260" s="391"/>
      <c r="AD260" s="391"/>
      <c r="AE260" s="391"/>
      <c r="AF260" s="391"/>
      <c r="AG260" s="391"/>
      <c r="AH260" s="391"/>
      <c r="AI260" s="391"/>
      <c r="AJ260" s="391"/>
      <c r="AK260" s="391"/>
      <c r="AL260" s="391"/>
      <c r="AM260" s="391"/>
      <c r="AN260" s="1758"/>
      <c r="AO260" s="386"/>
      <c r="AQ260" s="615">
        <f t="shared" si="68"/>
        <v>0</v>
      </c>
      <c r="AR260" s="616">
        <f t="shared" si="69"/>
        <v>381741.98000000004</v>
      </c>
      <c r="AS260" s="617">
        <f t="shared" si="70"/>
        <v>0</v>
      </c>
      <c r="AT260" s="606">
        <f t="shared" si="71"/>
        <v>3726.67</v>
      </c>
      <c r="AU260" s="605">
        <f t="shared" si="72"/>
        <v>381741.98000000004</v>
      </c>
    </row>
    <row r="261" spans="1:47" ht="24.95" customHeight="1">
      <c r="A261" s="966" t="s">
        <v>913</v>
      </c>
      <c r="B261" s="979" t="s">
        <v>914</v>
      </c>
      <c r="C261" s="984">
        <v>122864.6</v>
      </c>
      <c r="D261" s="989">
        <v>0</v>
      </c>
      <c r="E261" s="967">
        <v>0</v>
      </c>
      <c r="F261" s="968">
        <f t="shared" si="54"/>
        <v>122864.6</v>
      </c>
      <c r="G261" s="1775"/>
      <c r="H261" s="984">
        <v>0</v>
      </c>
      <c r="I261" s="967">
        <v>0</v>
      </c>
      <c r="J261" s="968">
        <v>0</v>
      </c>
      <c r="K261" s="382"/>
      <c r="L261" s="387"/>
      <c r="M261" s="391"/>
      <c r="N261" s="391"/>
      <c r="O261" s="391"/>
      <c r="P261" s="387"/>
      <c r="Q261" s="391"/>
      <c r="R261" s="391"/>
      <c r="S261" s="391"/>
      <c r="T261" s="391"/>
      <c r="U261" s="391"/>
      <c r="V261" s="391"/>
      <c r="W261" s="391"/>
      <c r="X261" s="391"/>
      <c r="Y261" s="391"/>
      <c r="Z261" s="391"/>
      <c r="AA261" s="391"/>
      <c r="AB261" s="387"/>
      <c r="AC261" s="391"/>
      <c r="AD261" s="391"/>
      <c r="AE261" s="391"/>
      <c r="AF261" s="391"/>
      <c r="AG261" s="391"/>
      <c r="AH261" s="391"/>
      <c r="AI261" s="391"/>
      <c r="AJ261" s="391"/>
      <c r="AK261" s="391"/>
      <c r="AL261" s="391"/>
      <c r="AM261" s="391"/>
      <c r="AN261" s="1758"/>
      <c r="AO261" s="386"/>
      <c r="AQ261" s="615">
        <f t="shared" si="68"/>
        <v>0</v>
      </c>
      <c r="AR261" s="616">
        <f t="shared" si="69"/>
        <v>122864.6</v>
      </c>
      <c r="AS261" s="617">
        <f t="shared" si="70"/>
        <v>0</v>
      </c>
      <c r="AT261" s="606">
        <f t="shared" si="71"/>
        <v>0</v>
      </c>
      <c r="AU261" s="605">
        <f t="shared" si="72"/>
        <v>122864.6</v>
      </c>
    </row>
    <row r="262" spans="1:47" ht="24.95" customHeight="1">
      <c r="A262" s="966" t="s">
        <v>915</v>
      </c>
      <c r="B262" s="979" t="s">
        <v>916</v>
      </c>
      <c r="C262" s="984">
        <v>147425.70000000001</v>
      </c>
      <c r="D262" s="989">
        <v>0</v>
      </c>
      <c r="E262" s="967">
        <v>0</v>
      </c>
      <c r="F262" s="968">
        <f t="shared" si="54"/>
        <v>147425.70000000001</v>
      </c>
      <c r="G262" s="1775"/>
      <c r="H262" s="984">
        <v>0</v>
      </c>
      <c r="I262" s="967">
        <v>0</v>
      </c>
      <c r="J262" s="968">
        <v>0</v>
      </c>
      <c r="K262" s="382"/>
      <c r="L262" s="387"/>
      <c r="M262" s="391"/>
      <c r="N262" s="391"/>
      <c r="O262" s="391"/>
      <c r="P262" s="387"/>
      <c r="Q262" s="391"/>
      <c r="R262" s="391"/>
      <c r="S262" s="391"/>
      <c r="T262" s="391"/>
      <c r="U262" s="391"/>
      <c r="V262" s="391"/>
      <c r="W262" s="391"/>
      <c r="X262" s="391"/>
      <c r="Y262" s="391"/>
      <c r="Z262" s="391"/>
      <c r="AA262" s="391"/>
      <c r="AB262" s="387"/>
      <c r="AC262" s="391"/>
      <c r="AD262" s="391"/>
      <c r="AE262" s="391"/>
      <c r="AF262" s="391"/>
      <c r="AG262" s="391"/>
      <c r="AH262" s="391"/>
      <c r="AI262" s="391"/>
      <c r="AJ262" s="391"/>
      <c r="AK262" s="391"/>
      <c r="AL262" s="391"/>
      <c r="AM262" s="391"/>
      <c r="AN262" s="1758"/>
      <c r="AO262" s="386"/>
      <c r="AQ262" s="615">
        <f t="shared" si="68"/>
        <v>0</v>
      </c>
      <c r="AR262" s="616">
        <f t="shared" si="69"/>
        <v>147425.70000000001</v>
      </c>
      <c r="AS262" s="617">
        <f t="shared" si="70"/>
        <v>0</v>
      </c>
      <c r="AT262" s="606">
        <f t="shared" si="71"/>
        <v>0</v>
      </c>
      <c r="AU262" s="605">
        <f t="shared" si="72"/>
        <v>147425.70000000001</v>
      </c>
    </row>
    <row r="263" spans="1:47" ht="24.95" customHeight="1">
      <c r="A263" s="966" t="s">
        <v>917</v>
      </c>
      <c r="B263" s="979" t="s">
        <v>322</v>
      </c>
      <c r="C263" s="984">
        <v>103500</v>
      </c>
      <c r="D263" s="989">
        <v>0</v>
      </c>
      <c r="E263" s="967">
        <v>0</v>
      </c>
      <c r="F263" s="968">
        <f t="shared" si="54"/>
        <v>103500</v>
      </c>
      <c r="G263" s="1775"/>
      <c r="H263" s="984">
        <v>0</v>
      </c>
      <c r="I263" s="967">
        <v>0</v>
      </c>
      <c r="J263" s="968">
        <v>0</v>
      </c>
      <c r="K263" s="382"/>
      <c r="L263" s="387"/>
      <c r="M263" s="391"/>
      <c r="N263" s="391"/>
      <c r="O263" s="391"/>
      <c r="P263" s="387"/>
      <c r="Q263" s="391"/>
      <c r="R263" s="391"/>
      <c r="S263" s="391"/>
      <c r="T263" s="391"/>
      <c r="U263" s="391"/>
      <c r="V263" s="391"/>
      <c r="W263" s="391"/>
      <c r="X263" s="391"/>
      <c r="Y263" s="391"/>
      <c r="Z263" s="391"/>
      <c r="AA263" s="391"/>
      <c r="AB263" s="387"/>
      <c r="AC263" s="391"/>
      <c r="AD263" s="391"/>
      <c r="AE263" s="391"/>
      <c r="AF263" s="391"/>
      <c r="AG263" s="391"/>
      <c r="AH263" s="391"/>
      <c r="AI263" s="391"/>
      <c r="AJ263" s="391"/>
      <c r="AK263" s="391"/>
      <c r="AL263" s="391"/>
      <c r="AM263" s="391"/>
      <c r="AN263" s="1758"/>
      <c r="AO263" s="386"/>
      <c r="AQ263" s="615">
        <f t="shared" si="68"/>
        <v>0</v>
      </c>
      <c r="AR263" s="616">
        <f t="shared" si="69"/>
        <v>103500</v>
      </c>
      <c r="AS263" s="617">
        <f t="shared" si="70"/>
        <v>0</v>
      </c>
      <c r="AT263" s="606">
        <f t="shared" si="71"/>
        <v>0</v>
      </c>
      <c r="AU263" s="605">
        <f t="shared" si="72"/>
        <v>103500</v>
      </c>
    </row>
    <row r="264" spans="1:47" ht="24.95" customHeight="1">
      <c r="A264" s="966" t="s">
        <v>918</v>
      </c>
      <c r="B264" s="979" t="s">
        <v>919</v>
      </c>
      <c r="C264" s="984">
        <v>105199</v>
      </c>
      <c r="D264" s="989">
        <v>0</v>
      </c>
      <c r="E264" s="967">
        <v>0</v>
      </c>
      <c r="F264" s="968">
        <f t="shared" ref="F264:F300" si="73">SUM(C264:E264)</f>
        <v>105199</v>
      </c>
      <c r="G264" s="1775"/>
      <c r="H264" s="984">
        <v>0</v>
      </c>
      <c r="I264" s="967">
        <v>0</v>
      </c>
      <c r="J264" s="968">
        <v>0</v>
      </c>
      <c r="K264" s="382"/>
      <c r="L264" s="387"/>
      <c r="M264" s="391"/>
      <c r="N264" s="391"/>
      <c r="O264" s="391"/>
      <c r="P264" s="387"/>
      <c r="Q264" s="391"/>
      <c r="R264" s="391"/>
      <c r="S264" s="391"/>
      <c r="T264" s="391"/>
      <c r="U264" s="391"/>
      <c r="V264" s="391"/>
      <c r="W264" s="391"/>
      <c r="X264" s="391"/>
      <c r="Y264" s="391"/>
      <c r="Z264" s="391"/>
      <c r="AA264" s="391"/>
      <c r="AB264" s="387"/>
      <c r="AC264" s="391"/>
      <c r="AD264" s="391"/>
      <c r="AE264" s="391"/>
      <c r="AF264" s="391"/>
      <c r="AG264" s="391"/>
      <c r="AH264" s="391"/>
      <c r="AI264" s="391"/>
      <c r="AJ264" s="391"/>
      <c r="AK264" s="391"/>
      <c r="AL264" s="391"/>
      <c r="AM264" s="391"/>
      <c r="AN264" s="1758"/>
      <c r="AO264" s="386"/>
      <c r="AQ264" s="615">
        <f t="shared" si="68"/>
        <v>0</v>
      </c>
      <c r="AR264" s="616">
        <f t="shared" si="69"/>
        <v>105199</v>
      </c>
      <c r="AS264" s="617">
        <f t="shared" si="70"/>
        <v>0</v>
      </c>
      <c r="AT264" s="606">
        <f t="shared" si="71"/>
        <v>0</v>
      </c>
      <c r="AU264" s="605">
        <f t="shared" si="72"/>
        <v>105199</v>
      </c>
    </row>
    <row r="265" spans="1:47" ht="24.95" customHeight="1">
      <c r="A265" s="972" t="s">
        <v>920</v>
      </c>
      <c r="B265" s="981" t="s">
        <v>1015</v>
      </c>
      <c r="C265" s="986">
        <v>10126417.5</v>
      </c>
      <c r="D265" s="991">
        <v>0</v>
      </c>
      <c r="E265" s="973">
        <v>0</v>
      </c>
      <c r="F265" s="974">
        <f t="shared" si="73"/>
        <v>10126417.5</v>
      </c>
      <c r="G265" s="1775"/>
      <c r="H265" s="986">
        <v>1308794.47</v>
      </c>
      <c r="I265" s="973">
        <v>1231308.43</v>
      </c>
      <c r="J265" s="974">
        <v>77486.039999999994</v>
      </c>
      <c r="K265" s="382"/>
      <c r="L265" s="387"/>
      <c r="M265" s="391"/>
      <c r="N265" s="391"/>
      <c r="O265" s="391"/>
      <c r="P265" s="387"/>
      <c r="Q265" s="391"/>
      <c r="R265" s="391"/>
      <c r="S265" s="391"/>
      <c r="T265" s="391"/>
      <c r="U265" s="391"/>
      <c r="V265" s="391"/>
      <c r="W265" s="391"/>
      <c r="X265" s="391"/>
      <c r="Y265" s="391"/>
      <c r="Z265" s="391"/>
      <c r="AA265" s="391"/>
      <c r="AB265" s="387"/>
      <c r="AC265" s="391"/>
      <c r="AD265" s="391"/>
      <c r="AE265" s="391"/>
      <c r="AF265" s="391"/>
      <c r="AG265" s="391"/>
      <c r="AH265" s="391"/>
      <c r="AI265" s="391"/>
      <c r="AJ265" s="391"/>
      <c r="AK265" s="391"/>
      <c r="AL265" s="391"/>
      <c r="AM265" s="391"/>
      <c r="AN265" s="1758"/>
      <c r="AO265" s="386"/>
      <c r="AQ265" s="612">
        <f t="shared" ref="AQ265:AU265" si="74">+AQ284+AQ283+AQ282+AQ281+AQ280+AQ279+AQ278+AQ277+AQ276+AQ275+AQ274+AQ273+AQ272+AQ271+AQ270+AQ269+AQ268+AQ267+AQ266</f>
        <v>0</v>
      </c>
      <c r="AR265" s="613">
        <f t="shared" si="74"/>
        <v>8895109.0700000003</v>
      </c>
      <c r="AS265" s="614">
        <f t="shared" si="74"/>
        <v>0</v>
      </c>
      <c r="AT265" s="610">
        <f t="shared" si="74"/>
        <v>1231308.4300000002</v>
      </c>
      <c r="AU265" s="609">
        <f t="shared" si="74"/>
        <v>8895109.0700000003</v>
      </c>
    </row>
    <row r="266" spans="1:47" ht="24.95" customHeight="1">
      <c r="A266" s="966" t="s">
        <v>921</v>
      </c>
      <c r="B266" s="979" t="s">
        <v>922</v>
      </c>
      <c r="C266" s="984">
        <v>794610</v>
      </c>
      <c r="D266" s="989">
        <v>0</v>
      </c>
      <c r="E266" s="967">
        <v>0</v>
      </c>
      <c r="F266" s="968">
        <f t="shared" si="73"/>
        <v>794610</v>
      </c>
      <c r="G266" s="1775"/>
      <c r="H266" s="984">
        <v>107749.12</v>
      </c>
      <c r="I266" s="967">
        <v>106000</v>
      </c>
      <c r="J266" s="968">
        <v>1749.12</v>
      </c>
      <c r="K266" s="382"/>
      <c r="L266" s="387"/>
      <c r="M266" s="391"/>
      <c r="N266" s="391"/>
      <c r="O266" s="391"/>
      <c r="P266" s="387"/>
      <c r="Q266" s="391"/>
      <c r="R266" s="391"/>
      <c r="S266" s="391"/>
      <c r="T266" s="391"/>
      <c r="U266" s="391"/>
      <c r="V266" s="391"/>
      <c r="W266" s="391"/>
      <c r="X266" s="391"/>
      <c r="Y266" s="391"/>
      <c r="Z266" s="391"/>
      <c r="AA266" s="391"/>
      <c r="AB266" s="387"/>
      <c r="AC266" s="391"/>
      <c r="AD266" s="391"/>
      <c r="AE266" s="391"/>
      <c r="AF266" s="391"/>
      <c r="AG266" s="391"/>
      <c r="AH266" s="391"/>
      <c r="AI266" s="391"/>
      <c r="AJ266" s="391"/>
      <c r="AK266" s="391"/>
      <c r="AL266" s="391"/>
      <c r="AM266" s="391"/>
      <c r="AN266" s="1758"/>
      <c r="AO266" s="386"/>
      <c r="AQ266" s="615">
        <f t="shared" ref="AQ266:AQ284" si="75">SUM(K266:AO266)</f>
        <v>0</v>
      </c>
      <c r="AR266" s="616">
        <f t="shared" ref="AR266:AR284" si="76">IFERROR(IF(F266-I266&lt;0,0,F266-I266),0)</f>
        <v>688610</v>
      </c>
      <c r="AS266" s="617">
        <f t="shared" ref="AS266:AS284" si="77">IFERROR(AQ266*AR266,0)</f>
        <v>0</v>
      </c>
      <c r="AT266" s="606">
        <f t="shared" ref="AT266:AT284" si="78">I266+AS266</f>
        <v>106000</v>
      </c>
      <c r="AU266" s="605">
        <f t="shared" ref="AU266:AU284" si="79">F266-AT266</f>
        <v>688610</v>
      </c>
    </row>
    <row r="267" spans="1:47" ht="24.95" customHeight="1">
      <c r="A267" s="966" t="s">
        <v>923</v>
      </c>
      <c r="B267" s="979" t="s">
        <v>924</v>
      </c>
      <c r="C267" s="984">
        <v>804420</v>
      </c>
      <c r="D267" s="989">
        <v>0</v>
      </c>
      <c r="E267" s="967">
        <v>0</v>
      </c>
      <c r="F267" s="968">
        <f t="shared" si="73"/>
        <v>804420</v>
      </c>
      <c r="G267" s="1775"/>
      <c r="H267" s="984">
        <v>211562.46</v>
      </c>
      <c r="I267" s="967">
        <v>212203.08</v>
      </c>
      <c r="J267" s="968">
        <v>-640.62</v>
      </c>
      <c r="K267" s="382"/>
      <c r="L267" s="387"/>
      <c r="M267" s="391"/>
      <c r="N267" s="391"/>
      <c r="O267" s="391"/>
      <c r="P267" s="387"/>
      <c r="Q267" s="391"/>
      <c r="R267" s="391"/>
      <c r="S267" s="391"/>
      <c r="T267" s="391"/>
      <c r="U267" s="391"/>
      <c r="V267" s="391"/>
      <c r="W267" s="391"/>
      <c r="X267" s="391"/>
      <c r="Y267" s="391"/>
      <c r="Z267" s="391"/>
      <c r="AA267" s="391"/>
      <c r="AB267" s="387"/>
      <c r="AC267" s="391"/>
      <c r="AD267" s="391"/>
      <c r="AE267" s="391"/>
      <c r="AF267" s="391"/>
      <c r="AG267" s="391"/>
      <c r="AH267" s="391"/>
      <c r="AI267" s="391"/>
      <c r="AJ267" s="391"/>
      <c r="AK267" s="391"/>
      <c r="AL267" s="391"/>
      <c r="AM267" s="391"/>
      <c r="AN267" s="1758"/>
      <c r="AO267" s="386"/>
      <c r="AQ267" s="615">
        <f t="shared" si="75"/>
        <v>0</v>
      </c>
      <c r="AR267" s="616">
        <f t="shared" si="76"/>
        <v>592216.92000000004</v>
      </c>
      <c r="AS267" s="617">
        <f t="shared" si="77"/>
        <v>0</v>
      </c>
      <c r="AT267" s="606">
        <f t="shared" si="78"/>
        <v>212203.08</v>
      </c>
      <c r="AU267" s="605">
        <f t="shared" si="79"/>
        <v>592216.92000000004</v>
      </c>
    </row>
    <row r="268" spans="1:47" ht="24.95" customHeight="1">
      <c r="A268" s="966" t="s">
        <v>925</v>
      </c>
      <c r="B268" s="979" t="s">
        <v>926</v>
      </c>
      <c r="C268" s="984">
        <v>402210</v>
      </c>
      <c r="D268" s="989">
        <v>0</v>
      </c>
      <c r="E268" s="967">
        <v>0</v>
      </c>
      <c r="F268" s="968">
        <f t="shared" si="73"/>
        <v>402210</v>
      </c>
      <c r="G268" s="1775"/>
      <c r="H268" s="984">
        <v>139405.99</v>
      </c>
      <c r="I268" s="967">
        <v>137463.19</v>
      </c>
      <c r="J268" s="968">
        <v>1942.8</v>
      </c>
      <c r="K268" s="382"/>
      <c r="L268" s="387"/>
      <c r="M268" s="391"/>
      <c r="N268" s="391"/>
      <c r="O268" s="391"/>
      <c r="P268" s="387"/>
      <c r="Q268" s="391"/>
      <c r="R268" s="391"/>
      <c r="S268" s="391"/>
      <c r="T268" s="391"/>
      <c r="U268" s="391"/>
      <c r="V268" s="391"/>
      <c r="W268" s="391"/>
      <c r="X268" s="391"/>
      <c r="Y268" s="391"/>
      <c r="Z268" s="391"/>
      <c r="AA268" s="391"/>
      <c r="AB268" s="387"/>
      <c r="AC268" s="391"/>
      <c r="AD268" s="391"/>
      <c r="AE268" s="391"/>
      <c r="AF268" s="391"/>
      <c r="AG268" s="391"/>
      <c r="AH268" s="391"/>
      <c r="AI268" s="391"/>
      <c r="AJ268" s="391"/>
      <c r="AK268" s="391"/>
      <c r="AL268" s="391"/>
      <c r="AM268" s="391"/>
      <c r="AN268" s="1758"/>
      <c r="AO268" s="386"/>
      <c r="AQ268" s="615">
        <f t="shared" si="75"/>
        <v>0</v>
      </c>
      <c r="AR268" s="616">
        <f t="shared" si="76"/>
        <v>264746.81</v>
      </c>
      <c r="AS268" s="617">
        <f t="shared" si="77"/>
        <v>0</v>
      </c>
      <c r="AT268" s="606">
        <f t="shared" si="78"/>
        <v>137463.19</v>
      </c>
      <c r="AU268" s="605">
        <f t="shared" si="79"/>
        <v>264746.81</v>
      </c>
    </row>
    <row r="269" spans="1:47" ht="24.95" customHeight="1">
      <c r="A269" s="966" t="s">
        <v>927</v>
      </c>
      <c r="B269" s="979" t="s">
        <v>928</v>
      </c>
      <c r="C269" s="984">
        <v>114720</v>
      </c>
      <c r="D269" s="989">
        <v>0</v>
      </c>
      <c r="E269" s="967">
        <v>0</v>
      </c>
      <c r="F269" s="968">
        <f t="shared" si="73"/>
        <v>114720</v>
      </c>
      <c r="G269" s="1775"/>
      <c r="H269" s="984">
        <v>20041.580000000002</v>
      </c>
      <c r="I269" s="967">
        <v>20300.18</v>
      </c>
      <c r="J269" s="968">
        <v>-258.60000000000002</v>
      </c>
      <c r="K269" s="382"/>
      <c r="L269" s="387"/>
      <c r="M269" s="391"/>
      <c r="N269" s="391"/>
      <c r="O269" s="391"/>
      <c r="P269" s="387"/>
      <c r="Q269" s="391"/>
      <c r="R269" s="391"/>
      <c r="S269" s="391"/>
      <c r="T269" s="391"/>
      <c r="U269" s="391"/>
      <c r="V269" s="391"/>
      <c r="W269" s="391"/>
      <c r="X269" s="391"/>
      <c r="Y269" s="391"/>
      <c r="Z269" s="391"/>
      <c r="AA269" s="391"/>
      <c r="AB269" s="387"/>
      <c r="AC269" s="391"/>
      <c r="AD269" s="391"/>
      <c r="AE269" s="391"/>
      <c r="AF269" s="391"/>
      <c r="AG269" s="391"/>
      <c r="AH269" s="391"/>
      <c r="AI269" s="391"/>
      <c r="AJ269" s="391"/>
      <c r="AK269" s="391"/>
      <c r="AL269" s="391"/>
      <c r="AM269" s="391"/>
      <c r="AN269" s="1758"/>
      <c r="AO269" s="386"/>
      <c r="AQ269" s="615">
        <f t="shared" si="75"/>
        <v>0</v>
      </c>
      <c r="AR269" s="616">
        <f t="shared" si="76"/>
        <v>94419.82</v>
      </c>
      <c r="AS269" s="617">
        <f t="shared" si="77"/>
        <v>0</v>
      </c>
      <c r="AT269" s="606">
        <f t="shared" si="78"/>
        <v>20300.18</v>
      </c>
      <c r="AU269" s="605">
        <f t="shared" si="79"/>
        <v>94419.82</v>
      </c>
    </row>
    <row r="270" spans="1:47" ht="24.95" customHeight="1">
      <c r="A270" s="966" t="s">
        <v>929</v>
      </c>
      <c r="B270" s="979" t="s">
        <v>930</v>
      </c>
      <c r="C270" s="984">
        <v>470880</v>
      </c>
      <c r="D270" s="989">
        <v>0</v>
      </c>
      <c r="E270" s="967">
        <v>0</v>
      </c>
      <c r="F270" s="968">
        <f t="shared" si="73"/>
        <v>470880</v>
      </c>
      <c r="G270" s="1775"/>
      <c r="H270" s="984">
        <v>104629.54</v>
      </c>
      <c r="I270" s="967">
        <v>103852.42</v>
      </c>
      <c r="J270" s="968">
        <v>777.12</v>
      </c>
      <c r="K270" s="382"/>
      <c r="L270" s="387"/>
      <c r="M270" s="391"/>
      <c r="N270" s="391"/>
      <c r="O270" s="391"/>
      <c r="P270" s="387"/>
      <c r="Q270" s="391"/>
      <c r="R270" s="391"/>
      <c r="S270" s="391"/>
      <c r="T270" s="391"/>
      <c r="U270" s="391"/>
      <c r="V270" s="391"/>
      <c r="W270" s="391"/>
      <c r="X270" s="391"/>
      <c r="Y270" s="391"/>
      <c r="Z270" s="391"/>
      <c r="AA270" s="391"/>
      <c r="AB270" s="387"/>
      <c r="AC270" s="391"/>
      <c r="AD270" s="391"/>
      <c r="AE270" s="391"/>
      <c r="AF270" s="391"/>
      <c r="AG270" s="391"/>
      <c r="AH270" s="391"/>
      <c r="AI270" s="391"/>
      <c r="AJ270" s="391"/>
      <c r="AK270" s="391"/>
      <c r="AL270" s="391"/>
      <c r="AM270" s="391"/>
      <c r="AN270" s="1758"/>
      <c r="AO270" s="386"/>
      <c r="AQ270" s="615">
        <f t="shared" si="75"/>
        <v>0</v>
      </c>
      <c r="AR270" s="616">
        <f t="shared" si="76"/>
        <v>367027.58</v>
      </c>
      <c r="AS270" s="617">
        <f t="shared" si="77"/>
        <v>0</v>
      </c>
      <c r="AT270" s="606">
        <f t="shared" si="78"/>
        <v>103852.42</v>
      </c>
      <c r="AU270" s="605">
        <f t="shared" si="79"/>
        <v>367027.58</v>
      </c>
    </row>
    <row r="271" spans="1:47" ht="24.95" customHeight="1">
      <c r="A271" s="966" t="s">
        <v>931</v>
      </c>
      <c r="B271" s="979" t="s">
        <v>932</v>
      </c>
      <c r="C271" s="984">
        <v>206010</v>
      </c>
      <c r="D271" s="989">
        <v>0</v>
      </c>
      <c r="E271" s="967">
        <v>0</v>
      </c>
      <c r="F271" s="968">
        <f t="shared" si="73"/>
        <v>206010</v>
      </c>
      <c r="G271" s="1775"/>
      <c r="H271" s="984">
        <v>43056.09</v>
      </c>
      <c r="I271" s="967">
        <v>41946.92</v>
      </c>
      <c r="J271" s="968">
        <v>1109.17</v>
      </c>
      <c r="K271" s="382"/>
      <c r="L271" s="387"/>
      <c r="M271" s="391"/>
      <c r="N271" s="391"/>
      <c r="O271" s="391"/>
      <c r="P271" s="387"/>
      <c r="Q271" s="391"/>
      <c r="R271" s="391"/>
      <c r="S271" s="391"/>
      <c r="T271" s="391"/>
      <c r="U271" s="391"/>
      <c r="V271" s="391"/>
      <c r="W271" s="391"/>
      <c r="X271" s="391"/>
      <c r="Y271" s="391"/>
      <c r="Z271" s="391"/>
      <c r="AA271" s="391"/>
      <c r="AB271" s="387"/>
      <c r="AC271" s="391"/>
      <c r="AD271" s="391"/>
      <c r="AE271" s="391"/>
      <c r="AF271" s="391"/>
      <c r="AG271" s="391"/>
      <c r="AH271" s="391"/>
      <c r="AI271" s="391"/>
      <c r="AJ271" s="391"/>
      <c r="AK271" s="391"/>
      <c r="AL271" s="391"/>
      <c r="AM271" s="391"/>
      <c r="AN271" s="1758"/>
      <c r="AO271" s="386"/>
      <c r="AQ271" s="615">
        <f t="shared" si="75"/>
        <v>0</v>
      </c>
      <c r="AR271" s="616">
        <f t="shared" si="76"/>
        <v>164063.08000000002</v>
      </c>
      <c r="AS271" s="617">
        <f t="shared" si="77"/>
        <v>0</v>
      </c>
      <c r="AT271" s="606">
        <f t="shared" si="78"/>
        <v>41946.92</v>
      </c>
      <c r="AU271" s="605">
        <f t="shared" si="79"/>
        <v>164063.08000000002</v>
      </c>
    </row>
    <row r="272" spans="1:47" ht="24.95" customHeight="1">
      <c r="A272" s="966" t="s">
        <v>933</v>
      </c>
      <c r="B272" s="979" t="s">
        <v>934</v>
      </c>
      <c r="C272" s="984">
        <v>166770</v>
      </c>
      <c r="D272" s="989">
        <v>0</v>
      </c>
      <c r="E272" s="967">
        <v>0</v>
      </c>
      <c r="F272" s="968">
        <f t="shared" si="73"/>
        <v>166770</v>
      </c>
      <c r="G272" s="1775"/>
      <c r="H272" s="984">
        <v>31286.05</v>
      </c>
      <c r="I272" s="967">
        <v>31348.1</v>
      </c>
      <c r="J272" s="968">
        <v>-62.05</v>
      </c>
      <c r="K272" s="382"/>
      <c r="L272" s="387"/>
      <c r="M272" s="391"/>
      <c r="N272" s="391"/>
      <c r="O272" s="391"/>
      <c r="P272" s="387"/>
      <c r="Q272" s="391"/>
      <c r="R272" s="391"/>
      <c r="S272" s="391"/>
      <c r="T272" s="391"/>
      <c r="U272" s="391"/>
      <c r="V272" s="391"/>
      <c r="W272" s="391"/>
      <c r="X272" s="391"/>
      <c r="Y272" s="391"/>
      <c r="Z272" s="391"/>
      <c r="AA272" s="391"/>
      <c r="AB272" s="387"/>
      <c r="AC272" s="391"/>
      <c r="AD272" s="391"/>
      <c r="AE272" s="391"/>
      <c r="AF272" s="391"/>
      <c r="AG272" s="391"/>
      <c r="AH272" s="391"/>
      <c r="AI272" s="391"/>
      <c r="AJ272" s="391"/>
      <c r="AK272" s="391"/>
      <c r="AL272" s="391"/>
      <c r="AM272" s="391"/>
      <c r="AN272" s="1758"/>
      <c r="AO272" s="386"/>
      <c r="AQ272" s="615">
        <f t="shared" si="75"/>
        <v>0</v>
      </c>
      <c r="AR272" s="616">
        <f t="shared" si="76"/>
        <v>135421.9</v>
      </c>
      <c r="AS272" s="617">
        <f t="shared" si="77"/>
        <v>0</v>
      </c>
      <c r="AT272" s="606">
        <f t="shared" si="78"/>
        <v>31348.1</v>
      </c>
      <c r="AU272" s="605">
        <f t="shared" si="79"/>
        <v>135421.9</v>
      </c>
    </row>
    <row r="273" spans="1:47" ht="24.95" customHeight="1">
      <c r="A273" s="966" t="s">
        <v>935</v>
      </c>
      <c r="B273" s="979" t="s">
        <v>936</v>
      </c>
      <c r="C273" s="984">
        <v>235440</v>
      </c>
      <c r="D273" s="989">
        <v>0</v>
      </c>
      <c r="E273" s="967">
        <v>0</v>
      </c>
      <c r="F273" s="968">
        <f t="shared" si="73"/>
        <v>235440</v>
      </c>
      <c r="G273" s="1775"/>
      <c r="H273" s="984">
        <v>45840.17</v>
      </c>
      <c r="I273" s="967">
        <v>45528.86</v>
      </c>
      <c r="J273" s="968">
        <v>311.31</v>
      </c>
      <c r="K273" s="382"/>
      <c r="L273" s="387"/>
      <c r="M273" s="391"/>
      <c r="N273" s="391"/>
      <c r="O273" s="391"/>
      <c r="P273" s="387"/>
      <c r="Q273" s="391"/>
      <c r="R273" s="391"/>
      <c r="S273" s="391"/>
      <c r="T273" s="391"/>
      <c r="U273" s="391"/>
      <c r="V273" s="391"/>
      <c r="W273" s="391"/>
      <c r="X273" s="391"/>
      <c r="Y273" s="391"/>
      <c r="Z273" s="391"/>
      <c r="AA273" s="391"/>
      <c r="AB273" s="387"/>
      <c r="AC273" s="391"/>
      <c r="AD273" s="391"/>
      <c r="AE273" s="391"/>
      <c r="AF273" s="391"/>
      <c r="AG273" s="391"/>
      <c r="AH273" s="391"/>
      <c r="AI273" s="391"/>
      <c r="AJ273" s="391"/>
      <c r="AK273" s="391"/>
      <c r="AL273" s="391"/>
      <c r="AM273" s="391"/>
      <c r="AN273" s="1758"/>
      <c r="AO273" s="386"/>
      <c r="AQ273" s="615">
        <f t="shared" si="75"/>
        <v>0</v>
      </c>
      <c r="AR273" s="616">
        <f t="shared" si="76"/>
        <v>189911.14</v>
      </c>
      <c r="AS273" s="617">
        <f t="shared" si="77"/>
        <v>0</v>
      </c>
      <c r="AT273" s="606">
        <f t="shared" si="78"/>
        <v>45528.86</v>
      </c>
      <c r="AU273" s="605">
        <f t="shared" si="79"/>
        <v>189911.14</v>
      </c>
    </row>
    <row r="274" spans="1:47" ht="24.95" customHeight="1">
      <c r="A274" s="966" t="s">
        <v>937</v>
      </c>
      <c r="B274" s="979" t="s">
        <v>938</v>
      </c>
      <c r="C274" s="984">
        <v>372780</v>
      </c>
      <c r="D274" s="989">
        <v>0</v>
      </c>
      <c r="E274" s="967">
        <v>0</v>
      </c>
      <c r="F274" s="968">
        <f t="shared" si="73"/>
        <v>372780</v>
      </c>
      <c r="G274" s="1775"/>
      <c r="H274" s="984">
        <v>72580.27</v>
      </c>
      <c r="I274" s="967">
        <v>71502.179999999993</v>
      </c>
      <c r="J274" s="968">
        <v>1078.0899999999999</v>
      </c>
      <c r="K274" s="382"/>
      <c r="L274" s="387"/>
      <c r="M274" s="391"/>
      <c r="N274" s="391"/>
      <c r="O274" s="391"/>
      <c r="P274" s="387"/>
      <c r="Q274" s="391"/>
      <c r="R274" s="391"/>
      <c r="S274" s="391"/>
      <c r="T274" s="391"/>
      <c r="U274" s="391"/>
      <c r="V274" s="391"/>
      <c r="W274" s="391"/>
      <c r="X274" s="391"/>
      <c r="Y274" s="391"/>
      <c r="Z274" s="391"/>
      <c r="AA274" s="391"/>
      <c r="AB274" s="387"/>
      <c r="AC274" s="391"/>
      <c r="AD274" s="391"/>
      <c r="AE274" s="391"/>
      <c r="AF274" s="391"/>
      <c r="AG274" s="391"/>
      <c r="AH274" s="391"/>
      <c r="AI274" s="391"/>
      <c r="AJ274" s="391"/>
      <c r="AK274" s="391"/>
      <c r="AL274" s="391"/>
      <c r="AM274" s="391"/>
      <c r="AN274" s="1758"/>
      <c r="AO274" s="386"/>
      <c r="AQ274" s="615">
        <f t="shared" si="75"/>
        <v>0</v>
      </c>
      <c r="AR274" s="616">
        <f t="shared" si="76"/>
        <v>301277.82</v>
      </c>
      <c r="AS274" s="617">
        <f t="shared" si="77"/>
        <v>0</v>
      </c>
      <c r="AT274" s="606">
        <f t="shared" si="78"/>
        <v>71502.179999999993</v>
      </c>
      <c r="AU274" s="605">
        <f t="shared" si="79"/>
        <v>301277.82</v>
      </c>
    </row>
    <row r="275" spans="1:47" ht="24.95" customHeight="1">
      <c r="A275" s="966" t="s">
        <v>939</v>
      </c>
      <c r="B275" s="979" t="s">
        <v>940</v>
      </c>
      <c r="C275" s="984">
        <v>299710</v>
      </c>
      <c r="D275" s="989">
        <v>0</v>
      </c>
      <c r="E275" s="967">
        <v>0</v>
      </c>
      <c r="F275" s="968">
        <f t="shared" si="73"/>
        <v>299710</v>
      </c>
      <c r="G275" s="1775"/>
      <c r="H275" s="984">
        <v>143081.54999999999</v>
      </c>
      <c r="I275" s="967">
        <v>143226.72</v>
      </c>
      <c r="J275" s="968">
        <v>-145.16999999999999</v>
      </c>
      <c r="K275" s="382"/>
      <c r="L275" s="387"/>
      <c r="M275" s="391"/>
      <c r="N275" s="391"/>
      <c r="O275" s="391"/>
      <c r="P275" s="387"/>
      <c r="Q275" s="391"/>
      <c r="R275" s="391"/>
      <c r="S275" s="391"/>
      <c r="T275" s="391"/>
      <c r="U275" s="391"/>
      <c r="V275" s="391"/>
      <c r="W275" s="391"/>
      <c r="X275" s="391"/>
      <c r="Y275" s="391"/>
      <c r="Z275" s="391"/>
      <c r="AA275" s="391"/>
      <c r="AB275" s="387"/>
      <c r="AC275" s="391"/>
      <c r="AD275" s="391"/>
      <c r="AE275" s="391"/>
      <c r="AF275" s="391"/>
      <c r="AG275" s="391"/>
      <c r="AH275" s="391"/>
      <c r="AI275" s="391"/>
      <c r="AJ275" s="391"/>
      <c r="AK275" s="391"/>
      <c r="AL275" s="391"/>
      <c r="AM275" s="391"/>
      <c r="AN275" s="1758"/>
      <c r="AO275" s="386"/>
      <c r="AQ275" s="615">
        <f t="shared" si="75"/>
        <v>0</v>
      </c>
      <c r="AR275" s="616">
        <f t="shared" si="76"/>
        <v>156483.28</v>
      </c>
      <c r="AS275" s="617">
        <f t="shared" si="77"/>
        <v>0</v>
      </c>
      <c r="AT275" s="606">
        <f t="shared" si="78"/>
        <v>143226.72</v>
      </c>
      <c r="AU275" s="605">
        <f t="shared" si="79"/>
        <v>156483.28</v>
      </c>
    </row>
    <row r="276" spans="1:47" ht="24.95" customHeight="1">
      <c r="A276" s="966" t="s">
        <v>941</v>
      </c>
      <c r="B276" s="979" t="s">
        <v>942</v>
      </c>
      <c r="C276" s="984">
        <v>276000</v>
      </c>
      <c r="D276" s="989">
        <v>0</v>
      </c>
      <c r="E276" s="967">
        <v>0</v>
      </c>
      <c r="F276" s="968">
        <f t="shared" si="73"/>
        <v>276000</v>
      </c>
      <c r="G276" s="1775"/>
      <c r="H276" s="984">
        <v>2649.6</v>
      </c>
      <c r="I276" s="967">
        <v>1751.35</v>
      </c>
      <c r="J276" s="968">
        <v>898.25</v>
      </c>
      <c r="K276" s="382"/>
      <c r="L276" s="387"/>
      <c r="M276" s="391"/>
      <c r="N276" s="391"/>
      <c r="O276" s="391"/>
      <c r="P276" s="387"/>
      <c r="Q276" s="391"/>
      <c r="R276" s="391"/>
      <c r="S276" s="391"/>
      <c r="T276" s="391"/>
      <c r="U276" s="391"/>
      <c r="V276" s="391"/>
      <c r="W276" s="391"/>
      <c r="X276" s="391"/>
      <c r="Y276" s="391"/>
      <c r="Z276" s="391"/>
      <c r="AA276" s="391"/>
      <c r="AB276" s="387"/>
      <c r="AC276" s="391"/>
      <c r="AD276" s="391"/>
      <c r="AE276" s="391"/>
      <c r="AF276" s="391"/>
      <c r="AG276" s="391"/>
      <c r="AH276" s="391"/>
      <c r="AI276" s="391"/>
      <c r="AJ276" s="391"/>
      <c r="AK276" s="391"/>
      <c r="AL276" s="391"/>
      <c r="AM276" s="391"/>
      <c r="AN276" s="1758"/>
      <c r="AO276" s="386"/>
      <c r="AQ276" s="615">
        <f t="shared" si="75"/>
        <v>0</v>
      </c>
      <c r="AR276" s="616">
        <f t="shared" si="76"/>
        <v>274248.65000000002</v>
      </c>
      <c r="AS276" s="617">
        <f t="shared" si="77"/>
        <v>0</v>
      </c>
      <c r="AT276" s="606">
        <f t="shared" si="78"/>
        <v>1751.35</v>
      </c>
      <c r="AU276" s="605">
        <f t="shared" si="79"/>
        <v>274248.65000000002</v>
      </c>
    </row>
    <row r="277" spans="1:47" ht="24.95" customHeight="1">
      <c r="A277" s="966" t="s">
        <v>943</v>
      </c>
      <c r="B277" s="979" t="s">
        <v>944</v>
      </c>
      <c r="C277" s="984">
        <v>1254600</v>
      </c>
      <c r="D277" s="989">
        <v>0</v>
      </c>
      <c r="E277" s="967">
        <v>0</v>
      </c>
      <c r="F277" s="968">
        <f t="shared" si="73"/>
        <v>1254600</v>
      </c>
      <c r="G277" s="1775"/>
      <c r="H277" s="984">
        <v>150928.38</v>
      </c>
      <c r="I277" s="967">
        <v>124321.44</v>
      </c>
      <c r="J277" s="968">
        <v>26606.94</v>
      </c>
      <c r="K277" s="382"/>
      <c r="L277" s="387"/>
      <c r="M277" s="391"/>
      <c r="N277" s="391"/>
      <c r="O277" s="391"/>
      <c r="P277" s="387"/>
      <c r="Q277" s="391"/>
      <c r="R277" s="391"/>
      <c r="S277" s="391"/>
      <c r="T277" s="391"/>
      <c r="U277" s="391"/>
      <c r="V277" s="391"/>
      <c r="W277" s="391"/>
      <c r="X277" s="391"/>
      <c r="Y277" s="391"/>
      <c r="Z277" s="391"/>
      <c r="AA277" s="391"/>
      <c r="AB277" s="387"/>
      <c r="AC277" s="391"/>
      <c r="AD277" s="391"/>
      <c r="AE277" s="391"/>
      <c r="AF277" s="391"/>
      <c r="AG277" s="391"/>
      <c r="AH277" s="391"/>
      <c r="AI277" s="391"/>
      <c r="AJ277" s="391"/>
      <c r="AK277" s="391"/>
      <c r="AL277" s="391"/>
      <c r="AM277" s="391"/>
      <c r="AN277" s="1758"/>
      <c r="AO277" s="386"/>
      <c r="AQ277" s="615">
        <f t="shared" si="75"/>
        <v>0</v>
      </c>
      <c r="AR277" s="616">
        <f t="shared" si="76"/>
        <v>1130278.56</v>
      </c>
      <c r="AS277" s="617">
        <f t="shared" si="77"/>
        <v>0</v>
      </c>
      <c r="AT277" s="606">
        <f t="shared" si="78"/>
        <v>124321.44</v>
      </c>
      <c r="AU277" s="605">
        <f t="shared" si="79"/>
        <v>1130278.56</v>
      </c>
    </row>
    <row r="278" spans="1:47" ht="24.95" customHeight="1">
      <c r="A278" s="966" t="s">
        <v>945</v>
      </c>
      <c r="B278" s="979" t="s">
        <v>946</v>
      </c>
      <c r="C278" s="984">
        <v>144000</v>
      </c>
      <c r="D278" s="989">
        <v>0</v>
      </c>
      <c r="E278" s="967">
        <v>0</v>
      </c>
      <c r="F278" s="968">
        <f t="shared" si="73"/>
        <v>144000</v>
      </c>
      <c r="G278" s="1775"/>
      <c r="H278" s="984">
        <v>0</v>
      </c>
      <c r="I278" s="967">
        <v>0</v>
      </c>
      <c r="J278" s="968">
        <v>0</v>
      </c>
      <c r="K278" s="382"/>
      <c r="L278" s="387"/>
      <c r="M278" s="391"/>
      <c r="N278" s="391"/>
      <c r="O278" s="391"/>
      <c r="P278" s="387"/>
      <c r="Q278" s="391"/>
      <c r="R278" s="391"/>
      <c r="S278" s="391"/>
      <c r="T278" s="391"/>
      <c r="U278" s="391"/>
      <c r="V278" s="391"/>
      <c r="W278" s="391"/>
      <c r="X278" s="391"/>
      <c r="Y278" s="391"/>
      <c r="Z278" s="391"/>
      <c r="AA278" s="391"/>
      <c r="AB278" s="387"/>
      <c r="AC278" s="391"/>
      <c r="AD278" s="391"/>
      <c r="AE278" s="391"/>
      <c r="AF278" s="391"/>
      <c r="AG278" s="391"/>
      <c r="AH278" s="391"/>
      <c r="AI278" s="391"/>
      <c r="AJ278" s="391"/>
      <c r="AK278" s="391"/>
      <c r="AL278" s="391"/>
      <c r="AM278" s="391"/>
      <c r="AN278" s="1758"/>
      <c r="AO278" s="386"/>
      <c r="AQ278" s="615">
        <f t="shared" si="75"/>
        <v>0</v>
      </c>
      <c r="AR278" s="616">
        <f t="shared" si="76"/>
        <v>144000</v>
      </c>
      <c r="AS278" s="617">
        <f t="shared" si="77"/>
        <v>0</v>
      </c>
      <c r="AT278" s="606">
        <f t="shared" si="78"/>
        <v>0</v>
      </c>
      <c r="AU278" s="605">
        <f t="shared" si="79"/>
        <v>144000</v>
      </c>
    </row>
    <row r="279" spans="1:47" ht="24.95" customHeight="1">
      <c r="A279" s="966" t="s">
        <v>947</v>
      </c>
      <c r="B279" s="979" t="s">
        <v>948</v>
      </c>
      <c r="C279" s="984">
        <v>2041400</v>
      </c>
      <c r="D279" s="989">
        <v>0</v>
      </c>
      <c r="E279" s="967">
        <v>0</v>
      </c>
      <c r="F279" s="968">
        <f t="shared" si="73"/>
        <v>2041400</v>
      </c>
      <c r="G279" s="1775"/>
      <c r="H279" s="984">
        <v>133099.28</v>
      </c>
      <c r="I279" s="967">
        <v>132250</v>
      </c>
      <c r="J279" s="968">
        <v>849.28</v>
      </c>
      <c r="K279" s="382"/>
      <c r="L279" s="387"/>
      <c r="M279" s="391"/>
      <c r="N279" s="391"/>
      <c r="O279" s="391"/>
      <c r="P279" s="387"/>
      <c r="Q279" s="391"/>
      <c r="R279" s="391"/>
      <c r="S279" s="391"/>
      <c r="T279" s="391"/>
      <c r="U279" s="391"/>
      <c r="V279" s="391"/>
      <c r="W279" s="391"/>
      <c r="X279" s="391"/>
      <c r="Y279" s="391"/>
      <c r="Z279" s="391"/>
      <c r="AA279" s="391"/>
      <c r="AB279" s="387"/>
      <c r="AC279" s="391"/>
      <c r="AD279" s="391"/>
      <c r="AE279" s="391"/>
      <c r="AF279" s="391"/>
      <c r="AG279" s="391"/>
      <c r="AH279" s="391"/>
      <c r="AI279" s="391"/>
      <c r="AJ279" s="391"/>
      <c r="AK279" s="391"/>
      <c r="AL279" s="391"/>
      <c r="AM279" s="391"/>
      <c r="AN279" s="1758"/>
      <c r="AO279" s="386"/>
      <c r="AQ279" s="615">
        <f t="shared" si="75"/>
        <v>0</v>
      </c>
      <c r="AR279" s="616">
        <f t="shared" si="76"/>
        <v>1909150</v>
      </c>
      <c r="AS279" s="617">
        <f t="shared" si="77"/>
        <v>0</v>
      </c>
      <c r="AT279" s="606">
        <f t="shared" si="78"/>
        <v>132250</v>
      </c>
      <c r="AU279" s="605">
        <f t="shared" si="79"/>
        <v>1909150</v>
      </c>
    </row>
    <row r="280" spans="1:47" ht="24.95" customHeight="1">
      <c r="A280" s="966" t="s">
        <v>949</v>
      </c>
      <c r="B280" s="979" t="s">
        <v>950</v>
      </c>
      <c r="C280" s="984">
        <v>1066410</v>
      </c>
      <c r="D280" s="989">
        <v>0</v>
      </c>
      <c r="E280" s="967">
        <v>0</v>
      </c>
      <c r="F280" s="968">
        <f t="shared" si="73"/>
        <v>1066410</v>
      </c>
      <c r="G280" s="1775"/>
      <c r="H280" s="984">
        <v>92564.39</v>
      </c>
      <c r="I280" s="967">
        <v>49301.61</v>
      </c>
      <c r="J280" s="968">
        <v>43262.78</v>
      </c>
      <c r="K280" s="382"/>
      <c r="L280" s="387"/>
      <c r="M280" s="391"/>
      <c r="N280" s="391"/>
      <c r="O280" s="391"/>
      <c r="P280" s="387"/>
      <c r="Q280" s="391"/>
      <c r="R280" s="391"/>
      <c r="S280" s="391"/>
      <c r="T280" s="391"/>
      <c r="U280" s="391"/>
      <c r="V280" s="391"/>
      <c r="W280" s="391"/>
      <c r="X280" s="391"/>
      <c r="Y280" s="391"/>
      <c r="Z280" s="391"/>
      <c r="AA280" s="391"/>
      <c r="AB280" s="387"/>
      <c r="AC280" s="391"/>
      <c r="AD280" s="391"/>
      <c r="AE280" s="391"/>
      <c r="AF280" s="391"/>
      <c r="AG280" s="391"/>
      <c r="AH280" s="391"/>
      <c r="AI280" s="391"/>
      <c r="AJ280" s="391"/>
      <c r="AK280" s="391"/>
      <c r="AL280" s="391"/>
      <c r="AM280" s="391"/>
      <c r="AN280" s="1758"/>
      <c r="AO280" s="386"/>
      <c r="AQ280" s="615">
        <f t="shared" si="75"/>
        <v>0</v>
      </c>
      <c r="AR280" s="616">
        <f t="shared" si="76"/>
        <v>1017108.39</v>
      </c>
      <c r="AS280" s="617">
        <f t="shared" si="77"/>
        <v>0</v>
      </c>
      <c r="AT280" s="606">
        <f t="shared" si="78"/>
        <v>49301.61</v>
      </c>
      <c r="AU280" s="605">
        <f t="shared" si="79"/>
        <v>1017108.39</v>
      </c>
    </row>
    <row r="281" spans="1:47" ht="24.95" customHeight="1">
      <c r="A281" s="966" t="s">
        <v>951</v>
      </c>
      <c r="B281" s="979" t="s">
        <v>952</v>
      </c>
      <c r="C281" s="984">
        <v>104000</v>
      </c>
      <c r="D281" s="989">
        <v>0</v>
      </c>
      <c r="E281" s="967">
        <v>0</v>
      </c>
      <c r="F281" s="968">
        <f t="shared" si="73"/>
        <v>104000</v>
      </c>
      <c r="G281" s="1775"/>
      <c r="H281" s="984">
        <v>0</v>
      </c>
      <c r="I281" s="967">
        <v>0</v>
      </c>
      <c r="J281" s="968">
        <v>0</v>
      </c>
      <c r="K281" s="382"/>
      <c r="L281" s="387"/>
      <c r="M281" s="391"/>
      <c r="N281" s="391"/>
      <c r="O281" s="391"/>
      <c r="P281" s="387"/>
      <c r="Q281" s="391"/>
      <c r="R281" s="391"/>
      <c r="S281" s="391"/>
      <c r="T281" s="391"/>
      <c r="U281" s="391"/>
      <c r="V281" s="391"/>
      <c r="W281" s="391"/>
      <c r="X281" s="391"/>
      <c r="Y281" s="391"/>
      <c r="Z281" s="391"/>
      <c r="AA281" s="391"/>
      <c r="AB281" s="387"/>
      <c r="AC281" s="391"/>
      <c r="AD281" s="391"/>
      <c r="AE281" s="391"/>
      <c r="AF281" s="391"/>
      <c r="AG281" s="391"/>
      <c r="AH281" s="391"/>
      <c r="AI281" s="391"/>
      <c r="AJ281" s="391"/>
      <c r="AK281" s="391"/>
      <c r="AL281" s="391"/>
      <c r="AM281" s="391"/>
      <c r="AN281" s="1758"/>
      <c r="AO281" s="386"/>
      <c r="AQ281" s="615">
        <f t="shared" si="75"/>
        <v>0</v>
      </c>
      <c r="AR281" s="616">
        <f t="shared" si="76"/>
        <v>104000</v>
      </c>
      <c r="AS281" s="617">
        <f t="shared" si="77"/>
        <v>0</v>
      </c>
      <c r="AT281" s="606">
        <f t="shared" si="78"/>
        <v>0</v>
      </c>
      <c r="AU281" s="605">
        <f t="shared" si="79"/>
        <v>104000</v>
      </c>
    </row>
    <row r="282" spans="1:47" ht="24.95" customHeight="1">
      <c r="A282" s="966" t="s">
        <v>953</v>
      </c>
      <c r="B282" s="979" t="s">
        <v>954</v>
      </c>
      <c r="C282" s="984">
        <v>1113457.5</v>
      </c>
      <c r="D282" s="989">
        <v>0</v>
      </c>
      <c r="E282" s="967">
        <v>0</v>
      </c>
      <c r="F282" s="968">
        <f t="shared" si="73"/>
        <v>1113457.5</v>
      </c>
      <c r="G282" s="1775"/>
      <c r="H282" s="984">
        <v>0</v>
      </c>
      <c r="I282" s="967">
        <v>0</v>
      </c>
      <c r="J282" s="968">
        <v>0</v>
      </c>
      <c r="K282" s="382"/>
      <c r="L282" s="387"/>
      <c r="M282" s="391"/>
      <c r="N282" s="391"/>
      <c r="O282" s="391"/>
      <c r="P282" s="387"/>
      <c r="Q282" s="391"/>
      <c r="R282" s="391"/>
      <c r="S282" s="391"/>
      <c r="T282" s="391"/>
      <c r="U282" s="391"/>
      <c r="V282" s="391"/>
      <c r="W282" s="391"/>
      <c r="X282" s="391"/>
      <c r="Y282" s="391"/>
      <c r="Z282" s="391"/>
      <c r="AA282" s="391"/>
      <c r="AB282" s="387"/>
      <c r="AC282" s="391"/>
      <c r="AD282" s="391"/>
      <c r="AE282" s="391"/>
      <c r="AF282" s="391"/>
      <c r="AG282" s="391"/>
      <c r="AH282" s="391"/>
      <c r="AI282" s="391"/>
      <c r="AJ282" s="391"/>
      <c r="AK282" s="391"/>
      <c r="AL282" s="391"/>
      <c r="AM282" s="391"/>
      <c r="AN282" s="1758"/>
      <c r="AO282" s="386"/>
      <c r="AQ282" s="615">
        <f t="shared" si="75"/>
        <v>0</v>
      </c>
      <c r="AR282" s="616">
        <f t="shared" si="76"/>
        <v>1113457.5</v>
      </c>
      <c r="AS282" s="617">
        <f t="shared" si="77"/>
        <v>0</v>
      </c>
      <c r="AT282" s="606">
        <f t="shared" si="78"/>
        <v>0</v>
      </c>
      <c r="AU282" s="605">
        <f t="shared" si="79"/>
        <v>1113457.5</v>
      </c>
    </row>
    <row r="283" spans="1:47" ht="24.95" customHeight="1">
      <c r="A283" s="966" t="s">
        <v>955</v>
      </c>
      <c r="B283" s="979" t="s">
        <v>956</v>
      </c>
      <c r="C283" s="984">
        <v>184000</v>
      </c>
      <c r="D283" s="989">
        <v>0</v>
      </c>
      <c r="E283" s="967">
        <v>0</v>
      </c>
      <c r="F283" s="968">
        <f t="shared" si="73"/>
        <v>184000</v>
      </c>
      <c r="G283" s="1775"/>
      <c r="H283" s="984">
        <v>0</v>
      </c>
      <c r="I283" s="967">
        <v>0</v>
      </c>
      <c r="J283" s="968">
        <v>0</v>
      </c>
      <c r="K283" s="382"/>
      <c r="L283" s="387"/>
      <c r="M283" s="391"/>
      <c r="N283" s="391"/>
      <c r="O283" s="391"/>
      <c r="P283" s="387"/>
      <c r="Q283" s="391"/>
      <c r="R283" s="391"/>
      <c r="S283" s="391"/>
      <c r="T283" s="391"/>
      <c r="U283" s="391"/>
      <c r="V283" s="391"/>
      <c r="W283" s="391"/>
      <c r="X283" s="391"/>
      <c r="Y283" s="391"/>
      <c r="Z283" s="391"/>
      <c r="AA283" s="391"/>
      <c r="AB283" s="387"/>
      <c r="AC283" s="391"/>
      <c r="AD283" s="391"/>
      <c r="AE283" s="391"/>
      <c r="AF283" s="391"/>
      <c r="AG283" s="391"/>
      <c r="AH283" s="391"/>
      <c r="AI283" s="391"/>
      <c r="AJ283" s="391"/>
      <c r="AK283" s="391"/>
      <c r="AL283" s="391"/>
      <c r="AM283" s="391"/>
      <c r="AN283" s="1758"/>
      <c r="AO283" s="386"/>
      <c r="AQ283" s="615">
        <f t="shared" si="75"/>
        <v>0</v>
      </c>
      <c r="AR283" s="616">
        <f t="shared" si="76"/>
        <v>184000</v>
      </c>
      <c r="AS283" s="617">
        <f t="shared" si="77"/>
        <v>0</v>
      </c>
      <c r="AT283" s="606">
        <f t="shared" si="78"/>
        <v>0</v>
      </c>
      <c r="AU283" s="605">
        <f t="shared" si="79"/>
        <v>184000</v>
      </c>
    </row>
    <row r="284" spans="1:47" ht="24.95" customHeight="1">
      <c r="A284" s="966" t="s">
        <v>957</v>
      </c>
      <c r="B284" s="979" t="s">
        <v>958</v>
      </c>
      <c r="C284" s="984">
        <v>75000</v>
      </c>
      <c r="D284" s="989">
        <v>0</v>
      </c>
      <c r="E284" s="967">
        <v>0</v>
      </c>
      <c r="F284" s="968">
        <f t="shared" si="73"/>
        <v>75000</v>
      </c>
      <c r="G284" s="1775"/>
      <c r="H284" s="984">
        <v>10320</v>
      </c>
      <c r="I284" s="967">
        <v>10312.379999999999</v>
      </c>
      <c r="J284" s="968">
        <v>7.62</v>
      </c>
      <c r="K284" s="382"/>
      <c r="L284" s="387"/>
      <c r="M284" s="391"/>
      <c r="N284" s="391"/>
      <c r="O284" s="391"/>
      <c r="P284" s="387"/>
      <c r="Q284" s="391"/>
      <c r="R284" s="391"/>
      <c r="S284" s="391"/>
      <c r="T284" s="391"/>
      <c r="U284" s="391"/>
      <c r="V284" s="391"/>
      <c r="W284" s="391"/>
      <c r="X284" s="391"/>
      <c r="Y284" s="391"/>
      <c r="Z284" s="391"/>
      <c r="AA284" s="391"/>
      <c r="AB284" s="387"/>
      <c r="AC284" s="391"/>
      <c r="AD284" s="391"/>
      <c r="AE284" s="391"/>
      <c r="AF284" s="391"/>
      <c r="AG284" s="391"/>
      <c r="AH284" s="391"/>
      <c r="AI284" s="391"/>
      <c r="AJ284" s="391"/>
      <c r="AK284" s="391"/>
      <c r="AL284" s="391"/>
      <c r="AM284" s="391"/>
      <c r="AN284" s="1758"/>
      <c r="AO284" s="386"/>
      <c r="AQ284" s="615">
        <f t="shared" si="75"/>
        <v>0</v>
      </c>
      <c r="AR284" s="616">
        <f t="shared" si="76"/>
        <v>64687.62</v>
      </c>
      <c r="AS284" s="617">
        <f t="shared" si="77"/>
        <v>0</v>
      </c>
      <c r="AT284" s="606">
        <f t="shared" si="78"/>
        <v>10312.379999999999</v>
      </c>
      <c r="AU284" s="605">
        <f t="shared" si="79"/>
        <v>64687.62</v>
      </c>
    </row>
    <row r="285" spans="1:47" ht="24.95" customHeight="1">
      <c r="A285" s="972" t="s">
        <v>959</v>
      </c>
      <c r="B285" s="981" t="s">
        <v>92</v>
      </c>
      <c r="C285" s="986">
        <v>290000</v>
      </c>
      <c r="D285" s="991">
        <v>0</v>
      </c>
      <c r="E285" s="973">
        <v>0</v>
      </c>
      <c r="F285" s="974">
        <f t="shared" si="73"/>
        <v>290000</v>
      </c>
      <c r="G285" s="1775"/>
      <c r="H285" s="986">
        <v>0</v>
      </c>
      <c r="I285" s="973">
        <v>524000</v>
      </c>
      <c r="J285" s="974">
        <v>-524000</v>
      </c>
      <c r="K285" s="382"/>
      <c r="L285" s="387"/>
      <c r="M285" s="391"/>
      <c r="N285" s="391"/>
      <c r="O285" s="391"/>
      <c r="P285" s="387"/>
      <c r="Q285" s="391"/>
      <c r="R285" s="391"/>
      <c r="S285" s="391"/>
      <c r="T285" s="391"/>
      <c r="U285" s="391"/>
      <c r="V285" s="391"/>
      <c r="W285" s="391"/>
      <c r="X285" s="391"/>
      <c r="Y285" s="391"/>
      <c r="Z285" s="391"/>
      <c r="AA285" s="391"/>
      <c r="AB285" s="387"/>
      <c r="AC285" s="391"/>
      <c r="AD285" s="391"/>
      <c r="AE285" s="391"/>
      <c r="AF285" s="391"/>
      <c r="AG285" s="391"/>
      <c r="AH285" s="391"/>
      <c r="AI285" s="391"/>
      <c r="AJ285" s="391"/>
      <c r="AK285" s="391"/>
      <c r="AL285" s="391"/>
      <c r="AM285" s="391"/>
      <c r="AN285" s="1758"/>
      <c r="AO285" s="386"/>
      <c r="AQ285" s="612">
        <f t="shared" ref="AQ285:AU285" si="80">+AQ287+AQ286</f>
        <v>0</v>
      </c>
      <c r="AR285" s="613">
        <f t="shared" si="80"/>
        <v>90000</v>
      </c>
      <c r="AS285" s="614">
        <f t="shared" si="80"/>
        <v>0</v>
      </c>
      <c r="AT285" s="1767">
        <f t="shared" si="80"/>
        <v>524000</v>
      </c>
      <c r="AU285" s="614">
        <f t="shared" si="80"/>
        <v>-234000</v>
      </c>
    </row>
    <row r="286" spans="1:47" ht="24.95" customHeight="1">
      <c r="A286" s="966" t="s">
        <v>960</v>
      </c>
      <c r="B286" s="979" t="s">
        <v>961</v>
      </c>
      <c r="C286" s="984">
        <v>200000</v>
      </c>
      <c r="D286" s="989">
        <v>0</v>
      </c>
      <c r="E286" s="967">
        <v>0</v>
      </c>
      <c r="F286" s="968">
        <f t="shared" si="73"/>
        <v>200000</v>
      </c>
      <c r="G286" s="1775"/>
      <c r="H286" s="984">
        <v>0</v>
      </c>
      <c r="I286" s="967">
        <v>524000</v>
      </c>
      <c r="J286" s="968">
        <v>-524000</v>
      </c>
      <c r="K286" s="382"/>
      <c r="L286" s="387"/>
      <c r="M286" s="391"/>
      <c r="N286" s="391"/>
      <c r="O286" s="391"/>
      <c r="P286" s="387"/>
      <c r="Q286" s="391"/>
      <c r="R286" s="391"/>
      <c r="S286" s="391"/>
      <c r="T286" s="391"/>
      <c r="U286" s="391"/>
      <c r="V286" s="391"/>
      <c r="W286" s="391"/>
      <c r="X286" s="391"/>
      <c r="Y286" s="391"/>
      <c r="Z286" s="391"/>
      <c r="AA286" s="391"/>
      <c r="AB286" s="387"/>
      <c r="AC286" s="391"/>
      <c r="AD286" s="391"/>
      <c r="AE286" s="391"/>
      <c r="AF286" s="391"/>
      <c r="AG286" s="391"/>
      <c r="AH286" s="391"/>
      <c r="AI286" s="391"/>
      <c r="AJ286" s="391"/>
      <c r="AK286" s="391"/>
      <c r="AL286" s="391"/>
      <c r="AM286" s="391"/>
      <c r="AN286" s="1758"/>
      <c r="AO286" s="386"/>
      <c r="AQ286" s="615">
        <f>SUM(K286:AO286)</f>
        <v>0</v>
      </c>
      <c r="AR286" s="616">
        <f>IFERROR(IF(F286-I286&lt;0,0,F286-I286),0)</f>
        <v>0</v>
      </c>
      <c r="AS286" s="617">
        <f>IFERROR(AQ286*AR286,0)</f>
        <v>0</v>
      </c>
      <c r="AT286" s="606">
        <f>I286+AS286</f>
        <v>524000</v>
      </c>
      <c r="AU286" s="605">
        <f>F286-AT286</f>
        <v>-324000</v>
      </c>
    </row>
    <row r="287" spans="1:47" ht="24.95" customHeight="1">
      <c r="A287" s="966" t="s">
        <v>962</v>
      </c>
      <c r="B287" s="979" t="s">
        <v>963</v>
      </c>
      <c r="C287" s="984">
        <v>90000</v>
      </c>
      <c r="D287" s="989">
        <v>0</v>
      </c>
      <c r="E287" s="967">
        <v>0</v>
      </c>
      <c r="F287" s="968">
        <f t="shared" si="73"/>
        <v>90000</v>
      </c>
      <c r="G287" s="1775"/>
      <c r="H287" s="984">
        <v>0</v>
      </c>
      <c r="I287" s="967">
        <v>0</v>
      </c>
      <c r="J287" s="968">
        <v>0</v>
      </c>
      <c r="K287" s="382"/>
      <c r="L287" s="387"/>
      <c r="M287" s="391"/>
      <c r="N287" s="391"/>
      <c r="O287" s="391"/>
      <c r="P287" s="387"/>
      <c r="Q287" s="391"/>
      <c r="R287" s="391"/>
      <c r="S287" s="391"/>
      <c r="T287" s="391"/>
      <c r="U287" s="391"/>
      <c r="V287" s="391"/>
      <c r="W287" s="391"/>
      <c r="X287" s="391"/>
      <c r="Y287" s="391"/>
      <c r="Z287" s="391"/>
      <c r="AA287" s="391"/>
      <c r="AB287" s="387"/>
      <c r="AC287" s="391"/>
      <c r="AD287" s="391"/>
      <c r="AE287" s="391"/>
      <c r="AF287" s="391"/>
      <c r="AG287" s="391"/>
      <c r="AH287" s="391"/>
      <c r="AI287" s="391"/>
      <c r="AJ287" s="391"/>
      <c r="AK287" s="391"/>
      <c r="AL287" s="391"/>
      <c r="AM287" s="391"/>
      <c r="AN287" s="1758"/>
      <c r="AO287" s="386"/>
      <c r="AQ287" s="615">
        <f>SUM(K287:AO287)</f>
        <v>0</v>
      </c>
      <c r="AR287" s="616">
        <f>IFERROR(IF(F287-I287&lt;0,0,F287-I287),0)</f>
        <v>90000</v>
      </c>
      <c r="AS287" s="617">
        <f>IFERROR(AQ287*AR287,0)</f>
        <v>0</v>
      </c>
      <c r="AT287" s="606">
        <f>I287+AS287</f>
        <v>0</v>
      </c>
      <c r="AU287" s="605">
        <f>F287-AT287</f>
        <v>90000</v>
      </c>
    </row>
    <row r="288" spans="1:47" ht="24.95" customHeight="1">
      <c r="A288" s="972" t="s">
        <v>964</v>
      </c>
      <c r="B288" s="981" t="s">
        <v>1016</v>
      </c>
      <c r="C288" s="986">
        <v>762300</v>
      </c>
      <c r="D288" s="991">
        <v>0</v>
      </c>
      <c r="E288" s="973">
        <v>0</v>
      </c>
      <c r="F288" s="974">
        <f t="shared" si="73"/>
        <v>762300</v>
      </c>
      <c r="G288" s="1775"/>
      <c r="H288" s="986">
        <v>47439</v>
      </c>
      <c r="I288" s="973">
        <v>56828</v>
      </c>
      <c r="J288" s="974">
        <v>-9389</v>
      </c>
      <c r="K288" s="382"/>
      <c r="L288" s="387"/>
      <c r="M288" s="391"/>
      <c r="N288" s="391"/>
      <c r="O288" s="391"/>
      <c r="P288" s="387"/>
      <c r="Q288" s="391"/>
      <c r="R288" s="391"/>
      <c r="S288" s="391"/>
      <c r="T288" s="391"/>
      <c r="U288" s="391"/>
      <c r="V288" s="391"/>
      <c r="W288" s="391"/>
      <c r="X288" s="391"/>
      <c r="Y288" s="391"/>
      <c r="Z288" s="391"/>
      <c r="AA288" s="391"/>
      <c r="AB288" s="387"/>
      <c r="AC288" s="391"/>
      <c r="AD288" s="391"/>
      <c r="AE288" s="391"/>
      <c r="AF288" s="391"/>
      <c r="AG288" s="391"/>
      <c r="AH288" s="391"/>
      <c r="AI288" s="391"/>
      <c r="AJ288" s="391"/>
      <c r="AK288" s="391"/>
      <c r="AL288" s="391"/>
      <c r="AM288" s="391"/>
      <c r="AN288" s="1758"/>
      <c r="AO288" s="386"/>
      <c r="AQ288" s="612">
        <f t="shared" ref="AQ288:AU288" si="81">+AQ290+AQ289</f>
        <v>0</v>
      </c>
      <c r="AR288" s="613">
        <f t="shared" si="81"/>
        <v>705472</v>
      </c>
      <c r="AS288" s="614">
        <f t="shared" si="81"/>
        <v>0</v>
      </c>
      <c r="AT288" s="1767">
        <f t="shared" si="81"/>
        <v>56828</v>
      </c>
      <c r="AU288" s="614">
        <f t="shared" si="81"/>
        <v>705472</v>
      </c>
    </row>
    <row r="289" spans="1:47" ht="24.95" customHeight="1">
      <c r="A289" s="966" t="s">
        <v>965</v>
      </c>
      <c r="B289" s="979" t="s">
        <v>966</v>
      </c>
      <c r="C289" s="984">
        <v>132300</v>
      </c>
      <c r="D289" s="989">
        <v>0</v>
      </c>
      <c r="E289" s="967">
        <v>0</v>
      </c>
      <c r="F289" s="968">
        <f t="shared" si="73"/>
        <v>132300</v>
      </c>
      <c r="G289" s="1775"/>
      <c r="H289" s="984">
        <v>0</v>
      </c>
      <c r="I289" s="967">
        <v>0</v>
      </c>
      <c r="J289" s="968">
        <v>0</v>
      </c>
      <c r="K289" s="382"/>
      <c r="L289" s="387"/>
      <c r="M289" s="391"/>
      <c r="N289" s="391"/>
      <c r="O289" s="391"/>
      <c r="P289" s="387"/>
      <c r="Q289" s="391"/>
      <c r="R289" s="391"/>
      <c r="S289" s="391"/>
      <c r="T289" s="391"/>
      <c r="U289" s="391"/>
      <c r="V289" s="391"/>
      <c r="W289" s="391"/>
      <c r="X289" s="391"/>
      <c r="Y289" s="391"/>
      <c r="Z289" s="391"/>
      <c r="AA289" s="391"/>
      <c r="AB289" s="387"/>
      <c r="AC289" s="391"/>
      <c r="AD289" s="391"/>
      <c r="AE289" s="391"/>
      <c r="AF289" s="391"/>
      <c r="AG289" s="391"/>
      <c r="AH289" s="391"/>
      <c r="AI289" s="391"/>
      <c r="AJ289" s="391"/>
      <c r="AK289" s="391"/>
      <c r="AL289" s="391"/>
      <c r="AM289" s="391"/>
      <c r="AN289" s="1758"/>
      <c r="AO289" s="386"/>
      <c r="AQ289" s="615">
        <f>SUM(K289:AO289)</f>
        <v>0</v>
      </c>
      <c r="AR289" s="616">
        <f>IFERROR(IF(F289-I289&lt;0,0,F289-I289),0)</f>
        <v>132300</v>
      </c>
      <c r="AS289" s="617">
        <f>IFERROR(AQ289*AR289,0)</f>
        <v>0</v>
      </c>
      <c r="AT289" s="606">
        <f>I289+AS289</f>
        <v>0</v>
      </c>
      <c r="AU289" s="605">
        <f>F289-AT289</f>
        <v>132300</v>
      </c>
    </row>
    <row r="290" spans="1:47" ht="24.95" customHeight="1">
      <c r="A290" s="966" t="s">
        <v>967</v>
      </c>
      <c r="B290" s="979" t="s">
        <v>968</v>
      </c>
      <c r="C290" s="984">
        <v>630000</v>
      </c>
      <c r="D290" s="989">
        <v>0</v>
      </c>
      <c r="E290" s="967">
        <v>0</v>
      </c>
      <c r="F290" s="968">
        <f t="shared" si="73"/>
        <v>630000</v>
      </c>
      <c r="G290" s="1775"/>
      <c r="H290" s="984">
        <v>47439</v>
      </c>
      <c r="I290" s="967">
        <v>56828</v>
      </c>
      <c r="J290" s="968">
        <v>-9389</v>
      </c>
      <c r="K290" s="382"/>
      <c r="L290" s="387"/>
      <c r="M290" s="391"/>
      <c r="N290" s="391"/>
      <c r="O290" s="391"/>
      <c r="P290" s="387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87"/>
      <c r="AC290" s="391"/>
      <c r="AD290" s="391"/>
      <c r="AE290" s="391"/>
      <c r="AF290" s="391"/>
      <c r="AG290" s="391"/>
      <c r="AH290" s="391"/>
      <c r="AI290" s="391"/>
      <c r="AJ290" s="391"/>
      <c r="AK290" s="391"/>
      <c r="AL290" s="391"/>
      <c r="AM290" s="391"/>
      <c r="AN290" s="1758"/>
      <c r="AO290" s="386"/>
      <c r="AQ290" s="615">
        <f>SUM(K290:AO290)</f>
        <v>0</v>
      </c>
      <c r="AR290" s="616">
        <f>IFERROR(IF(F290-I290&lt;0,0,F290-I290),0)</f>
        <v>573172</v>
      </c>
      <c r="AS290" s="617">
        <f>IFERROR(AQ290*AR290,0)</f>
        <v>0</v>
      </c>
      <c r="AT290" s="606">
        <f>I290+AS290</f>
        <v>56828</v>
      </c>
      <c r="AU290" s="605">
        <f>F290-AT290</f>
        <v>573172</v>
      </c>
    </row>
    <row r="291" spans="1:47" ht="24.95" customHeight="1">
      <c r="A291" s="972" t="s">
        <v>969</v>
      </c>
      <c r="B291" s="981" t="s">
        <v>93</v>
      </c>
      <c r="C291" s="986">
        <v>5000000</v>
      </c>
      <c r="D291" s="991">
        <v>0</v>
      </c>
      <c r="E291" s="973">
        <v>0</v>
      </c>
      <c r="F291" s="974">
        <f t="shared" si="73"/>
        <v>5000000</v>
      </c>
      <c r="G291" s="1775"/>
      <c r="H291" s="986">
        <v>329574</v>
      </c>
      <c r="I291" s="973">
        <v>231270.51</v>
      </c>
      <c r="J291" s="974">
        <v>98303.49</v>
      </c>
      <c r="K291" s="382"/>
      <c r="L291" s="387"/>
      <c r="M291" s="391"/>
      <c r="N291" s="391"/>
      <c r="O291" s="391"/>
      <c r="P291" s="387"/>
      <c r="Q291" s="391"/>
      <c r="R291" s="391"/>
      <c r="S291" s="391"/>
      <c r="T291" s="391"/>
      <c r="U291" s="391"/>
      <c r="V291" s="391"/>
      <c r="W291" s="391"/>
      <c r="X291" s="391"/>
      <c r="Y291" s="391"/>
      <c r="Z291" s="391"/>
      <c r="AA291" s="391"/>
      <c r="AB291" s="387"/>
      <c r="AC291" s="391"/>
      <c r="AD291" s="391"/>
      <c r="AE291" s="391"/>
      <c r="AF291" s="391"/>
      <c r="AG291" s="391"/>
      <c r="AH291" s="391"/>
      <c r="AI291" s="391"/>
      <c r="AJ291" s="391"/>
      <c r="AK291" s="391"/>
      <c r="AL291" s="391"/>
      <c r="AM291" s="391"/>
      <c r="AN291" s="1758"/>
      <c r="AO291" s="386"/>
      <c r="AQ291" s="612">
        <f t="shared" ref="AQ291:AU291" si="82">+AQ298+AQ297+AQ296+AQ295+AQ294+AQ293+AQ292</f>
        <v>0</v>
      </c>
      <c r="AR291" s="613">
        <f t="shared" si="82"/>
        <v>8185989.4900000002</v>
      </c>
      <c r="AS291" s="614">
        <f t="shared" si="82"/>
        <v>0</v>
      </c>
      <c r="AT291" s="1767">
        <f t="shared" si="82"/>
        <v>231270.51</v>
      </c>
      <c r="AU291" s="614">
        <f t="shared" si="82"/>
        <v>8185989.4900000002</v>
      </c>
    </row>
    <row r="292" spans="1:47" ht="24.95" customHeight="1">
      <c r="A292" s="966" t="s">
        <v>970</v>
      </c>
      <c r="B292" s="979" t="s">
        <v>971</v>
      </c>
      <c r="C292" s="984">
        <v>446000</v>
      </c>
      <c r="D292" s="989">
        <v>0</v>
      </c>
      <c r="E292" s="967">
        <v>0</v>
      </c>
      <c r="F292" s="968">
        <f t="shared" si="73"/>
        <v>446000</v>
      </c>
      <c r="G292" s="1775"/>
      <c r="H292" s="984">
        <v>0</v>
      </c>
      <c r="I292" s="967">
        <v>0</v>
      </c>
      <c r="J292" s="968">
        <v>0</v>
      </c>
      <c r="K292" s="382"/>
      <c r="L292" s="387"/>
      <c r="M292" s="391"/>
      <c r="N292" s="391"/>
      <c r="O292" s="391"/>
      <c r="P292" s="387"/>
      <c r="Q292" s="391"/>
      <c r="R292" s="391"/>
      <c r="S292" s="391"/>
      <c r="T292" s="391"/>
      <c r="U292" s="391"/>
      <c r="V292" s="391"/>
      <c r="W292" s="391"/>
      <c r="X292" s="391"/>
      <c r="Y292" s="391"/>
      <c r="Z292" s="391"/>
      <c r="AA292" s="391"/>
      <c r="AB292" s="387"/>
      <c r="AC292" s="391"/>
      <c r="AD292" s="391"/>
      <c r="AE292" s="391"/>
      <c r="AF292" s="391"/>
      <c r="AG292" s="391"/>
      <c r="AH292" s="391"/>
      <c r="AI292" s="391"/>
      <c r="AJ292" s="391"/>
      <c r="AK292" s="391"/>
      <c r="AL292" s="391"/>
      <c r="AM292" s="391"/>
      <c r="AN292" s="1758"/>
      <c r="AO292" s="386"/>
      <c r="AQ292" s="615">
        <f t="shared" ref="AQ292:AQ298" si="83">SUM(K292:AO292)</f>
        <v>0</v>
      </c>
      <c r="AR292" s="616">
        <f t="shared" ref="AR292:AR298" si="84">IFERROR(IF(F292-I292&lt;0,0,F292-I292),0)</f>
        <v>446000</v>
      </c>
      <c r="AS292" s="617">
        <f t="shared" ref="AS292:AS298" si="85">IFERROR(AQ292*AR292,0)</f>
        <v>0</v>
      </c>
      <c r="AT292" s="606">
        <f t="shared" ref="AT292:AT298" si="86">I292+AS292</f>
        <v>0</v>
      </c>
      <c r="AU292" s="605">
        <f t="shared" ref="AU292:AU298" si="87">F292-AT292</f>
        <v>446000</v>
      </c>
    </row>
    <row r="293" spans="1:47" ht="24.95" customHeight="1">
      <c r="A293" s="966" t="s">
        <v>972</v>
      </c>
      <c r="B293" s="979" t="s">
        <v>973</v>
      </c>
      <c r="C293" s="984">
        <v>420000</v>
      </c>
      <c r="D293" s="989">
        <v>0</v>
      </c>
      <c r="E293" s="967">
        <v>0</v>
      </c>
      <c r="F293" s="968">
        <f t="shared" si="73"/>
        <v>420000</v>
      </c>
      <c r="G293" s="1775"/>
      <c r="H293" s="984">
        <v>329574</v>
      </c>
      <c r="I293" s="967">
        <v>231270.51</v>
      </c>
      <c r="J293" s="968">
        <v>98303.49</v>
      </c>
      <c r="K293" s="382"/>
      <c r="L293" s="387"/>
      <c r="M293" s="391"/>
      <c r="N293" s="391"/>
      <c r="O293" s="391"/>
      <c r="P293" s="387"/>
      <c r="Q293" s="391"/>
      <c r="R293" s="391"/>
      <c r="S293" s="391"/>
      <c r="T293" s="391"/>
      <c r="U293" s="391"/>
      <c r="V293" s="391"/>
      <c r="W293" s="391"/>
      <c r="X293" s="391"/>
      <c r="Y293" s="391"/>
      <c r="Z293" s="391"/>
      <c r="AA293" s="391"/>
      <c r="AB293" s="387"/>
      <c r="AC293" s="391"/>
      <c r="AD293" s="391"/>
      <c r="AE293" s="391"/>
      <c r="AF293" s="391"/>
      <c r="AG293" s="391"/>
      <c r="AH293" s="391"/>
      <c r="AI293" s="391"/>
      <c r="AJ293" s="391"/>
      <c r="AK293" s="391"/>
      <c r="AL293" s="391"/>
      <c r="AM293" s="391"/>
      <c r="AN293" s="1758"/>
      <c r="AO293" s="386"/>
      <c r="AQ293" s="615">
        <f t="shared" si="83"/>
        <v>0</v>
      </c>
      <c r="AR293" s="616">
        <f t="shared" si="84"/>
        <v>188729.49</v>
      </c>
      <c r="AS293" s="617">
        <f t="shared" si="85"/>
        <v>0</v>
      </c>
      <c r="AT293" s="606">
        <f t="shared" si="86"/>
        <v>231270.51</v>
      </c>
      <c r="AU293" s="605">
        <f t="shared" si="87"/>
        <v>188729.49</v>
      </c>
    </row>
    <row r="294" spans="1:47" ht="24.95" customHeight="1">
      <c r="A294" s="966" t="s">
        <v>974</v>
      </c>
      <c r="B294" s="979" t="s">
        <v>94</v>
      </c>
      <c r="C294" s="984">
        <v>386000</v>
      </c>
      <c r="D294" s="989">
        <v>0</v>
      </c>
      <c r="E294" s="967">
        <v>0</v>
      </c>
      <c r="F294" s="968">
        <f t="shared" si="73"/>
        <v>386000</v>
      </c>
      <c r="G294" s="1775"/>
      <c r="H294" s="984">
        <v>0</v>
      </c>
      <c r="I294" s="967">
        <v>0</v>
      </c>
      <c r="J294" s="968">
        <v>0</v>
      </c>
      <c r="K294" s="382"/>
      <c r="L294" s="387"/>
      <c r="M294" s="391"/>
      <c r="N294" s="391"/>
      <c r="O294" s="391"/>
      <c r="P294" s="387"/>
      <c r="Q294" s="391"/>
      <c r="R294" s="391"/>
      <c r="S294" s="391"/>
      <c r="T294" s="391"/>
      <c r="U294" s="391"/>
      <c r="V294" s="391"/>
      <c r="W294" s="391"/>
      <c r="X294" s="391"/>
      <c r="Y294" s="391"/>
      <c r="Z294" s="391"/>
      <c r="AA294" s="391"/>
      <c r="AB294" s="387"/>
      <c r="AC294" s="391"/>
      <c r="AD294" s="391"/>
      <c r="AE294" s="391"/>
      <c r="AF294" s="391"/>
      <c r="AG294" s="391"/>
      <c r="AH294" s="391"/>
      <c r="AI294" s="391"/>
      <c r="AJ294" s="391"/>
      <c r="AK294" s="391"/>
      <c r="AL294" s="391"/>
      <c r="AM294" s="391"/>
      <c r="AN294" s="1758"/>
      <c r="AO294" s="386"/>
      <c r="AQ294" s="615">
        <f t="shared" si="83"/>
        <v>0</v>
      </c>
      <c r="AR294" s="616">
        <f t="shared" si="84"/>
        <v>386000</v>
      </c>
      <c r="AS294" s="617">
        <f t="shared" si="85"/>
        <v>0</v>
      </c>
      <c r="AT294" s="606">
        <f t="shared" si="86"/>
        <v>0</v>
      </c>
      <c r="AU294" s="605">
        <f t="shared" si="87"/>
        <v>386000</v>
      </c>
    </row>
    <row r="295" spans="1:47" ht="24.95" customHeight="1">
      <c r="A295" s="966" t="s">
        <v>974</v>
      </c>
      <c r="B295" s="979" t="s">
        <v>95</v>
      </c>
      <c r="C295" s="984">
        <v>1400000</v>
      </c>
      <c r="D295" s="989">
        <v>0</v>
      </c>
      <c r="E295" s="967">
        <v>0</v>
      </c>
      <c r="F295" s="968">
        <f t="shared" si="73"/>
        <v>1400000</v>
      </c>
      <c r="G295" s="1775"/>
      <c r="H295" s="984">
        <v>0</v>
      </c>
      <c r="I295" s="967">
        <v>0</v>
      </c>
      <c r="J295" s="968">
        <v>0</v>
      </c>
      <c r="K295" s="382"/>
      <c r="L295" s="387"/>
      <c r="M295" s="391"/>
      <c r="N295" s="391"/>
      <c r="O295" s="391"/>
      <c r="P295" s="387"/>
      <c r="Q295" s="391"/>
      <c r="R295" s="391"/>
      <c r="S295" s="391"/>
      <c r="T295" s="391"/>
      <c r="U295" s="391"/>
      <c r="V295" s="391"/>
      <c r="W295" s="391"/>
      <c r="X295" s="391"/>
      <c r="Y295" s="391"/>
      <c r="Z295" s="391"/>
      <c r="AA295" s="391"/>
      <c r="AB295" s="387"/>
      <c r="AC295" s="391"/>
      <c r="AD295" s="391"/>
      <c r="AE295" s="391"/>
      <c r="AF295" s="391"/>
      <c r="AG295" s="391"/>
      <c r="AH295" s="391"/>
      <c r="AI295" s="391"/>
      <c r="AJ295" s="391"/>
      <c r="AK295" s="391"/>
      <c r="AL295" s="391"/>
      <c r="AM295" s="391"/>
      <c r="AN295" s="1758"/>
      <c r="AO295" s="386"/>
      <c r="AQ295" s="615">
        <f t="shared" si="83"/>
        <v>0</v>
      </c>
      <c r="AR295" s="616">
        <f t="shared" si="84"/>
        <v>1400000</v>
      </c>
      <c r="AS295" s="617">
        <f t="shared" si="85"/>
        <v>0</v>
      </c>
      <c r="AT295" s="606">
        <f t="shared" si="86"/>
        <v>0</v>
      </c>
      <c r="AU295" s="605">
        <f t="shared" si="87"/>
        <v>1400000</v>
      </c>
    </row>
    <row r="296" spans="1:47" ht="24.95" customHeight="1">
      <c r="A296" s="966" t="s">
        <v>975</v>
      </c>
      <c r="B296" s="979" t="s">
        <v>976</v>
      </c>
      <c r="C296" s="984">
        <v>2800000</v>
      </c>
      <c r="D296" s="989">
        <v>0</v>
      </c>
      <c r="E296" s="967">
        <v>0</v>
      </c>
      <c r="F296" s="968">
        <f t="shared" si="73"/>
        <v>2800000</v>
      </c>
      <c r="G296" s="1775"/>
      <c r="H296" s="984">
        <v>0</v>
      </c>
      <c r="I296" s="967">
        <v>0</v>
      </c>
      <c r="J296" s="968">
        <v>0</v>
      </c>
      <c r="K296" s="382"/>
      <c r="L296" s="387"/>
      <c r="M296" s="391"/>
      <c r="N296" s="391"/>
      <c r="O296" s="391"/>
      <c r="P296" s="387"/>
      <c r="Q296" s="391"/>
      <c r="R296" s="391"/>
      <c r="S296" s="391"/>
      <c r="T296" s="391"/>
      <c r="U296" s="391"/>
      <c r="V296" s="391"/>
      <c r="W296" s="391"/>
      <c r="X296" s="391"/>
      <c r="Y296" s="391"/>
      <c r="Z296" s="391"/>
      <c r="AA296" s="391"/>
      <c r="AB296" s="387"/>
      <c r="AC296" s="391"/>
      <c r="AD296" s="391"/>
      <c r="AE296" s="391"/>
      <c r="AF296" s="391"/>
      <c r="AG296" s="391"/>
      <c r="AH296" s="391"/>
      <c r="AI296" s="391"/>
      <c r="AJ296" s="391"/>
      <c r="AK296" s="391"/>
      <c r="AL296" s="391"/>
      <c r="AM296" s="391"/>
      <c r="AN296" s="1758"/>
      <c r="AO296" s="386"/>
      <c r="AQ296" s="615">
        <f t="shared" si="83"/>
        <v>0</v>
      </c>
      <c r="AR296" s="616">
        <f t="shared" si="84"/>
        <v>2800000</v>
      </c>
      <c r="AS296" s="617">
        <f t="shared" si="85"/>
        <v>0</v>
      </c>
      <c r="AT296" s="606">
        <f t="shared" si="86"/>
        <v>0</v>
      </c>
      <c r="AU296" s="605">
        <f t="shared" si="87"/>
        <v>2800000</v>
      </c>
    </row>
    <row r="297" spans="1:47" ht="24.95" customHeight="1">
      <c r="A297" s="966" t="s">
        <v>1018</v>
      </c>
      <c r="B297" s="979" t="s">
        <v>1019</v>
      </c>
      <c r="C297" s="984">
        <v>2700000</v>
      </c>
      <c r="D297" s="989">
        <v>0</v>
      </c>
      <c r="E297" s="967">
        <v>0</v>
      </c>
      <c r="F297" s="968">
        <f t="shared" si="73"/>
        <v>2700000</v>
      </c>
      <c r="G297" s="1775"/>
      <c r="H297" s="984">
        <v>0</v>
      </c>
      <c r="I297" s="967">
        <v>0</v>
      </c>
      <c r="J297" s="968">
        <v>0</v>
      </c>
      <c r="K297" s="382"/>
      <c r="L297" s="387"/>
      <c r="M297" s="391"/>
      <c r="N297" s="391"/>
      <c r="O297" s="391"/>
      <c r="P297" s="387"/>
      <c r="Q297" s="391"/>
      <c r="R297" s="391"/>
      <c r="S297" s="391"/>
      <c r="T297" s="391"/>
      <c r="U297" s="391"/>
      <c r="V297" s="391"/>
      <c r="W297" s="391"/>
      <c r="X297" s="391"/>
      <c r="Y297" s="391"/>
      <c r="Z297" s="391"/>
      <c r="AA297" s="391"/>
      <c r="AB297" s="387"/>
      <c r="AC297" s="391"/>
      <c r="AD297" s="391"/>
      <c r="AE297" s="391"/>
      <c r="AF297" s="391"/>
      <c r="AG297" s="391"/>
      <c r="AH297" s="391"/>
      <c r="AI297" s="391"/>
      <c r="AJ297" s="391"/>
      <c r="AK297" s="391"/>
      <c r="AL297" s="391"/>
      <c r="AM297" s="391"/>
      <c r="AN297" s="1758"/>
      <c r="AO297" s="386"/>
      <c r="AQ297" s="615">
        <f t="shared" si="83"/>
        <v>0</v>
      </c>
      <c r="AR297" s="616">
        <f t="shared" si="84"/>
        <v>2700000</v>
      </c>
      <c r="AS297" s="617">
        <f t="shared" si="85"/>
        <v>0</v>
      </c>
      <c r="AT297" s="606">
        <f t="shared" si="86"/>
        <v>0</v>
      </c>
      <c r="AU297" s="605">
        <f t="shared" si="87"/>
        <v>2700000</v>
      </c>
    </row>
    <row r="298" spans="1:47" ht="24.95" customHeight="1">
      <c r="A298" s="966" t="s">
        <v>1020</v>
      </c>
      <c r="B298" s="979" t="s">
        <v>1021</v>
      </c>
      <c r="C298" s="984">
        <v>265260</v>
      </c>
      <c r="D298" s="989">
        <v>0</v>
      </c>
      <c r="E298" s="967">
        <v>0</v>
      </c>
      <c r="F298" s="968">
        <f t="shared" si="73"/>
        <v>265260</v>
      </c>
      <c r="G298" s="1775"/>
      <c r="H298" s="984">
        <v>0</v>
      </c>
      <c r="I298" s="967">
        <v>0</v>
      </c>
      <c r="J298" s="968">
        <v>0</v>
      </c>
      <c r="K298" s="382"/>
      <c r="L298" s="387"/>
      <c r="M298" s="391"/>
      <c r="N298" s="391"/>
      <c r="O298" s="391"/>
      <c r="P298" s="387"/>
      <c r="Q298" s="391"/>
      <c r="R298" s="391"/>
      <c r="S298" s="391"/>
      <c r="T298" s="391"/>
      <c r="U298" s="391"/>
      <c r="V298" s="391"/>
      <c r="W298" s="391"/>
      <c r="X298" s="391"/>
      <c r="Y298" s="391"/>
      <c r="Z298" s="391"/>
      <c r="AA298" s="391"/>
      <c r="AB298" s="387"/>
      <c r="AC298" s="391"/>
      <c r="AD298" s="391"/>
      <c r="AE298" s="391"/>
      <c r="AF298" s="391"/>
      <c r="AG298" s="391"/>
      <c r="AH298" s="391"/>
      <c r="AI298" s="391"/>
      <c r="AJ298" s="391"/>
      <c r="AK298" s="391"/>
      <c r="AL298" s="391"/>
      <c r="AM298" s="391"/>
      <c r="AN298" s="1758"/>
      <c r="AO298" s="386"/>
      <c r="AQ298" s="615">
        <f t="shared" si="83"/>
        <v>0</v>
      </c>
      <c r="AR298" s="616">
        <f t="shared" si="84"/>
        <v>265260</v>
      </c>
      <c r="AS298" s="617">
        <f t="shared" si="85"/>
        <v>0</v>
      </c>
      <c r="AT298" s="606">
        <f t="shared" si="86"/>
        <v>0</v>
      </c>
      <c r="AU298" s="605">
        <f t="shared" si="87"/>
        <v>265260</v>
      </c>
    </row>
    <row r="299" spans="1:47" ht="24.95" customHeight="1">
      <c r="A299" s="972" t="s">
        <v>977</v>
      </c>
      <c r="B299" s="981" t="s">
        <v>978</v>
      </c>
      <c r="C299" s="986">
        <v>410565.42</v>
      </c>
      <c r="D299" s="991">
        <v>0</v>
      </c>
      <c r="E299" s="973">
        <v>67670.17</v>
      </c>
      <c r="F299" s="974">
        <f t="shared" si="73"/>
        <v>478235.58999999997</v>
      </c>
      <c r="G299" s="1775"/>
      <c r="H299" s="986">
        <v>410565.42</v>
      </c>
      <c r="I299" s="973">
        <v>0</v>
      </c>
      <c r="J299" s="974">
        <v>410565.42</v>
      </c>
      <c r="K299" s="382"/>
      <c r="L299" s="387"/>
      <c r="M299" s="391"/>
      <c r="N299" s="391"/>
      <c r="O299" s="391"/>
      <c r="P299" s="387"/>
      <c r="Q299" s="391"/>
      <c r="R299" s="391"/>
      <c r="S299" s="391"/>
      <c r="T299" s="391"/>
      <c r="U299" s="391"/>
      <c r="V299" s="391"/>
      <c r="W299" s="391"/>
      <c r="X299" s="391"/>
      <c r="Y299" s="391"/>
      <c r="Z299" s="391"/>
      <c r="AA299" s="391"/>
      <c r="AB299" s="387"/>
      <c r="AC299" s="391"/>
      <c r="AD299" s="391"/>
      <c r="AE299" s="391"/>
      <c r="AF299" s="391"/>
      <c r="AG299" s="391"/>
      <c r="AH299" s="391"/>
      <c r="AI299" s="391"/>
      <c r="AJ299" s="391"/>
      <c r="AK299" s="391"/>
      <c r="AL299" s="391"/>
      <c r="AM299" s="391"/>
      <c r="AN299" s="1758"/>
      <c r="AO299" s="386"/>
      <c r="AQ299" s="612">
        <f t="shared" ref="AQ299:AU299" si="88">+AQ300</f>
        <v>0</v>
      </c>
      <c r="AR299" s="613">
        <f t="shared" si="88"/>
        <v>478235.58999999997</v>
      </c>
      <c r="AS299" s="614">
        <f t="shared" si="88"/>
        <v>0</v>
      </c>
      <c r="AT299" s="610">
        <f t="shared" si="88"/>
        <v>0</v>
      </c>
      <c r="AU299" s="609">
        <f t="shared" si="88"/>
        <v>478235.58999999997</v>
      </c>
    </row>
    <row r="300" spans="1:47" ht="24.95" customHeight="1" thickBot="1">
      <c r="A300" s="1761" t="s">
        <v>979</v>
      </c>
      <c r="B300" s="1764" t="s">
        <v>1017</v>
      </c>
      <c r="C300" s="1765">
        <v>410565.42</v>
      </c>
      <c r="D300" s="1766">
        <v>0</v>
      </c>
      <c r="E300" s="1762">
        <v>67670.17</v>
      </c>
      <c r="F300" s="1763">
        <f t="shared" si="73"/>
        <v>478235.58999999997</v>
      </c>
      <c r="H300" s="1765">
        <v>410565.42</v>
      </c>
      <c r="I300" s="1762">
        <v>0</v>
      </c>
      <c r="J300" s="1763">
        <v>410565.42</v>
      </c>
      <c r="L300" s="388"/>
      <c r="M300" s="392"/>
      <c r="N300" s="392"/>
      <c r="O300" s="392"/>
      <c r="P300" s="388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88"/>
      <c r="AC300" s="392"/>
      <c r="AD300" s="392"/>
      <c r="AE300" s="392"/>
      <c r="AF300" s="392"/>
      <c r="AG300" s="392"/>
      <c r="AH300" s="392"/>
      <c r="AI300" s="392"/>
      <c r="AJ300" s="392"/>
      <c r="AK300" s="392"/>
      <c r="AL300" s="392"/>
      <c r="AM300" s="392"/>
      <c r="AN300" s="1759"/>
      <c r="AO300" s="389"/>
      <c r="AQ300" s="1749">
        <f>SUM(K300:AO300)</f>
        <v>0</v>
      </c>
      <c r="AR300" s="1750">
        <f>IFERROR(IF(F300-I300&lt;0,0,F300-I300),0)</f>
        <v>478235.58999999997</v>
      </c>
      <c r="AS300" s="1751">
        <f>IFERROR(AQ300*AR300,0)</f>
        <v>0</v>
      </c>
      <c r="AT300" s="1752">
        <f>I300+AS300</f>
        <v>0</v>
      </c>
      <c r="AU300" s="1753">
        <f>F300-AT300</f>
        <v>478235.58999999997</v>
      </c>
    </row>
  </sheetData>
  <sheetProtection sheet="1" objects="1" scenarios="1"/>
  <mergeCells count="17">
    <mergeCell ref="C6:F7"/>
    <mergeCell ref="AT5:AU5"/>
    <mergeCell ref="A6:A7"/>
    <mergeCell ref="B6:B7"/>
    <mergeCell ref="AB7:AM7"/>
    <mergeCell ref="B1:E1"/>
    <mergeCell ref="H3:J3"/>
    <mergeCell ref="H5:J5"/>
    <mergeCell ref="AQ5:AS5"/>
    <mergeCell ref="AQ6:AQ7"/>
    <mergeCell ref="AR6:AR7"/>
    <mergeCell ref="AS6:AS7"/>
    <mergeCell ref="L7:O7"/>
    <mergeCell ref="P7:AA7"/>
    <mergeCell ref="A2:B2"/>
    <mergeCell ref="A3:B3"/>
    <mergeCell ref="AN7:AO7"/>
  </mergeCells>
  <printOptions horizontalCentered="1"/>
  <pageMargins left="0.59055118110236227" right="0.39370078740157483" top="0.39370078740157483" bottom="0.39370078740157483" header="0.31496062992125984" footer="0.31496062992125984"/>
  <pageSetup paperSize="8" scale="50" fitToHeight="0" orientation="landscape"/>
  <headerFooter>
    <oddHeader>&amp;RLe &amp;D à &amp;T</oddHeader>
  </headerFooter>
  <rowBreaks count="6" manualBreakCount="6">
    <brk id="32" max="32" man="1"/>
    <brk id="49" max="32" man="1"/>
    <brk id="77" max="32" man="1"/>
    <brk id="90" max="32" man="1"/>
    <brk id="148" max="32" man="1"/>
    <brk id="177" max="32" man="1"/>
  </rowBreaks>
  <colBreaks count="1" manualBreakCount="1">
    <brk id="42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M100"/>
  <sheetViews>
    <sheetView showGridLines="0" workbookViewId="0">
      <selection activeCell="A23" sqref="A23:D23"/>
    </sheetView>
  </sheetViews>
  <sheetFormatPr baseColWidth="10" defaultColWidth="10.85546875" defaultRowHeight="15"/>
  <cols>
    <col min="1" max="1" width="26.42578125" style="450" customWidth="1"/>
    <col min="2" max="2" width="12.7109375" style="450" customWidth="1"/>
    <col min="3" max="4" width="8.7109375" style="450" customWidth="1"/>
    <col min="5" max="6" width="13.7109375" style="450" customWidth="1"/>
    <col min="7" max="7" width="10.7109375" style="450" customWidth="1"/>
    <col min="8" max="8" width="9.28515625" style="450" customWidth="1"/>
    <col min="9" max="16384" width="10.85546875" style="404"/>
  </cols>
  <sheetData>
    <row r="1" spans="1:13" ht="15" customHeight="1">
      <c r="A1" s="523" t="s">
        <v>15</v>
      </c>
      <c r="B1" s="515"/>
      <c r="C1" s="515"/>
      <c r="D1" s="515"/>
      <c r="E1" s="515"/>
      <c r="F1" s="427"/>
      <c r="G1" s="427"/>
      <c r="H1" s="428"/>
      <c r="I1" s="406"/>
      <c r="J1" s="406"/>
      <c r="K1" s="406"/>
      <c r="L1" s="406"/>
      <c r="M1" s="406"/>
    </row>
    <row r="2" spans="1:13" ht="15" customHeight="1">
      <c r="A2" s="524"/>
      <c r="B2" s="515"/>
      <c r="C2" s="515"/>
      <c r="D2" s="515"/>
      <c r="E2" s="515"/>
      <c r="F2" s="427"/>
      <c r="G2" s="427"/>
      <c r="H2" s="428"/>
      <c r="I2" s="406"/>
      <c r="J2" s="406"/>
      <c r="K2" s="406"/>
      <c r="L2" s="406"/>
      <c r="M2" s="406"/>
    </row>
    <row r="3" spans="1:13" s="464" customFormat="1" ht="21">
      <c r="A3" s="524"/>
      <c r="B3" s="525" t="s">
        <v>388</v>
      </c>
      <c r="C3" s="515"/>
      <c r="D3" s="515"/>
      <c r="E3" s="515"/>
      <c r="F3" s="427" t="str">
        <f>SYNTHESE!D4</f>
        <v>POINT 50%</v>
      </c>
      <c r="G3" s="427"/>
      <c r="H3" s="428"/>
      <c r="I3" s="462"/>
      <c r="J3" s="463"/>
      <c r="K3" s="462"/>
      <c r="L3" s="462"/>
      <c r="M3" s="462"/>
    </row>
    <row r="4" spans="1:13" s="464" customFormat="1" ht="13.5">
      <c r="A4" s="526"/>
      <c r="B4" s="516"/>
      <c r="C4" s="516"/>
      <c r="D4" s="516"/>
      <c r="E4" s="516"/>
      <c r="F4" s="516"/>
      <c r="G4" s="429"/>
      <c r="H4" s="430"/>
      <c r="I4" s="462"/>
      <c r="J4" s="463"/>
      <c r="K4" s="462"/>
      <c r="L4" s="462"/>
      <c r="M4" s="462"/>
    </row>
    <row r="5" spans="1:13" s="464" customFormat="1">
      <c r="A5" s="527" t="s">
        <v>156</v>
      </c>
      <c r="B5" s="528">
        <v>400213</v>
      </c>
      <c r="C5" s="517"/>
      <c r="D5" s="517"/>
      <c r="E5" s="517"/>
      <c r="F5" s="529" t="s">
        <v>389</v>
      </c>
      <c r="G5" s="431">
        <f>SYNTHESE!D7</f>
        <v>42800</v>
      </c>
      <c r="H5" s="432"/>
      <c r="I5" s="462"/>
      <c r="J5" s="463"/>
      <c r="K5" s="462"/>
      <c r="L5" s="462"/>
      <c r="M5" s="462"/>
    </row>
    <row r="6" spans="1:13" s="464" customFormat="1">
      <c r="A6" s="530" t="s">
        <v>158</v>
      </c>
      <c r="B6" s="460" t="str">
        <f>SYNTHESE!E6</f>
        <v xml:space="preserve">LES FAUBOURGS D'ANFA </v>
      </c>
      <c r="C6" s="518"/>
      <c r="D6" s="518"/>
      <c r="E6" s="518"/>
      <c r="F6" s="531" t="s">
        <v>159</v>
      </c>
      <c r="G6" s="433">
        <v>0</v>
      </c>
      <c r="H6" s="434"/>
      <c r="I6" s="462"/>
      <c r="J6" s="463"/>
      <c r="K6" s="462"/>
      <c r="L6" s="462"/>
      <c r="M6" s="462"/>
    </row>
    <row r="7" spans="1:13" s="464" customFormat="1">
      <c r="A7" s="532" t="s">
        <v>161</v>
      </c>
      <c r="B7" s="461" t="str">
        <f>SYNTHESE!N4</f>
        <v>1 € = 10,85dh</v>
      </c>
      <c r="C7" s="516"/>
      <c r="D7" s="516"/>
      <c r="E7" s="516"/>
      <c r="F7" s="516"/>
      <c r="G7" s="429"/>
      <c r="H7" s="430"/>
      <c r="I7" s="462"/>
      <c r="J7" s="463"/>
      <c r="K7" s="462"/>
      <c r="L7" s="462"/>
      <c r="M7" s="462"/>
    </row>
    <row r="8" spans="1:13" s="464" customFormat="1">
      <c r="A8" s="533"/>
      <c r="B8" s="534"/>
      <c r="C8" s="535"/>
      <c r="D8" s="535"/>
      <c r="E8" s="519"/>
      <c r="F8" s="536"/>
      <c r="G8" s="435"/>
      <c r="H8" s="436"/>
      <c r="I8" s="462"/>
      <c r="J8" s="463"/>
      <c r="K8" s="462"/>
      <c r="L8" s="462"/>
      <c r="M8" s="462"/>
    </row>
    <row r="9" spans="1:13" s="464" customFormat="1" ht="14.1" customHeight="1">
      <c r="A9" s="537"/>
      <c r="B9" s="538" t="s">
        <v>54</v>
      </c>
      <c r="C9" s="539" t="s">
        <v>164</v>
      </c>
      <c r="D9" s="539" t="s">
        <v>71</v>
      </c>
      <c r="E9" s="2101" t="s">
        <v>390</v>
      </c>
      <c r="F9" s="540" t="s">
        <v>391</v>
      </c>
      <c r="G9" s="437" t="s">
        <v>162</v>
      </c>
      <c r="H9" s="438"/>
      <c r="I9" s="462"/>
      <c r="J9" s="463"/>
      <c r="K9" s="462"/>
      <c r="L9" s="462"/>
      <c r="M9" s="462"/>
    </row>
    <row r="10" spans="1:13" s="464" customFormat="1">
      <c r="A10" s="541"/>
      <c r="B10" s="542"/>
      <c r="C10" s="543"/>
      <c r="D10" s="543"/>
      <c r="E10" s="2102"/>
      <c r="F10" s="544"/>
      <c r="G10" s="439"/>
      <c r="H10" s="440"/>
      <c r="I10" s="462"/>
      <c r="J10" s="463"/>
      <c r="K10" s="462"/>
      <c r="L10" s="462"/>
      <c r="M10" s="462"/>
    </row>
    <row r="11" spans="1:13" s="464" customFormat="1">
      <c r="A11" s="545" t="s">
        <v>165</v>
      </c>
      <c r="B11" s="546" t="s">
        <v>168</v>
      </c>
      <c r="C11" s="547" t="s">
        <v>168</v>
      </c>
      <c r="D11" s="547" t="s">
        <v>168</v>
      </c>
      <c r="E11" s="520" t="s">
        <v>168</v>
      </c>
      <c r="F11" s="548" t="s">
        <v>168</v>
      </c>
      <c r="G11" s="441" t="s">
        <v>171</v>
      </c>
      <c r="H11" s="442" t="s">
        <v>43</v>
      </c>
      <c r="I11" s="462"/>
      <c r="J11" s="463"/>
      <c r="K11" s="462"/>
      <c r="L11" s="462"/>
      <c r="M11" s="462"/>
    </row>
    <row r="12" spans="1:13" s="464" customFormat="1" ht="24.95" customHeight="1">
      <c r="A12" s="549" t="s">
        <v>362</v>
      </c>
      <c r="B12" s="550">
        <v>2377968</v>
      </c>
      <c r="C12" s="551">
        <v>0</v>
      </c>
      <c r="D12" s="551">
        <v>0</v>
      </c>
      <c r="E12" s="521">
        <f t="shared" ref="E12:E23" si="0">SUM(B12:D12)</f>
        <v>2377968</v>
      </c>
      <c r="F12" s="552">
        <v>3987013.1500000004</v>
      </c>
      <c r="G12" s="443">
        <f t="shared" ref="G12:G23" si="1">E12-F12</f>
        <v>-1609045.1500000004</v>
      </c>
      <c r="H12" s="444">
        <f t="shared" ref="H12:H24" si="2">G12/E12</f>
        <v>-0.6766470995404481</v>
      </c>
      <c r="I12" s="462"/>
      <c r="J12" s="463"/>
      <c r="K12" s="462"/>
      <c r="L12" s="462"/>
      <c r="M12" s="462"/>
    </row>
    <row r="13" spans="1:13" s="467" customFormat="1" ht="24.95" customHeight="1">
      <c r="A13" s="553" t="s">
        <v>90</v>
      </c>
      <c r="B13" s="554">
        <v>4451136.2699999996</v>
      </c>
      <c r="C13" s="555">
        <v>0</v>
      </c>
      <c r="D13" s="555">
        <v>0</v>
      </c>
      <c r="E13" s="522">
        <f t="shared" si="0"/>
        <v>4451136.2699999996</v>
      </c>
      <c r="F13" s="556">
        <v>102251617.55000001</v>
      </c>
      <c r="G13" s="445">
        <f t="shared" si="1"/>
        <v>-97800481.280000016</v>
      </c>
      <c r="H13" s="446">
        <f t="shared" si="2"/>
        <v>-21.972025871047983</v>
      </c>
      <c r="I13" s="465"/>
      <c r="J13" s="466"/>
      <c r="K13" s="466"/>
      <c r="L13" s="465"/>
      <c r="M13" s="465"/>
    </row>
    <row r="14" spans="1:13" s="467" customFormat="1" ht="24.95" customHeight="1">
      <c r="A14" s="553" t="s">
        <v>372</v>
      </c>
      <c r="B14" s="554">
        <v>2553105</v>
      </c>
      <c r="C14" s="555">
        <v>0</v>
      </c>
      <c r="D14" s="555">
        <v>0</v>
      </c>
      <c r="E14" s="522">
        <f t="shared" si="0"/>
        <v>2553105</v>
      </c>
      <c r="F14" s="556">
        <v>7333291.1600000001</v>
      </c>
      <c r="G14" s="445">
        <f t="shared" si="1"/>
        <v>-4780186.16</v>
      </c>
      <c r="H14" s="446">
        <f t="shared" si="2"/>
        <v>-1.8723030035975803</v>
      </c>
      <c r="I14" s="465"/>
      <c r="J14" s="466"/>
      <c r="K14" s="466"/>
      <c r="L14" s="465"/>
      <c r="M14" s="465"/>
    </row>
    <row r="15" spans="1:13" s="467" customFormat="1" ht="24.95" customHeight="1">
      <c r="A15" s="553" t="s">
        <v>80</v>
      </c>
      <c r="B15" s="554">
        <v>4974500</v>
      </c>
      <c r="C15" s="555">
        <v>0</v>
      </c>
      <c r="D15" s="555">
        <v>0</v>
      </c>
      <c r="E15" s="522">
        <f t="shared" si="0"/>
        <v>4974500</v>
      </c>
      <c r="F15" s="556">
        <v>43720200.229999989</v>
      </c>
      <c r="G15" s="445">
        <f t="shared" si="1"/>
        <v>-38745700.229999989</v>
      </c>
      <c r="H15" s="446">
        <f t="shared" si="2"/>
        <v>-7.7888632485676927</v>
      </c>
      <c r="I15" s="465"/>
      <c r="J15" s="466"/>
      <c r="K15" s="466"/>
      <c r="L15" s="465"/>
      <c r="M15" s="465"/>
    </row>
    <row r="16" spans="1:13" s="467" customFormat="1" ht="24.95" customHeight="1">
      <c r="A16" s="553" t="s">
        <v>1014</v>
      </c>
      <c r="B16" s="554">
        <v>3365795.5</v>
      </c>
      <c r="C16" s="555">
        <v>0</v>
      </c>
      <c r="D16" s="555">
        <v>0</v>
      </c>
      <c r="E16" s="522">
        <f t="shared" si="0"/>
        <v>3365795.5</v>
      </c>
      <c r="F16" s="556">
        <v>34163814</v>
      </c>
      <c r="G16" s="445">
        <f t="shared" si="1"/>
        <v>-30798018.5</v>
      </c>
      <c r="H16" s="446">
        <f t="shared" si="2"/>
        <v>-9.1502940389575063</v>
      </c>
      <c r="I16" s="465"/>
      <c r="J16" s="466"/>
      <c r="K16" s="466"/>
      <c r="L16" s="465"/>
      <c r="M16" s="465"/>
    </row>
    <row r="17" spans="1:13" s="467" customFormat="1" ht="24.95" customHeight="1">
      <c r="A17" s="553" t="s">
        <v>91</v>
      </c>
      <c r="B17" s="554">
        <v>3876530</v>
      </c>
      <c r="C17" s="555">
        <v>0</v>
      </c>
      <c r="D17" s="555">
        <v>0</v>
      </c>
      <c r="E17" s="522">
        <f t="shared" si="0"/>
        <v>3876530</v>
      </c>
      <c r="F17" s="556">
        <v>998790.50000000023</v>
      </c>
      <c r="G17" s="445">
        <f t="shared" si="1"/>
        <v>2877739.5</v>
      </c>
      <c r="H17" s="446">
        <f t="shared" si="2"/>
        <v>0.74234934335604263</v>
      </c>
      <c r="I17" s="465"/>
      <c r="J17" s="466"/>
      <c r="K17" s="466"/>
      <c r="L17" s="465"/>
      <c r="M17" s="465"/>
    </row>
    <row r="18" spans="1:13" s="467" customFormat="1" ht="24.95" customHeight="1">
      <c r="A18" s="553" t="s">
        <v>88</v>
      </c>
      <c r="B18" s="554">
        <v>12964870.76</v>
      </c>
      <c r="C18" s="555">
        <v>0</v>
      </c>
      <c r="D18" s="555">
        <v>0</v>
      </c>
      <c r="E18" s="522">
        <f t="shared" si="0"/>
        <v>12964870.76</v>
      </c>
      <c r="F18" s="556">
        <v>860748.76</v>
      </c>
      <c r="G18" s="445">
        <f t="shared" si="1"/>
        <v>12104122</v>
      </c>
      <c r="H18" s="446">
        <f t="shared" si="2"/>
        <v>0.93360915230596564</v>
      </c>
      <c r="I18" s="465"/>
      <c r="J18" s="466"/>
      <c r="K18" s="466"/>
      <c r="L18" s="465"/>
      <c r="M18" s="465"/>
    </row>
    <row r="19" spans="1:13" s="467" customFormat="1" ht="24.95" customHeight="1">
      <c r="A19" s="553" t="s">
        <v>1015</v>
      </c>
      <c r="B19" s="554">
        <v>10126417.5</v>
      </c>
      <c r="C19" s="555">
        <v>0</v>
      </c>
      <c r="D19" s="555">
        <v>0</v>
      </c>
      <c r="E19" s="522">
        <f t="shared" si="0"/>
        <v>10126417.5</v>
      </c>
      <c r="F19" s="556">
        <v>1231308.4300000002</v>
      </c>
      <c r="G19" s="445">
        <f t="shared" si="1"/>
        <v>8895109.0700000003</v>
      </c>
      <c r="H19" s="446">
        <f t="shared" si="2"/>
        <v>0.87840631398024027</v>
      </c>
      <c r="I19" s="465"/>
      <c r="J19" s="466"/>
      <c r="K19" s="466"/>
      <c r="L19" s="468"/>
      <c r="M19" s="465"/>
    </row>
    <row r="20" spans="1:13" s="467" customFormat="1" ht="24.95" customHeight="1">
      <c r="A20" s="553" t="s">
        <v>92</v>
      </c>
      <c r="B20" s="554">
        <v>290000</v>
      </c>
      <c r="C20" s="555">
        <v>0</v>
      </c>
      <c r="D20" s="555">
        <v>0</v>
      </c>
      <c r="E20" s="522">
        <f t="shared" si="0"/>
        <v>290000</v>
      </c>
      <c r="F20" s="556">
        <v>524000</v>
      </c>
      <c r="G20" s="445">
        <f t="shared" si="1"/>
        <v>-234000</v>
      </c>
      <c r="H20" s="446">
        <f t="shared" si="2"/>
        <v>-0.80689655172413788</v>
      </c>
      <c r="I20" s="465"/>
      <c r="J20" s="466"/>
      <c r="K20" s="466"/>
      <c r="L20" s="469"/>
      <c r="M20" s="469"/>
    </row>
    <row r="21" spans="1:13" s="467" customFormat="1" ht="24.95" customHeight="1">
      <c r="A21" s="553" t="s">
        <v>1016</v>
      </c>
      <c r="B21" s="554">
        <v>762300</v>
      </c>
      <c r="C21" s="555">
        <v>0</v>
      </c>
      <c r="D21" s="555">
        <v>0</v>
      </c>
      <c r="E21" s="522">
        <f t="shared" si="0"/>
        <v>762300</v>
      </c>
      <c r="F21" s="556">
        <v>56828</v>
      </c>
      <c r="G21" s="445">
        <f t="shared" si="1"/>
        <v>705472</v>
      </c>
      <c r="H21" s="446">
        <f t="shared" si="2"/>
        <v>0.92545192181555813</v>
      </c>
      <c r="I21" s="465"/>
      <c r="J21" s="466"/>
      <c r="K21" s="466"/>
      <c r="L21" s="469"/>
      <c r="M21" s="469"/>
    </row>
    <row r="22" spans="1:13" s="467" customFormat="1" ht="24.95" customHeight="1">
      <c r="A22" s="553" t="s">
        <v>93</v>
      </c>
      <c r="B22" s="554">
        <v>5000000</v>
      </c>
      <c r="C22" s="555">
        <v>0</v>
      </c>
      <c r="D22" s="555">
        <v>0</v>
      </c>
      <c r="E22" s="522">
        <f t="shared" si="0"/>
        <v>5000000</v>
      </c>
      <c r="F22" s="556">
        <v>231270.51</v>
      </c>
      <c r="G22" s="445">
        <f t="shared" si="1"/>
        <v>4768729.49</v>
      </c>
      <c r="H22" s="446">
        <f t="shared" si="2"/>
        <v>0.95374589800000009</v>
      </c>
      <c r="I22" s="465"/>
      <c r="J22" s="466"/>
      <c r="K22" s="466"/>
      <c r="L22" s="469"/>
      <c r="M22" s="469"/>
    </row>
    <row r="23" spans="1:13" s="467" customFormat="1" ht="24.95" customHeight="1" thickBot="1">
      <c r="A23" s="553" t="s">
        <v>978</v>
      </c>
      <c r="B23" s="554">
        <v>410565.42</v>
      </c>
      <c r="C23" s="555">
        <v>0</v>
      </c>
      <c r="D23" s="555">
        <v>67670.17</v>
      </c>
      <c r="E23" s="522">
        <f t="shared" si="0"/>
        <v>478235.58999999997</v>
      </c>
      <c r="F23" s="556">
        <v>0</v>
      </c>
      <c r="G23" s="445">
        <f t="shared" si="1"/>
        <v>478235.58999999997</v>
      </c>
      <c r="H23" s="446">
        <f t="shared" si="2"/>
        <v>1</v>
      </c>
      <c r="I23" s="465"/>
      <c r="J23" s="466"/>
      <c r="K23" s="466"/>
      <c r="L23" s="469"/>
      <c r="M23" s="469"/>
    </row>
    <row r="24" spans="1:13" s="459" customFormat="1" ht="24.95" customHeight="1" thickBot="1">
      <c r="A24" s="451" t="s">
        <v>392</v>
      </c>
      <c r="B24" s="452">
        <f t="shared" ref="B24:D24" si="3">SUM(B12:B23)</f>
        <v>51153188.450000003</v>
      </c>
      <c r="C24" s="453">
        <f t="shared" si="3"/>
        <v>0</v>
      </c>
      <c r="D24" s="453">
        <f t="shared" si="3"/>
        <v>67670.17</v>
      </c>
      <c r="E24" s="454">
        <f t="shared" ref="E24" si="4">SUM(B24:D24)</f>
        <v>51220858.620000005</v>
      </c>
      <c r="F24" s="455">
        <f t="shared" ref="F24:G24" si="5">SUM(F12:F23)</f>
        <v>195358882.28999999</v>
      </c>
      <c r="G24" s="447">
        <f t="shared" si="5"/>
        <v>-144138023.66999999</v>
      </c>
      <c r="H24" s="448">
        <f t="shared" si="2"/>
        <v>-2.814049345391469</v>
      </c>
      <c r="I24" s="456"/>
      <c r="J24" s="457"/>
      <c r="K24" s="458"/>
      <c r="L24" s="458"/>
      <c r="M24" s="458"/>
    </row>
    <row r="25" spans="1:13">
      <c r="A25" s="449"/>
      <c r="B25" s="449"/>
      <c r="C25" s="449"/>
      <c r="D25" s="449"/>
      <c r="E25" s="449"/>
      <c r="F25" s="449"/>
      <c r="G25" s="449"/>
      <c r="H25" s="449"/>
      <c r="I25" s="406"/>
    </row>
    <row r="26" spans="1:13">
      <c r="A26" s="449"/>
      <c r="B26" s="449"/>
      <c r="C26" s="449"/>
      <c r="D26" s="449"/>
      <c r="E26" s="449"/>
      <c r="F26" s="449"/>
      <c r="G26" s="449"/>
      <c r="H26" s="449"/>
      <c r="I26" s="406"/>
    </row>
    <row r="27" spans="1:13">
      <c r="A27" s="449"/>
      <c r="B27" s="449"/>
      <c r="C27" s="449"/>
      <c r="D27" s="449"/>
      <c r="E27" s="449"/>
      <c r="F27" s="449"/>
      <c r="G27" s="449"/>
      <c r="H27" s="449"/>
      <c r="I27" s="406"/>
    </row>
    <row r="28" spans="1:13">
      <c r="A28" s="449"/>
      <c r="B28" s="449"/>
      <c r="C28" s="449"/>
      <c r="D28" s="449"/>
      <c r="E28" s="449"/>
      <c r="F28" s="449"/>
      <c r="G28" s="449"/>
      <c r="H28" s="449"/>
      <c r="I28" s="406"/>
    </row>
    <row r="29" spans="1:13">
      <c r="A29" s="449"/>
      <c r="B29" s="449"/>
      <c r="C29" s="449"/>
      <c r="D29" s="449"/>
      <c r="E29" s="449"/>
      <c r="F29" s="449"/>
      <c r="G29" s="449"/>
      <c r="H29" s="449"/>
      <c r="I29" s="406"/>
    </row>
    <row r="30" spans="1:13">
      <c r="A30" s="449"/>
      <c r="B30" s="449"/>
      <c r="C30" s="449"/>
      <c r="D30" s="449"/>
      <c r="E30" s="449"/>
      <c r="F30" s="449"/>
      <c r="G30" s="449"/>
      <c r="H30" s="449"/>
      <c r="I30" s="406"/>
    </row>
    <row r="31" spans="1:13">
      <c r="A31" s="449"/>
      <c r="B31" s="449"/>
      <c r="C31" s="449"/>
      <c r="D31" s="449"/>
      <c r="E31" s="449"/>
      <c r="F31" s="449"/>
      <c r="G31" s="449"/>
      <c r="H31" s="449"/>
      <c r="I31" s="406"/>
    </row>
    <row r="32" spans="1:13">
      <c r="A32" s="449"/>
      <c r="B32" s="449"/>
      <c r="C32" s="449"/>
      <c r="D32" s="449"/>
      <c r="E32" s="449"/>
      <c r="F32" s="449"/>
      <c r="G32" s="449"/>
      <c r="H32" s="449"/>
      <c r="I32" s="406"/>
    </row>
    <row r="33" spans="1:9">
      <c r="A33" s="449"/>
      <c r="B33" s="449"/>
      <c r="C33" s="449"/>
      <c r="D33" s="449"/>
      <c r="E33" s="449"/>
      <c r="F33" s="449"/>
      <c r="G33" s="449"/>
      <c r="H33" s="449"/>
      <c r="I33" s="406"/>
    </row>
    <row r="34" spans="1:9">
      <c r="A34" s="449"/>
      <c r="B34" s="449"/>
      <c r="C34" s="449"/>
      <c r="D34" s="449"/>
      <c r="E34" s="449"/>
      <c r="F34" s="449"/>
      <c r="G34" s="449"/>
      <c r="H34" s="449"/>
      <c r="I34" s="406"/>
    </row>
    <row r="35" spans="1:9">
      <c r="A35" s="449"/>
      <c r="B35" s="449"/>
      <c r="C35" s="449"/>
      <c r="D35" s="449"/>
      <c r="E35" s="449"/>
      <c r="F35" s="449"/>
      <c r="G35" s="449"/>
      <c r="H35" s="449"/>
      <c r="I35" s="406"/>
    </row>
    <row r="36" spans="1:9">
      <c r="A36" s="449"/>
      <c r="B36" s="449"/>
      <c r="C36" s="449"/>
      <c r="D36" s="449"/>
      <c r="E36" s="449"/>
      <c r="F36" s="449"/>
      <c r="G36" s="449"/>
      <c r="H36" s="449"/>
      <c r="I36" s="406"/>
    </row>
    <row r="37" spans="1:9">
      <c r="A37" s="449"/>
      <c r="B37" s="449"/>
      <c r="C37" s="449"/>
      <c r="D37" s="449"/>
      <c r="E37" s="449"/>
      <c r="F37" s="449"/>
      <c r="G37" s="449"/>
      <c r="H37" s="449"/>
      <c r="I37" s="406"/>
    </row>
    <row r="38" spans="1:9">
      <c r="A38" s="449"/>
      <c r="B38" s="449"/>
      <c r="C38" s="449"/>
      <c r="D38" s="449"/>
      <c r="E38" s="449"/>
      <c r="F38" s="449"/>
      <c r="G38" s="449"/>
      <c r="H38" s="449"/>
      <c r="I38" s="406"/>
    </row>
    <row r="39" spans="1:9">
      <c r="A39" s="449"/>
      <c r="B39" s="449"/>
      <c r="C39" s="449"/>
      <c r="D39" s="449"/>
      <c r="E39" s="449"/>
      <c r="F39" s="449"/>
      <c r="G39" s="449"/>
      <c r="H39" s="449"/>
      <c r="I39" s="406"/>
    </row>
    <row r="40" spans="1:9">
      <c r="A40" s="449"/>
      <c r="B40" s="449"/>
      <c r="C40" s="449"/>
      <c r="D40" s="449"/>
      <c r="E40" s="449"/>
      <c r="F40" s="449"/>
      <c r="G40" s="449"/>
      <c r="H40" s="449"/>
      <c r="I40" s="406"/>
    </row>
    <row r="41" spans="1:9">
      <c r="A41" s="449"/>
      <c r="B41" s="449"/>
      <c r="C41" s="449"/>
      <c r="D41" s="449"/>
      <c r="E41" s="449"/>
      <c r="F41" s="449"/>
      <c r="G41" s="449"/>
      <c r="H41" s="449"/>
      <c r="I41" s="406"/>
    </row>
    <row r="42" spans="1:9">
      <c r="A42" s="449"/>
      <c r="B42" s="449"/>
      <c r="C42" s="449"/>
      <c r="D42" s="449"/>
      <c r="E42" s="449"/>
      <c r="F42" s="449"/>
      <c r="G42" s="449"/>
      <c r="H42" s="449"/>
      <c r="I42" s="406"/>
    </row>
    <row r="43" spans="1:9">
      <c r="A43" s="449"/>
      <c r="B43" s="449"/>
      <c r="C43" s="449"/>
      <c r="D43" s="449"/>
      <c r="E43" s="449"/>
      <c r="F43" s="449"/>
      <c r="G43" s="449"/>
      <c r="H43" s="449"/>
      <c r="I43" s="406"/>
    </row>
    <row r="44" spans="1:9">
      <c r="A44" s="449"/>
      <c r="B44" s="449"/>
      <c r="C44" s="449"/>
      <c r="D44" s="449"/>
      <c r="E44" s="449"/>
      <c r="F44" s="449"/>
      <c r="G44" s="449"/>
      <c r="H44" s="449"/>
      <c r="I44" s="406"/>
    </row>
    <row r="45" spans="1:9">
      <c r="A45" s="449"/>
      <c r="B45" s="449"/>
      <c r="C45" s="449"/>
      <c r="D45" s="449"/>
      <c r="E45" s="449"/>
      <c r="F45" s="449"/>
      <c r="G45" s="449"/>
      <c r="H45" s="449"/>
      <c r="I45" s="406"/>
    </row>
    <row r="46" spans="1:9">
      <c r="A46" s="449"/>
      <c r="B46" s="449"/>
      <c r="C46" s="449"/>
      <c r="D46" s="449"/>
      <c r="E46" s="449"/>
      <c r="F46" s="449"/>
      <c r="G46" s="449"/>
      <c r="H46" s="449"/>
      <c r="I46" s="406"/>
    </row>
    <row r="47" spans="1:9">
      <c r="A47" s="449"/>
      <c r="B47" s="449"/>
      <c r="C47" s="449"/>
      <c r="D47" s="449"/>
      <c r="E47" s="449"/>
      <c r="F47" s="449"/>
      <c r="G47" s="449"/>
      <c r="H47" s="449"/>
      <c r="I47" s="406"/>
    </row>
    <row r="48" spans="1:9">
      <c r="A48" s="449"/>
      <c r="B48" s="449"/>
      <c r="C48" s="449"/>
      <c r="D48" s="449"/>
      <c r="E48" s="449"/>
      <c r="F48" s="449"/>
      <c r="G48" s="449"/>
      <c r="H48" s="449"/>
      <c r="I48" s="406"/>
    </row>
    <row r="49" spans="1:9">
      <c r="A49" s="449"/>
      <c r="B49" s="449"/>
      <c r="C49" s="449"/>
      <c r="D49" s="449"/>
      <c r="E49" s="449"/>
      <c r="F49" s="449"/>
      <c r="G49" s="449"/>
      <c r="H49" s="449"/>
      <c r="I49" s="406"/>
    </row>
    <row r="50" spans="1:9">
      <c r="A50" s="449"/>
      <c r="B50" s="449"/>
      <c r="C50" s="449"/>
      <c r="D50" s="449"/>
      <c r="E50" s="449"/>
      <c r="F50" s="449"/>
      <c r="G50" s="449"/>
      <c r="H50" s="449"/>
      <c r="I50" s="406"/>
    </row>
    <row r="51" spans="1:9">
      <c r="A51" s="449"/>
      <c r="B51" s="449"/>
      <c r="C51" s="449"/>
      <c r="D51" s="449"/>
      <c r="E51" s="449"/>
      <c r="F51" s="449"/>
      <c r="G51" s="449"/>
      <c r="H51" s="449"/>
      <c r="I51" s="406"/>
    </row>
    <row r="52" spans="1:9">
      <c r="A52" s="449"/>
      <c r="B52" s="449"/>
      <c r="C52" s="449"/>
      <c r="D52" s="449"/>
      <c r="E52" s="449"/>
      <c r="F52" s="449"/>
      <c r="G52" s="449"/>
      <c r="H52" s="449"/>
      <c r="I52" s="406"/>
    </row>
    <row r="53" spans="1:9">
      <c r="A53" s="449"/>
      <c r="B53" s="449"/>
      <c r="C53" s="449"/>
      <c r="D53" s="449"/>
      <c r="E53" s="449"/>
      <c r="F53" s="449"/>
      <c r="G53" s="449"/>
      <c r="H53" s="449"/>
      <c r="I53" s="406"/>
    </row>
    <row r="54" spans="1:9">
      <c r="A54" s="449"/>
      <c r="B54" s="449"/>
      <c r="C54" s="449"/>
      <c r="D54" s="449"/>
      <c r="E54" s="449"/>
      <c r="F54" s="449"/>
      <c r="G54" s="449"/>
      <c r="H54" s="449"/>
      <c r="I54" s="406"/>
    </row>
    <row r="55" spans="1:9">
      <c r="A55" s="449"/>
      <c r="B55" s="449"/>
      <c r="C55" s="449"/>
      <c r="D55" s="449"/>
      <c r="E55" s="449"/>
      <c r="F55" s="449"/>
      <c r="G55" s="449"/>
      <c r="H55" s="449"/>
      <c r="I55" s="406"/>
    </row>
    <row r="56" spans="1:9">
      <c r="A56" s="449"/>
      <c r="B56" s="449"/>
      <c r="C56" s="449"/>
      <c r="D56" s="449"/>
      <c r="E56" s="449"/>
      <c r="F56" s="449"/>
      <c r="G56" s="449"/>
      <c r="H56" s="449"/>
      <c r="I56" s="406"/>
    </row>
    <row r="57" spans="1:9">
      <c r="A57" s="449"/>
      <c r="B57" s="449"/>
      <c r="C57" s="449"/>
      <c r="D57" s="449"/>
      <c r="E57" s="449"/>
      <c r="F57" s="449"/>
      <c r="G57" s="449"/>
      <c r="H57" s="449"/>
      <c r="I57" s="406"/>
    </row>
    <row r="58" spans="1:9">
      <c r="A58" s="449"/>
      <c r="B58" s="449"/>
      <c r="C58" s="449"/>
      <c r="D58" s="449"/>
      <c r="E58" s="449"/>
      <c r="F58" s="449"/>
      <c r="G58" s="449"/>
      <c r="H58" s="449"/>
      <c r="I58" s="406"/>
    </row>
    <row r="59" spans="1:9">
      <c r="A59" s="449"/>
      <c r="B59" s="449"/>
      <c r="C59" s="449"/>
      <c r="D59" s="449"/>
      <c r="E59" s="449"/>
      <c r="F59" s="449"/>
      <c r="G59" s="449"/>
      <c r="H59" s="449"/>
      <c r="I59" s="406"/>
    </row>
    <row r="60" spans="1:9">
      <c r="A60" s="449"/>
      <c r="B60" s="449"/>
      <c r="C60" s="449"/>
      <c r="D60" s="449"/>
      <c r="E60" s="449"/>
      <c r="F60" s="449"/>
      <c r="G60" s="449"/>
      <c r="H60" s="449"/>
      <c r="I60" s="406"/>
    </row>
    <row r="61" spans="1:9">
      <c r="A61" s="449"/>
      <c r="B61" s="449"/>
      <c r="C61" s="449"/>
      <c r="D61" s="449"/>
      <c r="E61" s="449"/>
      <c r="F61" s="449"/>
      <c r="G61" s="449"/>
      <c r="H61" s="449"/>
      <c r="I61" s="406"/>
    </row>
    <row r="62" spans="1:9">
      <c r="A62" s="449"/>
      <c r="B62" s="449"/>
      <c r="C62" s="449"/>
      <c r="D62" s="449"/>
      <c r="E62" s="449"/>
      <c r="F62" s="449"/>
      <c r="G62" s="449"/>
      <c r="H62" s="449"/>
      <c r="I62" s="406"/>
    </row>
    <row r="63" spans="1:9">
      <c r="A63" s="449"/>
      <c r="B63" s="449"/>
      <c r="C63" s="449"/>
      <c r="D63" s="449"/>
      <c r="E63" s="449"/>
      <c r="F63" s="449"/>
      <c r="G63" s="449"/>
      <c r="H63" s="449"/>
      <c r="I63" s="406"/>
    </row>
    <row r="64" spans="1:9">
      <c r="A64" s="449"/>
      <c r="B64" s="449"/>
      <c r="C64" s="449"/>
      <c r="D64" s="449"/>
      <c r="E64" s="449"/>
      <c r="F64" s="449"/>
      <c r="G64" s="449"/>
      <c r="H64" s="449"/>
      <c r="I64" s="406"/>
    </row>
    <row r="65" spans="1:9">
      <c r="A65" s="449"/>
      <c r="B65" s="449"/>
      <c r="C65" s="449"/>
      <c r="D65" s="449"/>
      <c r="E65" s="449"/>
      <c r="F65" s="449"/>
      <c r="G65" s="449"/>
      <c r="H65" s="449"/>
      <c r="I65" s="406"/>
    </row>
    <row r="66" spans="1:9">
      <c r="A66" s="449"/>
      <c r="B66" s="449"/>
      <c r="C66" s="449"/>
      <c r="D66" s="449"/>
      <c r="E66" s="449"/>
      <c r="F66" s="449"/>
      <c r="G66" s="449"/>
      <c r="H66" s="449"/>
      <c r="I66" s="406"/>
    </row>
    <row r="67" spans="1:9">
      <c r="A67" s="449"/>
      <c r="B67" s="449"/>
      <c r="C67" s="449"/>
      <c r="D67" s="449"/>
      <c r="E67" s="449"/>
      <c r="F67" s="449"/>
      <c r="G67" s="449"/>
      <c r="H67" s="449"/>
      <c r="I67" s="406"/>
    </row>
    <row r="68" spans="1:9">
      <c r="A68" s="449"/>
      <c r="B68" s="449"/>
      <c r="C68" s="449"/>
      <c r="D68" s="449"/>
      <c r="E68" s="449"/>
      <c r="F68" s="449"/>
      <c r="G68" s="449"/>
      <c r="H68" s="449"/>
      <c r="I68" s="406"/>
    </row>
    <row r="69" spans="1:9">
      <c r="A69" s="449"/>
      <c r="B69" s="449"/>
      <c r="C69" s="449"/>
      <c r="D69" s="449"/>
      <c r="E69" s="449"/>
      <c r="F69" s="449"/>
      <c r="G69" s="449"/>
      <c r="H69" s="449"/>
      <c r="I69" s="406"/>
    </row>
    <row r="70" spans="1:9">
      <c r="A70" s="449"/>
      <c r="B70" s="449"/>
      <c r="C70" s="449"/>
      <c r="D70" s="449"/>
      <c r="E70" s="449"/>
      <c r="F70" s="449"/>
      <c r="G70" s="449"/>
      <c r="H70" s="449"/>
      <c r="I70" s="406"/>
    </row>
    <row r="71" spans="1:9">
      <c r="A71" s="449"/>
      <c r="B71" s="449"/>
      <c r="C71" s="449"/>
      <c r="D71" s="449"/>
      <c r="E71" s="449"/>
      <c r="F71" s="449"/>
      <c r="G71" s="449"/>
      <c r="H71" s="449"/>
      <c r="I71" s="406"/>
    </row>
    <row r="72" spans="1:9">
      <c r="A72" s="449"/>
      <c r="B72" s="449"/>
      <c r="C72" s="449"/>
      <c r="D72" s="449"/>
      <c r="E72" s="449"/>
      <c r="F72" s="449"/>
      <c r="G72" s="449"/>
      <c r="H72" s="449"/>
      <c r="I72" s="406"/>
    </row>
    <row r="73" spans="1:9">
      <c r="A73" s="449"/>
      <c r="B73" s="449"/>
      <c r="C73" s="449"/>
      <c r="D73" s="449"/>
      <c r="E73" s="449"/>
      <c r="F73" s="449"/>
      <c r="G73" s="449"/>
      <c r="H73" s="449"/>
      <c r="I73" s="406"/>
    </row>
    <row r="74" spans="1:9">
      <c r="A74" s="449"/>
      <c r="B74" s="449"/>
      <c r="C74" s="449"/>
      <c r="D74" s="449"/>
      <c r="E74" s="449"/>
      <c r="F74" s="449"/>
      <c r="G74" s="449"/>
      <c r="H74" s="449"/>
      <c r="I74" s="406"/>
    </row>
    <row r="75" spans="1:9">
      <c r="A75" s="449"/>
      <c r="B75" s="449"/>
      <c r="C75" s="449"/>
      <c r="D75" s="449"/>
      <c r="E75" s="449"/>
      <c r="F75" s="449"/>
      <c r="G75" s="449"/>
      <c r="H75" s="449"/>
      <c r="I75" s="406"/>
    </row>
    <row r="76" spans="1:9">
      <c r="A76" s="449"/>
      <c r="B76" s="449"/>
      <c r="C76" s="449"/>
      <c r="D76" s="449"/>
      <c r="E76" s="449"/>
      <c r="F76" s="449"/>
      <c r="G76" s="449"/>
      <c r="H76" s="449"/>
      <c r="I76" s="406"/>
    </row>
    <row r="77" spans="1:9">
      <c r="A77" s="449"/>
      <c r="B77" s="449"/>
      <c r="C77" s="449"/>
      <c r="D77" s="449"/>
      <c r="E77" s="449"/>
      <c r="F77" s="449"/>
      <c r="G77" s="449"/>
      <c r="H77" s="449"/>
      <c r="I77" s="406"/>
    </row>
    <row r="78" spans="1:9">
      <c r="A78" s="449"/>
      <c r="B78" s="449"/>
      <c r="C78" s="449"/>
      <c r="D78" s="449"/>
      <c r="E78" s="449"/>
      <c r="F78" s="449"/>
      <c r="G78" s="449"/>
      <c r="H78" s="449"/>
      <c r="I78" s="406"/>
    </row>
    <row r="79" spans="1:9">
      <c r="A79" s="449"/>
      <c r="B79" s="449"/>
      <c r="C79" s="449"/>
      <c r="D79" s="449"/>
      <c r="E79" s="449"/>
      <c r="F79" s="449"/>
      <c r="G79" s="449"/>
      <c r="H79" s="449"/>
      <c r="I79" s="406"/>
    </row>
    <row r="80" spans="1:9">
      <c r="A80" s="449"/>
      <c r="B80" s="449"/>
      <c r="C80" s="449"/>
      <c r="D80" s="449"/>
      <c r="E80" s="449"/>
      <c r="F80" s="449"/>
      <c r="G80" s="449"/>
      <c r="H80" s="449"/>
      <c r="I80" s="406"/>
    </row>
    <row r="81" spans="1:9">
      <c r="A81" s="449"/>
      <c r="B81" s="449"/>
      <c r="C81" s="449"/>
      <c r="D81" s="449"/>
      <c r="E81" s="449"/>
      <c r="F81" s="449"/>
      <c r="G81" s="449"/>
      <c r="H81" s="449"/>
      <c r="I81" s="406"/>
    </row>
    <row r="82" spans="1:9">
      <c r="A82" s="449"/>
      <c r="B82" s="449"/>
      <c r="C82" s="449"/>
      <c r="D82" s="449"/>
      <c r="E82" s="449"/>
      <c r="F82" s="449"/>
      <c r="G82" s="449"/>
      <c r="H82" s="449"/>
      <c r="I82" s="406"/>
    </row>
    <row r="83" spans="1:9">
      <c r="A83" s="449"/>
      <c r="B83" s="449"/>
      <c r="C83" s="449"/>
      <c r="D83" s="449"/>
      <c r="E83" s="449"/>
      <c r="F83" s="449"/>
      <c r="G83" s="449"/>
      <c r="H83" s="449"/>
      <c r="I83" s="406"/>
    </row>
    <row r="84" spans="1:9">
      <c r="A84" s="449"/>
      <c r="B84" s="449"/>
      <c r="C84" s="449"/>
      <c r="D84" s="449"/>
      <c r="E84" s="449"/>
      <c r="F84" s="449"/>
      <c r="G84" s="449"/>
      <c r="H84" s="449"/>
      <c r="I84" s="406"/>
    </row>
    <row r="85" spans="1:9">
      <c r="A85" s="449"/>
      <c r="B85" s="449"/>
      <c r="C85" s="449"/>
      <c r="D85" s="449"/>
      <c r="E85" s="449"/>
      <c r="F85" s="449"/>
      <c r="G85" s="449"/>
      <c r="H85" s="449"/>
      <c r="I85" s="406"/>
    </row>
    <row r="86" spans="1:9">
      <c r="A86" s="449"/>
      <c r="B86" s="449"/>
      <c r="C86" s="449"/>
      <c r="D86" s="449"/>
      <c r="E86" s="449"/>
      <c r="F86" s="449"/>
      <c r="G86" s="449"/>
      <c r="H86" s="449"/>
      <c r="I86" s="406"/>
    </row>
    <row r="87" spans="1:9">
      <c r="A87" s="449"/>
      <c r="B87" s="449"/>
      <c r="C87" s="449"/>
      <c r="D87" s="449"/>
      <c r="E87" s="449"/>
      <c r="F87" s="449"/>
      <c r="G87" s="449"/>
      <c r="H87" s="449"/>
      <c r="I87" s="406"/>
    </row>
    <row r="88" spans="1:9">
      <c r="A88" s="449"/>
      <c r="B88" s="449"/>
      <c r="C88" s="449"/>
      <c r="D88" s="449"/>
      <c r="E88" s="449"/>
      <c r="F88" s="449"/>
      <c r="G88" s="449"/>
      <c r="H88" s="449"/>
      <c r="I88" s="406"/>
    </row>
    <row r="89" spans="1:9">
      <c r="A89" s="449"/>
      <c r="B89" s="449"/>
      <c r="C89" s="449"/>
      <c r="D89" s="449"/>
      <c r="E89" s="449"/>
      <c r="F89" s="449"/>
      <c r="G89" s="449"/>
      <c r="H89" s="449"/>
      <c r="I89" s="406"/>
    </row>
    <row r="90" spans="1:9">
      <c r="A90" s="449"/>
      <c r="B90" s="449"/>
      <c r="C90" s="449"/>
      <c r="D90" s="449"/>
      <c r="E90" s="449"/>
      <c r="F90" s="449"/>
      <c r="G90" s="449"/>
      <c r="H90" s="449"/>
      <c r="I90" s="406"/>
    </row>
    <row r="91" spans="1:9">
      <c r="A91" s="449"/>
      <c r="B91" s="449"/>
      <c r="C91" s="449"/>
      <c r="D91" s="449"/>
      <c r="E91" s="449"/>
      <c r="F91" s="449"/>
      <c r="G91" s="449"/>
      <c r="H91" s="449"/>
      <c r="I91" s="406"/>
    </row>
    <row r="92" spans="1:9">
      <c r="A92" s="449"/>
      <c r="B92" s="449"/>
      <c r="C92" s="449"/>
      <c r="D92" s="449"/>
      <c r="E92" s="449"/>
      <c r="F92" s="449"/>
      <c r="G92" s="449"/>
      <c r="H92" s="449"/>
      <c r="I92" s="406"/>
    </row>
    <row r="93" spans="1:9">
      <c r="A93" s="449"/>
      <c r="B93" s="449"/>
      <c r="C93" s="449"/>
      <c r="D93" s="449"/>
      <c r="E93" s="449"/>
      <c r="F93" s="449"/>
      <c r="G93" s="449"/>
      <c r="H93" s="449"/>
      <c r="I93" s="406"/>
    </row>
    <row r="94" spans="1:9">
      <c r="A94" s="449"/>
      <c r="B94" s="449"/>
      <c r="C94" s="449"/>
      <c r="D94" s="449"/>
      <c r="E94" s="449"/>
      <c r="F94" s="449"/>
      <c r="G94" s="449"/>
      <c r="H94" s="449"/>
      <c r="I94" s="406"/>
    </row>
    <row r="95" spans="1:9">
      <c r="A95" s="449"/>
      <c r="B95" s="449"/>
      <c r="C95" s="449"/>
      <c r="D95" s="449"/>
      <c r="E95" s="449"/>
      <c r="F95" s="449"/>
      <c r="G95" s="449"/>
      <c r="H95" s="449"/>
      <c r="I95" s="406"/>
    </row>
    <row r="96" spans="1:9">
      <c r="A96" s="449"/>
      <c r="B96" s="449"/>
      <c r="C96" s="449"/>
      <c r="D96" s="449"/>
      <c r="E96" s="449"/>
      <c r="F96" s="449"/>
      <c r="G96" s="449"/>
      <c r="H96" s="449"/>
      <c r="I96" s="406"/>
    </row>
    <row r="97" spans="1:9">
      <c r="A97" s="449"/>
      <c r="B97" s="449"/>
      <c r="C97" s="449"/>
      <c r="D97" s="449"/>
      <c r="E97" s="449"/>
      <c r="F97" s="449"/>
      <c r="G97" s="449"/>
      <c r="H97" s="449"/>
      <c r="I97" s="406"/>
    </row>
    <row r="98" spans="1:9">
      <c r="A98" s="449"/>
      <c r="B98" s="449"/>
      <c r="C98" s="449"/>
      <c r="D98" s="449"/>
      <c r="E98" s="449"/>
      <c r="F98" s="449"/>
      <c r="G98" s="449"/>
      <c r="H98" s="449"/>
      <c r="I98" s="406"/>
    </row>
    <row r="99" spans="1:9">
      <c r="A99" s="449"/>
      <c r="B99" s="449"/>
      <c r="C99" s="449"/>
      <c r="D99" s="449"/>
      <c r="E99" s="449"/>
      <c r="F99" s="449"/>
      <c r="G99" s="449"/>
      <c r="H99" s="449"/>
      <c r="I99" s="406"/>
    </row>
    <row r="100" spans="1:9">
      <c r="A100" s="449"/>
      <c r="B100" s="449"/>
      <c r="C100" s="449"/>
      <c r="D100" s="449"/>
      <c r="E100" s="449"/>
      <c r="F100" s="449"/>
      <c r="G100" s="449"/>
      <c r="H100" s="449"/>
      <c r="I100" s="406"/>
    </row>
  </sheetData>
  <sheetProtection sheet="1" objects="1" scenarios="1"/>
  <mergeCells count="1">
    <mergeCell ref="E9:E10"/>
  </mergeCells>
  <phoneticPr fontId="127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1:W55"/>
  <sheetViews>
    <sheetView showGridLines="0" tabSelected="1" workbookViewId="0">
      <pane ySplit="9" topLeftCell="A37" activePane="bottomLeft" state="frozenSplit"/>
      <selection pane="bottomLeft" activeCell="A36" sqref="A36"/>
    </sheetView>
  </sheetViews>
  <sheetFormatPr baseColWidth="10" defaultRowHeight="15"/>
  <cols>
    <col min="1" max="1" width="22.85546875" style="450" customWidth="1"/>
    <col min="2" max="2" width="14.7109375" style="450" customWidth="1"/>
    <col min="3" max="3" width="16.7109375" style="450" customWidth="1"/>
    <col min="4" max="20" width="14.28515625" style="450" customWidth="1"/>
    <col min="21" max="21" width="14.7109375" style="450" customWidth="1"/>
  </cols>
  <sheetData>
    <row r="1" spans="1:22" s="95" customFormat="1">
      <c r="A1" s="1005" t="s">
        <v>15</v>
      </c>
      <c r="B1" s="1006"/>
      <c r="C1" s="1007"/>
      <c r="D1" s="1006"/>
      <c r="E1" s="1006"/>
      <c r="F1" s="1006"/>
      <c r="G1" s="1006"/>
      <c r="H1" s="1006"/>
      <c r="I1" s="1006"/>
      <c r="J1" s="1006"/>
      <c r="K1" s="1006"/>
      <c r="L1" s="1006"/>
      <c r="M1" s="1006"/>
      <c r="N1" s="1006"/>
      <c r="O1" s="1006"/>
      <c r="P1" s="1006"/>
      <c r="Q1" s="1007"/>
      <c r="R1" s="1007"/>
      <c r="S1" s="1007"/>
      <c r="T1" s="1007"/>
      <c r="U1" s="1008"/>
    </row>
    <row r="2" spans="1:22" s="95" customFormat="1" ht="11.25" customHeight="1">
      <c r="A2" s="1009"/>
      <c r="B2" s="1010"/>
      <c r="C2" s="1011"/>
      <c r="D2" s="1010"/>
      <c r="E2" s="1010"/>
      <c r="F2" s="1010"/>
      <c r="G2" s="1010"/>
      <c r="H2" s="1010"/>
      <c r="I2" s="1010"/>
      <c r="J2" s="1010"/>
      <c r="K2" s="1010"/>
      <c r="L2" s="1010"/>
      <c r="M2" s="1010"/>
      <c r="N2" s="1010"/>
      <c r="O2" s="1010"/>
      <c r="P2" s="1010"/>
      <c r="Q2" s="1011"/>
      <c r="R2" s="1011"/>
      <c r="S2" s="1011"/>
      <c r="T2" s="1011"/>
      <c r="U2" s="1012"/>
    </row>
    <row r="3" spans="1:22" s="95" customFormat="1" ht="21">
      <c r="A3" s="2103" t="s">
        <v>393</v>
      </c>
      <c r="B3" s="2104"/>
      <c r="C3" s="2104"/>
      <c r="D3" s="2104"/>
      <c r="E3" s="2104"/>
      <c r="F3" s="2104"/>
      <c r="G3" s="2104"/>
      <c r="H3" s="2104"/>
      <c r="I3" s="2104"/>
      <c r="J3" s="2104"/>
      <c r="K3" s="2104"/>
      <c r="L3" s="2104"/>
      <c r="M3" s="2104"/>
      <c r="N3" s="2104"/>
      <c r="O3" s="2104"/>
      <c r="P3" s="2104"/>
      <c r="Q3" s="2104"/>
      <c r="R3" s="2104"/>
      <c r="S3" s="2104"/>
      <c r="T3" s="2104"/>
      <c r="U3" s="2105"/>
    </row>
    <row r="4" spans="1:22" s="95" customFormat="1" ht="13.5">
      <c r="A4" s="1013"/>
      <c r="B4" s="1014"/>
      <c r="C4" s="1015"/>
      <c r="D4" s="1014"/>
      <c r="E4" s="1014"/>
      <c r="F4" s="1014"/>
      <c r="G4" s="1014"/>
      <c r="H4" s="1014"/>
      <c r="I4" s="1014"/>
      <c r="J4" s="1014"/>
      <c r="K4" s="1014"/>
      <c r="L4" s="1014"/>
      <c r="M4" s="1014"/>
      <c r="N4" s="1014"/>
      <c r="O4" s="1014"/>
      <c r="P4" s="1014"/>
      <c r="Q4" s="1015"/>
      <c r="R4" s="1015"/>
      <c r="S4" s="1015"/>
      <c r="T4" s="1015"/>
      <c r="U4" s="1016"/>
    </row>
    <row r="5" spans="1:22" s="95" customFormat="1">
      <c r="A5" s="1017" t="s">
        <v>394</v>
      </c>
      <c r="B5" s="1018">
        <v>400213</v>
      </c>
      <c r="C5" s="1019"/>
      <c r="D5" s="1020"/>
      <c r="E5" s="1020"/>
      <c r="F5" s="1020"/>
      <c r="G5" s="1020"/>
      <c r="H5" s="1020"/>
      <c r="I5" s="1020"/>
      <c r="J5" s="1020"/>
      <c r="K5" s="1020"/>
      <c r="L5" s="1020"/>
      <c r="M5" s="1020"/>
      <c r="N5" s="1020"/>
      <c r="O5" s="1020"/>
      <c r="P5" s="1020"/>
      <c r="Q5" s="1021"/>
      <c r="R5" s="1021"/>
      <c r="S5" s="1021"/>
      <c r="T5" s="1021"/>
      <c r="U5" s="1022">
        <f>SYNTHESE!D7</f>
        <v>42800</v>
      </c>
    </row>
    <row r="6" spans="1:22" s="95" customFormat="1">
      <c r="A6" s="1023" t="s">
        <v>158</v>
      </c>
      <c r="B6" s="1024" t="str">
        <f>SYNTHESE!E6</f>
        <v xml:space="preserve">LES FAUBOURGS D'ANFA </v>
      </c>
      <c r="C6" s="1025"/>
      <c r="D6" s="1024"/>
      <c r="E6" s="1024"/>
      <c r="F6" s="1024"/>
      <c r="G6" s="1024"/>
      <c r="H6" s="1024"/>
      <c r="I6" s="1024"/>
      <c r="J6" s="1024"/>
      <c r="K6" s="1024"/>
      <c r="L6" s="1024"/>
      <c r="M6" s="1024"/>
      <c r="N6" s="1024"/>
      <c r="O6" s="1024"/>
      <c r="P6" s="1024"/>
      <c r="Q6" s="1026"/>
      <c r="R6" s="1026"/>
      <c r="S6" s="1026"/>
      <c r="T6" s="1026"/>
      <c r="U6" s="1027" t="s">
        <v>160</v>
      </c>
    </row>
    <row r="7" spans="1:22" s="95" customFormat="1">
      <c r="A7" s="1028" t="s">
        <v>161</v>
      </c>
      <c r="B7" s="1029" t="str">
        <f>SYNTHESE!N4</f>
        <v>1 € = 10,85dh</v>
      </c>
      <c r="C7" s="1025"/>
      <c r="D7" s="1024"/>
      <c r="E7" s="1024"/>
      <c r="F7" s="1024"/>
      <c r="G7" s="1024"/>
      <c r="H7" s="1024"/>
      <c r="I7" s="1024"/>
      <c r="J7" s="1024"/>
      <c r="K7" s="1024"/>
      <c r="L7" s="1029"/>
      <c r="M7" s="1029"/>
      <c r="N7" s="1029"/>
      <c r="O7" s="1029"/>
      <c r="P7" s="1024"/>
      <c r="Q7" s="1014"/>
      <c r="R7" s="1014"/>
      <c r="S7" s="1014"/>
      <c r="T7" s="1014"/>
      <c r="U7" s="1030"/>
    </row>
    <row r="8" spans="1:22" s="96" customFormat="1" ht="12" customHeight="1">
      <c r="A8" s="1031"/>
      <c r="B8" s="1032"/>
      <c r="C8" s="1033"/>
      <c r="D8" s="1034">
        <v>1</v>
      </c>
      <c r="E8" s="1034">
        <v>1</v>
      </c>
      <c r="F8" s="1034">
        <v>1</v>
      </c>
      <c r="G8" s="1034">
        <v>2</v>
      </c>
      <c r="H8" s="1034">
        <v>3</v>
      </c>
      <c r="I8" s="1034">
        <v>4</v>
      </c>
      <c r="J8" s="1034">
        <v>5</v>
      </c>
      <c r="K8" s="1034">
        <v>6</v>
      </c>
      <c r="L8" s="1034">
        <v>7</v>
      </c>
      <c r="M8" s="1034">
        <f t="shared" ref="M8" si="0">+L8+1</f>
        <v>8</v>
      </c>
      <c r="N8" s="1034">
        <f>+M8+1</f>
        <v>9</v>
      </c>
      <c r="O8" s="1034">
        <f>+N8+1</f>
        <v>10</v>
      </c>
      <c r="P8" s="1034">
        <v>11</v>
      </c>
      <c r="Q8" s="1034">
        <v>12</v>
      </c>
      <c r="R8" s="1034">
        <v>13</v>
      </c>
      <c r="S8" s="1034">
        <v>14</v>
      </c>
      <c r="T8" s="1035">
        <v>15</v>
      </c>
      <c r="U8" s="1894"/>
    </row>
    <row r="9" spans="1:22" s="95" customFormat="1" ht="45" customHeight="1">
      <c r="A9" s="1036"/>
      <c r="B9" s="1037"/>
      <c r="C9" s="1038" t="s">
        <v>337</v>
      </c>
      <c r="D9" s="1039" t="s">
        <v>172</v>
      </c>
      <c r="E9" s="1039" t="s">
        <v>351</v>
      </c>
      <c r="F9" s="1039" t="s">
        <v>395</v>
      </c>
      <c r="G9" s="1039" t="s">
        <v>396</v>
      </c>
      <c r="H9" s="1039" t="s">
        <v>85</v>
      </c>
      <c r="I9" s="1039" t="s">
        <v>397</v>
      </c>
      <c r="J9" s="1039" t="s">
        <v>398</v>
      </c>
      <c r="K9" s="1039" t="s">
        <v>399</v>
      </c>
      <c r="L9" s="1039" t="s">
        <v>400</v>
      </c>
      <c r="M9" s="1039" t="s">
        <v>401</v>
      </c>
      <c r="N9" s="1039" t="s">
        <v>402</v>
      </c>
      <c r="O9" s="1039" t="s">
        <v>403</v>
      </c>
      <c r="P9" s="1039" t="s">
        <v>404</v>
      </c>
      <c r="Q9" s="1039" t="s">
        <v>405</v>
      </c>
      <c r="R9" s="1039" t="s">
        <v>406</v>
      </c>
      <c r="S9" s="1040" t="s">
        <v>407</v>
      </c>
      <c r="T9" s="1040" t="s">
        <v>407</v>
      </c>
      <c r="U9" s="1895" t="s">
        <v>332</v>
      </c>
    </row>
    <row r="10" spans="1:22" s="95" customFormat="1" ht="15.95" customHeight="1">
      <c r="A10" s="1041" t="s">
        <v>172</v>
      </c>
      <c r="B10" s="1042"/>
      <c r="C10" s="1043">
        <v>75178182.225549996</v>
      </c>
      <c r="D10" s="1044"/>
      <c r="E10" s="1044"/>
      <c r="F10" s="1044"/>
      <c r="G10" s="1044"/>
      <c r="H10" s="1044"/>
      <c r="I10" s="1044"/>
      <c r="J10" s="1044"/>
      <c r="K10" s="1044"/>
      <c r="L10" s="1044"/>
      <c r="M10" s="1044"/>
      <c r="N10" s="1045"/>
      <c r="O10" s="1044"/>
      <c r="P10" s="1044"/>
      <c r="Q10" s="1046"/>
      <c r="R10" s="1046"/>
      <c r="S10" s="1046"/>
      <c r="T10" s="1047"/>
      <c r="U10" s="1896">
        <f>SUM(C10:T10)</f>
        <v>75178182.225549996</v>
      </c>
      <c r="V10" s="97"/>
    </row>
    <row r="11" spans="1:22" s="95" customFormat="1" ht="15.95" customHeight="1">
      <c r="A11" s="1041" t="s">
        <v>85</v>
      </c>
      <c r="B11" s="1042"/>
      <c r="C11" s="1043">
        <v>18719141.815000001</v>
      </c>
      <c r="D11" s="1044"/>
      <c r="E11" s="1044"/>
      <c r="F11" s="1044"/>
      <c r="G11" s="1044"/>
      <c r="H11" s="1044"/>
      <c r="I11" s="1044"/>
      <c r="J11" s="1044"/>
      <c r="K11" s="1044"/>
      <c r="L11" s="1044"/>
      <c r="M11" s="1044"/>
      <c r="N11" s="1045"/>
      <c r="O11" s="1044"/>
      <c r="P11" s="1044"/>
      <c r="Q11" s="1046"/>
      <c r="R11" s="1046"/>
      <c r="S11" s="1046"/>
      <c r="T11" s="1047"/>
      <c r="U11" s="1896">
        <f>SUM(C11:T11)</f>
        <v>18719141.815000001</v>
      </c>
      <c r="V11" s="97"/>
    </row>
    <row r="12" spans="1:22" s="95" customFormat="1" ht="15.95" customHeight="1">
      <c r="A12" s="1041" t="s">
        <v>86</v>
      </c>
      <c r="B12" s="1042"/>
      <c r="C12" s="1043">
        <v>22502671.491914112</v>
      </c>
      <c r="D12" s="1044"/>
      <c r="E12" s="1044"/>
      <c r="F12" s="1044"/>
      <c r="G12" s="1044"/>
      <c r="H12" s="1044"/>
      <c r="I12" s="1044"/>
      <c r="J12" s="1044"/>
      <c r="K12" s="1044"/>
      <c r="L12" s="1044"/>
      <c r="M12" s="1044"/>
      <c r="N12" s="1045"/>
      <c r="O12" s="1044"/>
      <c r="P12" s="1044"/>
      <c r="Q12" s="1046"/>
      <c r="R12" s="1046"/>
      <c r="S12" s="1046"/>
      <c r="T12" s="1047"/>
      <c r="U12" s="1896">
        <f>SUM(C12:T12)</f>
        <v>22502671.491914112</v>
      </c>
      <c r="V12" s="97"/>
    </row>
    <row r="13" spans="1:22" s="95" customFormat="1" ht="15.95" customHeight="1">
      <c r="A13" s="1041" t="s">
        <v>87</v>
      </c>
      <c r="B13" s="1042"/>
      <c r="C13" s="1043">
        <v>15368191.59</v>
      </c>
      <c r="D13" s="1044"/>
      <c r="E13" s="1044"/>
      <c r="F13" s="1044"/>
      <c r="G13" s="1044"/>
      <c r="H13" s="1044"/>
      <c r="I13" s="1044"/>
      <c r="J13" s="1044"/>
      <c r="K13" s="1044"/>
      <c r="L13" s="1044"/>
      <c r="M13" s="1044"/>
      <c r="N13" s="1044"/>
      <c r="O13" s="1044"/>
      <c r="P13" s="1048"/>
      <c r="Q13" s="1046"/>
      <c r="R13" s="1046"/>
      <c r="S13" s="1046"/>
      <c r="T13" s="1047"/>
      <c r="U13" s="1896">
        <f>SUM(C13:T13)</f>
        <v>15368191.59</v>
      </c>
      <c r="V13" s="97"/>
    </row>
    <row r="14" spans="1:22" s="95" customFormat="1" ht="18" customHeight="1">
      <c r="A14" s="1049" t="s">
        <v>409</v>
      </c>
      <c r="B14" s="1050"/>
      <c r="C14" s="1051">
        <f>SUM(C10:C13)</f>
        <v>131768187.12246411</v>
      </c>
      <c r="D14" s="1052">
        <f t="shared" ref="D14:U14" si="1">SUM(D10:D13)</f>
        <v>0</v>
      </c>
      <c r="E14" s="1052">
        <f t="shared" si="1"/>
        <v>0</v>
      </c>
      <c r="F14" s="1052">
        <f t="shared" si="1"/>
        <v>0</v>
      </c>
      <c r="G14" s="1052">
        <f t="shared" si="1"/>
        <v>0</v>
      </c>
      <c r="H14" s="1052">
        <f t="shared" si="1"/>
        <v>0</v>
      </c>
      <c r="I14" s="1052">
        <f t="shared" si="1"/>
        <v>0</v>
      </c>
      <c r="J14" s="1052">
        <f t="shared" si="1"/>
        <v>0</v>
      </c>
      <c r="K14" s="1052">
        <f t="shared" si="1"/>
        <v>0</v>
      </c>
      <c r="L14" s="1052">
        <f t="shared" si="1"/>
        <v>0</v>
      </c>
      <c r="M14" s="1052">
        <f t="shared" si="1"/>
        <v>0</v>
      </c>
      <c r="N14" s="1052">
        <f t="shared" si="1"/>
        <v>0</v>
      </c>
      <c r="O14" s="1052">
        <f t="shared" si="1"/>
        <v>0</v>
      </c>
      <c r="P14" s="1052">
        <f t="shared" si="1"/>
        <v>0</v>
      </c>
      <c r="Q14" s="1053">
        <f t="shared" si="1"/>
        <v>0</v>
      </c>
      <c r="R14" s="1053">
        <f t="shared" si="1"/>
        <v>0</v>
      </c>
      <c r="S14" s="1053">
        <f t="shared" si="1"/>
        <v>0</v>
      </c>
      <c r="T14" s="1054">
        <f t="shared" si="1"/>
        <v>0</v>
      </c>
      <c r="U14" s="1897">
        <f t="shared" si="1"/>
        <v>131768187.12246411</v>
      </c>
      <c r="V14" s="98"/>
    </row>
    <row r="15" spans="1:22" s="95" customFormat="1" ht="15.95" customHeight="1">
      <c r="A15" s="1055" t="s">
        <v>986</v>
      </c>
      <c r="B15" s="1056"/>
      <c r="C15" s="1057">
        <v>9247357.6799999997</v>
      </c>
      <c r="D15" s="1058"/>
      <c r="E15" s="1058"/>
      <c r="F15" s="1058"/>
      <c r="G15" s="1058"/>
      <c r="H15" s="1058"/>
      <c r="I15" s="1058"/>
      <c r="J15" s="1058"/>
      <c r="K15" s="1058"/>
      <c r="L15" s="1058"/>
      <c r="M15" s="1058"/>
      <c r="N15" s="1059"/>
      <c r="O15" s="1058"/>
      <c r="P15" s="1058"/>
      <c r="Q15" s="1060"/>
      <c r="R15" s="1060"/>
      <c r="S15" s="1060"/>
      <c r="T15" s="1061"/>
      <c r="U15" s="1898">
        <f t="shared" ref="U15:U33" si="2">SUM(C15:T15)</f>
        <v>9247357.6799999997</v>
      </c>
      <c r="V15" s="98"/>
    </row>
    <row r="16" spans="1:22" s="95" customFormat="1" ht="15.95" customHeight="1">
      <c r="A16" s="1041" t="s">
        <v>353</v>
      </c>
      <c r="B16" s="1062"/>
      <c r="C16" s="1043">
        <v>3265057.68</v>
      </c>
      <c r="D16" s="1063"/>
      <c r="E16" s="1063"/>
      <c r="F16" s="1063"/>
      <c r="G16" s="1063"/>
      <c r="H16" s="1063"/>
      <c r="I16" s="1063"/>
      <c r="J16" s="1063"/>
      <c r="K16" s="1063"/>
      <c r="L16" s="1063"/>
      <c r="M16" s="1063"/>
      <c r="N16" s="1064"/>
      <c r="O16" s="1063"/>
      <c r="P16" s="1063"/>
      <c r="Q16" s="1065"/>
      <c r="R16" s="1065"/>
      <c r="S16" s="1065"/>
      <c r="T16" s="1066"/>
      <c r="U16" s="1899">
        <f t="shared" si="2"/>
        <v>3265057.68</v>
      </c>
      <c r="V16" s="97"/>
    </row>
    <row r="17" spans="1:22" s="95" customFormat="1" ht="15.95" customHeight="1">
      <c r="A17" s="1041" t="s">
        <v>397</v>
      </c>
      <c r="B17" s="1062"/>
      <c r="C17" s="1043">
        <v>5982300</v>
      </c>
      <c r="D17" s="1063"/>
      <c r="E17" s="1063"/>
      <c r="F17" s="1063"/>
      <c r="G17" s="1063"/>
      <c r="H17" s="1063"/>
      <c r="I17" s="1063"/>
      <c r="J17" s="1063"/>
      <c r="K17" s="1063"/>
      <c r="L17" s="1063"/>
      <c r="M17" s="1063"/>
      <c r="N17" s="1064"/>
      <c r="O17" s="1063"/>
      <c r="P17" s="1063"/>
      <c r="Q17" s="1065"/>
      <c r="R17" s="1065"/>
      <c r="S17" s="1065"/>
      <c r="T17" s="1066"/>
      <c r="U17" s="1899">
        <f t="shared" si="2"/>
        <v>5982300</v>
      </c>
      <c r="V17" s="97"/>
    </row>
    <row r="18" spans="1:22" s="95" customFormat="1" ht="15.95" customHeight="1">
      <c r="A18" s="1041" t="s">
        <v>988</v>
      </c>
      <c r="B18" s="1056"/>
      <c r="C18" s="1043">
        <v>1000000</v>
      </c>
      <c r="D18" s="1063"/>
      <c r="E18" s="1063"/>
      <c r="F18" s="1063"/>
      <c r="G18" s="1063"/>
      <c r="H18" s="1063"/>
      <c r="I18" s="1063"/>
      <c r="J18" s="1063"/>
      <c r="K18" s="1063"/>
      <c r="L18" s="1063"/>
      <c r="M18" s="1063"/>
      <c r="N18" s="1064"/>
      <c r="O18" s="1063"/>
      <c r="P18" s="1063"/>
      <c r="Q18" s="1065"/>
      <c r="R18" s="1065"/>
      <c r="S18" s="1065"/>
      <c r="T18" s="1066"/>
      <c r="U18" s="1899">
        <f t="shared" si="2"/>
        <v>1000000</v>
      </c>
      <c r="V18" s="97"/>
    </row>
    <row r="19" spans="1:22" s="95" customFormat="1" ht="15.95" customHeight="1">
      <c r="A19" s="1055" t="s">
        <v>983</v>
      </c>
      <c r="B19" s="1062"/>
      <c r="C19" s="1057">
        <v>84248000</v>
      </c>
      <c r="D19" s="1058"/>
      <c r="E19" s="1058"/>
      <c r="F19" s="1058"/>
      <c r="G19" s="1058"/>
      <c r="H19" s="1058"/>
      <c r="I19" s="1058"/>
      <c r="J19" s="1058"/>
      <c r="K19" s="1058"/>
      <c r="L19" s="1058"/>
      <c r="M19" s="1058"/>
      <c r="N19" s="1059"/>
      <c r="O19" s="1058"/>
      <c r="P19" s="1058"/>
      <c r="Q19" s="1060"/>
      <c r="R19" s="1060"/>
      <c r="S19" s="1060"/>
      <c r="T19" s="1061"/>
      <c r="U19" s="1898">
        <f t="shared" si="2"/>
        <v>84248000</v>
      </c>
      <c r="V19" s="97"/>
    </row>
    <row r="20" spans="1:22" s="95" customFormat="1" ht="15.95" customHeight="1">
      <c r="A20" s="1041" t="s">
        <v>357</v>
      </c>
      <c r="B20" s="1062"/>
      <c r="C20" s="1043">
        <v>9853000</v>
      </c>
      <c r="D20" s="1063"/>
      <c r="E20" s="1063"/>
      <c r="F20" s="1063"/>
      <c r="G20" s="1063"/>
      <c r="H20" s="1063"/>
      <c r="I20" s="1063"/>
      <c r="J20" s="1063"/>
      <c r="K20" s="1063"/>
      <c r="L20" s="1063"/>
      <c r="M20" s="1063"/>
      <c r="N20" s="1064"/>
      <c r="O20" s="1063"/>
      <c r="P20" s="1063"/>
      <c r="Q20" s="1065"/>
      <c r="R20" s="1065"/>
      <c r="S20" s="1063"/>
      <c r="T20" s="1066"/>
      <c r="U20" s="1899">
        <f t="shared" si="2"/>
        <v>9853000</v>
      </c>
      <c r="V20" s="97"/>
    </row>
    <row r="21" spans="1:22" s="95" customFormat="1" ht="15.95" customHeight="1">
      <c r="A21" s="1041" t="s">
        <v>593</v>
      </c>
      <c r="B21" s="1062"/>
      <c r="C21" s="1043">
        <v>12000000</v>
      </c>
      <c r="D21" s="1063"/>
      <c r="E21" s="1063"/>
      <c r="F21" s="1063"/>
      <c r="G21" s="1063"/>
      <c r="H21" s="1063"/>
      <c r="I21" s="1063"/>
      <c r="J21" s="1063"/>
      <c r="K21" s="1063"/>
      <c r="L21" s="1063"/>
      <c r="M21" s="1063"/>
      <c r="N21" s="1064"/>
      <c r="O21" s="1063"/>
      <c r="P21" s="1063"/>
      <c r="Q21" s="1065"/>
      <c r="R21" s="1065"/>
      <c r="S21" s="1065"/>
      <c r="T21" s="1066"/>
      <c r="U21" s="1899">
        <f t="shared" si="2"/>
        <v>12000000</v>
      </c>
      <c r="V21" s="97"/>
    </row>
    <row r="22" spans="1:22" s="95" customFormat="1" ht="15.95" customHeight="1">
      <c r="A22" s="1041" t="s">
        <v>596</v>
      </c>
      <c r="B22" s="1042"/>
      <c r="C22" s="1043">
        <v>19991000</v>
      </c>
      <c r="D22" s="1067"/>
      <c r="E22" s="1067"/>
      <c r="F22" s="1067"/>
      <c r="G22" s="1067"/>
      <c r="H22" s="1067"/>
      <c r="I22" s="1067"/>
      <c r="J22" s="1067"/>
      <c r="K22" s="1067"/>
      <c r="L22" s="1063"/>
      <c r="M22" s="1063"/>
      <c r="N22" s="1063"/>
      <c r="O22" s="1063"/>
      <c r="P22" s="1067"/>
      <c r="Q22" s="1065"/>
      <c r="R22" s="1065"/>
      <c r="S22" s="1065"/>
      <c r="T22" s="1066"/>
      <c r="U22" s="1899">
        <f t="shared" si="2"/>
        <v>19991000</v>
      </c>
      <c r="V22" s="97"/>
    </row>
    <row r="23" spans="1:22" s="95" customFormat="1" ht="15.95" customHeight="1">
      <c r="A23" s="1041" t="s">
        <v>599</v>
      </c>
      <c r="B23" s="1042"/>
      <c r="C23" s="1043">
        <v>32798000</v>
      </c>
      <c r="D23" s="1067"/>
      <c r="E23" s="1067"/>
      <c r="F23" s="1067"/>
      <c r="G23" s="1067"/>
      <c r="H23" s="1067"/>
      <c r="I23" s="1067"/>
      <c r="J23" s="1067"/>
      <c r="K23" s="1067"/>
      <c r="L23" s="1063"/>
      <c r="M23" s="1063"/>
      <c r="N23" s="1063"/>
      <c r="O23" s="1063"/>
      <c r="P23" s="1067"/>
      <c r="Q23" s="1065"/>
      <c r="R23" s="1065"/>
      <c r="S23" s="1065"/>
      <c r="T23" s="1066"/>
      <c r="U23" s="1899">
        <f t="shared" si="2"/>
        <v>32798000</v>
      </c>
      <c r="V23" s="97"/>
    </row>
    <row r="24" spans="1:22" s="95" customFormat="1" ht="15.95" customHeight="1">
      <c r="A24" s="1041" t="s">
        <v>602</v>
      </c>
      <c r="B24" s="1042"/>
      <c r="C24" s="1043">
        <v>4365000</v>
      </c>
      <c r="D24" s="1067"/>
      <c r="E24" s="1067"/>
      <c r="F24" s="1067"/>
      <c r="G24" s="1067"/>
      <c r="H24" s="1067"/>
      <c r="I24" s="1067"/>
      <c r="J24" s="1067"/>
      <c r="K24" s="1067"/>
      <c r="L24" s="1063"/>
      <c r="M24" s="1063"/>
      <c r="N24" s="1063"/>
      <c r="O24" s="1063"/>
      <c r="P24" s="1067"/>
      <c r="Q24" s="1065"/>
      <c r="R24" s="1065"/>
      <c r="S24" s="1065"/>
      <c r="T24" s="1066"/>
      <c r="U24" s="1899">
        <f t="shared" si="2"/>
        <v>4365000</v>
      </c>
      <c r="V24" s="97"/>
    </row>
    <row r="25" spans="1:22" s="95" customFormat="1" ht="15.95" customHeight="1">
      <c r="A25" s="1041" t="s">
        <v>433</v>
      </c>
      <c r="B25" s="1042"/>
      <c r="C25" s="1043">
        <v>7910000</v>
      </c>
      <c r="D25" s="1067"/>
      <c r="E25" s="1067"/>
      <c r="F25" s="1067"/>
      <c r="G25" s="1067"/>
      <c r="H25" s="1067"/>
      <c r="I25" s="1067"/>
      <c r="J25" s="1067"/>
      <c r="K25" s="1067"/>
      <c r="L25" s="1063"/>
      <c r="M25" s="1063"/>
      <c r="N25" s="1063"/>
      <c r="O25" s="1063"/>
      <c r="P25" s="1067"/>
      <c r="Q25" s="1065"/>
      <c r="R25" s="1065"/>
      <c r="S25" s="1065"/>
      <c r="T25" s="1066"/>
      <c r="U25" s="1899">
        <f t="shared" si="2"/>
        <v>7910000</v>
      </c>
      <c r="V25" s="97"/>
    </row>
    <row r="26" spans="1:22" s="95" customFormat="1" ht="15.95" customHeight="1">
      <c r="A26" s="1070" t="s">
        <v>434</v>
      </c>
      <c r="B26" s="1042"/>
      <c r="C26" s="1043">
        <v>7331000</v>
      </c>
      <c r="D26" s="1067"/>
      <c r="E26" s="1067"/>
      <c r="F26" s="1067"/>
      <c r="G26" s="1067"/>
      <c r="H26" s="1067"/>
      <c r="I26" s="1067"/>
      <c r="J26" s="1067"/>
      <c r="K26" s="1067"/>
      <c r="L26" s="1063"/>
      <c r="M26" s="1063"/>
      <c r="N26" s="1063"/>
      <c r="O26" s="1063"/>
      <c r="P26" s="1067"/>
      <c r="Q26" s="1066"/>
      <c r="R26" s="1066"/>
      <c r="S26" s="1066"/>
      <c r="T26" s="1066"/>
      <c r="U26" s="1899">
        <f t="shared" si="2"/>
        <v>7331000</v>
      </c>
      <c r="V26" s="97"/>
    </row>
    <row r="27" spans="1:22" s="95" customFormat="1" ht="15.95" customHeight="1">
      <c r="A27" s="1068" t="s">
        <v>984</v>
      </c>
      <c r="B27" s="1042"/>
      <c r="C27" s="1057">
        <v>35514000</v>
      </c>
      <c r="D27" s="1069"/>
      <c r="E27" s="1069"/>
      <c r="F27" s="1069"/>
      <c r="G27" s="1069"/>
      <c r="H27" s="1069"/>
      <c r="I27" s="1069"/>
      <c r="J27" s="1069"/>
      <c r="K27" s="1069"/>
      <c r="L27" s="1058"/>
      <c r="M27" s="1058"/>
      <c r="N27" s="1058"/>
      <c r="O27" s="1058"/>
      <c r="P27" s="1069"/>
      <c r="Q27" s="1061"/>
      <c r="R27" s="1061"/>
      <c r="S27" s="1061"/>
      <c r="T27" s="1061"/>
      <c r="U27" s="1898">
        <f t="shared" si="2"/>
        <v>35514000</v>
      </c>
      <c r="V27" s="97"/>
    </row>
    <row r="28" spans="1:22" s="95" customFormat="1" ht="15.95" customHeight="1">
      <c r="A28" s="1070" t="s">
        <v>358</v>
      </c>
      <c r="B28" s="1042"/>
      <c r="C28" s="1043">
        <v>336000</v>
      </c>
      <c r="D28" s="1067"/>
      <c r="E28" s="1067"/>
      <c r="F28" s="1067"/>
      <c r="G28" s="1067"/>
      <c r="H28" s="1067"/>
      <c r="I28" s="1067"/>
      <c r="J28" s="1067"/>
      <c r="K28" s="1067"/>
      <c r="L28" s="1063"/>
      <c r="M28" s="1063"/>
      <c r="N28" s="1063"/>
      <c r="O28" s="1063"/>
      <c r="P28" s="1067"/>
      <c r="Q28" s="1066"/>
      <c r="R28" s="1066"/>
      <c r="S28" s="1066"/>
      <c r="T28" s="1066"/>
      <c r="U28" s="1899">
        <f t="shared" si="2"/>
        <v>336000</v>
      </c>
      <c r="V28" s="97"/>
    </row>
    <row r="29" spans="1:22" s="95" customFormat="1" ht="15.95" customHeight="1">
      <c r="A29" s="1070" t="s">
        <v>612</v>
      </c>
      <c r="B29" s="1042"/>
      <c r="C29" s="1043">
        <v>9346000</v>
      </c>
      <c r="D29" s="1067"/>
      <c r="E29" s="1067"/>
      <c r="F29" s="1067"/>
      <c r="G29" s="1067"/>
      <c r="H29" s="1067"/>
      <c r="I29" s="1067"/>
      <c r="J29" s="1067"/>
      <c r="K29" s="1067"/>
      <c r="L29" s="1063"/>
      <c r="M29" s="1063"/>
      <c r="N29" s="1063"/>
      <c r="O29" s="1063"/>
      <c r="P29" s="1067"/>
      <c r="Q29" s="1066"/>
      <c r="R29" s="1066"/>
      <c r="S29" s="1066"/>
      <c r="T29" s="1066"/>
      <c r="U29" s="1899">
        <f t="shared" si="2"/>
        <v>9346000</v>
      </c>
      <c r="V29" s="97"/>
    </row>
    <row r="30" spans="1:22" s="95" customFormat="1" ht="15.95" customHeight="1">
      <c r="A30" s="1070" t="s">
        <v>616</v>
      </c>
      <c r="B30" s="1042"/>
      <c r="C30" s="1043">
        <v>13967000</v>
      </c>
      <c r="D30" s="1067"/>
      <c r="E30" s="1067"/>
      <c r="F30" s="1067"/>
      <c r="G30" s="1067"/>
      <c r="H30" s="1067"/>
      <c r="I30" s="1067"/>
      <c r="J30" s="1067"/>
      <c r="K30" s="1067"/>
      <c r="L30" s="1063"/>
      <c r="M30" s="1063"/>
      <c r="N30" s="1063"/>
      <c r="O30" s="1063"/>
      <c r="P30" s="1067"/>
      <c r="Q30" s="1066"/>
      <c r="R30" s="1066"/>
      <c r="S30" s="1066"/>
      <c r="T30" s="1066"/>
      <c r="U30" s="1899">
        <f t="shared" si="2"/>
        <v>13967000</v>
      </c>
      <c r="V30" s="97"/>
    </row>
    <row r="31" spans="1:22" s="95" customFormat="1" ht="15.95" customHeight="1">
      <c r="A31" s="1070" t="s">
        <v>620</v>
      </c>
      <c r="B31" s="1042"/>
      <c r="C31" s="1043">
        <v>9147000</v>
      </c>
      <c r="D31" s="1067"/>
      <c r="E31" s="1067"/>
      <c r="F31" s="1067"/>
      <c r="G31" s="1067"/>
      <c r="H31" s="1067"/>
      <c r="I31" s="1067"/>
      <c r="J31" s="1067"/>
      <c r="K31" s="1067"/>
      <c r="L31" s="1063"/>
      <c r="M31" s="1063"/>
      <c r="N31" s="1063"/>
      <c r="O31" s="1063"/>
      <c r="P31" s="1067"/>
      <c r="Q31" s="1066"/>
      <c r="R31" s="1066"/>
      <c r="S31" s="1066"/>
      <c r="T31" s="1071"/>
      <c r="U31" s="1899">
        <f t="shared" si="2"/>
        <v>9147000</v>
      </c>
      <c r="V31" s="97"/>
    </row>
    <row r="32" spans="1:22" s="95" customFormat="1" ht="15.95" customHeight="1">
      <c r="A32" s="1070" t="s">
        <v>360</v>
      </c>
      <c r="B32" s="1042"/>
      <c r="C32" s="1043">
        <v>2718000</v>
      </c>
      <c r="D32" s="1067"/>
      <c r="E32" s="1067"/>
      <c r="F32" s="1067"/>
      <c r="G32" s="1067"/>
      <c r="H32" s="1067"/>
      <c r="I32" s="1067"/>
      <c r="J32" s="1067"/>
      <c r="K32" s="1067"/>
      <c r="L32" s="1063"/>
      <c r="M32" s="1063"/>
      <c r="N32" s="1063"/>
      <c r="O32" s="1063"/>
      <c r="P32" s="1067"/>
      <c r="Q32" s="1066"/>
      <c r="R32" s="1066"/>
      <c r="S32" s="1066"/>
      <c r="T32" s="1071"/>
      <c r="U32" s="1899">
        <f t="shared" si="2"/>
        <v>2718000</v>
      </c>
      <c r="V32" s="97"/>
    </row>
    <row r="33" spans="1:22" s="95" customFormat="1" ht="15.95" customHeight="1">
      <c r="A33" s="1070" t="s">
        <v>1012</v>
      </c>
      <c r="B33" s="1042"/>
      <c r="C33" s="1043">
        <v>2718000</v>
      </c>
      <c r="D33" s="1067"/>
      <c r="E33" s="1067"/>
      <c r="F33" s="1067"/>
      <c r="G33" s="1067"/>
      <c r="H33" s="1067"/>
      <c r="I33" s="1067"/>
      <c r="J33" s="1067"/>
      <c r="K33" s="1067"/>
      <c r="L33" s="1063"/>
      <c r="M33" s="1063"/>
      <c r="N33" s="1063"/>
      <c r="O33" s="1063"/>
      <c r="P33" s="1067"/>
      <c r="Q33" s="1066"/>
      <c r="R33" s="1066"/>
      <c r="S33" s="1066"/>
      <c r="T33" s="1071"/>
      <c r="U33" s="1899">
        <f t="shared" si="2"/>
        <v>2718000</v>
      </c>
      <c r="V33" s="97"/>
    </row>
    <row r="34" spans="1:22" s="95" customFormat="1" ht="18" customHeight="1">
      <c r="A34" s="1049" t="s">
        <v>985</v>
      </c>
      <c r="B34" s="1050"/>
      <c r="C34" s="1051">
        <f>C15+C19+C27</f>
        <v>129009357.68000001</v>
      </c>
      <c r="D34" s="1051">
        <f t="shared" ref="D34:T34" si="3">D15+D19+D27</f>
        <v>0</v>
      </c>
      <c r="E34" s="1051">
        <f t="shared" si="3"/>
        <v>0</v>
      </c>
      <c r="F34" s="1051">
        <f t="shared" si="3"/>
        <v>0</v>
      </c>
      <c r="G34" s="1051">
        <f t="shared" si="3"/>
        <v>0</v>
      </c>
      <c r="H34" s="1051">
        <f t="shared" si="3"/>
        <v>0</v>
      </c>
      <c r="I34" s="1051">
        <f t="shared" si="3"/>
        <v>0</v>
      </c>
      <c r="J34" s="1051">
        <f t="shared" si="3"/>
        <v>0</v>
      </c>
      <c r="K34" s="1051">
        <f t="shared" si="3"/>
        <v>0</v>
      </c>
      <c r="L34" s="1051">
        <f t="shared" si="3"/>
        <v>0</v>
      </c>
      <c r="M34" s="1051">
        <f t="shared" si="3"/>
        <v>0</v>
      </c>
      <c r="N34" s="1051">
        <f t="shared" si="3"/>
        <v>0</v>
      </c>
      <c r="O34" s="1051">
        <f t="shared" si="3"/>
        <v>0</v>
      </c>
      <c r="P34" s="1051">
        <f t="shared" si="3"/>
        <v>0</v>
      </c>
      <c r="Q34" s="1051">
        <f t="shared" si="3"/>
        <v>0</v>
      </c>
      <c r="R34" s="1051">
        <f t="shared" si="3"/>
        <v>0</v>
      </c>
      <c r="S34" s="1051">
        <f t="shared" si="3"/>
        <v>0</v>
      </c>
      <c r="T34" s="1072">
        <f t="shared" si="3"/>
        <v>0</v>
      </c>
      <c r="U34" s="1900">
        <f>U15+U18+U26</f>
        <v>17578357.68</v>
      </c>
      <c r="V34" s="98"/>
    </row>
    <row r="35" spans="1:22" s="95" customFormat="1" ht="15.95" customHeight="1">
      <c r="A35" s="1041" t="s">
        <v>362</v>
      </c>
      <c r="B35" s="1042"/>
      <c r="C35" s="1043">
        <v>2377968</v>
      </c>
      <c r="D35" s="1073"/>
      <c r="E35" s="1073"/>
      <c r="F35" s="1073"/>
      <c r="G35" s="1073"/>
      <c r="H35" s="1073"/>
      <c r="I35" s="1073"/>
      <c r="J35" s="1073"/>
      <c r="K35" s="1073"/>
      <c r="L35" s="1073"/>
      <c r="M35" s="1073"/>
      <c r="N35" s="1073"/>
      <c r="O35" s="1073"/>
      <c r="P35" s="1074"/>
      <c r="Q35" s="1074"/>
      <c r="R35" s="1074"/>
      <c r="S35" s="1074"/>
      <c r="T35" s="1075"/>
      <c r="U35" s="1899">
        <f t="shared" ref="U35:U46" si="4">SUM(C35:T35)</f>
        <v>2377968</v>
      </c>
      <c r="V35" s="97"/>
    </row>
    <row r="36" spans="1:22" s="95" customFormat="1" ht="15.95" customHeight="1">
      <c r="A36" s="1041" t="s">
        <v>90</v>
      </c>
      <c r="B36" s="1042"/>
      <c r="C36" s="1043">
        <v>4451136.2699999996</v>
      </c>
      <c r="D36" s="1073"/>
      <c r="E36" s="1073"/>
      <c r="F36" s="1073"/>
      <c r="G36" s="1073"/>
      <c r="H36" s="1073"/>
      <c r="I36" s="1073"/>
      <c r="J36" s="1073"/>
      <c r="K36" s="1073"/>
      <c r="L36" s="1073"/>
      <c r="M36" s="1073"/>
      <c r="N36" s="1076"/>
      <c r="O36" s="1076"/>
      <c r="P36" s="1076"/>
      <c r="Q36" s="1077"/>
      <c r="R36" s="1077"/>
      <c r="S36" s="1077"/>
      <c r="T36" s="1078"/>
      <c r="U36" s="1899">
        <f t="shared" si="4"/>
        <v>4451136.2699999996</v>
      </c>
      <c r="V36" s="97"/>
    </row>
    <row r="37" spans="1:22" s="95" customFormat="1" ht="15.95" customHeight="1">
      <c r="A37" s="1041" t="s">
        <v>372</v>
      </c>
      <c r="B37" s="1042"/>
      <c r="C37" s="1043">
        <v>2553105</v>
      </c>
      <c r="D37" s="1073"/>
      <c r="E37" s="1073"/>
      <c r="F37" s="1073"/>
      <c r="G37" s="1073"/>
      <c r="H37" s="1073"/>
      <c r="I37" s="1073"/>
      <c r="J37" s="1073"/>
      <c r="K37" s="1073"/>
      <c r="L37" s="1073"/>
      <c r="M37" s="1073"/>
      <c r="N37" s="1076"/>
      <c r="O37" s="1076"/>
      <c r="P37" s="1076"/>
      <c r="Q37" s="1074"/>
      <c r="R37" s="1074"/>
      <c r="S37" s="1074"/>
      <c r="T37" s="1075"/>
      <c r="U37" s="1899">
        <f t="shared" si="4"/>
        <v>2553105</v>
      </c>
      <c r="V37" s="97"/>
    </row>
    <row r="38" spans="1:22" s="95" customFormat="1" ht="15.95" customHeight="1">
      <c r="A38" s="1041" t="s">
        <v>80</v>
      </c>
      <c r="B38" s="1042"/>
      <c r="C38" s="1043">
        <v>4974500</v>
      </c>
      <c r="D38" s="1073"/>
      <c r="E38" s="1073"/>
      <c r="F38" s="1073"/>
      <c r="G38" s="1073"/>
      <c r="H38" s="1073"/>
      <c r="I38" s="1073"/>
      <c r="J38" s="1073"/>
      <c r="K38" s="1073"/>
      <c r="L38" s="1073"/>
      <c r="M38" s="1073"/>
      <c r="N38" s="1073"/>
      <c r="O38" s="1073"/>
      <c r="P38" s="1073"/>
      <c r="Q38" s="1074"/>
      <c r="R38" s="1074"/>
      <c r="S38" s="1074"/>
      <c r="T38" s="1075"/>
      <c r="U38" s="1899">
        <f t="shared" si="4"/>
        <v>4974500</v>
      </c>
      <c r="V38" s="97"/>
    </row>
    <row r="39" spans="1:22" s="95" customFormat="1" ht="15.95" customHeight="1">
      <c r="A39" s="1041" t="s">
        <v>1014</v>
      </c>
      <c r="B39" s="1042"/>
      <c r="C39" s="1043">
        <v>3365795.5</v>
      </c>
      <c r="D39" s="1073"/>
      <c r="E39" s="1073"/>
      <c r="F39" s="1073"/>
      <c r="G39" s="1073"/>
      <c r="H39" s="1073"/>
      <c r="I39" s="1073"/>
      <c r="J39" s="1073"/>
      <c r="K39" s="1073"/>
      <c r="L39" s="1073"/>
      <c r="M39" s="1073"/>
      <c r="N39" s="1076"/>
      <c r="O39" s="1076"/>
      <c r="P39" s="1076"/>
      <c r="Q39" s="1074"/>
      <c r="R39" s="1074"/>
      <c r="S39" s="1074"/>
      <c r="T39" s="1075"/>
      <c r="U39" s="1899">
        <f t="shared" si="4"/>
        <v>3365795.5</v>
      </c>
      <c r="V39" s="97"/>
    </row>
    <row r="40" spans="1:22" s="95" customFormat="1" ht="15.95" customHeight="1">
      <c r="A40" s="1041" t="s">
        <v>91</v>
      </c>
      <c r="B40" s="1042"/>
      <c r="C40" s="1043">
        <v>3876530</v>
      </c>
      <c r="D40" s="1073"/>
      <c r="E40" s="1073"/>
      <c r="F40" s="1073"/>
      <c r="G40" s="1073"/>
      <c r="H40" s="1073"/>
      <c r="I40" s="1073"/>
      <c r="J40" s="1073"/>
      <c r="K40" s="1073"/>
      <c r="L40" s="1073"/>
      <c r="M40" s="1073"/>
      <c r="N40" s="1073"/>
      <c r="O40" s="1073"/>
      <c r="P40" s="1073"/>
      <c r="Q40" s="1074"/>
      <c r="R40" s="1074"/>
      <c r="S40" s="1074"/>
      <c r="T40" s="1075"/>
      <c r="U40" s="1899">
        <f t="shared" si="4"/>
        <v>3876530</v>
      </c>
      <c r="V40" s="97"/>
    </row>
    <row r="41" spans="1:22" s="95" customFormat="1" ht="15.95" customHeight="1">
      <c r="A41" s="1041" t="s">
        <v>88</v>
      </c>
      <c r="B41" s="1042"/>
      <c r="C41" s="1043">
        <v>12964870.76</v>
      </c>
      <c r="D41" s="1073"/>
      <c r="E41" s="1073"/>
      <c r="F41" s="1073"/>
      <c r="G41" s="1073"/>
      <c r="H41" s="1073"/>
      <c r="I41" s="1073"/>
      <c r="J41" s="1073"/>
      <c r="K41" s="1073"/>
      <c r="L41" s="1073"/>
      <c r="M41" s="1073"/>
      <c r="N41" s="1073"/>
      <c r="O41" s="1073"/>
      <c r="P41" s="1073"/>
      <c r="Q41" s="1074"/>
      <c r="R41" s="1074"/>
      <c r="S41" s="1074"/>
      <c r="T41" s="1075"/>
      <c r="U41" s="1899">
        <f t="shared" si="4"/>
        <v>12964870.76</v>
      </c>
      <c r="V41" s="97"/>
    </row>
    <row r="42" spans="1:22" s="95" customFormat="1" ht="15.95" customHeight="1">
      <c r="A42" s="1070" t="s">
        <v>1015</v>
      </c>
      <c r="B42" s="1042"/>
      <c r="C42" s="1043">
        <v>10126417.5</v>
      </c>
      <c r="D42" s="1073"/>
      <c r="E42" s="1073"/>
      <c r="F42" s="1073"/>
      <c r="G42" s="1073"/>
      <c r="H42" s="1073"/>
      <c r="I42" s="1073"/>
      <c r="J42" s="1073"/>
      <c r="K42" s="1073"/>
      <c r="L42" s="1073"/>
      <c r="M42" s="1073"/>
      <c r="N42" s="1073"/>
      <c r="O42" s="1073"/>
      <c r="P42" s="1073"/>
      <c r="Q42" s="1075"/>
      <c r="R42" s="1075"/>
      <c r="S42" s="1075"/>
      <c r="T42" s="1075"/>
      <c r="U42" s="1899">
        <f t="shared" si="4"/>
        <v>10126417.5</v>
      </c>
      <c r="V42" s="97"/>
    </row>
    <row r="43" spans="1:22" s="95" customFormat="1" ht="15.95" customHeight="1">
      <c r="A43" s="1070" t="s">
        <v>92</v>
      </c>
      <c r="B43" s="1042"/>
      <c r="C43" s="1043">
        <v>290000</v>
      </c>
      <c r="D43" s="1073"/>
      <c r="E43" s="1073"/>
      <c r="F43" s="1073"/>
      <c r="G43" s="1073"/>
      <c r="H43" s="1073"/>
      <c r="I43" s="1073"/>
      <c r="J43" s="1073"/>
      <c r="K43" s="1073"/>
      <c r="L43" s="1073"/>
      <c r="M43" s="1073"/>
      <c r="N43" s="1073"/>
      <c r="O43" s="1073"/>
      <c r="P43" s="1073"/>
      <c r="Q43" s="1075"/>
      <c r="R43" s="1075"/>
      <c r="S43" s="1075"/>
      <c r="T43" s="1075"/>
      <c r="U43" s="1899">
        <f t="shared" si="4"/>
        <v>290000</v>
      </c>
      <c r="V43" s="97"/>
    </row>
    <row r="44" spans="1:22" s="95" customFormat="1" ht="15.95" customHeight="1">
      <c r="A44" s="1070" t="s">
        <v>1016</v>
      </c>
      <c r="B44" s="1042"/>
      <c r="C44" s="1043">
        <v>762300</v>
      </c>
      <c r="D44" s="1073"/>
      <c r="E44" s="1073"/>
      <c r="F44" s="1073"/>
      <c r="G44" s="1073"/>
      <c r="H44" s="1073"/>
      <c r="I44" s="1073"/>
      <c r="J44" s="1073"/>
      <c r="K44" s="1073"/>
      <c r="L44" s="1073"/>
      <c r="M44" s="1073"/>
      <c r="N44" s="1073"/>
      <c r="O44" s="1073"/>
      <c r="P44" s="1073"/>
      <c r="Q44" s="1075"/>
      <c r="R44" s="1075"/>
      <c r="S44" s="1075"/>
      <c r="T44" s="1075"/>
      <c r="U44" s="1899">
        <f t="shared" si="4"/>
        <v>762300</v>
      </c>
      <c r="V44" s="97"/>
    </row>
    <row r="45" spans="1:22" s="95" customFormat="1" ht="15.95" customHeight="1">
      <c r="A45" s="1070" t="s">
        <v>93</v>
      </c>
      <c r="B45" s="1042"/>
      <c r="C45" s="1043">
        <v>5000000</v>
      </c>
      <c r="D45" s="1073"/>
      <c r="E45" s="1073"/>
      <c r="F45" s="1073"/>
      <c r="G45" s="1073"/>
      <c r="H45" s="1073"/>
      <c r="I45" s="1073"/>
      <c r="J45" s="1073"/>
      <c r="K45" s="1073"/>
      <c r="L45" s="1073"/>
      <c r="M45" s="1073"/>
      <c r="N45" s="1073"/>
      <c r="O45" s="1073"/>
      <c r="P45" s="1073"/>
      <c r="Q45" s="1075"/>
      <c r="R45" s="1075"/>
      <c r="S45" s="1075"/>
      <c r="T45" s="1075"/>
      <c r="U45" s="1899">
        <f t="shared" si="4"/>
        <v>5000000</v>
      </c>
      <c r="V45" s="97"/>
    </row>
    <row r="46" spans="1:22" s="95" customFormat="1" ht="15.95" customHeight="1">
      <c r="A46" s="1070" t="s">
        <v>978</v>
      </c>
      <c r="B46" s="1042"/>
      <c r="C46" s="1043">
        <v>410565.42</v>
      </c>
      <c r="D46" s="1073"/>
      <c r="E46" s="1073"/>
      <c r="F46" s="1073"/>
      <c r="G46" s="1073"/>
      <c r="H46" s="1073"/>
      <c r="I46" s="1073"/>
      <c r="J46" s="1073"/>
      <c r="K46" s="1073"/>
      <c r="L46" s="1073"/>
      <c r="M46" s="1073"/>
      <c r="N46" s="1073"/>
      <c r="O46" s="1073"/>
      <c r="P46" s="1073"/>
      <c r="Q46" s="1075"/>
      <c r="R46" s="1075"/>
      <c r="S46" s="1075"/>
      <c r="T46" s="1075"/>
      <c r="U46" s="1899">
        <f t="shared" si="4"/>
        <v>410565.42</v>
      </c>
      <c r="V46" s="97"/>
    </row>
    <row r="47" spans="1:22" s="95" customFormat="1" ht="18" customHeight="1" thickBot="1">
      <c r="A47" s="1079" t="s">
        <v>410</v>
      </c>
      <c r="B47" s="1080"/>
      <c r="C47" s="1081">
        <f>SUM(C35:C46)</f>
        <v>51153188.450000003</v>
      </c>
      <c r="D47" s="1081">
        <f t="shared" ref="D47:U47" si="5">SUM(D35:D46)</f>
        <v>0</v>
      </c>
      <c r="E47" s="1081">
        <f t="shared" si="5"/>
        <v>0</v>
      </c>
      <c r="F47" s="1081">
        <f t="shared" si="5"/>
        <v>0</v>
      </c>
      <c r="G47" s="1081">
        <f t="shared" si="5"/>
        <v>0</v>
      </c>
      <c r="H47" s="1081">
        <f t="shared" si="5"/>
        <v>0</v>
      </c>
      <c r="I47" s="1081">
        <f t="shared" si="5"/>
        <v>0</v>
      </c>
      <c r="J47" s="1081">
        <f t="shared" si="5"/>
        <v>0</v>
      </c>
      <c r="K47" s="1081">
        <f t="shared" si="5"/>
        <v>0</v>
      </c>
      <c r="L47" s="1081">
        <f t="shared" si="5"/>
        <v>0</v>
      </c>
      <c r="M47" s="1081">
        <f t="shared" si="5"/>
        <v>0</v>
      </c>
      <c r="N47" s="1081">
        <f t="shared" si="5"/>
        <v>0</v>
      </c>
      <c r="O47" s="1081">
        <f t="shared" si="5"/>
        <v>0</v>
      </c>
      <c r="P47" s="1081">
        <f t="shared" si="5"/>
        <v>0</v>
      </c>
      <c r="Q47" s="1081">
        <f t="shared" si="5"/>
        <v>0</v>
      </c>
      <c r="R47" s="1081">
        <f t="shared" si="5"/>
        <v>0</v>
      </c>
      <c r="S47" s="1081">
        <f t="shared" si="5"/>
        <v>0</v>
      </c>
      <c r="T47" s="1082">
        <f t="shared" si="5"/>
        <v>0</v>
      </c>
      <c r="U47" s="1901">
        <f t="shared" si="5"/>
        <v>51153188.450000003</v>
      </c>
      <c r="V47" s="98"/>
    </row>
    <row r="48" spans="1:22" s="95" customFormat="1" ht="20.100000000000001" customHeight="1" thickTop="1" thickBot="1">
      <c r="A48" s="1083" t="s">
        <v>411</v>
      </c>
      <c r="B48" s="1084"/>
      <c r="C48" s="1085">
        <f>C$14+C47+C34</f>
        <v>311930733.25246412</v>
      </c>
      <c r="D48" s="1085">
        <f t="shared" ref="D48:T48" si="6">D$14+D47+D34</f>
        <v>0</v>
      </c>
      <c r="E48" s="1085">
        <f t="shared" si="6"/>
        <v>0</v>
      </c>
      <c r="F48" s="1085">
        <f t="shared" si="6"/>
        <v>0</v>
      </c>
      <c r="G48" s="1085">
        <f t="shared" si="6"/>
        <v>0</v>
      </c>
      <c r="H48" s="1085">
        <f t="shared" si="6"/>
        <v>0</v>
      </c>
      <c r="I48" s="1085">
        <f t="shared" si="6"/>
        <v>0</v>
      </c>
      <c r="J48" s="1085">
        <f t="shared" si="6"/>
        <v>0</v>
      </c>
      <c r="K48" s="1085">
        <f t="shared" si="6"/>
        <v>0</v>
      </c>
      <c r="L48" s="1085">
        <f t="shared" si="6"/>
        <v>0</v>
      </c>
      <c r="M48" s="1085">
        <f t="shared" si="6"/>
        <v>0</v>
      </c>
      <c r="N48" s="1085">
        <f t="shared" si="6"/>
        <v>0</v>
      </c>
      <c r="O48" s="1085">
        <f t="shared" si="6"/>
        <v>0</v>
      </c>
      <c r="P48" s="1085">
        <f t="shared" si="6"/>
        <v>0</v>
      </c>
      <c r="Q48" s="1085">
        <f t="shared" si="6"/>
        <v>0</v>
      </c>
      <c r="R48" s="1085">
        <f t="shared" si="6"/>
        <v>0</v>
      </c>
      <c r="S48" s="1085">
        <f t="shared" si="6"/>
        <v>0</v>
      </c>
      <c r="T48" s="1086">
        <f t="shared" si="6"/>
        <v>0</v>
      </c>
      <c r="U48" s="1902">
        <f t="shared" ref="U48" si="7">U$14+U47+U34</f>
        <v>200499733.25246412</v>
      </c>
      <c r="V48" s="98"/>
    </row>
    <row r="49" spans="1:23" s="95" customFormat="1" ht="9.75" customHeight="1" thickTop="1" thickBot="1">
      <c r="A49" s="1087"/>
      <c r="B49" s="1056"/>
      <c r="C49" s="1058"/>
      <c r="D49" s="1058"/>
      <c r="E49" s="1058"/>
      <c r="F49" s="1058"/>
      <c r="G49" s="1058"/>
      <c r="H49" s="1058"/>
      <c r="I49" s="1058"/>
      <c r="J49" s="1058"/>
      <c r="K49" s="1058"/>
      <c r="L49" s="1058"/>
      <c r="M49" s="1058"/>
      <c r="N49" s="1058"/>
      <c r="O49" s="1058"/>
      <c r="P49" s="1058"/>
      <c r="Q49" s="1060"/>
      <c r="R49" s="1060"/>
      <c r="S49" s="1060"/>
      <c r="T49" s="1061"/>
      <c r="U49" s="1903"/>
    </row>
    <row r="50" spans="1:23" s="95" customFormat="1" ht="20.100000000000001" customHeight="1" thickTop="1" thickBot="1">
      <c r="A50" s="2106" t="s">
        <v>412</v>
      </c>
      <c r="B50" s="2107"/>
      <c r="C50" s="1085">
        <f>+C48</f>
        <v>311930733.25246412</v>
      </c>
      <c r="D50" s="1085">
        <f t="shared" ref="D50:T50" si="8">+D48</f>
        <v>0</v>
      </c>
      <c r="E50" s="1085">
        <f t="shared" si="8"/>
        <v>0</v>
      </c>
      <c r="F50" s="1085">
        <f t="shared" si="8"/>
        <v>0</v>
      </c>
      <c r="G50" s="1085">
        <f t="shared" si="8"/>
        <v>0</v>
      </c>
      <c r="H50" s="1085">
        <f t="shared" si="8"/>
        <v>0</v>
      </c>
      <c r="I50" s="1085">
        <f t="shared" si="8"/>
        <v>0</v>
      </c>
      <c r="J50" s="1085">
        <f t="shared" si="8"/>
        <v>0</v>
      </c>
      <c r="K50" s="1085">
        <f t="shared" si="8"/>
        <v>0</v>
      </c>
      <c r="L50" s="1085">
        <f t="shared" si="8"/>
        <v>0</v>
      </c>
      <c r="M50" s="1085">
        <f t="shared" si="8"/>
        <v>0</v>
      </c>
      <c r="N50" s="1085">
        <f t="shared" si="8"/>
        <v>0</v>
      </c>
      <c r="O50" s="1085">
        <f>+O48</f>
        <v>0</v>
      </c>
      <c r="P50" s="1085">
        <f t="shared" si="8"/>
        <v>0</v>
      </c>
      <c r="Q50" s="1086">
        <f t="shared" si="8"/>
        <v>0</v>
      </c>
      <c r="R50" s="1086">
        <f t="shared" si="8"/>
        <v>0</v>
      </c>
      <c r="S50" s="1086">
        <f t="shared" si="8"/>
        <v>0</v>
      </c>
      <c r="T50" s="1086">
        <f t="shared" si="8"/>
        <v>0</v>
      </c>
      <c r="U50" s="1904">
        <f>+U48</f>
        <v>200499733.25246412</v>
      </c>
      <c r="V50" s="97"/>
    </row>
    <row r="51" spans="1:23" s="95" customFormat="1" ht="15.95" customHeight="1" thickTop="1">
      <c r="A51" s="1041"/>
      <c r="B51" s="1042"/>
      <c r="C51" s="1043"/>
      <c r="D51" s="1048"/>
      <c r="E51" s="1048"/>
      <c r="F51" s="1048"/>
      <c r="G51" s="1048"/>
      <c r="H51" s="1048"/>
      <c r="I51" s="1048"/>
      <c r="J51" s="1048"/>
      <c r="K51" s="1048"/>
      <c r="L51" s="1044"/>
      <c r="M51" s="1044"/>
      <c r="N51" s="1044"/>
      <c r="O51" s="1044"/>
      <c r="P51" s="1048"/>
      <c r="Q51" s="1046"/>
      <c r="R51" s="1046"/>
      <c r="S51" s="1046"/>
      <c r="T51" s="1047"/>
      <c r="U51" s="1896">
        <f ca="1">SUM(INDIRECT(ADDRESS(ROW(),3)):INDIRECT(ADDRESS(ROW(),COLUMN()-1,)))</f>
        <v>0</v>
      </c>
      <c r="V51" s="97"/>
    </row>
    <row r="52" spans="1:23" s="95" customFormat="1" ht="15.95" customHeight="1">
      <c r="A52" s="1088" t="s">
        <v>94</v>
      </c>
      <c r="B52" s="1042"/>
      <c r="C52" s="1043">
        <v>386000</v>
      </c>
      <c r="D52" s="1048"/>
      <c r="E52" s="1048"/>
      <c r="F52" s="1048"/>
      <c r="G52" s="1048"/>
      <c r="H52" s="1048"/>
      <c r="I52" s="1048"/>
      <c r="J52" s="1048"/>
      <c r="K52" s="1048"/>
      <c r="L52" s="1044"/>
      <c r="M52" s="1044"/>
      <c r="N52" s="1044"/>
      <c r="O52" s="1044"/>
      <c r="P52" s="1048"/>
      <c r="Q52" s="1046"/>
      <c r="R52" s="1046"/>
      <c r="S52" s="1046"/>
      <c r="T52" s="1047"/>
      <c r="U52" s="1896"/>
      <c r="V52" s="97"/>
    </row>
    <row r="53" spans="1:23" s="95" customFormat="1" ht="15.95" customHeight="1">
      <c r="A53" s="1089" t="s">
        <v>95</v>
      </c>
      <c r="B53" s="1042"/>
      <c r="C53" s="1043">
        <v>1400000</v>
      </c>
      <c r="D53" s="1048"/>
      <c r="E53" s="1048"/>
      <c r="F53" s="1048"/>
      <c r="G53" s="1048"/>
      <c r="H53" s="1048"/>
      <c r="I53" s="1048"/>
      <c r="J53" s="1048"/>
      <c r="K53" s="1048"/>
      <c r="L53" s="1044"/>
      <c r="M53" s="1044"/>
      <c r="N53" s="1044"/>
      <c r="O53" s="1044"/>
      <c r="P53" s="1048"/>
      <c r="Q53" s="1046"/>
      <c r="R53" s="1046"/>
      <c r="S53" s="1046"/>
      <c r="T53" s="1047"/>
      <c r="U53" s="1896"/>
      <c r="V53" s="97"/>
    </row>
    <row r="54" spans="1:23" s="95" customFormat="1" ht="18" customHeight="1">
      <c r="A54" s="1049" t="s">
        <v>413</v>
      </c>
      <c r="B54" s="1050"/>
      <c r="C54" s="1051">
        <f ca="1">SUM(INDIRECT(ADDRESS(ROW()-3,COLUMN())):INDIRECT(ADDRESS(ROW()-1,COLUMN(),)))</f>
        <v>1786000</v>
      </c>
      <c r="D54" s="1051">
        <f ca="1">SUM(INDIRECT(ADDRESS(ROW()-3,COLUMN())):INDIRECT(ADDRESS(ROW()-1,COLUMN(),)))</f>
        <v>0</v>
      </c>
      <c r="E54" s="1051">
        <f ca="1">SUM(INDIRECT(ADDRESS(ROW()-3,COLUMN())):INDIRECT(ADDRESS(ROW()-1,COLUMN(),)))</f>
        <v>0</v>
      </c>
      <c r="F54" s="1051">
        <f ca="1">SUM(INDIRECT(ADDRESS(ROW()-3,COLUMN())):INDIRECT(ADDRESS(ROW()-1,COLUMN(),)))</f>
        <v>0</v>
      </c>
      <c r="G54" s="1051">
        <f ca="1">SUM(INDIRECT(ADDRESS(ROW()-3,COLUMN())):INDIRECT(ADDRESS(ROW()-1,COLUMN(),)))</f>
        <v>0</v>
      </c>
      <c r="H54" s="1051">
        <f ca="1">SUM(INDIRECT(ADDRESS(ROW()-3,COLUMN())):INDIRECT(ADDRESS(ROW()-1,COLUMN(),)))</f>
        <v>0</v>
      </c>
      <c r="I54" s="1051">
        <f ca="1">SUM(INDIRECT(ADDRESS(ROW()-3,COLUMN())):INDIRECT(ADDRESS(ROW()-1,COLUMN(),)))</f>
        <v>0</v>
      </c>
      <c r="J54" s="1051">
        <f ca="1">SUM(INDIRECT(ADDRESS(ROW()-3,COLUMN())):INDIRECT(ADDRESS(ROW()-1,COLUMN(),)))</f>
        <v>0</v>
      </c>
      <c r="K54" s="1051">
        <f ca="1">SUM(INDIRECT(ADDRESS(ROW()-3,COLUMN())):INDIRECT(ADDRESS(ROW()-1,COLUMN(),)))</f>
        <v>0</v>
      </c>
      <c r="L54" s="1051">
        <f ca="1">SUM(INDIRECT(ADDRESS(ROW()-3,COLUMN())):INDIRECT(ADDRESS(ROW()-1,COLUMN(),)))</f>
        <v>0</v>
      </c>
      <c r="M54" s="1051">
        <f ca="1">SUM(INDIRECT(ADDRESS(ROW()-3,COLUMN())):INDIRECT(ADDRESS(ROW()-1,COLUMN(),)))</f>
        <v>0</v>
      </c>
      <c r="N54" s="1051">
        <f ca="1">SUM(INDIRECT(ADDRESS(ROW()-3,COLUMN())):INDIRECT(ADDRESS(ROW()-1,COLUMN(),)))</f>
        <v>0</v>
      </c>
      <c r="O54" s="1051">
        <f ca="1">SUM(INDIRECT(ADDRESS(ROW()-3,COLUMN())):INDIRECT(ADDRESS(ROW()-1,COLUMN(),)))</f>
        <v>0</v>
      </c>
      <c r="P54" s="1051">
        <f ca="1">SUM(INDIRECT(ADDRESS(ROW()-3,COLUMN())):INDIRECT(ADDRESS(ROW()-1,COLUMN(),)))</f>
        <v>0</v>
      </c>
      <c r="Q54" s="1051">
        <f ca="1">SUM(INDIRECT(ADDRESS(ROW()-3,COLUMN())):INDIRECT(ADDRESS(ROW()-1,COLUMN(),)))</f>
        <v>0</v>
      </c>
      <c r="R54" s="1051">
        <f ca="1">SUM(INDIRECT(ADDRESS(ROW()-3,COLUMN())):INDIRECT(ADDRESS(ROW()-1,COLUMN(),)))</f>
        <v>0</v>
      </c>
      <c r="S54" s="1051">
        <f ca="1">SUM(INDIRECT(ADDRESS(ROW()-3,COLUMN())):INDIRECT(ADDRESS(ROW()-1,COLUMN(),)))</f>
        <v>0</v>
      </c>
      <c r="T54" s="1072">
        <f ca="1">SUM(INDIRECT(ADDRESS(ROW()-3,COLUMN())):INDIRECT(ADDRESS(ROW()-1,COLUMN(),)))</f>
        <v>0</v>
      </c>
      <c r="U54" s="1897">
        <f ca="1">SUM(INDIRECT(ADDRESS(ROW()-3,COLUMN())):INDIRECT(ADDRESS(ROW()-1,COLUMN(),)))</f>
        <v>0</v>
      </c>
      <c r="V54" s="98"/>
    </row>
    <row r="55" spans="1:23" s="100" customFormat="1" ht="23.25" customHeight="1">
      <c r="A55" s="1090" t="s">
        <v>414</v>
      </c>
      <c r="B55" s="1091"/>
      <c r="C55" s="1092">
        <f ca="1">+C54+C50</f>
        <v>313716733.25246412</v>
      </c>
      <c r="D55" s="1092">
        <f t="shared" ref="D55:U55" ca="1" si="9">+D54+D50</f>
        <v>0</v>
      </c>
      <c r="E55" s="1092">
        <f t="shared" ca="1" si="9"/>
        <v>0</v>
      </c>
      <c r="F55" s="1092">
        <f t="shared" ca="1" si="9"/>
        <v>0</v>
      </c>
      <c r="G55" s="1092">
        <f t="shared" ca="1" si="9"/>
        <v>0</v>
      </c>
      <c r="H55" s="1092">
        <f t="shared" ca="1" si="9"/>
        <v>0</v>
      </c>
      <c r="I55" s="1092">
        <f t="shared" ca="1" si="9"/>
        <v>0</v>
      </c>
      <c r="J55" s="1092">
        <f t="shared" ca="1" si="9"/>
        <v>0</v>
      </c>
      <c r="K55" s="1092">
        <f t="shared" ca="1" si="9"/>
        <v>0</v>
      </c>
      <c r="L55" s="1092">
        <f t="shared" ca="1" si="9"/>
        <v>0</v>
      </c>
      <c r="M55" s="1092">
        <f t="shared" ca="1" si="9"/>
        <v>0</v>
      </c>
      <c r="N55" s="1092">
        <f t="shared" ca="1" si="9"/>
        <v>0</v>
      </c>
      <c r="O55" s="1092">
        <f t="shared" ca="1" si="9"/>
        <v>0</v>
      </c>
      <c r="P55" s="1092">
        <f t="shared" ca="1" si="9"/>
        <v>0</v>
      </c>
      <c r="Q55" s="1093">
        <f t="shared" ca="1" si="9"/>
        <v>0</v>
      </c>
      <c r="R55" s="1093">
        <f t="shared" ca="1" si="9"/>
        <v>0</v>
      </c>
      <c r="S55" s="1093">
        <f t="shared" ca="1" si="9"/>
        <v>0</v>
      </c>
      <c r="T55" s="1094">
        <f t="shared" ca="1" si="9"/>
        <v>0</v>
      </c>
      <c r="U55" s="1905">
        <f t="shared" ca="1" si="9"/>
        <v>200499733.25246412</v>
      </c>
      <c r="V55" s="98"/>
      <c r="W55" s="99"/>
    </row>
  </sheetData>
  <sheetProtection sheet="1" objects="1" scenarios="1"/>
  <mergeCells count="2">
    <mergeCell ref="A3:U3"/>
    <mergeCell ref="A50:B5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O73"/>
  <sheetViews>
    <sheetView showGridLines="0" zoomScale="60" zoomScaleNormal="60" zoomScalePageLayoutView="60" workbookViewId="0">
      <selection activeCell="T7" sqref="T7"/>
    </sheetView>
  </sheetViews>
  <sheetFormatPr baseColWidth="10" defaultRowHeight="15"/>
  <cols>
    <col min="1" max="1" width="3.28515625" customWidth="1"/>
    <col min="2" max="2" width="10.7109375" style="450" customWidth="1"/>
    <col min="3" max="3" width="12.7109375" style="450" customWidth="1"/>
    <col min="4" max="4" width="34.7109375" style="450" customWidth="1"/>
    <col min="5" max="5" width="18.85546875" style="450" customWidth="1"/>
    <col min="6" max="8" width="10.85546875" style="450"/>
    <col min="9" max="9" width="11.42578125" style="450" customWidth="1"/>
    <col min="10" max="10" width="18.85546875" style="450" customWidth="1"/>
    <col min="11" max="11" width="10.85546875" style="450"/>
    <col min="12" max="12" width="11.42578125" style="450" customWidth="1"/>
    <col min="13" max="15" width="10.85546875" style="450"/>
    <col min="19" max="19" width="11.42578125" customWidth="1"/>
    <col min="20" max="20" width="19.42578125" customWidth="1"/>
  </cols>
  <sheetData>
    <row r="1" spans="1:15" s="101" customFormat="1" ht="18" thickBot="1">
      <c r="B1" s="1550"/>
      <c r="C1" s="1550"/>
      <c r="D1" s="1550"/>
      <c r="E1" s="1551"/>
      <c r="F1" s="1550"/>
      <c r="G1" s="1550"/>
      <c r="H1" s="1550"/>
      <c r="I1" s="1552"/>
      <c r="J1" s="1550"/>
      <c r="K1" s="1552"/>
      <c r="L1" s="1553"/>
      <c r="M1" s="1554"/>
      <c r="N1" s="1553"/>
      <c r="O1" s="1550"/>
    </row>
    <row r="2" spans="1:15" s="103" customFormat="1" ht="19.5" customHeight="1" thickTop="1">
      <c r="A2" s="102"/>
      <c r="B2" s="1555"/>
      <c r="C2" s="1556"/>
      <c r="D2" s="1557"/>
      <c r="E2" s="2108"/>
      <c r="F2" s="2109"/>
      <c r="G2" s="2109"/>
      <c r="H2" s="2109"/>
      <c r="I2" s="2109"/>
      <c r="J2" s="2109"/>
      <c r="K2" s="2110"/>
      <c r="L2" s="1558"/>
      <c r="M2" s="1556"/>
      <c r="N2" s="1559"/>
      <c r="O2" s="1560"/>
    </row>
    <row r="3" spans="1:15" s="103" customFormat="1" ht="22.5" customHeight="1">
      <c r="A3" s="102"/>
      <c r="B3" s="2111" t="str">
        <f>SYNTHESE!D4</f>
        <v>POINT 50%</v>
      </c>
      <c r="C3" s="2112"/>
      <c r="D3" s="2113"/>
      <c r="E3" s="2114" t="s">
        <v>15</v>
      </c>
      <c r="F3" s="2115"/>
      <c r="G3" s="2115"/>
      <c r="H3" s="2115"/>
      <c r="I3" s="2115"/>
      <c r="J3" s="2115"/>
      <c r="K3" s="2116"/>
      <c r="L3" s="1561"/>
      <c r="M3" s="1562"/>
      <c r="N3" s="1563"/>
      <c r="O3" s="1564"/>
    </row>
    <row r="4" spans="1:15" s="103" customFormat="1" ht="22.5" customHeight="1">
      <c r="A4" s="102"/>
      <c r="B4" s="2111"/>
      <c r="C4" s="2112"/>
      <c r="D4" s="2113"/>
      <c r="E4" s="1565"/>
      <c r="F4" s="1566"/>
      <c r="G4" s="1566"/>
      <c r="H4" s="1566"/>
      <c r="I4" s="1566"/>
      <c r="J4" s="1566"/>
      <c r="K4" s="1567"/>
      <c r="L4" s="1561"/>
      <c r="M4" s="1562"/>
      <c r="N4" s="1563"/>
      <c r="O4" s="1564"/>
    </row>
    <row r="5" spans="1:15" s="103" customFormat="1" ht="20.100000000000001" customHeight="1">
      <c r="A5" s="102"/>
      <c r="B5" s="2111"/>
      <c r="C5" s="2112"/>
      <c r="D5" s="2113"/>
      <c r="E5" s="2117"/>
      <c r="F5" s="2118"/>
      <c r="G5" s="2118"/>
      <c r="H5" s="2118"/>
      <c r="I5" s="2118"/>
      <c r="J5" s="2118"/>
      <c r="K5" s="2119"/>
      <c r="L5" s="1561"/>
      <c r="M5" s="1562"/>
      <c r="N5" s="1563"/>
      <c r="O5" s="1564"/>
    </row>
    <row r="6" spans="1:15" s="103" customFormat="1" ht="27.75" customHeight="1">
      <c r="A6" s="102"/>
      <c r="B6" s="2120">
        <f>SYNTHESE!D7</f>
        <v>42800</v>
      </c>
      <c r="C6" s="2121"/>
      <c r="D6" s="2122"/>
      <c r="E6" s="2114" t="str">
        <f>SYNTHESE!E6</f>
        <v xml:space="preserve">LES FAUBOURGS D'ANFA </v>
      </c>
      <c r="F6" s="2115"/>
      <c r="G6" s="2115"/>
      <c r="H6" s="2115"/>
      <c r="I6" s="2115"/>
      <c r="J6" s="2115"/>
      <c r="K6" s="2116"/>
      <c r="L6" s="1561"/>
      <c r="M6" s="1562"/>
      <c r="N6" s="1563"/>
      <c r="O6" s="1564"/>
    </row>
    <row r="7" spans="1:15" s="103" customFormat="1" ht="20.100000000000001" customHeight="1">
      <c r="A7" s="102"/>
      <c r="B7" s="2120"/>
      <c r="C7" s="2121"/>
      <c r="D7" s="2122"/>
      <c r="E7" s="2114" t="str">
        <f>SYNTHESE!E7</f>
        <v>CASABLANCA</v>
      </c>
      <c r="F7" s="2115"/>
      <c r="G7" s="2115"/>
      <c r="H7" s="2115"/>
      <c r="I7" s="2115"/>
      <c r="J7" s="2115"/>
      <c r="K7" s="2116"/>
      <c r="L7" s="1561"/>
      <c r="M7" s="1562"/>
      <c r="N7" s="1568"/>
      <c r="O7" s="1564"/>
    </row>
    <row r="8" spans="1:15" s="105" customFormat="1" ht="20.100000000000001" customHeight="1" thickBot="1">
      <c r="A8" s="104"/>
      <c r="B8" s="1569"/>
      <c r="C8" s="1570"/>
      <c r="D8" s="1571"/>
      <c r="E8" s="2125"/>
      <c r="F8" s="2126"/>
      <c r="G8" s="2126"/>
      <c r="H8" s="2126"/>
      <c r="I8" s="2126"/>
      <c r="J8" s="2126"/>
      <c r="K8" s="2127"/>
      <c r="L8" s="1572"/>
      <c r="M8" s="1570"/>
      <c r="N8" s="1573"/>
      <c r="O8" s="1574"/>
    </row>
    <row r="9" spans="1:15" s="101" customFormat="1" ht="28.5" customHeight="1" thickTop="1">
      <c r="B9" s="1575"/>
      <c r="C9" s="1576"/>
      <c r="D9" s="1576"/>
      <c r="E9" s="1577"/>
      <c r="F9" s="1576"/>
      <c r="G9" s="1576"/>
      <c r="H9" s="1576"/>
      <c r="I9" s="1578"/>
      <c r="J9" s="1576"/>
      <c r="K9" s="1578"/>
      <c r="L9" s="1579"/>
      <c r="M9" s="1580"/>
      <c r="N9" s="1579"/>
      <c r="O9" s="1581"/>
    </row>
    <row r="10" spans="1:15" s="105" customFormat="1" ht="40.5" customHeight="1">
      <c r="A10" s="106"/>
      <c r="B10" s="2128" t="s">
        <v>415</v>
      </c>
      <c r="C10" s="2129"/>
      <c r="D10" s="2130"/>
      <c r="E10" s="2130"/>
      <c r="F10" s="2130"/>
      <c r="G10" s="2130"/>
      <c r="H10" s="2130"/>
      <c r="I10" s="2130"/>
      <c r="J10" s="2130"/>
      <c r="K10" s="2130"/>
      <c r="L10" s="2130"/>
      <c r="M10" s="2130"/>
      <c r="N10" s="2130"/>
      <c r="O10" s="2131"/>
    </row>
    <row r="11" spans="1:15" s="101" customFormat="1" ht="36" customHeight="1">
      <c r="B11" s="2132" t="s">
        <v>2</v>
      </c>
      <c r="C11" s="2133"/>
      <c r="D11" s="2130"/>
      <c r="E11" s="2130"/>
      <c r="F11" s="2130"/>
      <c r="G11" s="2130"/>
      <c r="H11" s="2130"/>
      <c r="I11" s="2130"/>
      <c r="J11" s="2130"/>
      <c r="K11" s="2130"/>
      <c r="L11" s="2130"/>
      <c r="M11" s="2130"/>
      <c r="N11" s="2130"/>
      <c r="O11" s="2131"/>
    </row>
    <row r="12" spans="1:15" s="101" customFormat="1" ht="36" customHeight="1">
      <c r="B12" s="2132" t="s">
        <v>416</v>
      </c>
      <c r="C12" s="2133"/>
      <c r="D12" s="2130"/>
      <c r="E12" s="2130"/>
      <c r="F12" s="2130"/>
      <c r="G12" s="2130"/>
      <c r="H12" s="2130"/>
      <c r="I12" s="2130"/>
      <c r="J12" s="2130"/>
      <c r="K12" s="2130"/>
      <c r="L12" s="2130"/>
      <c r="M12" s="2130"/>
      <c r="N12" s="2130"/>
      <c r="O12" s="2131"/>
    </row>
    <row r="13" spans="1:15" s="101" customFormat="1" ht="17.25">
      <c r="B13" s="1582"/>
      <c r="C13" s="1576"/>
      <c r="D13" s="1576"/>
      <c r="E13" s="1577"/>
      <c r="F13" s="1576"/>
      <c r="G13" s="1576"/>
      <c r="H13" s="1576"/>
      <c r="I13" s="1578"/>
      <c r="J13" s="1576"/>
      <c r="K13" s="1578"/>
      <c r="L13" s="1579"/>
      <c r="M13" s="1580"/>
      <c r="N13" s="1579"/>
      <c r="O13" s="1581"/>
    </row>
    <row r="14" spans="1:15" s="107" customFormat="1" ht="39.950000000000003" customHeight="1">
      <c r="B14" s="1583"/>
      <c r="C14" s="1584" t="s">
        <v>417</v>
      </c>
      <c r="D14" s="1585"/>
      <c r="E14" s="1586"/>
      <c r="F14" s="2134"/>
      <c r="G14" s="2134"/>
      <c r="H14" s="2134"/>
      <c r="I14" s="2134"/>
      <c r="J14" s="2134"/>
      <c r="K14" s="2134"/>
      <c r="L14" s="2134"/>
      <c r="M14" s="2134"/>
      <c r="N14" s="2134"/>
      <c r="O14" s="2135"/>
    </row>
    <row r="15" spans="1:15" s="107" customFormat="1" ht="36" customHeight="1">
      <c r="B15" s="1587"/>
      <c r="C15" s="1588"/>
      <c r="D15" s="1589" t="s">
        <v>418</v>
      </c>
      <c r="E15" s="1586"/>
      <c r="F15" s="2134"/>
      <c r="G15" s="2134"/>
      <c r="H15" s="2136" t="str">
        <f>PROPER(SYNTHESE!D4)</f>
        <v>Point 50%</v>
      </c>
      <c r="I15" s="2136"/>
      <c r="J15" s="1590"/>
      <c r="K15" s="1591"/>
      <c r="L15" s="2137" t="s">
        <v>419</v>
      </c>
      <c r="M15" s="2137"/>
      <c r="N15" s="1591"/>
      <c r="O15" s="1592"/>
    </row>
    <row r="16" spans="1:15" s="107" customFormat="1" ht="23.25">
      <c r="B16" s="1587"/>
      <c r="C16" s="1588"/>
      <c r="D16" s="1593">
        <f>DCH!K20/1000</f>
        <v>131768.18712246409</v>
      </c>
      <c r="E16" s="1586"/>
      <c r="F16" s="1586"/>
      <c r="G16" s="1586"/>
      <c r="H16" s="2138">
        <f>DCH!M20/1000</f>
        <v>168903.43007142111</v>
      </c>
      <c r="I16" s="2138"/>
      <c r="J16" s="1586"/>
      <c r="K16" s="1586"/>
      <c r="L16" s="1594">
        <f>D16-H16</f>
        <v>-37135.24294895702</v>
      </c>
      <c r="M16" s="1595">
        <f>L16/D16</f>
        <v>-0.28182252302252503</v>
      </c>
      <c r="N16" s="1586"/>
      <c r="O16" s="1596"/>
    </row>
    <row r="17" spans="2:15" s="107" customFormat="1" ht="23.25" customHeight="1">
      <c r="B17" s="1587"/>
      <c r="C17" s="1588"/>
      <c r="D17" s="1585"/>
      <c r="E17" s="1586"/>
      <c r="F17" s="1586"/>
      <c r="G17" s="1586"/>
      <c r="H17" s="1586"/>
      <c r="I17" s="1586"/>
      <c r="J17" s="1586"/>
      <c r="K17" s="1586"/>
      <c r="L17" s="1586"/>
      <c r="M17" s="1586"/>
      <c r="N17" s="1586"/>
      <c r="O17" s="1596"/>
    </row>
    <row r="18" spans="2:15" s="107" customFormat="1" ht="39.950000000000003" customHeight="1">
      <c r="B18" s="1583"/>
      <c r="C18" s="1584" t="s">
        <v>420</v>
      </c>
      <c r="D18" s="1585"/>
      <c r="E18" s="1586"/>
      <c r="F18" s="1586"/>
      <c r="G18" s="1586"/>
      <c r="H18" s="1586"/>
      <c r="I18" s="1586"/>
      <c r="J18" s="1586"/>
      <c r="K18" s="1586"/>
      <c r="L18" s="1586"/>
      <c r="M18" s="1586"/>
      <c r="N18" s="1586"/>
      <c r="O18" s="1596"/>
    </row>
    <row r="19" spans="2:15" s="109" customFormat="1" ht="39.950000000000003" customHeight="1">
      <c r="B19" s="1597"/>
      <c r="C19" s="1598"/>
      <c r="D19" s="1599"/>
      <c r="E19" s="1599"/>
      <c r="F19" s="1586"/>
      <c r="G19" s="1586"/>
      <c r="H19" s="1586"/>
      <c r="I19" s="1586"/>
      <c r="J19" s="1586"/>
      <c r="K19" s="1586"/>
      <c r="L19" s="1586"/>
      <c r="M19" s="1586"/>
      <c r="N19" s="1586"/>
      <c r="O19" s="1596"/>
    </row>
    <row r="20" spans="2:15" s="108" customFormat="1" ht="27.75" customHeight="1">
      <c r="B20" s="1600"/>
      <c r="C20" s="1601" t="s">
        <v>172</v>
      </c>
      <c r="D20" s="1602"/>
      <c r="E20" s="1603"/>
      <c r="F20" s="1604"/>
      <c r="G20" s="1604"/>
      <c r="H20" s="1604"/>
      <c r="I20" s="1604"/>
      <c r="J20" s="1604"/>
      <c r="K20" s="1604"/>
      <c r="L20" s="1604"/>
      <c r="M20" s="1586"/>
      <c r="N20" s="1590"/>
      <c r="O20" s="1605"/>
    </row>
    <row r="21" spans="2:15" s="108" customFormat="1" ht="27.75" customHeight="1">
      <c r="B21" s="1600"/>
      <c r="C21" s="1606"/>
      <c r="D21" s="1602"/>
      <c r="E21" s="1603"/>
      <c r="F21" s="1604"/>
      <c r="G21" s="1604"/>
      <c r="H21" s="1604"/>
      <c r="I21" s="1604"/>
      <c r="J21" s="1604"/>
      <c r="K21" s="1604"/>
      <c r="L21" s="1604"/>
      <c r="M21" s="1586"/>
      <c r="N21" s="1590"/>
      <c r="O21" s="1605"/>
    </row>
    <row r="22" spans="2:15" s="108" customFormat="1" ht="27.75" customHeight="1">
      <c r="B22" s="1597"/>
      <c r="C22" s="1607"/>
      <c r="D22" s="1608"/>
      <c r="E22" s="1609"/>
      <c r="F22" s="1610"/>
      <c r="G22" s="1610"/>
      <c r="H22" s="2123" t="s">
        <v>421</v>
      </c>
      <c r="I22" s="2124"/>
      <c r="J22" s="1611" t="s">
        <v>422</v>
      </c>
      <c r="K22" s="2123" t="s">
        <v>423</v>
      </c>
      <c r="L22" s="2124"/>
      <c r="M22" s="1586"/>
      <c r="N22" s="1590"/>
      <c r="O22" s="1605"/>
    </row>
    <row r="23" spans="2:15" s="108" customFormat="1" ht="27.75" customHeight="1">
      <c r="B23" s="1597"/>
      <c r="C23" s="1607"/>
      <c r="D23" s="1612" t="s">
        <v>424</v>
      </c>
      <c r="E23" s="1613"/>
      <c r="F23" s="1614"/>
      <c r="G23" s="1614"/>
      <c r="H23" s="2139">
        <v>2928935.8180720927</v>
      </c>
      <c r="I23" s="2140"/>
      <c r="J23" s="1615">
        <v>25.667405124307017</v>
      </c>
      <c r="K23" s="2139">
        <f>H23*J23</f>
        <v>75178182.225549996</v>
      </c>
      <c r="L23" s="2140"/>
      <c r="M23" s="1586"/>
      <c r="N23" s="1590"/>
      <c r="O23" s="1605"/>
    </row>
    <row r="24" spans="2:15" s="108" customFormat="1" ht="27.75" customHeight="1">
      <c r="B24" s="1597"/>
      <c r="C24" s="1607"/>
      <c r="D24" s="1616" t="str">
        <f>PROPER(SYNTHESE!D4)</f>
        <v>Point 50%</v>
      </c>
      <c r="E24" s="1613"/>
      <c r="F24" s="1614"/>
      <c r="G24" s="1614"/>
      <c r="H24" s="2139">
        <v>268808.78037209297</v>
      </c>
      <c r="I24" s="2140"/>
      <c r="J24" s="1615">
        <v>105.51370651374963</v>
      </c>
      <c r="K24" s="2139">
        <f>H24*J24</f>
        <v>28363010.760499999</v>
      </c>
      <c r="L24" s="2140"/>
      <c r="M24" s="1586"/>
      <c r="N24" s="1590"/>
      <c r="O24" s="1605"/>
    </row>
    <row r="25" spans="2:15" s="108" customFormat="1" ht="27.75" customHeight="1">
      <c r="B25" s="1597"/>
      <c r="C25" s="1617"/>
      <c r="D25" s="1618" t="s">
        <v>194</v>
      </c>
      <c r="E25" s="1619"/>
      <c r="F25" s="1620"/>
      <c r="G25" s="1620"/>
      <c r="H25" s="2141">
        <f>H23-H24</f>
        <v>2660127.0376999998</v>
      </c>
      <c r="I25" s="2142"/>
      <c r="J25" s="1621">
        <f>J23-J24</f>
        <v>-79.846301389442601</v>
      </c>
      <c r="K25" s="2141">
        <f>K23-K24</f>
        <v>46815171.465049997</v>
      </c>
      <c r="L25" s="2142"/>
      <c r="M25" s="1586"/>
      <c r="N25" s="1590"/>
      <c r="O25" s="1605"/>
    </row>
    <row r="26" spans="2:15" s="108" customFormat="1" ht="27.75" customHeight="1">
      <c r="B26" s="1597"/>
      <c r="C26" s="1622"/>
      <c r="D26" s="1623"/>
      <c r="E26" s="1624"/>
      <c r="F26" s="1625"/>
      <c r="G26" s="1625"/>
      <c r="H26" s="1625"/>
      <c r="I26" s="1625"/>
      <c r="J26" s="1625"/>
      <c r="K26" s="1625"/>
      <c r="L26" s="1625"/>
      <c r="M26" s="1586"/>
      <c r="N26" s="1590"/>
      <c r="O26" s="1605"/>
    </row>
    <row r="27" spans="2:15" s="108" customFormat="1" ht="27.75" customHeight="1">
      <c r="B27" s="1597"/>
      <c r="C27" s="1626"/>
      <c r="D27" s="1627"/>
      <c r="E27" s="1627"/>
      <c r="F27" s="1628"/>
      <c r="G27" s="1628"/>
      <c r="H27" s="2143" t="s">
        <v>43</v>
      </c>
      <c r="I27" s="2143"/>
      <c r="J27" s="1628"/>
      <c r="K27" s="2143" t="s">
        <v>168</v>
      </c>
      <c r="L27" s="2144"/>
      <c r="M27" s="1586"/>
      <c r="N27" s="1629"/>
      <c r="O27" s="1630"/>
    </row>
    <row r="28" spans="2:15" s="107" customFormat="1" ht="27.75" customHeight="1">
      <c r="B28" s="1587"/>
      <c r="C28" s="1631"/>
      <c r="D28" s="1632" t="s">
        <v>425</v>
      </c>
      <c r="E28" s="1633"/>
      <c r="F28" s="1634"/>
      <c r="G28" s="1634"/>
      <c r="H28" s="2145">
        <f>K28/K25</f>
        <v>-0.45847075257947467</v>
      </c>
      <c r="I28" s="2146"/>
      <c r="J28" s="1635"/>
      <c r="K28" s="2147">
        <f>H24*J25</f>
        <v>-21463386.893718619</v>
      </c>
      <c r="L28" s="2144"/>
      <c r="M28" s="1586"/>
      <c r="N28" s="1586"/>
      <c r="O28" s="1596"/>
    </row>
    <row r="29" spans="2:15" s="107" customFormat="1" ht="27.75" customHeight="1">
      <c r="B29" s="1587"/>
      <c r="C29" s="1631"/>
      <c r="D29" s="1632" t="s">
        <v>426</v>
      </c>
      <c r="E29" s="1633"/>
      <c r="F29" s="1634"/>
      <c r="G29" s="1634"/>
      <c r="H29" s="2145">
        <f>H25/H23</f>
        <v>0.90822305537953696</v>
      </c>
      <c r="I29" s="2146"/>
      <c r="J29" s="1635"/>
      <c r="K29" s="2147">
        <f>H25*J23</f>
        <v>68278558.358768612</v>
      </c>
      <c r="L29" s="2144"/>
      <c r="M29" s="1586"/>
      <c r="N29" s="1586"/>
      <c r="O29" s="1596"/>
    </row>
    <row r="30" spans="2:15" s="101" customFormat="1" ht="27.75" customHeight="1">
      <c r="B30" s="1582"/>
      <c r="C30" s="1636"/>
      <c r="D30" s="1637"/>
      <c r="E30" s="1638"/>
      <c r="F30" s="1639"/>
      <c r="G30" s="1639"/>
      <c r="H30" s="1639"/>
      <c r="I30" s="1639"/>
      <c r="J30" s="1639"/>
      <c r="K30" s="1550"/>
      <c r="L30" s="1640"/>
      <c r="M30" s="1586"/>
      <c r="N30" s="1579"/>
      <c r="O30" s="1581"/>
    </row>
    <row r="31" spans="2:15" s="107" customFormat="1" ht="27.75" customHeight="1">
      <c r="B31" s="1587"/>
      <c r="C31" s="1636"/>
      <c r="D31" s="1638" t="s">
        <v>427</v>
      </c>
      <c r="E31" s="1641"/>
      <c r="F31" s="1642"/>
      <c r="G31" s="1642"/>
      <c r="H31" s="1642"/>
      <c r="I31" s="1642"/>
      <c r="J31" s="1642"/>
      <c r="K31" s="1586"/>
      <c r="L31" s="1586"/>
      <c r="M31" s="1586"/>
      <c r="N31" s="1586"/>
      <c r="O31" s="1596"/>
    </row>
    <row r="32" spans="2:15" s="107" customFormat="1" ht="27.75" customHeight="1">
      <c r="B32" s="1587"/>
      <c r="C32" s="1636"/>
      <c r="D32" s="1638" t="s">
        <v>428</v>
      </c>
      <c r="E32" s="1641"/>
      <c r="F32" s="1642"/>
      <c r="G32" s="1642"/>
      <c r="H32" s="1642"/>
      <c r="I32" s="1642"/>
      <c r="J32" s="1642"/>
      <c r="K32" s="1586"/>
      <c r="L32" s="1586"/>
      <c r="M32" s="1586"/>
      <c r="N32" s="1586"/>
      <c r="O32" s="1596"/>
    </row>
    <row r="33" spans="2:15" s="107" customFormat="1" ht="27.75" customHeight="1">
      <c r="B33" s="1587"/>
      <c r="C33" s="1636"/>
      <c r="D33" s="1638"/>
      <c r="E33" s="1641"/>
      <c r="F33" s="1642"/>
      <c r="G33" s="1642"/>
      <c r="H33" s="1642"/>
      <c r="I33" s="1642"/>
      <c r="J33" s="1642"/>
      <c r="K33" s="1586"/>
      <c r="L33" s="1586"/>
      <c r="M33" s="1586"/>
      <c r="N33" s="1586"/>
      <c r="O33" s="1596"/>
    </row>
    <row r="34" spans="2:15" s="107" customFormat="1" ht="27.75" customHeight="1">
      <c r="B34" s="1587"/>
      <c r="C34" s="1636"/>
      <c r="D34" s="1638"/>
      <c r="E34" s="1641"/>
      <c r="F34" s="1642"/>
      <c r="G34" s="1642"/>
      <c r="H34" s="1642"/>
      <c r="I34" s="1642"/>
      <c r="J34" s="1642"/>
      <c r="K34" s="1586"/>
      <c r="L34" s="1586"/>
      <c r="M34" s="1586"/>
      <c r="N34" s="1586"/>
      <c r="O34" s="1596"/>
    </row>
    <row r="35" spans="2:15" s="107" customFormat="1" ht="27.75" customHeight="1">
      <c r="B35" s="1587"/>
      <c r="C35" s="1636"/>
      <c r="D35" s="1637"/>
      <c r="E35" s="1638"/>
      <c r="F35" s="1586"/>
      <c r="G35" s="1586"/>
      <c r="H35" s="1586"/>
      <c r="I35" s="1586"/>
      <c r="J35" s="1586"/>
      <c r="K35" s="1586"/>
      <c r="L35" s="1586"/>
      <c r="M35" s="1586"/>
      <c r="N35" s="1586"/>
      <c r="O35" s="1596"/>
    </row>
    <row r="36" spans="2:15" s="108" customFormat="1" ht="27.75" customHeight="1">
      <c r="B36" s="1600"/>
      <c r="C36" s="1601" t="s">
        <v>85</v>
      </c>
      <c r="D36" s="1602"/>
      <c r="E36" s="1603"/>
      <c r="F36" s="1604"/>
      <c r="G36" s="1604"/>
      <c r="H36" s="1604"/>
      <c r="I36" s="1604"/>
      <c r="J36" s="1604"/>
      <c r="K36" s="1604"/>
      <c r="L36" s="1604"/>
      <c r="M36" s="1586"/>
      <c r="N36" s="1590"/>
      <c r="O36" s="1605"/>
    </row>
    <row r="37" spans="2:15" s="108" customFormat="1" ht="27.75" customHeight="1">
      <c r="B37" s="1587"/>
      <c r="C37" s="1643"/>
      <c r="D37" s="1643"/>
      <c r="E37" s="1599"/>
      <c r="F37" s="1586"/>
      <c r="G37" s="1586"/>
      <c r="H37" s="1586"/>
      <c r="I37" s="1586"/>
      <c r="J37" s="1586"/>
      <c r="K37" s="1586"/>
      <c r="L37" s="1586"/>
      <c r="M37" s="1586"/>
      <c r="N37" s="1590"/>
      <c r="O37" s="1605"/>
    </row>
    <row r="38" spans="2:15" s="108" customFormat="1" ht="27.75" customHeight="1">
      <c r="B38" s="1644"/>
      <c r="C38" s="1607"/>
      <c r="D38" s="1645"/>
      <c r="E38" s="1613"/>
      <c r="F38" s="1614"/>
      <c r="G38" s="1614"/>
      <c r="H38" s="2139" t="s">
        <v>421</v>
      </c>
      <c r="I38" s="2140"/>
      <c r="J38" s="1646" t="s">
        <v>422</v>
      </c>
      <c r="K38" s="2139" t="s">
        <v>423</v>
      </c>
      <c r="L38" s="2140"/>
      <c r="M38" s="1586"/>
      <c r="N38" s="1629"/>
      <c r="O38" s="1630"/>
    </row>
    <row r="39" spans="2:15" s="101" customFormat="1" ht="27.75" customHeight="1">
      <c r="B39" s="1582"/>
      <c r="C39" s="1607"/>
      <c r="D39" s="1612" t="s">
        <v>429</v>
      </c>
      <c r="E39" s="1613"/>
      <c r="F39" s="1614"/>
      <c r="G39" s="1614"/>
      <c r="H39" s="2139">
        <v>13751.581</v>
      </c>
      <c r="I39" s="2140"/>
      <c r="J39" s="1615">
        <v>1361.2356146540533</v>
      </c>
      <c r="K39" s="2139">
        <f>H39*J39</f>
        <v>18719141.815000001</v>
      </c>
      <c r="L39" s="2140"/>
      <c r="M39" s="1586"/>
      <c r="N39" s="1579"/>
      <c r="O39" s="1581"/>
    </row>
    <row r="40" spans="2:15" s="101" customFormat="1" ht="27.75" customHeight="1">
      <c r="B40" s="1582"/>
      <c r="C40" s="1607"/>
      <c r="D40" s="1616" t="str">
        <f>PROPER(SYNTHESE!D4)</f>
        <v>Point 50%</v>
      </c>
      <c r="E40" s="1613"/>
      <c r="F40" s="1614"/>
      <c r="G40" s="1614"/>
      <c r="H40" s="2139">
        <v>13521.561775235459</v>
      </c>
      <c r="I40" s="2140"/>
      <c r="J40" s="1615">
        <v>7328.6576010310355</v>
      </c>
      <c r="K40" s="2139">
        <f>H40*J40</f>
        <v>99094896.481890053</v>
      </c>
      <c r="L40" s="2140"/>
      <c r="M40" s="1586"/>
      <c r="N40" s="1579"/>
      <c r="O40" s="1581"/>
    </row>
    <row r="41" spans="2:15" s="101" customFormat="1" ht="27.75" customHeight="1">
      <c r="B41" s="1582"/>
      <c r="C41" s="1617"/>
      <c r="D41" s="1618" t="s">
        <v>194</v>
      </c>
      <c r="E41" s="1619"/>
      <c r="F41" s="1620"/>
      <c r="G41" s="1620"/>
      <c r="H41" s="2149">
        <f>H39-H40</f>
        <v>230.01922476454092</v>
      </c>
      <c r="I41" s="2150"/>
      <c r="J41" s="1647">
        <f>J39-J40</f>
        <v>-5967.4219863769822</v>
      </c>
      <c r="K41" s="2149">
        <f>K39-K40</f>
        <v>-80375754.666890055</v>
      </c>
      <c r="L41" s="2150"/>
      <c r="M41" s="1586"/>
      <c r="N41" s="1579"/>
      <c r="O41" s="1581"/>
    </row>
    <row r="42" spans="2:15" s="101" customFormat="1" ht="27.75" customHeight="1">
      <c r="B42" s="1582"/>
      <c r="C42" s="1622"/>
      <c r="D42" s="1648"/>
      <c r="E42" s="1649"/>
      <c r="F42" s="1650"/>
      <c r="G42" s="1650"/>
      <c r="H42" s="1650"/>
      <c r="I42" s="1650"/>
      <c r="J42" s="1650"/>
      <c r="K42" s="1650"/>
      <c r="L42" s="1650"/>
      <c r="M42" s="1586"/>
      <c r="N42" s="1579"/>
      <c r="O42" s="1581"/>
    </row>
    <row r="43" spans="2:15" s="101" customFormat="1" ht="27.75" customHeight="1">
      <c r="B43" s="1582"/>
      <c r="C43" s="1626"/>
      <c r="D43" s="1627"/>
      <c r="E43" s="1627"/>
      <c r="F43" s="1628"/>
      <c r="G43" s="1628"/>
      <c r="H43" s="2143" t="s">
        <v>43</v>
      </c>
      <c r="I43" s="2143"/>
      <c r="J43" s="1628"/>
      <c r="K43" s="2143" t="s">
        <v>168</v>
      </c>
      <c r="L43" s="2144"/>
      <c r="M43" s="1586"/>
      <c r="N43" s="1579"/>
      <c r="O43" s="1581"/>
    </row>
    <row r="44" spans="2:15" s="101" customFormat="1" ht="27.75" customHeight="1">
      <c r="B44" s="1582"/>
      <c r="C44" s="1631"/>
      <c r="D44" s="1632" t="s">
        <v>425</v>
      </c>
      <c r="E44" s="1633"/>
      <c r="F44" s="1634"/>
      <c r="G44" s="1634"/>
      <c r="H44" s="2145">
        <f>K44/K41</f>
        <v>1.0038955822200646</v>
      </c>
      <c r="I44" s="2146"/>
      <c r="J44" s="1635"/>
      <c r="K44" s="2147">
        <f>H40*J41</f>
        <v>-80688865.027694657</v>
      </c>
      <c r="L44" s="2144"/>
      <c r="M44" s="1586"/>
      <c r="N44" s="1579"/>
      <c r="O44" s="1581"/>
    </row>
    <row r="45" spans="2:15" s="101" customFormat="1" ht="27.75" customHeight="1">
      <c r="B45" s="1582"/>
      <c r="C45" s="1631"/>
      <c r="D45" s="1632" t="s">
        <v>426</v>
      </c>
      <c r="E45" s="1633"/>
      <c r="F45" s="1634"/>
      <c r="G45" s="1634"/>
      <c r="H45" s="2145">
        <f>H41/H39</f>
        <v>1.6726747620112982E-2</v>
      </c>
      <c r="I45" s="2146"/>
      <c r="J45" s="1635"/>
      <c r="K45" s="2147">
        <f>H41*J39</f>
        <v>313110.36080460867</v>
      </c>
      <c r="L45" s="2144"/>
      <c r="M45" s="1586"/>
      <c r="N45" s="1579"/>
      <c r="O45" s="1581"/>
    </row>
    <row r="46" spans="2:15" s="101" customFormat="1" ht="27.75" customHeight="1">
      <c r="B46" s="1582"/>
      <c r="C46" s="1636"/>
      <c r="D46" s="1638"/>
      <c r="E46" s="1642"/>
      <c r="F46" s="1642"/>
      <c r="G46" s="1642"/>
      <c r="H46" s="1642"/>
      <c r="I46" s="1642"/>
      <c r="J46" s="1642"/>
      <c r="K46" s="2148"/>
      <c r="L46" s="2148"/>
      <c r="M46" s="1586"/>
      <c r="N46" s="1579"/>
      <c r="O46" s="1581"/>
    </row>
    <row r="47" spans="2:15" s="101" customFormat="1" ht="27.75" customHeight="1">
      <c r="B47" s="1582"/>
      <c r="C47" s="1636"/>
      <c r="D47" s="1638"/>
      <c r="E47" s="1642"/>
      <c r="F47" s="1642"/>
      <c r="G47" s="1642"/>
      <c r="H47" s="1642"/>
      <c r="I47" s="1642"/>
      <c r="J47" s="1642"/>
      <c r="K47" s="1651"/>
      <c r="L47" s="1651"/>
      <c r="M47" s="1586"/>
      <c r="N47" s="1579"/>
      <c r="O47" s="1581"/>
    </row>
    <row r="48" spans="2:15" s="101" customFormat="1" ht="27.75" customHeight="1">
      <c r="B48" s="1582"/>
      <c r="C48" s="1636"/>
      <c r="D48" s="1638"/>
      <c r="E48" s="1642"/>
      <c r="F48" s="1642"/>
      <c r="G48" s="1642"/>
      <c r="H48" s="1642"/>
      <c r="I48" s="1642"/>
      <c r="J48" s="1642"/>
      <c r="K48" s="1651"/>
      <c r="L48" s="1651"/>
      <c r="M48" s="1586"/>
      <c r="N48" s="1579"/>
      <c r="O48" s="1581"/>
    </row>
    <row r="49" spans="2:15" s="101" customFormat="1" ht="27.75" customHeight="1">
      <c r="B49" s="1582"/>
      <c r="C49" s="1636"/>
      <c r="D49" s="1638"/>
      <c r="E49" s="1642"/>
      <c r="F49" s="1642"/>
      <c r="G49" s="1642"/>
      <c r="H49" s="1642"/>
      <c r="I49" s="1642"/>
      <c r="J49" s="1642"/>
      <c r="K49" s="1651"/>
      <c r="L49" s="1651"/>
      <c r="M49" s="1586"/>
      <c r="N49" s="1579"/>
      <c r="O49" s="1581"/>
    </row>
    <row r="50" spans="2:15" s="101" customFormat="1" ht="27.75" customHeight="1">
      <c r="B50" s="1582"/>
      <c r="C50" s="1636"/>
      <c r="D50" s="1638"/>
      <c r="E50" s="1642"/>
      <c r="F50" s="1642"/>
      <c r="G50" s="1642"/>
      <c r="H50" s="1642"/>
      <c r="I50" s="1642"/>
      <c r="J50" s="1642"/>
      <c r="K50" s="1651"/>
      <c r="L50" s="1651"/>
      <c r="M50" s="1586"/>
      <c r="N50" s="1579"/>
      <c r="O50" s="1581"/>
    </row>
    <row r="51" spans="2:15" s="101" customFormat="1" ht="27.75" customHeight="1">
      <c r="B51" s="1582"/>
      <c r="C51" s="1636"/>
      <c r="D51" s="1638"/>
      <c r="E51" s="1642"/>
      <c r="F51" s="1642"/>
      <c r="G51" s="1642"/>
      <c r="H51" s="1642"/>
      <c r="I51" s="1642"/>
      <c r="J51" s="1642"/>
      <c r="K51" s="1651"/>
      <c r="L51" s="1651"/>
      <c r="M51" s="1586"/>
      <c r="N51" s="1579"/>
      <c r="O51" s="1581"/>
    </row>
    <row r="52" spans="2:15" s="108" customFormat="1" ht="27.75" customHeight="1">
      <c r="B52" s="1600"/>
      <c r="C52" s="1601" t="s">
        <v>86</v>
      </c>
      <c r="D52" s="1602"/>
      <c r="E52" s="1603"/>
      <c r="F52" s="1604"/>
      <c r="G52" s="1604"/>
      <c r="H52" s="1604"/>
      <c r="I52" s="1604"/>
      <c r="J52" s="1604"/>
      <c r="K52" s="1604"/>
      <c r="L52" s="1604"/>
      <c r="M52" s="1586"/>
      <c r="N52" s="1590"/>
      <c r="O52" s="1605"/>
    </row>
    <row r="53" spans="2:15" s="101" customFormat="1" ht="27.75" customHeight="1">
      <c r="B53" s="1582"/>
      <c r="C53" s="1643"/>
      <c r="D53" s="1643"/>
      <c r="E53" s="1652"/>
      <c r="F53" s="1653"/>
      <c r="G53" s="1653"/>
      <c r="H53" s="1653"/>
      <c r="I53" s="1653"/>
      <c r="J53" s="1653"/>
      <c r="K53" s="1653"/>
      <c r="L53" s="1653"/>
      <c r="M53" s="1586"/>
      <c r="N53" s="1579"/>
      <c r="O53" s="1581"/>
    </row>
    <row r="54" spans="2:15" s="101" customFormat="1" ht="27.75" customHeight="1">
      <c r="B54" s="1582"/>
      <c r="C54" s="1607"/>
      <c r="D54" s="1645"/>
      <c r="E54" s="1613"/>
      <c r="F54" s="1614"/>
      <c r="G54" s="1614"/>
      <c r="H54" s="2139" t="s">
        <v>421</v>
      </c>
      <c r="I54" s="2140"/>
      <c r="J54" s="1646" t="s">
        <v>422</v>
      </c>
      <c r="K54" s="2139" t="s">
        <v>423</v>
      </c>
      <c r="L54" s="2140"/>
      <c r="M54" s="1586"/>
      <c r="N54" s="1579"/>
      <c r="O54" s="1581"/>
    </row>
    <row r="55" spans="2:15" s="101" customFormat="1" ht="27.75" customHeight="1">
      <c r="B55" s="1582"/>
      <c r="C55" s="1607"/>
      <c r="D55" s="1612" t="s">
        <v>429</v>
      </c>
      <c r="E55" s="1613"/>
      <c r="F55" s="1614"/>
      <c r="G55" s="1614"/>
      <c r="H55" s="2139">
        <v>1756.2611488343557</v>
      </c>
      <c r="I55" s="2140"/>
      <c r="J55" s="1615">
        <v>12812.82769754903</v>
      </c>
      <c r="K55" s="2139">
        <f>H55*J55</f>
        <v>22502671.491914112</v>
      </c>
      <c r="L55" s="2140"/>
      <c r="M55" s="1586"/>
      <c r="N55" s="1579"/>
      <c r="O55" s="1581"/>
    </row>
    <row r="56" spans="2:15" s="101" customFormat="1" ht="27.75" customHeight="1">
      <c r="B56" s="1582"/>
      <c r="C56" s="1607"/>
      <c r="D56" s="1616" t="str">
        <f>PROPER(SYNTHESE!D4)</f>
        <v>Point 50%</v>
      </c>
      <c r="E56" s="1613"/>
      <c r="F56" s="1614"/>
      <c r="G56" s="1614"/>
      <c r="H56" s="2139">
        <v>1541.6670418408544</v>
      </c>
      <c r="I56" s="2140"/>
      <c r="J56" s="1615">
        <v>18723.04914462247</v>
      </c>
      <c r="K56" s="2139">
        <f>H56*J56</f>
        <v>28864707.789031062</v>
      </c>
      <c r="L56" s="2140"/>
      <c r="M56" s="1586"/>
      <c r="N56" s="1579"/>
      <c r="O56" s="1581"/>
    </row>
    <row r="57" spans="2:15" s="101" customFormat="1" ht="27.75" customHeight="1">
      <c r="B57" s="1582"/>
      <c r="C57" s="1617"/>
      <c r="D57" s="1618" t="s">
        <v>194</v>
      </c>
      <c r="E57" s="1619"/>
      <c r="F57" s="1620"/>
      <c r="G57" s="1620"/>
      <c r="H57" s="2149">
        <f>H55-H56</f>
        <v>214.59410699350133</v>
      </c>
      <c r="I57" s="2150"/>
      <c r="J57" s="1647">
        <f>J55-J56</f>
        <v>-5910.2214470734398</v>
      </c>
      <c r="K57" s="2149">
        <f>K55-K56</f>
        <v>-6362036.2971169502</v>
      </c>
      <c r="L57" s="2150"/>
      <c r="M57" s="1586"/>
      <c r="N57" s="1579"/>
      <c r="O57" s="1581"/>
    </row>
    <row r="58" spans="2:15" s="101" customFormat="1" ht="27.75" customHeight="1">
      <c r="B58" s="1582"/>
      <c r="C58" s="1622"/>
      <c r="D58" s="1654"/>
      <c r="E58" s="1655"/>
      <c r="F58" s="1656"/>
      <c r="G58" s="1656"/>
      <c r="H58" s="1656"/>
      <c r="I58" s="1656"/>
      <c r="J58" s="1656"/>
      <c r="K58" s="1656"/>
      <c r="L58" s="1656"/>
      <c r="M58" s="1586"/>
      <c r="N58" s="1579"/>
      <c r="O58" s="1581"/>
    </row>
    <row r="59" spans="2:15" s="101" customFormat="1" ht="27.75" customHeight="1">
      <c r="B59" s="1582"/>
      <c r="C59" s="1626"/>
      <c r="D59" s="1627"/>
      <c r="E59" s="1627"/>
      <c r="F59" s="1628"/>
      <c r="G59" s="1628"/>
      <c r="H59" s="2143" t="s">
        <v>43</v>
      </c>
      <c r="I59" s="2143"/>
      <c r="J59" s="1628"/>
      <c r="K59" s="2143" t="s">
        <v>168</v>
      </c>
      <c r="L59" s="2144"/>
      <c r="M59" s="1586"/>
      <c r="N59" s="1579"/>
      <c r="O59" s="1581"/>
    </row>
    <row r="60" spans="2:15" s="101" customFormat="1" ht="27.75" customHeight="1">
      <c r="B60" s="1582"/>
      <c r="C60" s="1631"/>
      <c r="D60" s="1632" t="s">
        <v>425</v>
      </c>
      <c r="E60" s="1633"/>
      <c r="F60" s="1634"/>
      <c r="G60" s="1634"/>
      <c r="H60" s="2145">
        <f>K60/K57</f>
        <v>1.4321819602103081</v>
      </c>
      <c r="I60" s="2146"/>
      <c r="J60" s="1635"/>
      <c r="K60" s="2147">
        <f>H56*J57</f>
        <v>-9111593.6149340831</v>
      </c>
      <c r="L60" s="2144"/>
      <c r="M60" s="1586"/>
      <c r="N60" s="1579"/>
      <c r="O60" s="1581"/>
    </row>
    <row r="61" spans="2:15" s="101" customFormat="1" ht="27.75" customHeight="1">
      <c r="B61" s="1582"/>
      <c r="C61" s="1631"/>
      <c r="D61" s="1632" t="s">
        <v>426</v>
      </c>
      <c r="E61" s="1633"/>
      <c r="F61" s="1634"/>
      <c r="G61" s="1634"/>
      <c r="H61" s="2145">
        <f>H57/H55</f>
        <v>0.1221880397092022</v>
      </c>
      <c r="I61" s="2146"/>
      <c r="J61" s="1635"/>
      <c r="K61" s="2147">
        <f>H57*J55</f>
        <v>2749557.3178171339</v>
      </c>
      <c r="L61" s="2144"/>
      <c r="M61" s="1586"/>
      <c r="N61" s="1579"/>
      <c r="O61" s="1581"/>
    </row>
    <row r="62" spans="2:15" s="101" customFormat="1" ht="27.75" customHeight="1">
      <c r="B62" s="1582"/>
      <c r="C62" s="1636"/>
      <c r="D62" s="1657"/>
      <c r="E62" s="1586"/>
      <c r="F62" s="1639"/>
      <c r="G62" s="1639"/>
      <c r="H62" s="1639"/>
      <c r="I62" s="1639"/>
      <c r="J62" s="1639"/>
      <c r="K62" s="1576"/>
      <c r="L62" s="1640"/>
      <c r="M62" s="1586"/>
      <c r="N62" s="1579"/>
      <c r="O62" s="1581"/>
    </row>
    <row r="63" spans="2:15" s="101" customFormat="1" ht="27.75" customHeight="1">
      <c r="B63" s="1582"/>
      <c r="C63" s="1636"/>
      <c r="D63" s="1657"/>
      <c r="E63" s="1586"/>
      <c r="F63" s="1639"/>
      <c r="G63" s="1639"/>
      <c r="H63" s="1639"/>
      <c r="I63" s="1639"/>
      <c r="J63" s="1639"/>
      <c r="K63" s="1576"/>
      <c r="L63" s="1640"/>
      <c r="M63" s="1586"/>
      <c r="N63" s="1579"/>
      <c r="O63" s="1581"/>
    </row>
    <row r="64" spans="2:15" s="101" customFormat="1" ht="27.75" customHeight="1">
      <c r="B64" s="1582"/>
      <c r="C64" s="1636"/>
      <c r="D64" s="1657"/>
      <c r="E64" s="1586"/>
      <c r="F64" s="1639"/>
      <c r="G64" s="1639"/>
      <c r="H64" s="1639"/>
      <c r="I64" s="1639"/>
      <c r="J64" s="1639"/>
      <c r="K64" s="1576"/>
      <c r="L64" s="1640"/>
      <c r="M64" s="1586"/>
      <c r="N64" s="1579"/>
      <c r="O64" s="1581"/>
    </row>
    <row r="65" spans="2:15" s="101" customFormat="1" ht="27.75" customHeight="1">
      <c r="B65" s="1582"/>
      <c r="C65" s="1636"/>
      <c r="D65" s="1657"/>
      <c r="E65" s="1586"/>
      <c r="F65" s="1639"/>
      <c r="G65" s="1639"/>
      <c r="H65" s="1639"/>
      <c r="I65" s="1639"/>
      <c r="J65" s="1639"/>
      <c r="K65" s="1576"/>
      <c r="L65" s="1640"/>
      <c r="M65" s="1586"/>
      <c r="N65" s="1579"/>
      <c r="O65" s="1581"/>
    </row>
    <row r="66" spans="2:15" s="101" customFormat="1" ht="27.75" customHeight="1">
      <c r="B66" s="1582"/>
      <c r="C66" s="1636"/>
      <c r="D66" s="1657"/>
      <c r="E66" s="1586"/>
      <c r="F66" s="1639"/>
      <c r="G66" s="1639"/>
      <c r="H66" s="1639"/>
      <c r="I66" s="1639"/>
      <c r="J66" s="1639"/>
      <c r="K66" s="1576"/>
      <c r="L66" s="1640"/>
      <c r="M66" s="1586"/>
      <c r="N66" s="1579"/>
      <c r="O66" s="1581"/>
    </row>
    <row r="67" spans="2:15" s="101" customFormat="1" ht="27.75" customHeight="1">
      <c r="B67" s="1582"/>
      <c r="C67" s="1576"/>
      <c r="D67" s="1657"/>
      <c r="E67" s="1586"/>
      <c r="F67" s="1639"/>
      <c r="G67" s="1639"/>
      <c r="H67" s="1639"/>
      <c r="I67" s="1639"/>
      <c r="J67" s="1639"/>
      <c r="K67" s="1576"/>
      <c r="L67" s="1658"/>
      <c r="M67" s="1580"/>
      <c r="N67" s="1579"/>
      <c r="O67" s="1581"/>
    </row>
    <row r="68" spans="2:15" s="108" customFormat="1" ht="27.75" customHeight="1">
      <c r="B68" s="1600"/>
      <c r="C68" s="1601" t="s">
        <v>87</v>
      </c>
      <c r="D68" s="1602"/>
      <c r="E68" s="1603"/>
      <c r="F68" s="1659"/>
      <c r="G68" s="1659"/>
      <c r="H68" s="1659"/>
      <c r="I68" s="1659"/>
      <c r="J68" s="1659"/>
      <c r="K68" s="2152">
        <v>2787.376549999999</v>
      </c>
      <c r="L68" s="2152"/>
      <c r="M68" s="1660"/>
      <c r="N68" s="1590"/>
      <c r="O68" s="1605"/>
    </row>
    <row r="69" spans="2:15" s="101" customFormat="1" ht="27.75" customHeight="1">
      <c r="B69" s="1582"/>
      <c r="C69" s="1636"/>
      <c r="D69" s="1661" t="s">
        <v>430</v>
      </c>
      <c r="E69" s="1586"/>
      <c r="F69" s="1639"/>
      <c r="G69" s="1639"/>
      <c r="H69" s="1639"/>
      <c r="I69" s="1639"/>
      <c r="J69" s="1639"/>
      <c r="K69" s="2148"/>
      <c r="L69" s="2148"/>
      <c r="M69" s="1586"/>
      <c r="N69" s="1579"/>
      <c r="O69" s="1581"/>
    </row>
    <row r="70" spans="2:15" s="101" customFormat="1" ht="27.75" customHeight="1">
      <c r="B70" s="1582"/>
      <c r="C70" s="1636"/>
      <c r="D70" s="1661" t="s">
        <v>432</v>
      </c>
      <c r="E70" s="1586"/>
      <c r="F70" s="1639"/>
      <c r="G70" s="1639"/>
      <c r="H70" s="1639"/>
      <c r="I70" s="1639"/>
      <c r="J70" s="1639"/>
      <c r="K70" s="2148"/>
      <c r="L70" s="2148"/>
      <c r="M70" s="1586"/>
      <c r="N70" s="1579"/>
      <c r="O70" s="1581"/>
    </row>
    <row r="71" spans="2:15" s="101" customFormat="1" ht="27.75" customHeight="1">
      <c r="B71" s="1582"/>
      <c r="C71" s="1636"/>
      <c r="D71" s="1661" t="s">
        <v>431</v>
      </c>
      <c r="E71" s="1642"/>
      <c r="F71" s="1642"/>
      <c r="G71" s="1642"/>
      <c r="H71" s="1639"/>
      <c r="I71" s="1639"/>
      <c r="J71" s="1639"/>
      <c r="K71" s="2148"/>
      <c r="L71" s="2148"/>
      <c r="M71" s="1586"/>
      <c r="N71" s="1579"/>
      <c r="O71" s="1581"/>
    </row>
    <row r="72" spans="2:15" s="101" customFormat="1" ht="27.75" customHeight="1" thickBot="1">
      <c r="B72" s="1662"/>
      <c r="C72" s="1663"/>
      <c r="D72" s="1664"/>
      <c r="E72" s="1665"/>
      <c r="F72" s="1666"/>
      <c r="G72" s="1666"/>
      <c r="H72" s="1666"/>
      <c r="I72" s="1666"/>
      <c r="J72" s="1666"/>
      <c r="K72" s="2151"/>
      <c r="L72" s="2151"/>
      <c r="M72" s="1665"/>
      <c r="N72" s="1667"/>
      <c r="O72" s="1668"/>
    </row>
    <row r="73" spans="2:15" ht="15.75" thickTop="1"/>
  </sheetData>
  <sheetProtection sheet="1" objects="1" scenarios="1"/>
  <mergeCells count="65">
    <mergeCell ref="K71:L71"/>
    <mergeCell ref="K72:L72"/>
    <mergeCell ref="H61:I61"/>
    <mergeCell ref="K61:L61"/>
    <mergeCell ref="K68:L68"/>
    <mergeCell ref="K69:L69"/>
    <mergeCell ref="K70:L70"/>
    <mergeCell ref="H57:I57"/>
    <mergeCell ref="K57:L57"/>
    <mergeCell ref="H59:I59"/>
    <mergeCell ref="K59:L59"/>
    <mergeCell ref="H60:I60"/>
    <mergeCell ref="K60:L60"/>
    <mergeCell ref="H54:I54"/>
    <mergeCell ref="K54:L54"/>
    <mergeCell ref="H55:I55"/>
    <mergeCell ref="K55:L55"/>
    <mergeCell ref="H56:I56"/>
    <mergeCell ref="K56:L56"/>
    <mergeCell ref="H45:I45"/>
    <mergeCell ref="K45:L45"/>
    <mergeCell ref="K46:L46"/>
    <mergeCell ref="H41:I41"/>
    <mergeCell ref="K41:L41"/>
    <mergeCell ref="H43:I43"/>
    <mergeCell ref="K43:L43"/>
    <mergeCell ref="H44:I44"/>
    <mergeCell ref="K44:L44"/>
    <mergeCell ref="H38:I38"/>
    <mergeCell ref="K38:L38"/>
    <mergeCell ref="H39:I39"/>
    <mergeCell ref="K39:L39"/>
    <mergeCell ref="H40:I40"/>
    <mergeCell ref="K40:L40"/>
    <mergeCell ref="H27:I27"/>
    <mergeCell ref="K27:L27"/>
    <mergeCell ref="H28:I28"/>
    <mergeCell ref="K28:L28"/>
    <mergeCell ref="H29:I29"/>
    <mergeCell ref="K29:L29"/>
    <mergeCell ref="H23:I23"/>
    <mergeCell ref="K23:L23"/>
    <mergeCell ref="H24:I24"/>
    <mergeCell ref="K24:L24"/>
    <mergeCell ref="H25:I25"/>
    <mergeCell ref="K25:L25"/>
    <mergeCell ref="H22:I22"/>
    <mergeCell ref="K22:L22"/>
    <mergeCell ref="B7:D7"/>
    <mergeCell ref="E7:K7"/>
    <mergeCell ref="E8:K8"/>
    <mergeCell ref="B10:O10"/>
    <mergeCell ref="B11:O11"/>
    <mergeCell ref="B12:O12"/>
    <mergeCell ref="F14:O14"/>
    <mergeCell ref="F15:G15"/>
    <mergeCell ref="H15:I15"/>
    <mergeCell ref="L15:M15"/>
    <mergeCell ref="H16:I16"/>
    <mergeCell ref="E2:K2"/>
    <mergeCell ref="B3:D5"/>
    <mergeCell ref="E3:K3"/>
    <mergeCell ref="E5:K5"/>
    <mergeCell ref="B6:D6"/>
    <mergeCell ref="E6:K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P220"/>
  <sheetViews>
    <sheetView showGridLines="0" zoomScale="55" zoomScaleNormal="55" zoomScalePageLayoutView="55" workbookViewId="0">
      <selection activeCell="L48" sqref="L48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669"/>
      <c r="C1" s="1669"/>
      <c r="D1" s="1669"/>
      <c r="E1" s="1670"/>
      <c r="F1" s="1669"/>
      <c r="G1" s="1669"/>
      <c r="H1" s="1669"/>
      <c r="I1" s="1671"/>
      <c r="J1" s="1669"/>
      <c r="K1" s="1671"/>
      <c r="L1" s="1672"/>
      <c r="M1" s="1673"/>
      <c r="N1" s="1672"/>
      <c r="O1" s="1669"/>
    </row>
    <row r="2" spans="1:16" s="1101" customFormat="1" ht="19.5" customHeight="1" thickTop="1">
      <c r="A2" s="1100"/>
      <c r="B2" s="1674"/>
      <c r="C2" s="1675"/>
      <c r="D2" s="1676"/>
      <c r="E2" s="2173"/>
      <c r="F2" s="2174"/>
      <c r="G2" s="2174"/>
      <c r="H2" s="2174"/>
      <c r="I2" s="2174"/>
      <c r="J2" s="2174"/>
      <c r="K2" s="2175"/>
      <c r="L2" s="1677"/>
      <c r="M2" s="1675"/>
      <c r="N2" s="1678"/>
      <c r="O2" s="1679"/>
    </row>
    <row r="3" spans="1:16" s="1101" customFormat="1" ht="22.5" customHeight="1">
      <c r="A3" s="1100"/>
      <c r="B3" s="2176" t="str">
        <f>SYNTHESE!D4</f>
        <v>POINT 50%</v>
      </c>
      <c r="C3" s="2177"/>
      <c r="D3" s="2178"/>
      <c r="E3" s="2161" t="s">
        <v>15</v>
      </c>
      <c r="F3" s="2162"/>
      <c r="G3" s="2162"/>
      <c r="H3" s="2162"/>
      <c r="I3" s="2162"/>
      <c r="J3" s="2162"/>
      <c r="K3" s="2163"/>
      <c r="L3" s="1680"/>
      <c r="M3" s="1681"/>
      <c r="N3" s="1682"/>
      <c r="O3" s="1683"/>
    </row>
    <row r="4" spans="1:16" s="1101" customFormat="1" ht="22.5" customHeight="1">
      <c r="A4" s="1100"/>
      <c r="B4" s="2176"/>
      <c r="C4" s="2177"/>
      <c r="D4" s="2178"/>
      <c r="E4" s="1684"/>
      <c r="F4" s="1685"/>
      <c r="G4" s="1685"/>
      <c r="H4" s="1685"/>
      <c r="I4" s="1685"/>
      <c r="J4" s="1685"/>
      <c r="K4" s="1686"/>
      <c r="L4" s="1680"/>
      <c r="M4" s="1681"/>
      <c r="N4" s="1682"/>
      <c r="O4" s="1683"/>
    </row>
    <row r="5" spans="1:16" s="1101" customFormat="1" ht="20.100000000000001" customHeight="1">
      <c r="A5" s="1100"/>
      <c r="B5" s="2176"/>
      <c r="C5" s="2177"/>
      <c r="D5" s="2178"/>
      <c r="E5" s="2179"/>
      <c r="F5" s="2180"/>
      <c r="G5" s="2180"/>
      <c r="H5" s="2180"/>
      <c r="I5" s="2180"/>
      <c r="J5" s="2180"/>
      <c r="K5" s="2181"/>
      <c r="L5" s="1680"/>
      <c r="M5" s="1681"/>
      <c r="N5" s="1682"/>
      <c r="O5" s="1683"/>
    </row>
    <row r="6" spans="1:16" s="1101" customFormat="1" ht="27.75">
      <c r="A6" s="1100"/>
      <c r="B6" s="2158">
        <f>SYNTHESE!D7</f>
        <v>42800</v>
      </c>
      <c r="C6" s="2159"/>
      <c r="D6" s="2160"/>
      <c r="E6" s="2161" t="str">
        <f>SYNTHESE!E6</f>
        <v xml:space="preserve">LES FAUBOURGS D'ANFA </v>
      </c>
      <c r="F6" s="2162"/>
      <c r="G6" s="2162"/>
      <c r="H6" s="2162"/>
      <c r="I6" s="2162"/>
      <c r="J6" s="2162"/>
      <c r="K6" s="2163"/>
      <c r="L6" s="1680"/>
      <c r="M6" s="1681"/>
      <c r="N6" s="1682"/>
      <c r="O6" s="1683"/>
    </row>
    <row r="7" spans="1:16" s="1101" customFormat="1" ht="27.75" customHeight="1">
      <c r="A7" s="1100"/>
      <c r="B7" s="2158"/>
      <c r="C7" s="2159"/>
      <c r="D7" s="2160"/>
      <c r="E7" s="2161" t="str">
        <f>SYNTHESE!E7</f>
        <v>CASABLANCA</v>
      </c>
      <c r="F7" s="2162"/>
      <c r="G7" s="2162"/>
      <c r="H7" s="2162"/>
      <c r="I7" s="2162"/>
      <c r="J7" s="2162"/>
      <c r="K7" s="2163"/>
      <c r="L7" s="1680"/>
      <c r="M7" s="1681"/>
      <c r="N7" s="1687"/>
      <c r="O7" s="1683"/>
    </row>
    <row r="8" spans="1:16" s="1103" customFormat="1" ht="20.100000000000001" customHeight="1" thickBot="1">
      <c r="A8" s="1102"/>
      <c r="B8" s="1688"/>
      <c r="C8" s="1689"/>
      <c r="D8" s="1690"/>
      <c r="E8" s="2164"/>
      <c r="F8" s="2165"/>
      <c r="G8" s="2165"/>
      <c r="H8" s="2165"/>
      <c r="I8" s="2165"/>
      <c r="J8" s="2165"/>
      <c r="K8" s="2166"/>
      <c r="L8" s="1691"/>
      <c r="M8" s="1689"/>
      <c r="N8" s="1692"/>
      <c r="O8" s="1693"/>
    </row>
    <row r="9" spans="1:16" s="1099" customFormat="1" ht="40.5" customHeight="1" thickTop="1">
      <c r="B9" s="1782"/>
      <c r="C9" s="1783"/>
      <c r="D9" s="1783"/>
      <c r="E9" s="1784"/>
      <c r="F9" s="1783"/>
      <c r="G9" s="1783"/>
      <c r="H9" s="1783"/>
      <c r="I9" s="1785"/>
      <c r="J9" s="1783"/>
      <c r="K9" s="1785"/>
      <c r="L9" s="1786"/>
      <c r="M9" s="1787"/>
      <c r="N9" s="1786"/>
      <c r="O9" s="1788"/>
    </row>
    <row r="10" spans="1:16" s="1103" customFormat="1" ht="40.5" customHeight="1">
      <c r="A10" s="1104"/>
      <c r="B10" s="2167" t="s">
        <v>415</v>
      </c>
      <c r="C10" s="2168"/>
      <c r="D10" s="2169"/>
      <c r="E10" s="2169"/>
      <c r="F10" s="2169"/>
      <c r="G10" s="2169"/>
      <c r="H10" s="2169"/>
      <c r="I10" s="2169"/>
      <c r="J10" s="2169"/>
      <c r="K10" s="2169"/>
      <c r="L10" s="2169"/>
      <c r="M10" s="2169"/>
      <c r="N10" s="2169"/>
      <c r="O10" s="2170"/>
    </row>
    <row r="11" spans="1:16" s="1099" customFormat="1" ht="100.5" customHeight="1">
      <c r="B11" s="2171" t="s">
        <v>435</v>
      </c>
      <c r="C11" s="2172"/>
      <c r="D11" s="2169"/>
      <c r="E11" s="2169"/>
      <c r="F11" s="2169"/>
      <c r="G11" s="2169"/>
      <c r="H11" s="2169"/>
      <c r="I11" s="2169"/>
      <c r="J11" s="2169"/>
      <c r="K11" s="2169"/>
      <c r="L11" s="2169"/>
      <c r="M11" s="2169"/>
      <c r="N11" s="2169"/>
      <c r="O11" s="2170"/>
    </row>
    <row r="12" spans="1:16" s="1099" customFormat="1" ht="25.5" customHeight="1">
      <c r="B12" s="1789"/>
      <c r="C12" s="1696"/>
      <c r="D12" s="1696"/>
      <c r="E12" s="1697"/>
      <c r="F12" s="1698"/>
      <c r="G12" s="1698"/>
      <c r="H12" s="1698"/>
      <c r="I12" s="1698"/>
      <c r="J12" s="1698"/>
      <c r="K12" s="1698"/>
      <c r="L12" s="1698"/>
      <c r="M12" s="1698"/>
      <c r="N12" s="1698"/>
      <c r="O12" s="1790"/>
    </row>
    <row r="13" spans="1:16" s="1099" customFormat="1" ht="18" customHeight="1">
      <c r="B13" s="1791"/>
      <c r="C13" s="1701"/>
      <c r="D13" s="1701"/>
      <c r="E13" s="1702"/>
      <c r="F13" s="1701"/>
      <c r="G13" s="1701"/>
      <c r="H13" s="1701"/>
      <c r="I13" s="1703"/>
      <c r="J13" s="1701"/>
      <c r="K13" s="1703"/>
      <c r="L13" s="1704"/>
      <c r="M13" s="1705"/>
      <c r="N13" s="1704"/>
      <c r="O13" s="1792"/>
    </row>
    <row r="14" spans="1:16" s="1105" customFormat="1" ht="39.950000000000003" customHeight="1">
      <c r="B14" s="1793"/>
      <c r="C14" s="1708" t="s">
        <v>417</v>
      </c>
      <c r="D14" s="1709"/>
      <c r="E14" s="1710"/>
      <c r="F14" s="2153"/>
      <c r="G14" s="2153"/>
      <c r="H14" s="2153"/>
      <c r="I14" s="2153"/>
      <c r="J14" s="2153"/>
      <c r="K14" s="2153"/>
      <c r="L14" s="2153"/>
      <c r="M14" s="2153"/>
      <c r="N14" s="2153"/>
      <c r="O14" s="2154"/>
    </row>
    <row r="15" spans="1:16" s="1105" customFormat="1" ht="39.950000000000003" customHeight="1">
      <c r="B15" s="1794"/>
      <c r="C15" s="1712"/>
      <c r="D15" s="1892" t="s">
        <v>332</v>
      </c>
      <c r="E15" s="1713"/>
      <c r="F15" s="1714"/>
      <c r="G15" s="1714"/>
      <c r="H15" s="2155" t="str">
        <f>PROPER(SYNTHESE!D4)</f>
        <v>Point 50%</v>
      </c>
      <c r="I15" s="2155"/>
      <c r="J15" s="1714"/>
      <c r="K15" s="1714"/>
      <c r="L15" s="2156" t="s">
        <v>419</v>
      </c>
      <c r="M15" s="2156"/>
      <c r="N15" s="1715"/>
      <c r="O15" s="1795"/>
    </row>
    <row r="16" spans="1:16" s="1105" customFormat="1" ht="39.950000000000003" customHeight="1">
      <c r="B16" s="1794"/>
      <c r="C16" s="1712"/>
      <c r="D16" s="1717">
        <f>DCH!K41/1000</f>
        <v>51220.858620000006</v>
      </c>
      <c r="E16" s="1718"/>
      <c r="F16" s="1718"/>
      <c r="G16" s="1718"/>
      <c r="H16" s="2157">
        <f>DCH!M41/1000</f>
        <v>195358.88228999998</v>
      </c>
      <c r="I16" s="2157"/>
      <c r="J16" s="1718"/>
      <c r="K16" s="1718"/>
      <c r="L16" s="1893">
        <f>D16-H16</f>
        <v>-144138.02366999997</v>
      </c>
      <c r="M16" s="1719">
        <f>L16/D16</f>
        <v>-2.8140493453914681</v>
      </c>
      <c r="N16" s="1710"/>
      <c r="O16" s="1796"/>
      <c r="P16" s="1107"/>
    </row>
    <row r="17" spans="2:15" s="1105" customFormat="1" ht="39.950000000000003" customHeight="1">
      <c r="B17" s="1794"/>
      <c r="C17" s="1712"/>
      <c r="D17" s="1709"/>
      <c r="E17" s="1710"/>
      <c r="F17" s="1715"/>
      <c r="G17" s="1715"/>
      <c r="H17" s="1715"/>
      <c r="I17" s="1710"/>
      <c r="J17" s="1710"/>
      <c r="K17" s="1710"/>
      <c r="L17" s="1721"/>
      <c r="M17" s="1709"/>
      <c r="N17" s="1715"/>
      <c r="O17" s="1795"/>
    </row>
    <row r="18" spans="2:15" s="1105" customFormat="1" ht="39.950000000000003" customHeight="1">
      <c r="B18" s="1794"/>
      <c r="C18" s="1712"/>
      <c r="D18" s="1709"/>
      <c r="E18" s="1710"/>
      <c r="F18" s="1715"/>
      <c r="G18" s="1715"/>
      <c r="H18" s="1715"/>
      <c r="I18" s="1715"/>
      <c r="J18" s="1715"/>
      <c r="K18" s="1715"/>
      <c r="L18" s="1715"/>
      <c r="M18" s="1715"/>
      <c r="N18" s="1715"/>
      <c r="O18" s="1795"/>
    </row>
    <row r="19" spans="2:15" s="1105" customFormat="1" ht="39.950000000000003" customHeight="1">
      <c r="B19" s="1793"/>
      <c r="C19" s="1708" t="s">
        <v>420</v>
      </c>
      <c r="D19" s="1709"/>
      <c r="E19" s="1710"/>
      <c r="F19" s="2153"/>
      <c r="G19" s="2153"/>
      <c r="H19" s="2153"/>
      <c r="I19" s="2153"/>
      <c r="J19" s="2153"/>
      <c r="K19" s="2153"/>
      <c r="L19" s="2153"/>
      <c r="M19" s="2153"/>
      <c r="N19" s="2153"/>
      <c r="O19" s="2154"/>
    </row>
    <row r="20" spans="2:15" s="1108" customFormat="1" ht="39.75" customHeight="1">
      <c r="B20" s="1797"/>
      <c r="C20" s="1723"/>
      <c r="D20" s="1724"/>
      <c r="E20" s="1724"/>
      <c r="F20" s="2153"/>
      <c r="G20" s="2153"/>
      <c r="H20" s="2153"/>
      <c r="I20" s="2153"/>
      <c r="J20" s="2153"/>
      <c r="K20" s="2153"/>
      <c r="L20" s="2153"/>
      <c r="M20" s="2153"/>
      <c r="N20" s="2153"/>
      <c r="O20" s="2154"/>
    </row>
    <row r="21" spans="2:15" s="1106" customFormat="1" ht="29.25" customHeight="1">
      <c r="B21" s="1798"/>
      <c r="C21" s="1779" t="s">
        <v>362</v>
      </c>
      <c r="D21" s="1779"/>
      <c r="E21" s="1779"/>
      <c r="F21" s="1779"/>
      <c r="G21" s="1779"/>
      <c r="H21" s="1779"/>
      <c r="I21" s="1779"/>
      <c r="J21" s="1779"/>
      <c r="K21" s="1779"/>
      <c r="L21" s="1780">
        <v>-1609</v>
      </c>
      <c r="M21" s="1781">
        <v>-0.6766470995404481</v>
      </c>
      <c r="N21" s="1799"/>
      <c r="O21" s="1800"/>
    </row>
    <row r="22" spans="2:15" s="1106" customFormat="1" ht="22.5" customHeight="1">
      <c r="B22" s="1798"/>
      <c r="C22" s="1799"/>
      <c r="D22" s="1799"/>
      <c r="E22" s="1799"/>
      <c r="F22" s="1799"/>
      <c r="G22" s="1799"/>
      <c r="H22" s="1799"/>
      <c r="I22" s="1799"/>
      <c r="J22" s="1799"/>
      <c r="K22" s="1799"/>
      <c r="L22" s="1799"/>
      <c r="M22" s="1799"/>
      <c r="N22" s="1799"/>
      <c r="O22" s="1800"/>
    </row>
    <row r="23" spans="2:15" s="1106" customFormat="1" ht="23.1" customHeight="1">
      <c r="B23" s="1798"/>
      <c r="C23" s="1799"/>
      <c r="D23" s="1799"/>
      <c r="E23" s="1799"/>
      <c r="F23" s="1799"/>
      <c r="G23" s="1799"/>
      <c r="H23" s="1799"/>
      <c r="I23" s="1799"/>
      <c r="J23" s="1799"/>
      <c r="K23" s="1799"/>
      <c r="L23" s="1799"/>
      <c r="M23" s="1799"/>
      <c r="N23" s="1799"/>
      <c r="O23" s="1800"/>
    </row>
    <row r="24" spans="2:15" s="1105" customFormat="1" ht="23.1" customHeight="1">
      <c r="B24" s="1798"/>
      <c r="C24" s="1799"/>
      <c r="D24" s="1799"/>
      <c r="E24" s="1799"/>
      <c r="F24" s="1799"/>
      <c r="G24" s="1799"/>
      <c r="H24" s="1799"/>
      <c r="I24" s="1799"/>
      <c r="J24" s="1799"/>
      <c r="K24" s="1799"/>
      <c r="L24" s="1799"/>
      <c r="M24" s="1799"/>
      <c r="N24" s="1799"/>
      <c r="O24" s="1800"/>
    </row>
    <row r="25" spans="2:15" s="1105" customFormat="1" ht="23.1" customHeight="1">
      <c r="B25" s="1798"/>
      <c r="C25" s="1799"/>
      <c r="D25" s="1799"/>
      <c r="E25" s="1799"/>
      <c r="F25" s="1799"/>
      <c r="G25" s="1799"/>
      <c r="H25" s="1799"/>
      <c r="I25" s="1799"/>
      <c r="J25" s="1799"/>
      <c r="K25" s="1799"/>
      <c r="L25" s="1799"/>
      <c r="M25" s="1799"/>
      <c r="N25" s="1799"/>
      <c r="O25" s="1800"/>
    </row>
    <row r="26" spans="2:15" s="1105" customFormat="1" ht="22.5" customHeight="1">
      <c r="B26" s="1798"/>
      <c r="C26" s="1799"/>
      <c r="D26" s="1799"/>
      <c r="E26" s="1799"/>
      <c r="F26" s="1799"/>
      <c r="G26" s="1799"/>
      <c r="H26" s="1799"/>
      <c r="I26" s="1799"/>
      <c r="J26" s="1799"/>
      <c r="K26" s="1799"/>
      <c r="L26" s="1799"/>
      <c r="M26" s="1799"/>
      <c r="N26" s="1799"/>
      <c r="O26" s="1800"/>
    </row>
    <row r="27" spans="2:15" s="1106" customFormat="1" ht="29.25" customHeight="1">
      <c r="B27" s="1798"/>
      <c r="C27" s="1799"/>
      <c r="D27" s="1799"/>
      <c r="E27" s="1799"/>
      <c r="F27" s="1799"/>
      <c r="G27" s="1799"/>
      <c r="H27" s="1799"/>
      <c r="I27" s="1799"/>
      <c r="J27" s="1799"/>
      <c r="K27" s="1799"/>
      <c r="L27" s="1799"/>
      <c r="M27" s="1799"/>
      <c r="N27" s="1799"/>
      <c r="O27" s="1800"/>
    </row>
    <row r="28" spans="2:15" s="1106" customFormat="1" ht="23.1" customHeight="1">
      <c r="B28" s="1798"/>
      <c r="C28" s="1799"/>
      <c r="D28" s="1799"/>
      <c r="E28" s="1799"/>
      <c r="F28" s="1799"/>
      <c r="G28" s="1799"/>
      <c r="H28" s="1799"/>
      <c r="I28" s="1799"/>
      <c r="J28" s="1799"/>
      <c r="K28" s="1799"/>
      <c r="L28" s="1799"/>
      <c r="M28" s="1799"/>
      <c r="N28" s="1799"/>
      <c r="O28" s="1800"/>
    </row>
    <row r="29" spans="2:15" s="1106" customFormat="1" ht="23.1" customHeight="1">
      <c r="B29" s="1798"/>
      <c r="C29" s="1799"/>
      <c r="D29" s="1799"/>
      <c r="E29" s="1799"/>
      <c r="F29" s="1799"/>
      <c r="G29" s="1799"/>
      <c r="H29" s="1799"/>
      <c r="I29" s="1799"/>
      <c r="J29" s="1799"/>
      <c r="K29" s="1799"/>
      <c r="L29" s="1799"/>
      <c r="M29" s="1799"/>
      <c r="N29" s="1799"/>
      <c r="O29" s="1800"/>
    </row>
    <row r="30" spans="2:15" s="1106" customFormat="1" ht="23.1" customHeight="1">
      <c r="B30" s="1798"/>
      <c r="C30" s="1799"/>
      <c r="D30" s="1799"/>
      <c r="E30" s="1799"/>
      <c r="F30" s="1799"/>
      <c r="G30" s="1799"/>
      <c r="H30" s="1799"/>
      <c r="I30" s="1799"/>
      <c r="J30" s="1799"/>
      <c r="K30" s="1799"/>
      <c r="L30" s="1799"/>
      <c r="M30" s="1799"/>
      <c r="N30" s="1799"/>
      <c r="O30" s="1800"/>
    </row>
    <row r="31" spans="2:15" s="1106" customFormat="1" ht="23.1" customHeight="1">
      <c r="B31" s="1798"/>
      <c r="C31" s="1799"/>
      <c r="D31" s="1799"/>
      <c r="E31" s="1799"/>
      <c r="F31" s="1799"/>
      <c r="G31" s="1799"/>
      <c r="H31" s="1799"/>
      <c r="I31" s="1799"/>
      <c r="J31" s="1799"/>
      <c r="K31" s="1799"/>
      <c r="L31" s="1799"/>
      <c r="M31" s="1799"/>
      <c r="N31" s="1799"/>
      <c r="O31" s="1800"/>
    </row>
    <row r="32" spans="2:15" s="1106" customFormat="1" ht="23.1" customHeight="1">
      <c r="B32" s="1798"/>
      <c r="C32" s="1779" t="s">
        <v>90</v>
      </c>
      <c r="D32" s="1779"/>
      <c r="E32" s="1779"/>
      <c r="F32" s="1779"/>
      <c r="G32" s="1779"/>
      <c r="H32" s="1779"/>
      <c r="I32" s="1779"/>
      <c r="J32" s="1779"/>
      <c r="K32" s="1779"/>
      <c r="L32" s="1780">
        <v>-97800</v>
      </c>
      <c r="M32" s="1781">
        <v>-21.972025871047983</v>
      </c>
      <c r="N32" s="1799"/>
      <c r="O32" s="1800"/>
    </row>
    <row r="33" spans="2:15" s="1106" customFormat="1" ht="29.25" customHeight="1">
      <c r="B33" s="1798"/>
      <c r="C33" s="1799"/>
      <c r="D33" s="1799"/>
      <c r="E33" s="1799"/>
      <c r="F33" s="1799"/>
      <c r="G33" s="1799"/>
      <c r="H33" s="1799"/>
      <c r="I33" s="1799"/>
      <c r="J33" s="1799"/>
      <c r="K33" s="1799"/>
      <c r="L33" s="1799"/>
      <c r="M33" s="1799"/>
      <c r="N33" s="1799"/>
      <c r="O33" s="1800"/>
    </row>
    <row r="34" spans="2:15" s="1099" customFormat="1" ht="23.1" customHeight="1">
      <c r="B34" s="1798"/>
      <c r="C34" s="1799"/>
      <c r="D34" s="1799"/>
      <c r="E34" s="1799"/>
      <c r="F34" s="1799"/>
      <c r="G34" s="1799"/>
      <c r="H34" s="1799"/>
      <c r="I34" s="1799"/>
      <c r="J34" s="1799"/>
      <c r="K34" s="1799"/>
      <c r="L34" s="1799"/>
      <c r="M34" s="1799"/>
      <c r="N34" s="1799"/>
      <c r="O34" s="1800"/>
    </row>
    <row r="35" spans="2:15" s="1099" customFormat="1" ht="23.1" customHeight="1">
      <c r="B35" s="1798"/>
      <c r="C35" s="1799"/>
      <c r="D35" s="1799"/>
      <c r="E35" s="1799"/>
      <c r="F35" s="1799"/>
      <c r="G35" s="1799"/>
      <c r="H35" s="1799"/>
      <c r="I35" s="1799"/>
      <c r="J35" s="1799"/>
      <c r="K35" s="1799"/>
      <c r="L35" s="1799"/>
      <c r="M35" s="1799"/>
      <c r="N35" s="1799"/>
      <c r="O35" s="1800"/>
    </row>
    <row r="36" spans="2:15" s="1099" customFormat="1" ht="23.1" customHeight="1">
      <c r="B36" s="1798"/>
      <c r="C36" s="1799"/>
      <c r="D36" s="1799"/>
      <c r="E36" s="1799"/>
      <c r="F36" s="1799"/>
      <c r="G36" s="1799"/>
      <c r="H36" s="1799"/>
      <c r="I36" s="1799"/>
      <c r="J36" s="1799"/>
      <c r="K36" s="1799"/>
      <c r="L36" s="1799"/>
      <c r="M36" s="1799"/>
      <c r="N36" s="1799"/>
      <c r="O36" s="1800"/>
    </row>
    <row r="37" spans="2:15" s="1099" customFormat="1" ht="23.1" customHeight="1">
      <c r="B37" s="1798"/>
      <c r="C37" s="1799"/>
      <c r="D37" s="1799"/>
      <c r="E37" s="1799"/>
      <c r="F37" s="1799"/>
      <c r="G37" s="1799"/>
      <c r="H37" s="1799"/>
      <c r="I37" s="1799"/>
      <c r="J37" s="1799"/>
      <c r="K37" s="1799"/>
      <c r="L37" s="1799"/>
      <c r="M37" s="1799"/>
      <c r="N37" s="1799"/>
      <c r="O37" s="1800"/>
    </row>
    <row r="38" spans="2:15" s="1099" customFormat="1" ht="23.1" customHeight="1">
      <c r="B38" s="1798"/>
      <c r="C38" s="1799"/>
      <c r="D38" s="1799"/>
      <c r="E38" s="1799"/>
      <c r="F38" s="1799"/>
      <c r="G38" s="1799"/>
      <c r="H38" s="1799"/>
      <c r="I38" s="1799"/>
      <c r="J38" s="1799"/>
      <c r="K38" s="1799"/>
      <c r="L38" s="1799"/>
      <c r="M38" s="1799"/>
      <c r="N38" s="1799"/>
      <c r="O38" s="1800"/>
    </row>
    <row r="39" spans="2:15" s="1099" customFormat="1" ht="23.1" customHeight="1">
      <c r="B39" s="1798"/>
      <c r="C39" s="1799"/>
      <c r="D39" s="1799"/>
      <c r="E39" s="1799"/>
      <c r="F39" s="1799"/>
      <c r="G39" s="1799"/>
      <c r="H39" s="1799"/>
      <c r="I39" s="1799"/>
      <c r="J39" s="1799"/>
      <c r="K39" s="1799"/>
      <c r="L39" s="1799"/>
      <c r="M39" s="1799"/>
      <c r="N39" s="1799"/>
      <c r="O39" s="1800"/>
    </row>
    <row r="40" spans="2:15" s="1106" customFormat="1" ht="29.25" customHeight="1">
      <c r="B40" s="1798"/>
      <c r="C40" s="1799"/>
      <c r="D40" s="1799"/>
      <c r="E40" s="1799"/>
      <c r="F40" s="1799"/>
      <c r="G40" s="1799"/>
      <c r="H40" s="1799"/>
      <c r="I40" s="1799"/>
      <c r="J40" s="1799"/>
      <c r="K40" s="1799"/>
      <c r="L40" s="1799"/>
      <c r="M40" s="1799"/>
      <c r="N40" s="1799"/>
      <c r="O40" s="1800"/>
    </row>
    <row r="41" spans="2:15" s="1099" customFormat="1" ht="23.1" customHeight="1">
      <c r="B41" s="1798"/>
      <c r="C41" s="1799"/>
      <c r="D41" s="1799"/>
      <c r="E41" s="1799"/>
      <c r="F41" s="1799"/>
      <c r="G41" s="1799"/>
      <c r="H41" s="1799"/>
      <c r="I41" s="1799"/>
      <c r="J41" s="1799"/>
      <c r="K41" s="1799"/>
      <c r="L41" s="1799"/>
      <c r="M41" s="1799"/>
      <c r="N41" s="1799"/>
      <c r="O41" s="1800"/>
    </row>
    <row r="42" spans="2:15" s="1099" customFormat="1" ht="23.1" customHeight="1">
      <c r="B42" s="1798"/>
      <c r="C42" s="1799"/>
      <c r="D42" s="1799"/>
      <c r="E42" s="1799"/>
      <c r="F42" s="1799"/>
      <c r="G42" s="1799"/>
      <c r="H42" s="1799"/>
      <c r="I42" s="1799"/>
      <c r="J42" s="1799"/>
      <c r="K42" s="1799"/>
      <c r="L42" s="1799"/>
      <c r="M42" s="1799"/>
      <c r="N42" s="1799"/>
      <c r="O42" s="1800"/>
    </row>
    <row r="43" spans="2:15" s="1099" customFormat="1" ht="23.1" customHeight="1">
      <c r="B43" s="1798"/>
      <c r="C43" s="1779" t="s">
        <v>372</v>
      </c>
      <c r="D43" s="1779"/>
      <c r="E43" s="1779"/>
      <c r="F43" s="1779"/>
      <c r="G43" s="1779"/>
      <c r="H43" s="1779"/>
      <c r="I43" s="1779"/>
      <c r="J43" s="1779"/>
      <c r="K43" s="1779"/>
      <c r="L43" s="1780">
        <v>-4780</v>
      </c>
      <c r="M43" s="1781">
        <v>-1.8723030035975803</v>
      </c>
      <c r="N43" s="1799"/>
      <c r="O43" s="1800"/>
    </row>
    <row r="44" spans="2:15" s="1099" customFormat="1" ht="23.1" customHeight="1">
      <c r="B44" s="1798"/>
      <c r="C44" s="1799"/>
      <c r="D44" s="1799"/>
      <c r="E44" s="1799"/>
      <c r="F44" s="1799"/>
      <c r="G44" s="1799"/>
      <c r="H44" s="1799"/>
      <c r="I44" s="1799"/>
      <c r="J44" s="1799"/>
      <c r="K44" s="1799"/>
      <c r="L44" s="1799"/>
      <c r="M44" s="1799"/>
      <c r="N44" s="1799"/>
      <c r="O44" s="1800"/>
    </row>
    <row r="45" spans="2:15" s="1099" customFormat="1" ht="23.1" customHeight="1">
      <c r="B45" s="1798"/>
      <c r="C45" s="1799"/>
      <c r="D45" s="1799"/>
      <c r="E45" s="1799"/>
      <c r="F45" s="1799"/>
      <c r="G45" s="1799"/>
      <c r="H45" s="1799"/>
      <c r="I45" s="1799"/>
      <c r="J45" s="1799"/>
      <c r="K45" s="1799"/>
      <c r="L45" s="1799"/>
      <c r="M45" s="1799"/>
      <c r="N45" s="1799"/>
      <c r="O45" s="1800"/>
    </row>
    <row r="46" spans="2:15" s="1099" customFormat="1" ht="23.1" customHeight="1">
      <c r="B46" s="1798"/>
      <c r="C46" s="1799"/>
      <c r="D46" s="1799"/>
      <c r="E46" s="1799"/>
      <c r="F46" s="1799"/>
      <c r="G46" s="1799"/>
      <c r="H46" s="1799"/>
      <c r="I46" s="1799"/>
      <c r="J46" s="1799"/>
      <c r="K46" s="1799"/>
      <c r="L46" s="1799"/>
      <c r="M46" s="1799"/>
      <c r="N46" s="1799"/>
      <c r="O46" s="1800"/>
    </row>
    <row r="47" spans="2:15" s="1106" customFormat="1" ht="29.25" customHeight="1">
      <c r="B47" s="1798"/>
      <c r="C47" s="1799"/>
      <c r="D47" s="1799"/>
      <c r="E47" s="1799"/>
      <c r="F47" s="1799"/>
      <c r="G47" s="1799"/>
      <c r="H47" s="1799"/>
      <c r="I47" s="1799"/>
      <c r="J47" s="1799"/>
      <c r="K47" s="1799"/>
      <c r="L47" s="1799"/>
      <c r="M47" s="1799"/>
      <c r="N47" s="1799"/>
      <c r="O47" s="1800"/>
    </row>
    <row r="48" spans="2:15" s="1099" customFormat="1" ht="23.1" customHeight="1">
      <c r="B48" s="1798"/>
      <c r="C48" s="1799"/>
      <c r="D48" s="1799"/>
      <c r="E48" s="1799"/>
      <c r="F48" s="1799"/>
      <c r="G48" s="1799"/>
      <c r="H48" s="1799"/>
      <c r="I48" s="1799"/>
      <c r="J48" s="1799"/>
      <c r="K48" s="1799"/>
      <c r="L48" s="1799"/>
      <c r="M48" s="1799"/>
      <c r="N48" s="1799"/>
      <c r="O48" s="1800"/>
    </row>
    <row r="49" spans="2:15" s="1099" customFormat="1" ht="23.1" customHeight="1">
      <c r="B49" s="1798"/>
      <c r="C49" s="1799"/>
      <c r="D49" s="1799"/>
      <c r="E49" s="1799"/>
      <c r="F49" s="1799"/>
      <c r="G49" s="1799"/>
      <c r="H49" s="1799"/>
      <c r="I49" s="1799"/>
      <c r="J49" s="1799"/>
      <c r="K49" s="1799"/>
      <c r="L49" s="1799"/>
      <c r="M49" s="1799"/>
      <c r="N49" s="1799"/>
      <c r="O49" s="1800"/>
    </row>
    <row r="50" spans="2:15" s="1099" customFormat="1" ht="23.1" customHeight="1">
      <c r="B50" s="1798"/>
      <c r="C50" s="1799"/>
      <c r="D50" s="1799"/>
      <c r="E50" s="1799"/>
      <c r="F50" s="1799"/>
      <c r="G50" s="1799"/>
      <c r="H50" s="1799"/>
      <c r="I50" s="1799"/>
      <c r="J50" s="1799"/>
      <c r="K50" s="1799"/>
      <c r="L50" s="1799"/>
      <c r="M50" s="1799"/>
      <c r="N50" s="1799"/>
      <c r="O50" s="1800"/>
    </row>
    <row r="51" spans="2:15" s="1099" customFormat="1" ht="23.1" customHeight="1">
      <c r="B51" s="1798"/>
      <c r="C51" s="1799"/>
      <c r="D51" s="1799"/>
      <c r="E51" s="1799"/>
      <c r="F51" s="1799"/>
      <c r="G51" s="1799"/>
      <c r="H51" s="1799"/>
      <c r="I51" s="1799"/>
      <c r="J51" s="1799"/>
      <c r="K51" s="1799"/>
      <c r="L51" s="1799"/>
      <c r="M51" s="1799"/>
      <c r="N51" s="1799"/>
      <c r="O51" s="1800"/>
    </row>
    <row r="52" spans="2:15" s="1099" customFormat="1" ht="23.1" customHeight="1">
      <c r="B52" s="1798"/>
      <c r="C52" s="1799"/>
      <c r="D52" s="1799"/>
      <c r="E52" s="1799"/>
      <c r="F52" s="1799"/>
      <c r="G52" s="1799"/>
      <c r="H52" s="1799"/>
      <c r="I52" s="1799"/>
      <c r="J52" s="1799"/>
      <c r="K52" s="1799"/>
      <c r="L52" s="1799"/>
      <c r="M52" s="1799"/>
      <c r="N52" s="1799"/>
      <c r="O52" s="1800"/>
    </row>
    <row r="53" spans="2:15" s="1099" customFormat="1" ht="23.1" customHeight="1">
      <c r="B53" s="1798"/>
      <c r="C53" s="1799"/>
      <c r="D53" s="1799"/>
      <c r="E53" s="1799"/>
      <c r="F53" s="1799"/>
      <c r="G53" s="1799"/>
      <c r="H53" s="1799"/>
      <c r="I53" s="1799"/>
      <c r="J53" s="1799"/>
      <c r="K53" s="1799"/>
      <c r="L53" s="1799"/>
      <c r="M53" s="1799"/>
      <c r="N53" s="1799"/>
      <c r="O53" s="1800"/>
    </row>
    <row r="54" spans="2:15" s="1106" customFormat="1" ht="29.25" customHeight="1">
      <c r="B54" s="1798"/>
      <c r="C54" s="1779" t="s">
        <v>80</v>
      </c>
      <c r="D54" s="1779"/>
      <c r="E54" s="1779"/>
      <c r="F54" s="1779"/>
      <c r="G54" s="1779"/>
      <c r="H54" s="1779"/>
      <c r="I54" s="1779"/>
      <c r="J54" s="1779"/>
      <c r="K54" s="1779"/>
      <c r="L54" s="1780">
        <v>-38746</v>
      </c>
      <c r="M54" s="1781">
        <v>-7.7888632485676927</v>
      </c>
      <c r="N54" s="1799"/>
      <c r="O54" s="1800"/>
    </row>
    <row r="55" spans="2:15" s="1106" customFormat="1" ht="23.1" customHeight="1">
      <c r="B55" s="1798"/>
      <c r="C55" s="1799"/>
      <c r="D55" s="1799"/>
      <c r="E55" s="1799"/>
      <c r="F55" s="1799"/>
      <c r="G55" s="1799"/>
      <c r="H55" s="1799"/>
      <c r="I55" s="1799"/>
      <c r="J55" s="1799"/>
      <c r="K55" s="1799"/>
      <c r="L55" s="1799"/>
      <c r="M55" s="1799"/>
      <c r="N55" s="1799"/>
      <c r="O55" s="1800"/>
    </row>
    <row r="56" spans="2:15" s="1106" customFormat="1" ht="23.1" customHeight="1">
      <c r="B56" s="1798"/>
      <c r="C56" s="1799"/>
      <c r="D56" s="1799"/>
      <c r="E56" s="1799"/>
      <c r="F56" s="1799"/>
      <c r="G56" s="1799"/>
      <c r="H56" s="1799"/>
      <c r="I56" s="1799"/>
      <c r="J56" s="1799"/>
      <c r="K56" s="1799"/>
      <c r="L56" s="1799"/>
      <c r="M56" s="1799"/>
      <c r="N56" s="1799"/>
      <c r="O56" s="1800"/>
    </row>
    <row r="57" spans="2:15" s="1106" customFormat="1" ht="23.1" customHeight="1">
      <c r="B57" s="1798"/>
      <c r="C57" s="1799"/>
      <c r="D57" s="1799"/>
      <c r="E57" s="1799"/>
      <c r="F57" s="1799"/>
      <c r="G57" s="1799"/>
      <c r="H57" s="1799"/>
      <c r="I57" s="1799"/>
      <c r="J57" s="1799"/>
      <c r="K57" s="1799"/>
      <c r="L57" s="1799"/>
      <c r="M57" s="1799"/>
      <c r="N57" s="1799"/>
      <c r="O57" s="1800"/>
    </row>
    <row r="58" spans="2:15" s="1106" customFormat="1" ht="23.1" customHeight="1">
      <c r="B58" s="1798"/>
      <c r="C58" s="1799"/>
      <c r="D58" s="1799"/>
      <c r="E58" s="1799"/>
      <c r="F58" s="1799"/>
      <c r="G58" s="1799"/>
      <c r="H58" s="1799"/>
      <c r="I58" s="1799"/>
      <c r="J58" s="1799"/>
      <c r="K58" s="1799"/>
      <c r="L58" s="1799"/>
      <c r="M58" s="1799"/>
      <c r="N58" s="1799"/>
      <c r="O58" s="1800"/>
    </row>
    <row r="59" spans="2:15" s="1106" customFormat="1" ht="23.1" customHeight="1">
      <c r="B59" s="1798"/>
      <c r="C59" s="1799"/>
      <c r="D59" s="1799"/>
      <c r="E59" s="1799"/>
      <c r="F59" s="1799"/>
      <c r="G59" s="1799"/>
      <c r="H59" s="1799"/>
      <c r="I59" s="1799"/>
      <c r="J59" s="1799"/>
      <c r="K59" s="1799"/>
      <c r="L59" s="1799"/>
      <c r="M59" s="1799"/>
      <c r="N59" s="1799"/>
      <c r="O59" s="1800"/>
    </row>
    <row r="60" spans="2:15" s="1106" customFormat="1" ht="23.1" customHeight="1">
      <c r="B60" s="1798"/>
      <c r="C60" s="1799"/>
      <c r="D60" s="1799"/>
      <c r="E60" s="1799"/>
      <c r="F60" s="1799"/>
      <c r="G60" s="1799"/>
      <c r="H60" s="1799"/>
      <c r="I60" s="1799"/>
      <c r="J60" s="1799"/>
      <c r="K60" s="1799"/>
      <c r="L60" s="1799"/>
      <c r="M60" s="1799"/>
      <c r="N60" s="1799"/>
      <c r="O60" s="1800"/>
    </row>
    <row r="61" spans="2:15" s="1106" customFormat="1" ht="29.25" customHeight="1">
      <c r="B61" s="1798"/>
      <c r="C61" s="1799"/>
      <c r="D61" s="1799"/>
      <c r="E61" s="1799"/>
      <c r="F61" s="1799"/>
      <c r="G61" s="1799"/>
      <c r="H61" s="1799"/>
      <c r="I61" s="1799"/>
      <c r="J61" s="1799"/>
      <c r="K61" s="1799"/>
      <c r="L61" s="1799"/>
      <c r="M61" s="1799"/>
      <c r="N61" s="1799"/>
      <c r="O61" s="1800"/>
    </row>
    <row r="62" spans="2:15" s="1105" customFormat="1" ht="23.1" customHeight="1">
      <c r="B62" s="1798"/>
      <c r="C62" s="1799"/>
      <c r="D62" s="1799"/>
      <c r="E62" s="1799"/>
      <c r="F62" s="1799"/>
      <c r="G62" s="1799"/>
      <c r="H62" s="1799"/>
      <c r="I62" s="1799"/>
      <c r="J62" s="1799"/>
      <c r="K62" s="1799"/>
      <c r="L62" s="1799"/>
      <c r="M62" s="1799"/>
      <c r="N62" s="1799"/>
      <c r="O62" s="1800"/>
    </row>
    <row r="63" spans="2:15" s="1099" customFormat="1" ht="23.1" customHeight="1">
      <c r="B63" s="1798"/>
      <c r="C63" s="1799"/>
      <c r="D63" s="1799"/>
      <c r="E63" s="1799"/>
      <c r="F63" s="1799"/>
      <c r="G63" s="1799"/>
      <c r="H63" s="1799"/>
      <c r="I63" s="1799"/>
      <c r="J63" s="1799"/>
      <c r="K63" s="1799"/>
      <c r="L63" s="1799"/>
      <c r="M63" s="1799"/>
      <c r="N63" s="1799"/>
      <c r="O63" s="1800"/>
    </row>
    <row r="64" spans="2:15" s="1099" customFormat="1" ht="23.1" customHeight="1">
      <c r="B64" s="1798"/>
      <c r="C64" s="1799"/>
      <c r="D64" s="1799"/>
      <c r="E64" s="1799"/>
      <c r="F64" s="1799"/>
      <c r="G64" s="1799"/>
      <c r="H64" s="1799"/>
      <c r="I64" s="1799"/>
      <c r="J64" s="1799"/>
      <c r="K64" s="1799"/>
      <c r="L64" s="1799"/>
      <c r="M64" s="1799"/>
      <c r="N64" s="1799"/>
      <c r="O64" s="1800"/>
    </row>
    <row r="65" spans="2:15" s="1099" customFormat="1" ht="23.1" customHeight="1">
      <c r="B65" s="1798"/>
      <c r="C65" s="1779" t="s">
        <v>1014</v>
      </c>
      <c r="D65" s="1779"/>
      <c r="E65" s="1779"/>
      <c r="F65" s="1779"/>
      <c r="G65" s="1779"/>
      <c r="H65" s="1779"/>
      <c r="I65" s="1779"/>
      <c r="J65" s="1779"/>
      <c r="K65" s="1779"/>
      <c r="L65" s="1780">
        <v>-30798</v>
      </c>
      <c r="M65" s="1781">
        <v>-9.1502940389575063</v>
      </c>
      <c r="N65" s="1799"/>
      <c r="O65" s="1800"/>
    </row>
    <row r="66" spans="2:15" s="1106" customFormat="1" ht="29.25" customHeight="1">
      <c r="B66" s="1798"/>
      <c r="C66" s="1799"/>
      <c r="D66" s="1799"/>
      <c r="E66" s="1799"/>
      <c r="F66" s="1799"/>
      <c r="G66" s="1799"/>
      <c r="H66" s="1799"/>
      <c r="I66" s="1799"/>
      <c r="J66" s="1799"/>
      <c r="K66" s="1799"/>
      <c r="L66" s="1799"/>
      <c r="M66" s="1799"/>
      <c r="N66" s="1799"/>
      <c r="O66" s="1800"/>
    </row>
    <row r="67" spans="2:15" s="1106" customFormat="1" ht="29.25" customHeight="1">
      <c r="B67" s="1798"/>
      <c r="C67" s="1799"/>
      <c r="D67" s="1799"/>
      <c r="E67" s="1799"/>
      <c r="F67" s="1799"/>
      <c r="G67" s="1799"/>
      <c r="H67" s="1799"/>
      <c r="I67" s="1799"/>
      <c r="J67" s="1799"/>
      <c r="K67" s="1799"/>
      <c r="L67" s="1799"/>
      <c r="M67" s="1799"/>
      <c r="N67" s="1799"/>
      <c r="O67" s="1800"/>
    </row>
    <row r="68" spans="2:15" s="1106" customFormat="1" ht="22.5" customHeight="1">
      <c r="B68" s="1798"/>
      <c r="C68" s="1799"/>
      <c r="D68" s="1799"/>
      <c r="E68" s="1799"/>
      <c r="F68" s="1799"/>
      <c r="G68" s="1799"/>
      <c r="H68" s="1799"/>
      <c r="I68" s="1799"/>
      <c r="J68" s="1799"/>
      <c r="K68" s="1799"/>
      <c r="L68" s="1799"/>
      <c r="M68" s="1799"/>
      <c r="N68" s="1799"/>
      <c r="O68" s="1800"/>
    </row>
    <row r="69" spans="2:15" s="1106" customFormat="1" ht="22.5" customHeight="1">
      <c r="B69" s="1798"/>
      <c r="C69" s="1799"/>
      <c r="D69" s="1799"/>
      <c r="E69" s="1799"/>
      <c r="F69" s="1799"/>
      <c r="G69" s="1799"/>
      <c r="H69" s="1799"/>
      <c r="I69" s="1799"/>
      <c r="J69" s="1799"/>
      <c r="K69" s="1799"/>
      <c r="L69" s="1799"/>
      <c r="M69" s="1799"/>
      <c r="N69" s="1799"/>
      <c r="O69" s="1800"/>
    </row>
    <row r="70" spans="2:15" s="1106" customFormat="1" ht="22.5" customHeight="1">
      <c r="B70" s="1798"/>
      <c r="C70" s="1799"/>
      <c r="D70" s="1799"/>
      <c r="E70" s="1799"/>
      <c r="F70" s="1799"/>
      <c r="G70" s="1799"/>
      <c r="H70" s="1799"/>
      <c r="I70" s="1799"/>
      <c r="J70" s="1799"/>
      <c r="K70" s="1799"/>
      <c r="L70" s="1799"/>
      <c r="M70" s="1799"/>
      <c r="N70" s="1799"/>
      <c r="O70" s="1800"/>
    </row>
    <row r="71" spans="2:15" s="1106" customFormat="1" ht="22.5" customHeight="1">
      <c r="B71" s="1798"/>
      <c r="C71" s="1799"/>
      <c r="D71" s="1799"/>
      <c r="E71" s="1799"/>
      <c r="F71" s="1799"/>
      <c r="G71" s="1799"/>
      <c r="H71" s="1799"/>
      <c r="I71" s="1799"/>
      <c r="J71" s="1799"/>
      <c r="K71" s="1799"/>
      <c r="L71" s="1799"/>
      <c r="M71" s="1799"/>
      <c r="N71" s="1799"/>
      <c r="O71" s="1800"/>
    </row>
    <row r="72" spans="2:15" s="1106" customFormat="1" ht="22.5" customHeight="1">
      <c r="B72" s="1798"/>
      <c r="C72" s="1799"/>
      <c r="D72" s="1799"/>
      <c r="E72" s="1799"/>
      <c r="F72" s="1799"/>
      <c r="G72" s="1799"/>
      <c r="H72" s="1799"/>
      <c r="I72" s="1799"/>
      <c r="J72" s="1799"/>
      <c r="K72" s="1799"/>
      <c r="L72" s="1799"/>
      <c r="M72" s="1799"/>
      <c r="N72" s="1799"/>
      <c r="O72" s="1800"/>
    </row>
    <row r="73" spans="2:15" s="1106" customFormat="1" ht="22.5" customHeight="1">
      <c r="B73" s="1798"/>
      <c r="C73" s="1799"/>
      <c r="D73" s="1799"/>
      <c r="E73" s="1799"/>
      <c r="F73" s="1799"/>
      <c r="G73" s="1799"/>
      <c r="H73" s="1799"/>
      <c r="I73" s="1799"/>
      <c r="J73" s="1799"/>
      <c r="K73" s="1799"/>
      <c r="L73" s="1799"/>
      <c r="M73" s="1799"/>
      <c r="N73" s="1799"/>
      <c r="O73" s="1800"/>
    </row>
    <row r="74" spans="2:15" s="1106" customFormat="1" ht="22.5" customHeight="1">
      <c r="B74" s="1798"/>
      <c r="C74" s="1799"/>
      <c r="D74" s="1799"/>
      <c r="E74" s="1799"/>
      <c r="F74" s="1799"/>
      <c r="G74" s="1799"/>
      <c r="H74" s="1799"/>
      <c r="I74" s="1799"/>
      <c r="J74" s="1799"/>
      <c r="K74" s="1799"/>
      <c r="L74" s="1799"/>
      <c r="M74" s="1799"/>
      <c r="N74" s="1799"/>
      <c r="O74" s="1800"/>
    </row>
    <row r="75" spans="2:15" s="1106" customFormat="1" ht="22.5" customHeight="1">
      <c r="B75" s="1798"/>
      <c r="C75" s="1799"/>
      <c r="D75" s="1799"/>
      <c r="E75" s="1799"/>
      <c r="F75" s="1799"/>
      <c r="G75" s="1799"/>
      <c r="H75" s="1799"/>
      <c r="I75" s="1799"/>
      <c r="J75" s="1799"/>
      <c r="K75" s="1799"/>
      <c r="L75" s="1799"/>
      <c r="M75" s="1799"/>
      <c r="N75" s="1799"/>
      <c r="O75" s="1800"/>
    </row>
    <row r="76" spans="2:15" s="1106" customFormat="1" ht="22.5" customHeight="1">
      <c r="B76" s="1798"/>
      <c r="C76" s="1779" t="s">
        <v>91</v>
      </c>
      <c r="D76" s="1779"/>
      <c r="E76" s="1779"/>
      <c r="F76" s="1779"/>
      <c r="G76" s="1779"/>
      <c r="H76" s="1779"/>
      <c r="I76" s="1779"/>
      <c r="J76" s="1779"/>
      <c r="K76" s="1779"/>
      <c r="L76" s="1780">
        <v>2878</v>
      </c>
      <c r="M76" s="1781">
        <v>0.74234934335604263</v>
      </c>
      <c r="N76" s="1799"/>
      <c r="O76" s="1800"/>
    </row>
    <row r="77" spans="2:15" s="1106" customFormat="1" ht="22.5" customHeight="1">
      <c r="B77" s="1798"/>
      <c r="C77" s="1799"/>
      <c r="D77" s="1799"/>
      <c r="E77" s="1799"/>
      <c r="F77" s="1799"/>
      <c r="G77" s="1799"/>
      <c r="H77" s="1799"/>
      <c r="I77" s="1799"/>
      <c r="J77" s="1799"/>
      <c r="K77" s="1799"/>
      <c r="L77" s="1799"/>
      <c r="M77" s="1799"/>
      <c r="N77" s="1799"/>
      <c r="O77" s="1800"/>
    </row>
    <row r="78" spans="2:15" s="1105" customFormat="1" ht="22.5" customHeight="1">
      <c r="B78" s="1798"/>
      <c r="C78" s="1799"/>
      <c r="D78" s="1799"/>
      <c r="E78" s="1799"/>
      <c r="F78" s="1799"/>
      <c r="G78" s="1799"/>
      <c r="H78" s="1799"/>
      <c r="I78" s="1799"/>
      <c r="J78" s="1799"/>
      <c r="K78" s="1799"/>
      <c r="L78" s="1799"/>
      <c r="M78" s="1799"/>
      <c r="N78" s="1799"/>
      <c r="O78" s="1800"/>
    </row>
    <row r="79" spans="2:15" s="1106" customFormat="1" ht="28.5" customHeight="1">
      <c r="B79" s="1798"/>
      <c r="C79" s="1799"/>
      <c r="D79" s="1799"/>
      <c r="E79" s="1799"/>
      <c r="F79" s="1799"/>
      <c r="G79" s="1799"/>
      <c r="H79" s="1799"/>
      <c r="I79" s="1799"/>
      <c r="J79" s="1799"/>
      <c r="K79" s="1799"/>
      <c r="L79" s="1799"/>
      <c r="M79" s="1799"/>
      <c r="N79" s="1799"/>
      <c r="O79" s="1800"/>
    </row>
    <row r="80" spans="2:15" s="1106" customFormat="1" ht="23.25" customHeight="1">
      <c r="B80" s="1798"/>
      <c r="C80" s="1799"/>
      <c r="D80" s="1799"/>
      <c r="E80" s="1799"/>
      <c r="F80" s="1799"/>
      <c r="G80" s="1799"/>
      <c r="H80" s="1799"/>
      <c r="I80" s="1799"/>
      <c r="J80" s="1799"/>
      <c r="K80" s="1799"/>
      <c r="L80" s="1799"/>
      <c r="M80" s="1799"/>
      <c r="N80" s="1799"/>
      <c r="O80" s="1800"/>
    </row>
    <row r="81" spans="2:15" s="1106" customFormat="1" ht="23.25" customHeight="1">
      <c r="B81" s="1798"/>
      <c r="C81" s="1799"/>
      <c r="D81" s="1799"/>
      <c r="E81" s="1799"/>
      <c r="F81" s="1799"/>
      <c r="G81" s="1799"/>
      <c r="H81" s="1799"/>
      <c r="I81" s="1799"/>
      <c r="J81" s="1799"/>
      <c r="K81" s="1799"/>
      <c r="L81" s="1799"/>
      <c r="M81" s="1799"/>
      <c r="N81" s="1799"/>
      <c r="O81" s="1800"/>
    </row>
    <row r="82" spans="2:15" s="1099" customFormat="1" ht="23.25" customHeight="1">
      <c r="B82" s="1798"/>
      <c r="C82" s="1799"/>
      <c r="D82" s="1799"/>
      <c r="E82" s="1799"/>
      <c r="F82" s="1799"/>
      <c r="G82" s="1799"/>
      <c r="H82" s="1799"/>
      <c r="I82" s="1799"/>
      <c r="J82" s="1799"/>
      <c r="K82" s="1799"/>
      <c r="L82" s="1799"/>
      <c r="M82" s="1799"/>
      <c r="N82" s="1799"/>
      <c r="O82" s="1800"/>
    </row>
    <row r="83" spans="2:15" s="1106" customFormat="1" ht="22.5" customHeight="1">
      <c r="B83" s="1798"/>
      <c r="C83" s="1799"/>
      <c r="D83" s="1799"/>
      <c r="E83" s="1799"/>
      <c r="F83" s="1799"/>
      <c r="G83" s="1799"/>
      <c r="H83" s="1799"/>
      <c r="I83" s="1799"/>
      <c r="J83" s="1799"/>
      <c r="K83" s="1799"/>
      <c r="L83" s="1799"/>
      <c r="M83" s="1799"/>
      <c r="N83" s="1799"/>
      <c r="O83" s="1800"/>
    </row>
    <row r="84" spans="2:15" s="1106" customFormat="1" ht="22.5" customHeight="1">
      <c r="B84" s="1798"/>
      <c r="C84" s="1799"/>
      <c r="D84" s="1799"/>
      <c r="E84" s="1799"/>
      <c r="F84" s="1799"/>
      <c r="G84" s="1799"/>
      <c r="H84" s="1799"/>
      <c r="I84" s="1799"/>
      <c r="J84" s="1799"/>
      <c r="K84" s="1799"/>
      <c r="L84" s="1799"/>
      <c r="M84" s="1799"/>
      <c r="N84" s="1799"/>
      <c r="O84" s="1800"/>
    </row>
    <row r="85" spans="2:15" s="1099" customFormat="1" ht="23.25" customHeight="1">
      <c r="B85" s="1798"/>
      <c r="C85" s="1799"/>
      <c r="D85" s="1799"/>
      <c r="E85" s="1799"/>
      <c r="F85" s="1799"/>
      <c r="G85" s="1799"/>
      <c r="H85" s="1799"/>
      <c r="I85" s="1799"/>
      <c r="J85" s="1799"/>
      <c r="K85" s="1799"/>
      <c r="L85" s="1799"/>
      <c r="M85" s="1799"/>
      <c r="N85" s="1799"/>
      <c r="O85" s="1800"/>
    </row>
    <row r="86" spans="2:15" s="1099" customFormat="1" ht="23.25" customHeight="1">
      <c r="B86" s="1798"/>
      <c r="C86" s="1799"/>
      <c r="D86" s="1799"/>
      <c r="E86" s="1799"/>
      <c r="F86" s="1799"/>
      <c r="G86" s="1799"/>
      <c r="H86" s="1799"/>
      <c r="I86" s="1799"/>
      <c r="J86" s="1799"/>
      <c r="K86" s="1799"/>
      <c r="L86" s="1799"/>
      <c r="M86" s="1799"/>
      <c r="N86" s="1799"/>
      <c r="O86" s="1800"/>
    </row>
    <row r="87" spans="2:15" s="1099" customFormat="1" ht="23.25" customHeight="1">
      <c r="B87" s="1798"/>
      <c r="C87" s="1779" t="s">
        <v>88</v>
      </c>
      <c r="D87" s="1779"/>
      <c r="E87" s="1779"/>
      <c r="F87" s="1779"/>
      <c r="G87" s="1779"/>
      <c r="H87" s="1779"/>
      <c r="I87" s="1779"/>
      <c r="J87" s="1779"/>
      <c r="K87" s="1779"/>
      <c r="L87" s="1780">
        <v>12104</v>
      </c>
      <c r="M87" s="1781">
        <v>0.93360915230596564</v>
      </c>
      <c r="N87" s="1799"/>
      <c r="O87" s="1800"/>
    </row>
    <row r="88" spans="2:15" s="1099" customFormat="1" ht="23.25" customHeight="1">
      <c r="B88" s="1798"/>
      <c r="C88" s="1799"/>
      <c r="D88" s="1799"/>
      <c r="E88" s="1799"/>
      <c r="F88" s="1799"/>
      <c r="G88" s="1799"/>
      <c r="H88" s="1799"/>
      <c r="I88" s="1799"/>
      <c r="J88" s="1799"/>
      <c r="K88" s="1799"/>
      <c r="L88" s="1799"/>
      <c r="M88" s="1799"/>
      <c r="N88" s="1799"/>
      <c r="O88" s="1800"/>
    </row>
    <row r="89" spans="2:15" s="1099" customFormat="1" ht="23.25" customHeight="1">
      <c r="B89" s="1798"/>
      <c r="C89" s="1799"/>
      <c r="D89" s="1799"/>
      <c r="E89" s="1799"/>
      <c r="F89" s="1799"/>
      <c r="G89" s="1799"/>
      <c r="H89" s="1799"/>
      <c r="I89" s="1799"/>
      <c r="J89" s="1799"/>
      <c r="K89" s="1799"/>
      <c r="L89" s="1799"/>
      <c r="M89" s="1799"/>
      <c r="N89" s="1799"/>
      <c r="O89" s="1800"/>
    </row>
    <row r="90" spans="2:15" s="1099" customFormat="1" ht="23.25" customHeight="1">
      <c r="B90" s="1798"/>
      <c r="C90" s="1799"/>
      <c r="D90" s="1799"/>
      <c r="E90" s="1799"/>
      <c r="F90" s="1799"/>
      <c r="G90" s="1799"/>
      <c r="H90" s="1799"/>
      <c r="I90" s="1799"/>
      <c r="J90" s="1799"/>
      <c r="K90" s="1799"/>
      <c r="L90" s="1799"/>
      <c r="M90" s="1799"/>
      <c r="N90" s="1799"/>
      <c r="O90" s="1800"/>
    </row>
    <row r="91" spans="2:15" s="1099" customFormat="1" ht="23.25" customHeight="1">
      <c r="B91" s="1798"/>
      <c r="C91" s="1799"/>
      <c r="D91" s="1799"/>
      <c r="E91" s="1799"/>
      <c r="F91" s="1799"/>
      <c r="G91" s="1799"/>
      <c r="H91" s="1799"/>
      <c r="I91" s="1799"/>
      <c r="J91" s="1799"/>
      <c r="K91" s="1799"/>
      <c r="L91" s="1799"/>
      <c r="M91" s="1799"/>
      <c r="N91" s="1799"/>
      <c r="O91" s="1800"/>
    </row>
    <row r="92" spans="2:15">
      <c r="B92" s="1798"/>
      <c r="C92" s="1799"/>
      <c r="D92" s="1799"/>
      <c r="E92" s="1799"/>
      <c r="F92" s="1799"/>
      <c r="G92" s="1799"/>
      <c r="H92" s="1799"/>
      <c r="I92" s="1799"/>
      <c r="J92" s="1799"/>
      <c r="K92" s="1799"/>
      <c r="L92" s="1799"/>
      <c r="M92" s="1799"/>
      <c r="N92" s="1799"/>
      <c r="O92" s="1800"/>
    </row>
    <row r="93" spans="2:15">
      <c r="B93" s="1798"/>
      <c r="C93" s="1799"/>
      <c r="D93" s="1799"/>
      <c r="E93" s="1799"/>
      <c r="F93" s="1799"/>
      <c r="G93" s="1799"/>
      <c r="H93" s="1799"/>
      <c r="I93" s="1799"/>
      <c r="J93" s="1799"/>
      <c r="K93" s="1799"/>
      <c r="L93" s="1799"/>
      <c r="M93" s="1799"/>
      <c r="N93" s="1799"/>
      <c r="O93" s="1800"/>
    </row>
    <row r="94" spans="2:15">
      <c r="B94" s="1798"/>
      <c r="C94" s="1799"/>
      <c r="D94" s="1799"/>
      <c r="E94" s="1799"/>
      <c r="F94" s="1799"/>
      <c r="G94" s="1799"/>
      <c r="H94" s="1799"/>
      <c r="I94" s="1799"/>
      <c r="J94" s="1799"/>
      <c r="K94" s="1799"/>
      <c r="L94" s="1799"/>
      <c r="M94" s="1799"/>
      <c r="N94" s="1799"/>
      <c r="O94" s="1800"/>
    </row>
    <row r="95" spans="2:15">
      <c r="B95" s="1798"/>
      <c r="C95" s="1799"/>
      <c r="D95" s="1799"/>
      <c r="E95" s="1799"/>
      <c r="F95" s="1799"/>
      <c r="G95" s="1799"/>
      <c r="H95" s="1799"/>
      <c r="I95" s="1799"/>
      <c r="J95" s="1799"/>
      <c r="K95" s="1799"/>
      <c r="L95" s="1799"/>
      <c r="M95" s="1799"/>
      <c r="N95" s="1799"/>
      <c r="O95" s="1800"/>
    </row>
    <row r="96" spans="2:15">
      <c r="B96" s="1798"/>
      <c r="C96" s="1799"/>
      <c r="D96" s="1799"/>
      <c r="E96" s="1799"/>
      <c r="F96" s="1799"/>
      <c r="G96" s="1799"/>
      <c r="H96" s="1799"/>
      <c r="I96" s="1799"/>
      <c r="J96" s="1799"/>
      <c r="K96" s="1799"/>
      <c r="L96" s="1799"/>
      <c r="M96" s="1799"/>
      <c r="N96" s="1799"/>
      <c r="O96" s="1800"/>
    </row>
    <row r="97" spans="2:15">
      <c r="B97" s="1798"/>
      <c r="C97" s="1799"/>
      <c r="D97" s="1799"/>
      <c r="E97" s="1799"/>
      <c r="F97" s="1799"/>
      <c r="G97" s="1799"/>
      <c r="H97" s="1799"/>
      <c r="I97" s="1799"/>
      <c r="J97" s="1799"/>
      <c r="K97" s="1799"/>
      <c r="L97" s="1799"/>
      <c r="M97" s="1799"/>
      <c r="N97" s="1799"/>
      <c r="O97" s="1800"/>
    </row>
    <row r="98" spans="2:15" ht="26.25">
      <c r="B98" s="1798"/>
      <c r="C98" s="1779" t="s">
        <v>1015</v>
      </c>
      <c r="D98" s="1779"/>
      <c r="E98" s="1779"/>
      <c r="F98" s="1779"/>
      <c r="G98" s="1779"/>
      <c r="H98" s="1779"/>
      <c r="I98" s="1779"/>
      <c r="J98" s="1779"/>
      <c r="K98" s="1779"/>
      <c r="L98" s="1780">
        <v>8895</v>
      </c>
      <c r="M98" s="1781">
        <v>0.87840631398024027</v>
      </c>
      <c r="N98" s="1799"/>
      <c r="O98" s="1800"/>
    </row>
    <row r="99" spans="2:15">
      <c r="B99" s="1798"/>
      <c r="C99" s="1799"/>
      <c r="D99" s="1799"/>
      <c r="E99" s="1799"/>
      <c r="F99" s="1799"/>
      <c r="G99" s="1799"/>
      <c r="H99" s="1799"/>
      <c r="I99" s="1799"/>
      <c r="J99" s="1799"/>
      <c r="K99" s="1799"/>
      <c r="L99" s="1799"/>
      <c r="M99" s="1799"/>
      <c r="N99" s="1799"/>
      <c r="O99" s="1800"/>
    </row>
    <row r="100" spans="2:15">
      <c r="B100" s="1798"/>
      <c r="C100" s="1799"/>
      <c r="D100" s="1799"/>
      <c r="E100" s="1799"/>
      <c r="F100" s="1799"/>
      <c r="G100" s="1799"/>
      <c r="H100" s="1799"/>
      <c r="I100" s="1799"/>
      <c r="J100" s="1799"/>
      <c r="K100" s="1799"/>
      <c r="L100" s="1799"/>
      <c r="M100" s="1799"/>
      <c r="N100" s="1799"/>
      <c r="O100" s="1800"/>
    </row>
    <row r="101" spans="2:15">
      <c r="B101" s="1798"/>
      <c r="C101" s="1799"/>
      <c r="D101" s="1799"/>
      <c r="E101" s="1799"/>
      <c r="F101" s="1799"/>
      <c r="G101" s="1799"/>
      <c r="H101" s="1799"/>
      <c r="I101" s="1799"/>
      <c r="J101" s="1799"/>
      <c r="K101" s="1799"/>
      <c r="L101" s="1799"/>
      <c r="M101" s="1799"/>
      <c r="N101" s="1799"/>
      <c r="O101" s="1800"/>
    </row>
    <row r="102" spans="2:15">
      <c r="B102" s="1798"/>
      <c r="C102" s="1799"/>
      <c r="D102" s="1799"/>
      <c r="E102" s="1799"/>
      <c r="F102" s="1799"/>
      <c r="G102" s="1799"/>
      <c r="H102" s="1799"/>
      <c r="I102" s="1799"/>
      <c r="J102" s="1799"/>
      <c r="K102" s="1799"/>
      <c r="L102" s="1799"/>
      <c r="M102" s="1799"/>
      <c r="N102" s="1799"/>
      <c r="O102" s="1800"/>
    </row>
    <row r="103" spans="2:15">
      <c r="B103" s="1798"/>
      <c r="C103" s="1799"/>
      <c r="D103" s="1799"/>
      <c r="E103" s="1799"/>
      <c r="F103" s="1799"/>
      <c r="G103" s="1799"/>
      <c r="H103" s="1799"/>
      <c r="I103" s="1799"/>
      <c r="J103" s="1799"/>
      <c r="K103" s="1799"/>
      <c r="L103" s="1799"/>
      <c r="M103" s="1799"/>
      <c r="N103" s="1799"/>
      <c r="O103" s="1800"/>
    </row>
    <row r="104" spans="2:15">
      <c r="B104" s="1798"/>
      <c r="C104" s="1799"/>
      <c r="D104" s="1799"/>
      <c r="E104" s="1799"/>
      <c r="F104" s="1799"/>
      <c r="G104" s="1799"/>
      <c r="H104" s="1799"/>
      <c r="I104" s="1799"/>
      <c r="J104" s="1799"/>
      <c r="K104" s="1799"/>
      <c r="L104" s="1799"/>
      <c r="M104" s="1799"/>
      <c r="N104" s="1799"/>
      <c r="O104" s="1800"/>
    </row>
    <row r="105" spans="2:15">
      <c r="B105" s="1798"/>
      <c r="C105" s="1799"/>
      <c r="D105" s="1799"/>
      <c r="E105" s="1799"/>
      <c r="F105" s="1799"/>
      <c r="G105" s="1799"/>
      <c r="H105" s="1799"/>
      <c r="I105" s="1799"/>
      <c r="J105" s="1799"/>
      <c r="K105" s="1799"/>
      <c r="L105" s="1799"/>
      <c r="M105" s="1799"/>
      <c r="N105" s="1799"/>
      <c r="O105" s="1800"/>
    </row>
    <row r="106" spans="2:15">
      <c r="B106" s="1798"/>
      <c r="C106" s="1799"/>
      <c r="D106" s="1799"/>
      <c r="E106" s="1799"/>
      <c r="F106" s="1799"/>
      <c r="G106" s="1799"/>
      <c r="H106" s="1799"/>
      <c r="I106" s="1799"/>
      <c r="J106" s="1799"/>
      <c r="K106" s="1799"/>
      <c r="L106" s="1799"/>
      <c r="M106" s="1799"/>
      <c r="N106" s="1799"/>
      <c r="O106" s="1800"/>
    </row>
    <row r="107" spans="2:15">
      <c r="B107" s="1798"/>
      <c r="C107" s="1799"/>
      <c r="D107" s="1799"/>
      <c r="E107" s="1799"/>
      <c r="F107" s="1799"/>
      <c r="G107" s="1799"/>
      <c r="H107" s="1799"/>
      <c r="I107" s="1799"/>
      <c r="J107" s="1799"/>
      <c r="K107" s="1799"/>
      <c r="L107" s="1799"/>
      <c r="M107" s="1799"/>
      <c r="N107" s="1799"/>
      <c r="O107" s="1800"/>
    </row>
    <row r="108" spans="2:15">
      <c r="B108" s="1798"/>
      <c r="C108" s="1799"/>
      <c r="D108" s="1799"/>
      <c r="E108" s="1799"/>
      <c r="F108" s="1799"/>
      <c r="G108" s="1799"/>
      <c r="H108" s="1799"/>
      <c r="I108" s="1799"/>
      <c r="J108" s="1799"/>
      <c r="K108" s="1799"/>
      <c r="L108" s="1799"/>
      <c r="M108" s="1799"/>
      <c r="N108" s="1799"/>
      <c r="O108" s="1800"/>
    </row>
    <row r="109" spans="2:15" ht="26.25">
      <c r="B109" s="1798"/>
      <c r="C109" s="1779" t="s">
        <v>92</v>
      </c>
      <c r="D109" s="1779"/>
      <c r="E109" s="1779"/>
      <c r="F109" s="1779"/>
      <c r="G109" s="1779"/>
      <c r="H109" s="1779"/>
      <c r="I109" s="1779"/>
      <c r="J109" s="1779"/>
      <c r="K109" s="1779"/>
      <c r="L109" s="1780">
        <v>-234</v>
      </c>
      <c r="M109" s="1781">
        <v>-0.80689655172413788</v>
      </c>
      <c r="N109" s="1799"/>
      <c r="O109" s="1800"/>
    </row>
    <row r="110" spans="2:15">
      <c r="B110" s="1798"/>
      <c r="C110" s="1799"/>
      <c r="D110" s="1799"/>
      <c r="E110" s="1799"/>
      <c r="F110" s="1799"/>
      <c r="G110" s="1799"/>
      <c r="H110" s="1799"/>
      <c r="I110" s="1799"/>
      <c r="J110" s="1799"/>
      <c r="K110" s="1799"/>
      <c r="L110" s="1799"/>
      <c r="M110" s="1799"/>
      <c r="N110" s="1799"/>
      <c r="O110" s="1800"/>
    </row>
    <row r="111" spans="2:15">
      <c r="B111" s="1798"/>
      <c r="C111" s="1799"/>
      <c r="D111" s="1799"/>
      <c r="E111" s="1799"/>
      <c r="F111" s="1799"/>
      <c r="G111" s="1799"/>
      <c r="H111" s="1799"/>
      <c r="I111" s="1799"/>
      <c r="J111" s="1799"/>
      <c r="K111" s="1799"/>
      <c r="L111" s="1799"/>
      <c r="M111" s="1799"/>
      <c r="N111" s="1799"/>
      <c r="O111" s="1800"/>
    </row>
    <row r="112" spans="2:15">
      <c r="B112" s="1798"/>
      <c r="C112" s="1799"/>
      <c r="D112" s="1799"/>
      <c r="E112" s="1799"/>
      <c r="F112" s="1799"/>
      <c r="G112" s="1799"/>
      <c r="H112" s="1799"/>
      <c r="I112" s="1799"/>
      <c r="J112" s="1799"/>
      <c r="K112" s="1799"/>
      <c r="L112" s="1799"/>
      <c r="M112" s="1799"/>
      <c r="N112" s="1799"/>
      <c r="O112" s="1800"/>
    </row>
    <row r="113" spans="2:15">
      <c r="B113" s="1798"/>
      <c r="C113" s="1799"/>
      <c r="D113" s="1799"/>
      <c r="E113" s="1799"/>
      <c r="F113" s="1799"/>
      <c r="G113" s="1799"/>
      <c r="H113" s="1799"/>
      <c r="I113" s="1799"/>
      <c r="J113" s="1799"/>
      <c r="K113" s="1799"/>
      <c r="L113" s="1799"/>
      <c r="M113" s="1799"/>
      <c r="N113" s="1799"/>
      <c r="O113" s="1800"/>
    </row>
    <row r="114" spans="2:15">
      <c r="B114" s="1798"/>
      <c r="C114" s="1799"/>
      <c r="D114" s="1799"/>
      <c r="E114" s="1799"/>
      <c r="F114" s="1799"/>
      <c r="G114" s="1799"/>
      <c r="H114" s="1799"/>
      <c r="I114" s="1799"/>
      <c r="J114" s="1799"/>
      <c r="K114" s="1799"/>
      <c r="L114" s="1799"/>
      <c r="M114" s="1799"/>
      <c r="N114" s="1799"/>
      <c r="O114" s="1800"/>
    </row>
    <row r="115" spans="2:15">
      <c r="B115" s="1798"/>
      <c r="C115" s="1799"/>
      <c r="D115" s="1799"/>
      <c r="E115" s="1799"/>
      <c r="F115" s="1799"/>
      <c r="G115" s="1799"/>
      <c r="H115" s="1799"/>
      <c r="I115" s="1799"/>
      <c r="J115" s="1799"/>
      <c r="K115" s="1799"/>
      <c r="L115" s="1799"/>
      <c r="M115" s="1799"/>
      <c r="N115" s="1799"/>
      <c r="O115" s="1800"/>
    </row>
    <row r="116" spans="2:15">
      <c r="B116" s="1798"/>
      <c r="C116" s="1799"/>
      <c r="D116" s="1799"/>
      <c r="E116" s="1799"/>
      <c r="F116" s="1799"/>
      <c r="G116" s="1799"/>
      <c r="H116" s="1799"/>
      <c r="I116" s="1799"/>
      <c r="J116" s="1799"/>
      <c r="K116" s="1799"/>
      <c r="L116" s="1799"/>
      <c r="M116" s="1799"/>
      <c r="N116" s="1799"/>
      <c r="O116" s="1800"/>
    </row>
    <row r="117" spans="2:15">
      <c r="B117" s="1798"/>
      <c r="C117" s="1799"/>
      <c r="D117" s="1799"/>
      <c r="E117" s="1799"/>
      <c r="F117" s="1799"/>
      <c r="G117" s="1799"/>
      <c r="H117" s="1799"/>
      <c r="I117" s="1799"/>
      <c r="J117" s="1799"/>
      <c r="K117" s="1799"/>
      <c r="L117" s="1799"/>
      <c r="M117" s="1799"/>
      <c r="N117" s="1799"/>
      <c r="O117" s="1800"/>
    </row>
    <row r="118" spans="2:15">
      <c r="B118" s="1798"/>
      <c r="C118" s="1799"/>
      <c r="D118" s="1799"/>
      <c r="E118" s="1799"/>
      <c r="F118" s="1799"/>
      <c r="G118" s="1799"/>
      <c r="H118" s="1799"/>
      <c r="I118" s="1799"/>
      <c r="J118" s="1799"/>
      <c r="K118" s="1799"/>
      <c r="L118" s="1799"/>
      <c r="M118" s="1799"/>
      <c r="N118" s="1799"/>
      <c r="O118" s="1800"/>
    </row>
    <row r="119" spans="2:15">
      <c r="B119" s="1798"/>
      <c r="C119" s="1799"/>
      <c r="D119" s="1799"/>
      <c r="E119" s="1799"/>
      <c r="F119" s="1799"/>
      <c r="G119" s="1799"/>
      <c r="H119" s="1799"/>
      <c r="I119" s="1799"/>
      <c r="J119" s="1799"/>
      <c r="K119" s="1799"/>
      <c r="L119" s="1799"/>
      <c r="M119" s="1799"/>
      <c r="N119" s="1799"/>
      <c r="O119" s="1800"/>
    </row>
    <row r="120" spans="2:15" ht="26.25">
      <c r="B120" s="1798"/>
      <c r="C120" s="1779" t="s">
        <v>1016</v>
      </c>
      <c r="D120" s="1779"/>
      <c r="E120" s="1779"/>
      <c r="F120" s="1779"/>
      <c r="G120" s="1779"/>
      <c r="H120" s="1779"/>
      <c r="I120" s="1779"/>
      <c r="J120" s="1779"/>
      <c r="K120" s="1779"/>
      <c r="L120" s="1780">
        <v>705</v>
      </c>
      <c r="M120" s="1781">
        <v>0.92545192181555813</v>
      </c>
      <c r="N120" s="1799"/>
      <c r="O120" s="1800"/>
    </row>
    <row r="121" spans="2:15">
      <c r="B121" s="1798"/>
      <c r="C121" s="1799"/>
      <c r="D121" s="1799"/>
      <c r="E121" s="1799"/>
      <c r="F121" s="1799"/>
      <c r="G121" s="1799"/>
      <c r="H121" s="1799"/>
      <c r="I121" s="1799"/>
      <c r="J121" s="1799"/>
      <c r="K121" s="1799"/>
      <c r="L121" s="1799"/>
      <c r="M121" s="1799"/>
      <c r="N121" s="1799"/>
      <c r="O121" s="1800"/>
    </row>
    <row r="122" spans="2:15">
      <c r="B122" s="1798"/>
      <c r="C122" s="1799"/>
      <c r="D122" s="1799"/>
      <c r="E122" s="1799"/>
      <c r="F122" s="1799"/>
      <c r="G122" s="1799"/>
      <c r="H122" s="1799"/>
      <c r="I122" s="1799"/>
      <c r="J122" s="1799"/>
      <c r="K122" s="1799"/>
      <c r="L122" s="1799"/>
      <c r="M122" s="1799"/>
      <c r="N122" s="1799"/>
      <c r="O122" s="1800"/>
    </row>
    <row r="123" spans="2:15">
      <c r="B123" s="1798"/>
      <c r="C123" s="1799"/>
      <c r="D123" s="1799"/>
      <c r="E123" s="1799"/>
      <c r="F123" s="1799"/>
      <c r="G123" s="1799"/>
      <c r="H123" s="1799"/>
      <c r="I123" s="1799"/>
      <c r="J123" s="1799"/>
      <c r="K123" s="1799"/>
      <c r="L123" s="1799"/>
      <c r="M123" s="1799"/>
      <c r="N123" s="1799"/>
      <c r="O123" s="1800"/>
    </row>
    <row r="124" spans="2:15">
      <c r="B124" s="1798"/>
      <c r="C124" s="1799"/>
      <c r="D124" s="1799"/>
      <c r="E124" s="1799"/>
      <c r="F124" s="1799"/>
      <c r="G124" s="1799"/>
      <c r="H124" s="1799"/>
      <c r="I124" s="1799"/>
      <c r="J124" s="1799"/>
      <c r="K124" s="1799"/>
      <c r="L124" s="1799"/>
      <c r="M124" s="1799"/>
      <c r="N124" s="1799"/>
      <c r="O124" s="1800"/>
    </row>
    <row r="125" spans="2:15">
      <c r="B125" s="1798"/>
      <c r="C125" s="1799"/>
      <c r="D125" s="1799"/>
      <c r="E125" s="1799"/>
      <c r="F125" s="1799"/>
      <c r="G125" s="1799"/>
      <c r="H125" s="1799"/>
      <c r="I125" s="1799"/>
      <c r="J125" s="1799"/>
      <c r="K125" s="1799"/>
      <c r="L125" s="1799"/>
      <c r="M125" s="1799"/>
      <c r="N125" s="1799"/>
      <c r="O125" s="1800"/>
    </row>
    <row r="126" spans="2:15">
      <c r="B126" s="1798"/>
      <c r="C126" s="1799"/>
      <c r="D126" s="1799"/>
      <c r="E126" s="1799"/>
      <c r="F126" s="1799"/>
      <c r="G126" s="1799"/>
      <c r="H126" s="1799"/>
      <c r="I126" s="1799"/>
      <c r="J126" s="1799"/>
      <c r="K126" s="1799"/>
      <c r="L126" s="1799"/>
      <c r="M126" s="1799"/>
      <c r="N126" s="1799"/>
      <c r="O126" s="1800"/>
    </row>
    <row r="127" spans="2:15">
      <c r="B127" s="1798"/>
      <c r="C127" s="1799"/>
      <c r="D127" s="1799"/>
      <c r="E127" s="1799"/>
      <c r="F127" s="1799"/>
      <c r="G127" s="1799"/>
      <c r="H127" s="1799"/>
      <c r="I127" s="1799"/>
      <c r="J127" s="1799"/>
      <c r="K127" s="1799"/>
      <c r="L127" s="1799"/>
      <c r="M127" s="1799"/>
      <c r="N127" s="1799"/>
      <c r="O127" s="1800"/>
    </row>
    <row r="128" spans="2:15">
      <c r="B128" s="1798"/>
      <c r="C128" s="1799"/>
      <c r="D128" s="1799"/>
      <c r="E128" s="1799"/>
      <c r="F128" s="1799"/>
      <c r="G128" s="1799"/>
      <c r="H128" s="1799"/>
      <c r="I128" s="1799"/>
      <c r="J128" s="1799"/>
      <c r="K128" s="1799"/>
      <c r="L128" s="1799"/>
      <c r="M128" s="1799"/>
      <c r="N128" s="1799"/>
      <c r="O128" s="1800"/>
    </row>
    <row r="129" spans="2:15">
      <c r="B129" s="1798"/>
      <c r="C129" s="1799"/>
      <c r="D129" s="1799"/>
      <c r="E129" s="1799"/>
      <c r="F129" s="1799"/>
      <c r="G129" s="1799"/>
      <c r="H129" s="1799"/>
      <c r="I129" s="1799"/>
      <c r="J129" s="1799"/>
      <c r="K129" s="1799"/>
      <c r="L129" s="1799"/>
      <c r="M129" s="1799"/>
      <c r="N129" s="1799"/>
      <c r="O129" s="1800"/>
    </row>
    <row r="130" spans="2:15" ht="15.75" thickBot="1">
      <c r="B130" s="1801"/>
      <c r="C130" s="1802"/>
      <c r="D130" s="1802"/>
      <c r="E130" s="1802"/>
      <c r="F130" s="1802"/>
      <c r="G130" s="1802"/>
      <c r="H130" s="1802"/>
      <c r="I130" s="1802"/>
      <c r="J130" s="1802"/>
      <c r="K130" s="1802"/>
      <c r="L130" s="1802"/>
      <c r="M130" s="1802"/>
      <c r="N130" s="1802"/>
      <c r="O130" s="1803"/>
    </row>
    <row r="131" spans="2:15" ht="15.75" thickTop="1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2:15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2:15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2:15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2:15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2:15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2:15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2:15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2:15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2:15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2:15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2:1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2:1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2:15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2:15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2:15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2:15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2:15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2:15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2:1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2:1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  <row r="154" spans="2:15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</row>
    <row r="155" spans="2:15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</row>
    <row r="156" spans="2:15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</row>
    <row r="157" spans="2:15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</row>
    <row r="158" spans="2:15"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</row>
    <row r="160" spans="2:15"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</row>
    <row r="161" spans="2:15"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</row>
    <row r="162" spans="2:15"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</row>
    <row r="163" spans="2:15"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</row>
    <row r="164" spans="2:15"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</row>
    <row r="165" spans="2:15"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</row>
    <row r="166" spans="2:1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</row>
    <row r="167" spans="2:15"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</row>
    <row r="168" spans="2:15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</row>
    <row r="169" spans="2:15"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</row>
    <row r="170" spans="2:15"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</row>
    <row r="171" spans="2:15"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</row>
    <row r="172" spans="2:15"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</row>
    <row r="173" spans="2:15"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2:15"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</row>
    <row r="175" spans="2:15"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</row>
    <row r="176" spans="2:15"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</row>
    <row r="177" spans="2:15"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</row>
    <row r="178" spans="2:15"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</row>
    <row r="179" spans="2:15"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</row>
    <row r="180" spans="2:15"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</row>
    <row r="181" spans="2:15"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</row>
    <row r="182" spans="2:15"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</row>
    <row r="183" spans="2:15"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</row>
    <row r="184" spans="2:15"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</row>
    <row r="185" spans="2:15"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</row>
    <row r="186" spans="2:15"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</row>
    <row r="187" spans="2:15"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</row>
    <row r="188" spans="2:15"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</row>
    <row r="189" spans="2:15"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</row>
    <row r="190" spans="2:15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</row>
    <row r="191" spans="2:15"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</row>
    <row r="192" spans="2:15"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</row>
    <row r="193" spans="2:15"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</row>
    <row r="194" spans="2:15"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</row>
    <row r="195" spans="2:15"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</row>
    <row r="196" spans="2:15"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</row>
    <row r="197" spans="2:15"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</row>
    <row r="198" spans="2:15"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</row>
    <row r="199" spans="2:15"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</row>
    <row r="200" spans="2:15"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</row>
    <row r="201" spans="2:15"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</row>
    <row r="202" spans="2:15"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</row>
    <row r="203" spans="2:15"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</row>
    <row r="204" spans="2:15"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</row>
    <row r="205" spans="2:15"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</row>
    <row r="206" spans="2:15"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</row>
    <row r="207" spans="2:15"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</row>
    <row r="208" spans="2:15"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</row>
    <row r="209" spans="2:15"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</row>
    <row r="210" spans="2:15"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</row>
    <row r="211" spans="2:15"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</row>
    <row r="212" spans="2:15"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</row>
    <row r="213" spans="2:15"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</row>
    <row r="214" spans="2:15"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</row>
    <row r="215" spans="2:15"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</row>
    <row r="216" spans="2:15"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</row>
    <row r="217" spans="2:15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</row>
    <row r="218" spans="2:15"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</row>
    <row r="219" spans="2:15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</row>
    <row r="220" spans="2:15"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</row>
  </sheetData>
  <sheetProtection sheet="1" objects="1" scenarios="1"/>
  <mergeCells count="17">
    <mergeCell ref="E2:K2"/>
    <mergeCell ref="B3:D5"/>
    <mergeCell ref="E3:K3"/>
    <mergeCell ref="E5:K5"/>
    <mergeCell ref="B6:D6"/>
    <mergeCell ref="E6:K6"/>
    <mergeCell ref="B7:D7"/>
    <mergeCell ref="E7:K7"/>
    <mergeCell ref="E8:K8"/>
    <mergeCell ref="B10:O10"/>
    <mergeCell ref="B11:O11"/>
    <mergeCell ref="F20:O20"/>
    <mergeCell ref="F14:O14"/>
    <mergeCell ref="H15:I15"/>
    <mergeCell ref="L15:M15"/>
    <mergeCell ref="H16:I16"/>
    <mergeCell ref="F19:O19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1:P57"/>
  <sheetViews>
    <sheetView showGridLines="0" zoomScale="70" zoomScaleNormal="70" zoomScalePageLayoutView="70" workbookViewId="0">
      <selection activeCell="B12" sqref="B12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831"/>
      <c r="C1" s="1831"/>
      <c r="D1" s="1831"/>
      <c r="E1" s="1832"/>
      <c r="F1" s="1831"/>
      <c r="G1" s="1831"/>
      <c r="H1" s="1831"/>
      <c r="I1" s="1833"/>
      <c r="J1" s="1831"/>
      <c r="K1" s="1833"/>
      <c r="L1" s="1834"/>
      <c r="M1" s="1835"/>
      <c r="N1" s="1834"/>
      <c r="O1" s="1831"/>
    </row>
    <row r="2" spans="1:16" s="1101" customFormat="1" ht="19.5" customHeight="1" thickTop="1">
      <c r="A2" s="1100"/>
      <c r="B2" s="1811"/>
      <c r="C2" s="1812"/>
      <c r="D2" s="1813"/>
      <c r="E2" s="2189"/>
      <c r="F2" s="2190"/>
      <c r="G2" s="2190"/>
      <c r="H2" s="2190"/>
      <c r="I2" s="2190"/>
      <c r="J2" s="2190"/>
      <c r="K2" s="2191"/>
      <c r="L2" s="1814"/>
      <c r="M2" s="1812"/>
      <c r="N2" s="1815"/>
      <c r="O2" s="1816"/>
    </row>
    <row r="3" spans="1:16" s="1101" customFormat="1" ht="22.5" customHeight="1">
      <c r="A3" s="1100"/>
      <c r="B3" s="2192" t="s">
        <v>18</v>
      </c>
      <c r="C3" s="2193"/>
      <c r="D3" s="2194"/>
      <c r="E3" s="2195" t="s">
        <v>15</v>
      </c>
      <c r="F3" s="2196"/>
      <c r="G3" s="2196"/>
      <c r="H3" s="2196"/>
      <c r="I3" s="2196"/>
      <c r="J3" s="2196"/>
      <c r="K3" s="2197"/>
      <c r="L3" s="1817"/>
      <c r="M3" s="1818"/>
      <c r="N3" s="1819"/>
      <c r="O3" s="1820"/>
    </row>
    <row r="4" spans="1:16" s="1101" customFormat="1" ht="22.5" customHeight="1">
      <c r="A4" s="1100"/>
      <c r="B4" s="2192"/>
      <c r="C4" s="2193"/>
      <c r="D4" s="2194"/>
      <c r="E4" s="1887"/>
      <c r="F4" s="1887"/>
      <c r="G4" s="1887"/>
      <c r="H4" s="1887"/>
      <c r="I4" s="1887"/>
      <c r="J4" s="1887"/>
      <c r="K4" s="1822"/>
      <c r="L4" s="1817"/>
      <c r="M4" s="1818"/>
      <c r="N4" s="1819"/>
      <c r="O4" s="1820"/>
    </row>
    <row r="5" spans="1:16" s="1101" customFormat="1" ht="20.100000000000001" customHeight="1">
      <c r="A5" s="1100"/>
      <c r="B5" s="2192"/>
      <c r="C5" s="2193"/>
      <c r="D5" s="2194"/>
      <c r="E5" s="2198"/>
      <c r="F5" s="2199"/>
      <c r="G5" s="2199"/>
      <c r="H5" s="2199"/>
      <c r="I5" s="2199"/>
      <c r="J5" s="2199"/>
      <c r="K5" s="2200"/>
      <c r="L5" s="1817"/>
      <c r="M5" s="1818"/>
      <c r="N5" s="1819"/>
      <c r="O5" s="1820"/>
    </row>
    <row r="6" spans="1:16" s="1101" customFormat="1" ht="27.75">
      <c r="A6" s="1100"/>
      <c r="B6" s="2201">
        <v>42800</v>
      </c>
      <c r="C6" s="2202"/>
      <c r="D6" s="2203"/>
      <c r="E6" s="2195" t="s">
        <v>17</v>
      </c>
      <c r="F6" s="2196"/>
      <c r="G6" s="2196"/>
      <c r="H6" s="2196"/>
      <c r="I6" s="2196"/>
      <c r="J6" s="2196"/>
      <c r="K6" s="2197"/>
      <c r="L6" s="1817"/>
      <c r="M6" s="1818"/>
      <c r="N6" s="1819"/>
      <c r="O6" s="1820"/>
    </row>
    <row r="7" spans="1:16" s="1101" customFormat="1" ht="27.75" customHeight="1">
      <c r="A7" s="1100"/>
      <c r="B7" s="2201"/>
      <c r="C7" s="2202"/>
      <c r="D7" s="2203"/>
      <c r="E7" s="2195" t="s">
        <v>16</v>
      </c>
      <c r="F7" s="2196"/>
      <c r="G7" s="2196"/>
      <c r="H7" s="2196"/>
      <c r="I7" s="2196"/>
      <c r="J7" s="2196"/>
      <c r="K7" s="2197"/>
      <c r="L7" s="1817"/>
      <c r="M7" s="1818"/>
      <c r="N7" s="1823"/>
      <c r="O7" s="1820"/>
    </row>
    <row r="8" spans="1:16" s="1103" customFormat="1" ht="20.100000000000001" customHeight="1" thickBot="1">
      <c r="A8" s="1102"/>
      <c r="B8" s="1824"/>
      <c r="C8" s="1825"/>
      <c r="D8" s="1826"/>
      <c r="E8" s="2204"/>
      <c r="F8" s="2205"/>
      <c r="G8" s="2205"/>
      <c r="H8" s="2205"/>
      <c r="I8" s="2205"/>
      <c r="J8" s="2205"/>
      <c r="K8" s="2206"/>
      <c r="L8" s="1827"/>
      <c r="M8" s="1825"/>
      <c r="N8" s="1828"/>
      <c r="O8" s="1829"/>
    </row>
    <row r="9" spans="1:16" s="1099" customFormat="1" ht="40.5" customHeight="1" thickTop="1">
      <c r="B9" s="1830"/>
      <c r="C9" s="1831"/>
      <c r="D9" s="1831"/>
      <c r="E9" s="1832"/>
      <c r="F9" s="1831"/>
      <c r="G9" s="1831"/>
      <c r="H9" s="1831"/>
      <c r="I9" s="1833"/>
      <c r="J9" s="1831"/>
      <c r="K9" s="1833"/>
      <c r="L9" s="1834"/>
      <c r="M9" s="1835"/>
      <c r="N9" s="1834"/>
      <c r="O9" s="1836"/>
    </row>
    <row r="10" spans="1:16" s="1103" customFormat="1" ht="40.5" customHeight="1">
      <c r="A10" s="1104"/>
      <c r="B10" s="2207" t="s">
        <v>415</v>
      </c>
      <c r="C10" s="2208"/>
      <c r="D10" s="2208"/>
      <c r="E10" s="2208"/>
      <c r="F10" s="2208"/>
      <c r="G10" s="2208"/>
      <c r="H10" s="2208"/>
      <c r="I10" s="2208"/>
      <c r="J10" s="2208"/>
      <c r="K10" s="2208"/>
      <c r="L10" s="2208"/>
      <c r="M10" s="2208"/>
      <c r="N10" s="2208"/>
      <c r="O10" s="2209"/>
    </row>
    <row r="11" spans="1:16" s="1099" customFormat="1" ht="100.5" customHeight="1">
      <c r="B11" s="2210" t="s">
        <v>1023</v>
      </c>
      <c r="C11" s="2172"/>
      <c r="D11" s="2169"/>
      <c r="E11" s="2169"/>
      <c r="F11" s="2169"/>
      <c r="G11" s="2169"/>
      <c r="H11" s="2169"/>
      <c r="I11" s="2169"/>
      <c r="J11" s="2169"/>
      <c r="K11" s="2169"/>
      <c r="L11" s="2169"/>
      <c r="M11" s="2169"/>
      <c r="N11" s="2169"/>
      <c r="O11" s="2211"/>
    </row>
    <row r="12" spans="1:16" s="1099" customFormat="1" ht="18" customHeight="1">
      <c r="B12" s="1837"/>
      <c r="C12" s="1838"/>
      <c r="D12" s="1838"/>
      <c r="E12" s="1839"/>
      <c r="F12" s="1840"/>
      <c r="G12" s="1840"/>
      <c r="H12" s="1840"/>
      <c r="I12" s="1840"/>
      <c r="J12" s="1840"/>
      <c r="K12" s="1840"/>
      <c r="L12" s="1840"/>
      <c r="M12" s="1840"/>
      <c r="N12" s="1840"/>
      <c r="O12" s="1841"/>
    </row>
    <row r="13" spans="1:16" s="1105" customFormat="1" ht="39.950000000000003" customHeight="1">
      <c r="B13" s="1830"/>
      <c r="C13" s="1831"/>
      <c r="D13" s="1831"/>
      <c r="E13" s="1832"/>
      <c r="F13" s="1831"/>
      <c r="G13" s="1831"/>
      <c r="H13" s="1831"/>
      <c r="I13" s="1833"/>
      <c r="J13" s="1831"/>
      <c r="K13" s="1833"/>
      <c r="L13" s="1834"/>
      <c r="M13" s="1835"/>
      <c r="N13" s="1834"/>
      <c r="O13" s="1836"/>
    </row>
    <row r="14" spans="1:16" s="1105" customFormat="1" ht="39.950000000000003" customHeight="1">
      <c r="B14" s="1842"/>
      <c r="C14" s="2185" t="s">
        <v>417</v>
      </c>
      <c r="D14" s="2185"/>
      <c r="E14" s="1843"/>
      <c r="F14" s="2182"/>
      <c r="G14" s="2182"/>
      <c r="H14" s="2182"/>
      <c r="I14" s="2182"/>
      <c r="J14" s="2182"/>
      <c r="K14" s="2182"/>
      <c r="L14" s="2182"/>
      <c r="M14" s="2182"/>
      <c r="N14" s="2182"/>
      <c r="O14" s="2183"/>
    </row>
    <row r="15" spans="1:16" s="1105" customFormat="1" ht="39.950000000000003" customHeight="1">
      <c r="B15" s="1845"/>
      <c r="C15" s="1846"/>
      <c r="D15" s="1888" t="s">
        <v>332</v>
      </c>
      <c r="E15" s="1848"/>
      <c r="F15" s="1849"/>
      <c r="G15" s="1849"/>
      <c r="H15" s="2188" t="s">
        <v>11</v>
      </c>
      <c r="I15" s="2188"/>
      <c r="J15" s="1849"/>
      <c r="K15" s="1849"/>
      <c r="L15" s="2186" t="s">
        <v>419</v>
      </c>
      <c r="M15" s="2186"/>
      <c r="N15" s="1850"/>
      <c r="O15" s="1851"/>
      <c r="P15" s="1107"/>
    </row>
    <row r="16" spans="1:16" s="1105" customFormat="1" ht="39.950000000000003" customHeight="1">
      <c r="B16" s="1845"/>
      <c r="C16" s="1846"/>
      <c r="D16" s="1886">
        <v>9247</v>
      </c>
      <c r="E16" s="1853"/>
      <c r="F16" s="1853"/>
      <c r="G16" s="1853"/>
      <c r="H16" s="2187">
        <v>10595</v>
      </c>
      <c r="I16" s="2187"/>
      <c r="J16" s="1853"/>
      <c r="K16" s="1853"/>
      <c r="L16" s="1886">
        <v>-1348</v>
      </c>
      <c r="M16" s="1854">
        <v>-0.1457</v>
      </c>
      <c r="N16" s="1843"/>
      <c r="O16" s="1855"/>
    </row>
    <row r="17" spans="2:15" s="1105" customFormat="1" ht="39.950000000000003" customHeight="1">
      <c r="B17" s="1845"/>
      <c r="C17" s="1846"/>
      <c r="D17" s="1884"/>
      <c r="E17" s="1843"/>
      <c r="F17" s="1850"/>
      <c r="G17" s="1850"/>
      <c r="H17" s="1850"/>
      <c r="I17" s="1843"/>
      <c r="J17" s="1843"/>
      <c r="K17" s="1843"/>
      <c r="L17" s="1857"/>
      <c r="M17" s="1884"/>
      <c r="N17" s="1850"/>
      <c r="O17" s="1851"/>
    </row>
    <row r="18" spans="2:15" s="1105" customFormat="1" ht="39.950000000000003" customHeight="1">
      <c r="B18" s="1845"/>
      <c r="C18" s="1846"/>
      <c r="D18" s="1884"/>
      <c r="E18" s="1843"/>
      <c r="F18" s="1850"/>
      <c r="G18" s="1850"/>
      <c r="H18" s="1850"/>
      <c r="I18" s="1850"/>
      <c r="J18" s="1850"/>
      <c r="K18" s="1850"/>
      <c r="L18" s="1850"/>
      <c r="M18" s="1850"/>
      <c r="N18" s="1850"/>
      <c r="O18" s="1851"/>
    </row>
    <row r="19" spans="2:15" s="1108" customFormat="1" ht="39.75" customHeight="1">
      <c r="B19" s="1842"/>
      <c r="C19" s="2185" t="s">
        <v>420</v>
      </c>
      <c r="D19" s="2185"/>
      <c r="E19" s="1843"/>
      <c r="F19" s="2182"/>
      <c r="G19" s="2182"/>
      <c r="H19" s="2182"/>
      <c r="I19" s="2182"/>
      <c r="J19" s="2182"/>
      <c r="K19" s="2182"/>
      <c r="L19" s="2182"/>
      <c r="M19" s="2182"/>
      <c r="N19" s="2182"/>
      <c r="O19" s="2183"/>
    </row>
    <row r="20" spans="2:15" s="1106" customFormat="1" ht="29.25" customHeight="1">
      <c r="B20" s="1858"/>
      <c r="C20" s="1859"/>
      <c r="D20" s="1889"/>
      <c r="E20" s="1889"/>
      <c r="F20" s="2182"/>
      <c r="G20" s="2182"/>
      <c r="H20" s="2182"/>
      <c r="I20" s="2182"/>
      <c r="J20" s="2182"/>
      <c r="K20" s="2182"/>
      <c r="L20" s="2182"/>
      <c r="M20" s="2182"/>
      <c r="N20" s="2182"/>
      <c r="O20" s="2183"/>
    </row>
    <row r="21" spans="2:15" s="1106" customFormat="1" ht="22.5" customHeight="1">
      <c r="B21" s="1861"/>
      <c r="C21" s="1862"/>
      <c r="D21" s="1884"/>
      <c r="E21" s="1843"/>
      <c r="F21" s="1883"/>
      <c r="G21" s="1883"/>
      <c r="H21" s="1883"/>
      <c r="I21" s="1883"/>
      <c r="J21" s="1883"/>
      <c r="K21" s="1883"/>
      <c r="L21" s="1863"/>
      <c r="M21" s="1864"/>
      <c r="N21" s="1865"/>
      <c r="O21" s="1866"/>
    </row>
    <row r="22" spans="2:15" s="1106" customFormat="1" ht="23.1" customHeight="1">
      <c r="B22" s="1861"/>
      <c r="C22" s="2184"/>
      <c r="D22" s="2184"/>
      <c r="E22" s="2184"/>
      <c r="F22" s="1883"/>
      <c r="G22" s="1843"/>
      <c r="H22" s="1883"/>
      <c r="I22" s="1883"/>
      <c r="J22" s="1883"/>
      <c r="K22" s="1883"/>
      <c r="L22" s="1883"/>
      <c r="M22" s="1867"/>
      <c r="N22" s="1883"/>
      <c r="O22" s="1866"/>
    </row>
    <row r="23" spans="2:15" s="1105" customFormat="1" ht="23.1" customHeight="1">
      <c r="B23" s="1868"/>
      <c r="C23" s="1884"/>
      <c r="D23" s="1884"/>
      <c r="E23" s="1843"/>
      <c r="F23" s="1884"/>
      <c r="G23" s="1843"/>
      <c r="H23" s="1883"/>
      <c r="I23" s="1883"/>
      <c r="J23" s="1883"/>
      <c r="K23" s="1883"/>
      <c r="L23" s="1869"/>
      <c r="M23" s="1870"/>
      <c r="N23" s="1871"/>
      <c r="O23" s="1872"/>
    </row>
    <row r="24" spans="2:15" s="1105" customFormat="1" ht="23.1" customHeight="1">
      <c r="B24" s="1845"/>
      <c r="C24" s="1873"/>
      <c r="D24" s="1884"/>
      <c r="E24" s="1843"/>
      <c r="F24" s="1850"/>
      <c r="G24" s="1850"/>
      <c r="H24" s="1850"/>
      <c r="I24" s="1850"/>
      <c r="J24" s="1850"/>
      <c r="K24" s="1850"/>
      <c r="L24" s="1869"/>
      <c r="M24" s="1850"/>
      <c r="N24" s="1850"/>
      <c r="O24" s="1851"/>
    </row>
    <row r="25" spans="2:15" s="1105" customFormat="1" ht="22.5" customHeight="1">
      <c r="B25" s="1845"/>
      <c r="C25" s="1884"/>
      <c r="D25" s="1884"/>
      <c r="E25" s="1843"/>
      <c r="F25" s="1850"/>
      <c r="G25" s="1850"/>
      <c r="H25" s="1850"/>
      <c r="I25" s="1850"/>
      <c r="J25" s="1850"/>
      <c r="K25" s="1850"/>
      <c r="L25" s="1869"/>
      <c r="M25" s="1850"/>
      <c r="N25" s="1850"/>
      <c r="O25" s="1851"/>
    </row>
    <row r="26" spans="2:15" s="1105" customFormat="1" ht="22.5" customHeight="1">
      <c r="B26" s="1845"/>
      <c r="C26" s="2184"/>
      <c r="D26" s="2184"/>
      <c r="E26" s="1843"/>
      <c r="F26" s="1850"/>
      <c r="G26" s="1850"/>
      <c r="H26" s="1850"/>
      <c r="I26" s="1850"/>
      <c r="J26" s="1850"/>
      <c r="K26" s="1850"/>
      <c r="L26" s="1883"/>
      <c r="M26" s="1850"/>
      <c r="N26" s="1850"/>
      <c r="O26" s="1851"/>
    </row>
    <row r="27" spans="2:15" s="1106" customFormat="1" ht="23.1" customHeight="1">
      <c r="B27" s="1845"/>
      <c r="C27" s="1873"/>
      <c r="D27" s="1884"/>
      <c r="E27" s="1843"/>
      <c r="F27" s="1850"/>
      <c r="G27" s="1850"/>
      <c r="H27" s="1850"/>
      <c r="I27" s="1850"/>
      <c r="J27" s="1850"/>
      <c r="K27" s="1850"/>
      <c r="L27" s="1850"/>
      <c r="M27" s="1850"/>
      <c r="N27" s="1850"/>
      <c r="O27" s="1851"/>
    </row>
    <row r="28" spans="2:15" s="1106" customFormat="1" ht="23.1" customHeight="1">
      <c r="B28" s="1845"/>
      <c r="C28" s="1884"/>
      <c r="D28" s="1884"/>
      <c r="E28" s="1843"/>
      <c r="F28" s="1883"/>
      <c r="G28" s="1843"/>
      <c r="H28" s="1883"/>
      <c r="I28" s="1883"/>
      <c r="J28" s="1883"/>
      <c r="K28" s="1883"/>
      <c r="L28" s="1869"/>
      <c r="M28" s="1883"/>
      <c r="N28" s="1883"/>
      <c r="O28" s="1866"/>
    </row>
    <row r="29" spans="2:15" s="1106" customFormat="1" ht="23.1" customHeight="1">
      <c r="B29" s="1845"/>
      <c r="C29" s="1884"/>
      <c r="D29" s="1884"/>
      <c r="E29" s="1843"/>
      <c r="F29" s="1883"/>
      <c r="G29" s="1843"/>
      <c r="H29" s="1883"/>
      <c r="I29" s="1883"/>
      <c r="J29" s="1883"/>
      <c r="K29" s="1883"/>
      <c r="L29" s="1869"/>
      <c r="M29" s="1883"/>
      <c r="N29" s="1883"/>
      <c r="O29" s="1866"/>
    </row>
    <row r="30" spans="2:15" s="1106" customFormat="1" ht="23.1" customHeight="1">
      <c r="B30" s="1845"/>
      <c r="C30" s="2184"/>
      <c r="D30" s="2184"/>
      <c r="E30" s="2184"/>
      <c r="F30" s="1883"/>
      <c r="G30" s="1843"/>
      <c r="H30" s="1883"/>
      <c r="I30" s="1883"/>
      <c r="J30" s="1883"/>
      <c r="K30" s="1883"/>
      <c r="L30" s="1869"/>
      <c r="M30" s="1883"/>
      <c r="N30" s="1883"/>
      <c r="O30" s="1866"/>
    </row>
    <row r="31" spans="2:15" s="1106" customFormat="1" ht="23.1" customHeight="1">
      <c r="B31" s="1868"/>
      <c r="C31" s="1873"/>
      <c r="D31" s="1884"/>
      <c r="E31" s="1884"/>
      <c r="F31" s="1884"/>
      <c r="G31" s="1884"/>
      <c r="H31" s="1884"/>
      <c r="I31" s="1884"/>
      <c r="J31" s="1884"/>
      <c r="K31" s="1884"/>
      <c r="L31" s="1869"/>
      <c r="M31" s="1870"/>
      <c r="N31" s="1871"/>
      <c r="O31" s="1872"/>
    </row>
    <row r="32" spans="2:15" s="1106" customFormat="1" ht="29.25" customHeight="1">
      <c r="B32" s="1845"/>
      <c r="C32" s="1873"/>
      <c r="D32" s="1884"/>
      <c r="E32" s="1843"/>
      <c r="F32" s="1883"/>
      <c r="G32" s="1843"/>
      <c r="H32" s="1883"/>
      <c r="I32" s="1883"/>
      <c r="J32" s="1883"/>
      <c r="K32" s="1883"/>
      <c r="L32" s="1869"/>
      <c r="M32" s="1883"/>
      <c r="N32" s="1883"/>
      <c r="O32" s="1866"/>
    </row>
    <row r="33" spans="2:15" s="1099" customFormat="1" ht="23.1" customHeight="1">
      <c r="B33" s="1861"/>
      <c r="C33" s="1862"/>
      <c r="D33" s="1884"/>
      <c r="E33" s="1843"/>
      <c r="F33" s="1883"/>
      <c r="G33" s="1883"/>
      <c r="H33" s="1883"/>
      <c r="I33" s="1883"/>
      <c r="J33" s="1883"/>
      <c r="K33" s="1883"/>
      <c r="L33" s="1863"/>
      <c r="M33" s="1864"/>
      <c r="N33" s="1883"/>
      <c r="O33" s="1866"/>
    </row>
    <row r="34" spans="2:15" s="1099" customFormat="1" ht="23.1" customHeight="1">
      <c r="B34" s="1830"/>
      <c r="C34" s="1884"/>
      <c r="D34" s="1831"/>
      <c r="E34" s="1832"/>
      <c r="F34" s="1831"/>
      <c r="G34" s="1831"/>
      <c r="H34" s="1831"/>
      <c r="I34" s="1833"/>
      <c r="J34" s="1831"/>
      <c r="K34" s="1833"/>
      <c r="L34" s="1869"/>
      <c r="M34" s="1835"/>
      <c r="N34" s="1834"/>
      <c r="O34" s="1836"/>
    </row>
    <row r="35" spans="2:15" s="1099" customFormat="1" ht="23.1" customHeight="1">
      <c r="B35" s="1830"/>
      <c r="C35" s="1884"/>
      <c r="D35" s="1831"/>
      <c r="E35" s="1832"/>
      <c r="F35" s="1831"/>
      <c r="G35" s="1843"/>
      <c r="H35" s="1883"/>
      <c r="I35" s="1883"/>
      <c r="J35" s="1883"/>
      <c r="K35" s="1883"/>
      <c r="L35" s="1869"/>
      <c r="M35" s="1835"/>
      <c r="N35" s="1834"/>
      <c r="O35" s="1836"/>
    </row>
    <row r="36" spans="2:15" s="1099" customFormat="1" ht="23.1" customHeight="1">
      <c r="B36" s="1830"/>
      <c r="C36" s="1884"/>
      <c r="D36" s="1831"/>
      <c r="E36" s="1832"/>
      <c r="F36" s="1831"/>
      <c r="G36" s="1843"/>
      <c r="H36" s="1883"/>
      <c r="I36" s="1883"/>
      <c r="J36" s="1883"/>
      <c r="K36" s="1883"/>
      <c r="L36" s="1869"/>
      <c r="M36" s="1835"/>
      <c r="N36" s="1834"/>
      <c r="O36" s="1836"/>
    </row>
    <row r="37" spans="2:15" s="1099" customFormat="1" ht="23.1" customHeight="1">
      <c r="B37" s="1830"/>
      <c r="C37" s="1873"/>
      <c r="D37" s="1831"/>
      <c r="E37" s="1832"/>
      <c r="F37" s="1831"/>
      <c r="G37" s="1831"/>
      <c r="H37" s="1831"/>
      <c r="I37" s="1833"/>
      <c r="J37" s="1831"/>
      <c r="K37" s="1833"/>
      <c r="L37" s="1869"/>
      <c r="M37" s="1835"/>
      <c r="N37" s="1834"/>
      <c r="O37" s="1836"/>
    </row>
    <row r="38" spans="2:15" s="1099" customFormat="1" ht="23.1" customHeight="1">
      <c r="B38" s="1830"/>
      <c r="C38" s="1831"/>
      <c r="D38" s="1831"/>
      <c r="E38" s="1832"/>
      <c r="F38" s="1831"/>
      <c r="G38" s="1831"/>
      <c r="H38" s="1831"/>
      <c r="I38" s="1833"/>
      <c r="J38" s="1831"/>
      <c r="K38" s="1833"/>
      <c r="L38" s="1883"/>
      <c r="M38" s="1835"/>
      <c r="N38" s="1834"/>
      <c r="O38" s="1836"/>
    </row>
    <row r="39" spans="2:15" s="1106" customFormat="1" ht="29.25" customHeight="1">
      <c r="B39" s="1830"/>
      <c r="C39" s="1831"/>
      <c r="D39" s="1831"/>
      <c r="E39" s="1832"/>
      <c r="F39" s="1831"/>
      <c r="G39" s="1831"/>
      <c r="H39" s="1831"/>
      <c r="I39" s="1833"/>
      <c r="J39" s="1831"/>
      <c r="K39" s="1833"/>
      <c r="L39" s="1834"/>
      <c r="M39" s="1835"/>
      <c r="N39" s="1834"/>
      <c r="O39" s="1836"/>
    </row>
    <row r="40" spans="2:15" s="1099" customFormat="1" ht="23.1" customHeight="1">
      <c r="B40" s="1861"/>
      <c r="C40" s="1862"/>
      <c r="D40" s="1884"/>
      <c r="E40" s="1843"/>
      <c r="F40" s="1883"/>
      <c r="G40" s="1883"/>
      <c r="H40" s="1883"/>
      <c r="I40" s="1883"/>
      <c r="J40" s="1883"/>
      <c r="K40" s="1883"/>
      <c r="L40" s="1863"/>
      <c r="M40" s="1864"/>
      <c r="N40" s="1883"/>
      <c r="O40" s="1866"/>
    </row>
    <row r="41" spans="2:15" s="1099" customFormat="1" ht="23.1" customHeight="1">
      <c r="B41" s="1830"/>
      <c r="C41" s="1884"/>
      <c r="D41" s="1831"/>
      <c r="E41" s="1832"/>
      <c r="F41" s="1831"/>
      <c r="G41" s="1843"/>
      <c r="H41" s="1883"/>
      <c r="I41" s="1883"/>
      <c r="J41" s="1883"/>
      <c r="K41" s="1883"/>
      <c r="L41" s="1869"/>
      <c r="M41" s="1835"/>
      <c r="N41" s="1834"/>
      <c r="O41" s="1836"/>
    </row>
    <row r="42" spans="2:15" s="1099" customFormat="1" ht="23.1" customHeight="1">
      <c r="B42" s="1830"/>
      <c r="C42" s="1884"/>
      <c r="D42" s="1831"/>
      <c r="E42" s="1832"/>
      <c r="F42" s="1831"/>
      <c r="G42" s="1831"/>
      <c r="H42" s="1831"/>
      <c r="I42" s="1833"/>
      <c r="J42" s="1831"/>
      <c r="K42" s="1833"/>
      <c r="L42" s="1869"/>
      <c r="M42" s="1835"/>
      <c r="N42" s="1834"/>
      <c r="O42" s="1836"/>
    </row>
    <row r="43" spans="2:15" s="1099" customFormat="1" ht="23.1" customHeight="1">
      <c r="B43" s="1830"/>
      <c r="C43" s="1884"/>
      <c r="D43" s="1831"/>
      <c r="E43" s="1832"/>
      <c r="F43" s="1831"/>
      <c r="G43" s="1831"/>
      <c r="H43" s="1831"/>
      <c r="I43" s="1833"/>
      <c r="J43" s="1831"/>
      <c r="K43" s="1833"/>
      <c r="L43" s="1883"/>
      <c r="M43" s="1835"/>
      <c r="N43" s="1834"/>
      <c r="O43" s="1836"/>
    </row>
    <row r="44" spans="2:15" s="1099" customFormat="1" ht="23.1" customHeight="1">
      <c r="B44" s="1830"/>
      <c r="C44" s="1884"/>
      <c r="D44" s="1831"/>
      <c r="E44" s="1832"/>
      <c r="F44" s="1831"/>
      <c r="G44" s="1831"/>
      <c r="H44" s="1831"/>
      <c r="I44" s="1833"/>
      <c r="J44" s="1831"/>
      <c r="K44" s="1833"/>
      <c r="L44" s="1883"/>
      <c r="M44" s="1835"/>
      <c r="N44" s="1834"/>
      <c r="O44" s="1836"/>
    </row>
    <row r="45" spans="2:15" s="1099" customFormat="1" ht="23.1" customHeight="1">
      <c r="B45" s="1830"/>
      <c r="C45" s="1884"/>
      <c r="D45" s="1831"/>
      <c r="E45" s="1832"/>
      <c r="F45" s="1831"/>
      <c r="G45" s="1831"/>
      <c r="H45" s="1831"/>
      <c r="I45" s="1833"/>
      <c r="J45" s="1831"/>
      <c r="K45" s="1833"/>
      <c r="L45" s="1883"/>
      <c r="M45" s="1835"/>
      <c r="N45" s="1834"/>
      <c r="O45" s="1836"/>
    </row>
    <row r="46" spans="2:15" s="1099" customFormat="1" ht="23.25" customHeight="1">
      <c r="B46" s="1830"/>
      <c r="C46" s="1884"/>
      <c r="D46" s="1831"/>
      <c r="E46" s="1832"/>
      <c r="F46" s="1831"/>
      <c r="G46" s="1831"/>
      <c r="H46" s="1831"/>
      <c r="I46" s="1833"/>
      <c r="J46" s="1831"/>
      <c r="K46" s="1833"/>
      <c r="L46" s="1883"/>
      <c r="M46" s="1835"/>
      <c r="N46" s="1834"/>
      <c r="O46" s="1836"/>
    </row>
    <row r="47" spans="2:15" s="1099" customFormat="1" ht="23.25" customHeight="1">
      <c r="B47" s="1830"/>
      <c r="C47" s="1831"/>
      <c r="D47" s="1831"/>
      <c r="E47" s="1832"/>
      <c r="F47" s="1831"/>
      <c r="G47" s="1831"/>
      <c r="H47" s="1831"/>
      <c r="I47" s="1833"/>
      <c r="J47" s="1831"/>
      <c r="K47" s="1833"/>
      <c r="L47" s="1834"/>
      <c r="M47" s="1835"/>
      <c r="N47" s="1834"/>
      <c r="O47" s="1836"/>
    </row>
    <row r="48" spans="2:15" s="1099" customFormat="1" ht="23.25" customHeight="1">
      <c r="B48" s="1830"/>
      <c r="C48" s="1831"/>
      <c r="D48" s="1831"/>
      <c r="E48" s="1832"/>
      <c r="F48" s="1831"/>
      <c r="G48" s="1831"/>
      <c r="H48" s="1831"/>
      <c r="I48" s="1833"/>
      <c r="J48" s="1831"/>
      <c r="K48" s="1833"/>
      <c r="L48" s="1834"/>
      <c r="M48" s="1835"/>
      <c r="N48" s="1834"/>
      <c r="O48" s="1836"/>
    </row>
    <row r="49" spans="2:15" s="1099" customFormat="1" ht="23.25" customHeight="1">
      <c r="B49" s="1830"/>
      <c r="C49" s="1831"/>
      <c r="D49" s="1831"/>
      <c r="E49" s="1832"/>
      <c r="F49" s="1831"/>
      <c r="G49" s="1831"/>
      <c r="H49" s="1831"/>
      <c r="I49" s="1833"/>
      <c r="J49" s="1831"/>
      <c r="K49" s="1833"/>
      <c r="L49" s="1834"/>
      <c r="M49" s="1835"/>
      <c r="N49" s="1834"/>
      <c r="O49" s="1836"/>
    </row>
    <row r="50" spans="2:15" s="1099" customFormat="1" ht="23.25" customHeight="1">
      <c r="B50" s="1830"/>
      <c r="C50" s="1831"/>
      <c r="D50" s="1831"/>
      <c r="E50" s="1832"/>
      <c r="F50" s="1831"/>
      <c r="G50" s="1831"/>
      <c r="H50" s="1831"/>
      <c r="I50" s="1833"/>
      <c r="J50" s="1831"/>
      <c r="K50" s="1833"/>
      <c r="L50" s="1834"/>
      <c r="M50" s="1835"/>
      <c r="N50" s="1834"/>
      <c r="O50" s="1836"/>
    </row>
    <row r="51" spans="2:15" s="1099" customFormat="1" ht="23.25" customHeight="1">
      <c r="B51" s="1830"/>
      <c r="C51" s="1831"/>
      <c r="D51" s="1831"/>
      <c r="E51" s="1832"/>
      <c r="F51" s="1831"/>
      <c r="G51" s="1831"/>
      <c r="H51" s="1831"/>
      <c r="I51" s="1833"/>
      <c r="J51" s="1831"/>
      <c r="K51" s="1833"/>
      <c r="L51" s="1834"/>
      <c r="M51" s="1835"/>
      <c r="N51" s="1834"/>
      <c r="O51" s="1836"/>
    </row>
    <row r="52" spans="2:15" s="1099" customFormat="1" ht="23.25" customHeight="1">
      <c r="B52" s="1830"/>
      <c r="C52" s="1831"/>
      <c r="D52" s="1831"/>
      <c r="E52" s="1832"/>
      <c r="F52" s="1831"/>
      <c r="G52" s="1831"/>
      <c r="H52" s="1831"/>
      <c r="I52" s="1833"/>
      <c r="J52" s="1831"/>
      <c r="K52" s="1833"/>
      <c r="L52" s="1834"/>
      <c r="M52" s="1835"/>
      <c r="N52" s="1834"/>
      <c r="O52" s="1836"/>
    </row>
    <row r="53" spans="2:15" s="1099" customFormat="1" ht="23.25" customHeight="1">
      <c r="B53" s="1830"/>
      <c r="C53" s="1831"/>
      <c r="D53" s="1831"/>
      <c r="E53" s="1832"/>
      <c r="F53" s="1831"/>
      <c r="G53" s="1843"/>
      <c r="H53" s="1883"/>
      <c r="I53" s="1883"/>
      <c r="J53" s="1883"/>
      <c r="K53" s="1883"/>
      <c r="L53" s="1883"/>
      <c r="M53" s="1835"/>
      <c r="N53" s="1834"/>
      <c r="O53" s="1836"/>
    </row>
    <row r="54" spans="2:15" s="1099" customFormat="1" ht="23.25" customHeight="1">
      <c r="B54" s="1830"/>
      <c r="C54" s="1831"/>
      <c r="D54" s="1831"/>
      <c r="E54" s="1832"/>
      <c r="F54" s="1831"/>
      <c r="G54" s="1831"/>
      <c r="H54" s="1831"/>
      <c r="I54" s="1833"/>
      <c r="J54" s="1831"/>
      <c r="K54" s="1833"/>
      <c r="L54" s="1834"/>
      <c r="M54" s="1835"/>
      <c r="N54" s="1834"/>
      <c r="O54" s="1836"/>
    </row>
    <row r="55" spans="2:15" s="1099" customFormat="1" ht="23.25" customHeight="1">
      <c r="B55" s="1830"/>
      <c r="C55" s="1831"/>
      <c r="D55" s="1831"/>
      <c r="E55" s="1832"/>
      <c r="F55" s="1831"/>
      <c r="G55" s="1831"/>
      <c r="H55" s="1831"/>
      <c r="I55" s="1833"/>
      <c r="J55" s="1831"/>
      <c r="K55" s="1833"/>
      <c r="L55" s="1834"/>
      <c r="M55" s="1835"/>
      <c r="N55" s="1834"/>
      <c r="O55" s="1836"/>
    </row>
    <row r="56" spans="2:15" s="1099" customFormat="1" ht="18" thickBot="1">
      <c r="B56" s="1874"/>
      <c r="C56" s="1875"/>
      <c r="D56" s="1875"/>
      <c r="E56" s="1876"/>
      <c r="F56" s="1875"/>
      <c r="G56" s="1875"/>
      <c r="H56" s="1875"/>
      <c r="I56" s="1877"/>
      <c r="J56" s="1875"/>
      <c r="K56" s="1877"/>
      <c r="L56" s="1878"/>
      <c r="M56" s="1879"/>
      <c r="N56" s="1878"/>
      <c r="O56" s="1880"/>
    </row>
    <row r="57" spans="2:15" ht="18" thickTop="1">
      <c r="B57" s="1831"/>
      <c r="C57" s="1831"/>
      <c r="D57" s="1831"/>
      <c r="E57" s="1832"/>
      <c r="F57" s="1831"/>
      <c r="G57" s="1831"/>
      <c r="H57" s="1831"/>
      <c r="I57" s="1833"/>
      <c r="J57" s="1831"/>
      <c r="K57" s="1833"/>
      <c r="L57" s="1834"/>
      <c r="M57" s="1835"/>
      <c r="N57" s="1834"/>
      <c r="O57" s="1831"/>
    </row>
  </sheetData>
  <sheetProtection sheet="1" objects="1" scenarios="1"/>
  <mergeCells count="22">
    <mergeCell ref="B7:D7"/>
    <mergeCell ref="E7:K7"/>
    <mergeCell ref="E8:K8"/>
    <mergeCell ref="B10:O10"/>
    <mergeCell ref="B11:O11"/>
    <mergeCell ref="E2:K2"/>
    <mergeCell ref="B3:D5"/>
    <mergeCell ref="E3:K3"/>
    <mergeCell ref="E5:K5"/>
    <mergeCell ref="B6:D6"/>
    <mergeCell ref="E6:K6"/>
    <mergeCell ref="F20:O20"/>
    <mergeCell ref="C22:E22"/>
    <mergeCell ref="C26:D26"/>
    <mergeCell ref="C30:E30"/>
    <mergeCell ref="C14:D14"/>
    <mergeCell ref="F14:O14"/>
    <mergeCell ref="L15:M15"/>
    <mergeCell ref="H16:I16"/>
    <mergeCell ref="C19:D19"/>
    <mergeCell ref="H15:I15"/>
    <mergeCell ref="F19:O19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1:P58"/>
  <sheetViews>
    <sheetView showGridLines="0" zoomScale="70" zoomScaleNormal="70" zoomScalePageLayoutView="70" workbookViewId="0">
      <selection activeCell="B12" sqref="B12:O12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669"/>
      <c r="C1" s="1669"/>
      <c r="D1" s="1669"/>
      <c r="E1" s="1670"/>
      <c r="F1" s="1669"/>
      <c r="G1" s="1669"/>
      <c r="H1" s="1669"/>
      <c r="I1" s="1671"/>
      <c r="J1" s="1669"/>
      <c r="K1" s="1671"/>
      <c r="L1" s="1672"/>
      <c r="M1" s="1673"/>
      <c r="N1" s="1672"/>
      <c r="O1" s="1669"/>
    </row>
    <row r="2" spans="1:16" s="1101" customFormat="1" ht="19.5" customHeight="1" thickTop="1">
      <c r="A2" s="1100"/>
      <c r="B2" s="1811"/>
      <c r="C2" s="1812"/>
      <c r="D2" s="1813"/>
      <c r="E2" s="2189"/>
      <c r="F2" s="2190"/>
      <c r="G2" s="2190"/>
      <c r="H2" s="2190"/>
      <c r="I2" s="2190"/>
      <c r="J2" s="2190"/>
      <c r="K2" s="2191"/>
      <c r="L2" s="1814"/>
      <c r="M2" s="1812"/>
      <c r="N2" s="1815"/>
      <c r="O2" s="1816"/>
    </row>
    <row r="3" spans="1:16" s="1101" customFormat="1" ht="22.5" customHeight="1">
      <c r="A3" s="1100"/>
      <c r="B3" s="2192" t="s">
        <v>18</v>
      </c>
      <c r="C3" s="2193"/>
      <c r="D3" s="2194"/>
      <c r="E3" s="2195" t="s">
        <v>15</v>
      </c>
      <c r="F3" s="2196"/>
      <c r="G3" s="2196"/>
      <c r="H3" s="2196"/>
      <c r="I3" s="2196"/>
      <c r="J3" s="2196"/>
      <c r="K3" s="2197"/>
      <c r="L3" s="1817"/>
      <c r="M3" s="1818"/>
      <c r="N3" s="1819"/>
      <c r="O3" s="1820"/>
    </row>
    <row r="4" spans="1:16" s="1101" customFormat="1" ht="22.5" customHeight="1">
      <c r="A4" s="1100"/>
      <c r="B4" s="2192"/>
      <c r="C4" s="2193"/>
      <c r="D4" s="2194"/>
      <c r="E4" s="1821"/>
      <c r="F4" s="1821"/>
      <c r="G4" s="1821"/>
      <c r="H4" s="1821"/>
      <c r="I4" s="1821"/>
      <c r="J4" s="1821"/>
      <c r="K4" s="1822"/>
      <c r="L4" s="1817"/>
      <c r="M4" s="1818"/>
      <c r="N4" s="1819"/>
      <c r="O4" s="1820"/>
    </row>
    <row r="5" spans="1:16" s="1101" customFormat="1" ht="20.100000000000001" customHeight="1">
      <c r="A5" s="1100"/>
      <c r="B5" s="2192"/>
      <c r="C5" s="2193"/>
      <c r="D5" s="2194"/>
      <c r="E5" s="2198"/>
      <c r="F5" s="2199"/>
      <c r="G5" s="2199"/>
      <c r="H5" s="2199"/>
      <c r="I5" s="2199"/>
      <c r="J5" s="2199"/>
      <c r="K5" s="2200"/>
      <c r="L5" s="1817"/>
      <c r="M5" s="1818"/>
      <c r="N5" s="1819"/>
      <c r="O5" s="1820"/>
    </row>
    <row r="6" spans="1:16" s="1101" customFormat="1" ht="27.75">
      <c r="A6" s="1100"/>
      <c r="B6" s="2201">
        <v>42800</v>
      </c>
      <c r="C6" s="2202"/>
      <c r="D6" s="2203"/>
      <c r="E6" s="2195" t="s">
        <v>17</v>
      </c>
      <c r="F6" s="2196"/>
      <c r="G6" s="2196"/>
      <c r="H6" s="2196"/>
      <c r="I6" s="2196"/>
      <c r="J6" s="2196"/>
      <c r="K6" s="2197"/>
      <c r="L6" s="1817"/>
      <c r="M6" s="1818"/>
      <c r="N6" s="1819"/>
      <c r="O6" s="1820"/>
    </row>
    <row r="7" spans="1:16" s="1101" customFormat="1" ht="27.75" customHeight="1">
      <c r="A7" s="1100"/>
      <c r="B7" s="2201"/>
      <c r="C7" s="2202"/>
      <c r="D7" s="2203"/>
      <c r="E7" s="2195" t="s">
        <v>16</v>
      </c>
      <c r="F7" s="2196"/>
      <c r="G7" s="2196"/>
      <c r="H7" s="2196"/>
      <c r="I7" s="2196"/>
      <c r="J7" s="2196"/>
      <c r="K7" s="2197"/>
      <c r="L7" s="1817"/>
      <c r="M7" s="1818"/>
      <c r="N7" s="1823"/>
      <c r="O7" s="1820"/>
    </row>
    <row r="8" spans="1:16" s="1103" customFormat="1" ht="20.100000000000001" customHeight="1" thickBot="1">
      <c r="A8" s="1102"/>
      <c r="B8" s="1824"/>
      <c r="C8" s="1825"/>
      <c r="D8" s="1826"/>
      <c r="E8" s="2204"/>
      <c r="F8" s="2205"/>
      <c r="G8" s="2205"/>
      <c r="H8" s="2205"/>
      <c r="I8" s="2205"/>
      <c r="J8" s="2205"/>
      <c r="K8" s="2206"/>
      <c r="L8" s="1827"/>
      <c r="M8" s="1825"/>
      <c r="N8" s="1828"/>
      <c r="O8" s="1829"/>
    </row>
    <row r="9" spans="1:16" s="1099" customFormat="1" ht="40.5" customHeight="1" thickTop="1">
      <c r="B9" s="1830"/>
      <c r="C9" s="1831"/>
      <c r="D9" s="1831"/>
      <c r="E9" s="1832"/>
      <c r="F9" s="1831"/>
      <c r="G9" s="1831"/>
      <c r="H9" s="1831"/>
      <c r="I9" s="1833"/>
      <c r="J9" s="1831"/>
      <c r="K9" s="1833"/>
      <c r="L9" s="1834"/>
      <c r="M9" s="1835"/>
      <c r="N9" s="1834"/>
      <c r="O9" s="1836"/>
    </row>
    <row r="10" spans="1:16" s="1103" customFormat="1" ht="40.5" customHeight="1">
      <c r="A10" s="1104"/>
      <c r="B10" s="2207" t="s">
        <v>415</v>
      </c>
      <c r="C10" s="2208"/>
      <c r="D10" s="2208"/>
      <c r="E10" s="2208"/>
      <c r="F10" s="2208"/>
      <c r="G10" s="2208"/>
      <c r="H10" s="2208"/>
      <c r="I10" s="2208"/>
      <c r="J10" s="2208"/>
      <c r="K10" s="2208"/>
      <c r="L10" s="2208"/>
      <c r="M10" s="2208"/>
      <c r="N10" s="2208"/>
      <c r="O10" s="2209"/>
    </row>
    <row r="11" spans="1:16" s="1099" customFormat="1" ht="100.5" customHeight="1">
      <c r="B11" s="2214" t="s">
        <v>1022</v>
      </c>
      <c r="C11" s="2215"/>
      <c r="D11" s="2215"/>
      <c r="E11" s="2215"/>
      <c r="F11" s="2215"/>
      <c r="G11" s="2215"/>
      <c r="H11" s="2215"/>
      <c r="I11" s="2215"/>
      <c r="J11" s="2215"/>
      <c r="K11" s="2215"/>
      <c r="L11" s="2215"/>
      <c r="M11" s="2215"/>
      <c r="N11" s="2215"/>
      <c r="O11" s="2216"/>
    </row>
    <row r="12" spans="1:16" s="1099" customFormat="1" ht="30" customHeight="1">
      <c r="B12" s="2214"/>
      <c r="C12" s="2215"/>
      <c r="D12" s="2215"/>
      <c r="E12" s="2215"/>
      <c r="F12" s="2215"/>
      <c r="G12" s="2215"/>
      <c r="H12" s="2215"/>
      <c r="I12" s="2215"/>
      <c r="J12" s="2215"/>
      <c r="K12" s="2215"/>
      <c r="L12" s="2215"/>
      <c r="M12" s="2215"/>
      <c r="N12" s="2215"/>
      <c r="O12" s="2216"/>
    </row>
    <row r="13" spans="1:16" s="1099" customFormat="1" ht="18" customHeight="1">
      <c r="B13" s="1837"/>
      <c r="C13" s="1838"/>
      <c r="D13" s="1838"/>
      <c r="E13" s="1839"/>
      <c r="F13" s="1840"/>
      <c r="G13" s="1840"/>
      <c r="H13" s="1840"/>
      <c r="I13" s="1840"/>
      <c r="J13" s="1840"/>
      <c r="K13" s="1840"/>
      <c r="L13" s="1840"/>
      <c r="M13" s="1840"/>
      <c r="N13" s="1840"/>
      <c r="O13" s="1841"/>
    </row>
    <row r="14" spans="1:16" s="1105" customFormat="1" ht="39.950000000000003" customHeight="1">
      <c r="B14" s="1830"/>
      <c r="C14" s="1831"/>
      <c r="D14" s="1831"/>
      <c r="E14" s="1832"/>
      <c r="F14" s="1831"/>
      <c r="G14" s="1831"/>
      <c r="H14" s="1831"/>
      <c r="I14" s="1833"/>
      <c r="J14" s="1831"/>
      <c r="K14" s="1833"/>
      <c r="L14" s="1834"/>
      <c r="M14" s="1835"/>
      <c r="N14" s="1834"/>
      <c r="O14" s="1836"/>
    </row>
    <row r="15" spans="1:16" s="1105" customFormat="1" ht="39.950000000000003" customHeight="1">
      <c r="B15" s="1842"/>
      <c r="C15" s="2185" t="s">
        <v>417</v>
      </c>
      <c r="D15" s="2185"/>
      <c r="E15" s="1843"/>
      <c r="F15" s="2182"/>
      <c r="G15" s="2182"/>
      <c r="H15" s="2182"/>
      <c r="I15" s="2182"/>
      <c r="J15" s="2182"/>
      <c r="K15" s="2182"/>
      <c r="L15" s="2182"/>
      <c r="M15" s="2182"/>
      <c r="N15" s="2182"/>
      <c r="O15" s="2183"/>
    </row>
    <row r="16" spans="1:16" s="1105" customFormat="1" ht="39.950000000000003" customHeight="1">
      <c r="B16" s="1845"/>
      <c r="C16" s="1846"/>
      <c r="D16" s="1847" t="s">
        <v>332</v>
      </c>
      <c r="E16" s="1848"/>
      <c r="F16" s="1849"/>
      <c r="G16" s="1849"/>
      <c r="H16" s="2188" t="s">
        <v>11</v>
      </c>
      <c r="I16" s="2188"/>
      <c r="J16" s="1849"/>
      <c r="K16" s="1849"/>
      <c r="L16" s="2186" t="s">
        <v>419</v>
      </c>
      <c r="M16" s="2186"/>
      <c r="N16" s="1850"/>
      <c r="O16" s="1851"/>
      <c r="P16" s="1107"/>
    </row>
    <row r="17" spans="2:15" s="1105" customFormat="1" ht="39.950000000000003" customHeight="1">
      <c r="B17" s="1845"/>
      <c r="C17" s="1846"/>
      <c r="D17" s="1852">
        <v>84248</v>
      </c>
      <c r="E17" s="1853"/>
      <c r="F17" s="1853"/>
      <c r="G17" s="1853"/>
      <c r="H17" s="2187">
        <v>16991</v>
      </c>
      <c r="I17" s="2187"/>
      <c r="J17" s="1853"/>
      <c r="K17" s="1853"/>
      <c r="L17" s="1852">
        <v>67257</v>
      </c>
      <c r="M17" s="1854">
        <v>0.79830000000000001</v>
      </c>
      <c r="N17" s="1843"/>
      <c r="O17" s="1855"/>
    </row>
    <row r="18" spans="2:15" s="1105" customFormat="1" ht="39.950000000000003" customHeight="1">
      <c r="B18" s="1845"/>
      <c r="C18" s="1846"/>
      <c r="D18" s="1856"/>
      <c r="E18" s="1843"/>
      <c r="F18" s="1850"/>
      <c r="G18" s="1850"/>
      <c r="H18" s="1850"/>
      <c r="I18" s="1843"/>
      <c r="J18" s="1843"/>
      <c r="K18" s="1843"/>
      <c r="L18" s="1857"/>
      <c r="M18" s="1856"/>
      <c r="N18" s="1850"/>
      <c r="O18" s="1851"/>
    </row>
    <row r="19" spans="2:15" s="1105" customFormat="1" ht="39.950000000000003" customHeight="1">
      <c r="B19" s="1845"/>
      <c r="C19" s="1708" t="s">
        <v>420</v>
      </c>
      <c r="D19" s="1709"/>
      <c r="E19" s="1710"/>
      <c r="F19" s="2153"/>
      <c r="G19" s="2153"/>
      <c r="H19" s="2153"/>
      <c r="I19" s="2153"/>
      <c r="J19" s="2153"/>
      <c r="K19" s="2153"/>
      <c r="L19" s="2153"/>
      <c r="M19" s="2153"/>
      <c r="N19" s="2153"/>
      <c r="O19" s="2213"/>
    </row>
    <row r="20" spans="2:15" s="1108" customFormat="1" ht="39.75" customHeight="1">
      <c r="B20" s="1842"/>
      <c r="C20" s="1723"/>
      <c r="D20" s="1724"/>
      <c r="E20" s="1724"/>
      <c r="F20" s="2153"/>
      <c r="G20" s="2153"/>
      <c r="H20" s="2153"/>
      <c r="I20" s="2153"/>
      <c r="J20" s="2153"/>
      <c r="K20" s="2153"/>
      <c r="L20" s="2153"/>
      <c r="M20" s="2153"/>
      <c r="N20" s="2153"/>
      <c r="O20" s="2213"/>
    </row>
    <row r="21" spans="2:15" s="1108" customFormat="1" ht="29.25" customHeight="1">
      <c r="B21" s="1858"/>
      <c r="C21" s="1723"/>
      <c r="D21" s="1724"/>
      <c r="E21" s="1724"/>
      <c r="F21" s="1882"/>
      <c r="G21" s="1882"/>
      <c r="H21" s="1882"/>
      <c r="I21" s="1882"/>
      <c r="J21" s="1882"/>
      <c r="K21" s="1882"/>
      <c r="L21" s="1882"/>
      <c r="M21" s="1882"/>
      <c r="N21" s="1882"/>
      <c r="O21" s="1890"/>
    </row>
    <row r="22" spans="2:15" s="1108" customFormat="1" ht="22.5" customHeight="1">
      <c r="B22" s="1858"/>
      <c r="C22" s="1723"/>
      <c r="D22" s="1724"/>
      <c r="E22" s="1724"/>
      <c r="F22" s="1882"/>
      <c r="G22" s="1882"/>
      <c r="H22" s="1882"/>
      <c r="I22" s="1882"/>
      <c r="J22" s="1882"/>
      <c r="K22" s="1882"/>
      <c r="L22" s="1882"/>
      <c r="M22" s="1882"/>
      <c r="N22" s="1882"/>
      <c r="O22" s="1890"/>
    </row>
    <row r="23" spans="2:15" s="1108" customFormat="1" ht="22.5" customHeight="1">
      <c r="B23" s="1858"/>
      <c r="C23" s="1723"/>
      <c r="D23" s="1724"/>
      <c r="E23" s="1724"/>
      <c r="F23" s="1882"/>
      <c r="G23" s="1882"/>
      <c r="H23" s="1882"/>
      <c r="I23" s="1882"/>
      <c r="J23" s="1882"/>
      <c r="K23" s="1882"/>
      <c r="L23" s="1882"/>
      <c r="M23" s="1882"/>
      <c r="N23" s="1882"/>
      <c r="O23" s="1890"/>
    </row>
    <row r="24" spans="2:15" s="1108" customFormat="1" ht="22.5" customHeight="1">
      <c r="B24" s="1858"/>
      <c r="C24" s="1723"/>
      <c r="D24" s="1724"/>
      <c r="E24" s="1724"/>
      <c r="F24" s="1882"/>
      <c r="G24" s="1882"/>
      <c r="H24" s="1882"/>
      <c r="I24" s="1882"/>
      <c r="J24" s="1882"/>
      <c r="K24" s="1882"/>
      <c r="L24" s="1882"/>
      <c r="M24" s="1882"/>
      <c r="N24" s="1882"/>
      <c r="O24" s="1890"/>
    </row>
    <row r="25" spans="2:15" s="1108" customFormat="1" ht="22.5" customHeight="1">
      <c r="B25" s="1858"/>
      <c r="C25" s="1723"/>
      <c r="D25" s="1724"/>
      <c r="E25" s="1724"/>
      <c r="F25" s="1882"/>
      <c r="G25" s="1882"/>
      <c r="H25" s="1882"/>
      <c r="I25" s="1882"/>
      <c r="J25" s="1882"/>
      <c r="K25" s="1882"/>
      <c r="L25" s="1882"/>
      <c r="M25" s="1882"/>
      <c r="N25" s="1882"/>
      <c r="O25" s="1890"/>
    </row>
    <row r="26" spans="2:15" s="1108" customFormat="1" ht="22.5" customHeight="1">
      <c r="B26" s="1858"/>
      <c r="C26" s="1723"/>
      <c r="D26" s="1724"/>
      <c r="E26" s="1724"/>
      <c r="F26" s="1882"/>
      <c r="G26" s="1882"/>
      <c r="H26" s="1882"/>
      <c r="I26" s="1882"/>
      <c r="J26" s="1882"/>
      <c r="K26" s="1882"/>
      <c r="L26" s="1882"/>
      <c r="M26" s="1882"/>
      <c r="N26" s="1882"/>
      <c r="O26" s="1890"/>
    </row>
    <row r="27" spans="2:15" s="1108" customFormat="1" ht="22.5" customHeight="1">
      <c r="B27" s="1858"/>
      <c r="C27" s="1723"/>
      <c r="D27" s="1724"/>
      <c r="E27" s="1724"/>
      <c r="F27" s="1882"/>
      <c r="G27" s="1882"/>
      <c r="H27" s="1882"/>
      <c r="I27" s="1882"/>
      <c r="J27" s="1882"/>
      <c r="K27" s="1882"/>
      <c r="L27" s="1882"/>
      <c r="M27" s="1882"/>
      <c r="N27" s="1882"/>
      <c r="O27" s="1890"/>
    </row>
    <row r="28" spans="2:15" s="1108" customFormat="1" ht="22.5" customHeight="1">
      <c r="B28" s="1858"/>
      <c r="C28" s="1723"/>
      <c r="D28" s="1724"/>
      <c r="E28" s="1724"/>
      <c r="F28" s="1882"/>
      <c r="G28" s="1882"/>
      <c r="H28" s="1882"/>
      <c r="I28" s="1882"/>
      <c r="J28" s="1882"/>
      <c r="K28" s="1882"/>
      <c r="L28" s="1882"/>
      <c r="M28" s="1882"/>
      <c r="N28" s="1882"/>
      <c r="O28" s="1890"/>
    </row>
    <row r="29" spans="2:15" s="1108" customFormat="1" ht="22.5" customHeight="1">
      <c r="B29" s="1858"/>
      <c r="C29" s="1723"/>
      <c r="D29" s="1724"/>
      <c r="E29" s="1724"/>
      <c r="F29" s="1882"/>
      <c r="G29" s="1882"/>
      <c r="H29" s="1882"/>
      <c r="I29" s="1882"/>
      <c r="J29" s="1882"/>
      <c r="K29" s="1882"/>
      <c r="L29" s="1882"/>
      <c r="M29" s="1882"/>
      <c r="N29" s="1882"/>
      <c r="O29" s="1890"/>
    </row>
    <row r="30" spans="2:15" s="1108" customFormat="1" ht="22.5" customHeight="1">
      <c r="B30" s="1858"/>
      <c r="C30" s="1723"/>
      <c r="D30" s="1724"/>
      <c r="E30" s="1724"/>
      <c r="F30" s="1882"/>
      <c r="G30" s="1882"/>
      <c r="H30" s="1882"/>
      <c r="I30" s="1882"/>
      <c r="J30" s="1882"/>
      <c r="K30" s="1882"/>
      <c r="L30" s="1882"/>
      <c r="M30" s="1882"/>
      <c r="N30" s="1882"/>
      <c r="O30" s="1890"/>
    </row>
    <row r="31" spans="2:15" s="1108" customFormat="1" ht="22.5" customHeight="1">
      <c r="B31" s="1858"/>
      <c r="C31" s="1723"/>
      <c r="D31" s="1724"/>
      <c r="E31" s="1724"/>
      <c r="F31" s="1882"/>
      <c r="G31" s="1882"/>
      <c r="H31" s="1882"/>
      <c r="I31" s="1882"/>
      <c r="J31" s="1882"/>
      <c r="K31" s="1882"/>
      <c r="L31" s="1882"/>
      <c r="M31" s="1882"/>
      <c r="N31" s="1882"/>
      <c r="O31" s="1890"/>
    </row>
    <row r="32" spans="2:15" s="1108" customFormat="1" ht="22.5" customHeight="1">
      <c r="B32" s="1858"/>
      <c r="C32" s="1723"/>
      <c r="D32" s="1724"/>
      <c r="E32" s="1724"/>
      <c r="F32" s="1882"/>
      <c r="G32" s="1882"/>
      <c r="H32" s="1882"/>
      <c r="I32" s="1882"/>
      <c r="J32" s="1882"/>
      <c r="K32" s="1882"/>
      <c r="L32" s="1882"/>
      <c r="M32" s="1882"/>
      <c r="N32" s="1882"/>
      <c r="O32" s="1890"/>
    </row>
    <row r="33" spans="2:15" s="1108" customFormat="1" ht="22.5" customHeight="1">
      <c r="B33" s="1858"/>
      <c r="C33" s="1723"/>
      <c r="D33" s="1724"/>
      <c r="E33" s="1724"/>
      <c r="F33" s="1882"/>
      <c r="G33" s="1882"/>
      <c r="H33" s="1882"/>
      <c r="I33" s="1882"/>
      <c r="J33" s="1882"/>
      <c r="K33" s="1882"/>
      <c r="L33" s="1882"/>
      <c r="M33" s="1882"/>
      <c r="N33" s="1882"/>
      <c r="O33" s="1890"/>
    </row>
    <row r="34" spans="2:15" s="1108" customFormat="1" ht="22.5" customHeight="1">
      <c r="B34" s="1858"/>
      <c r="C34" s="1723"/>
      <c r="D34" s="1724"/>
      <c r="E34" s="1724"/>
      <c r="F34" s="1882"/>
      <c r="G34" s="1882"/>
      <c r="H34" s="1882"/>
      <c r="I34" s="1882"/>
      <c r="J34" s="1882"/>
      <c r="K34" s="1882"/>
      <c r="L34" s="1882"/>
      <c r="M34" s="1882"/>
      <c r="N34" s="1882"/>
      <c r="O34" s="1890"/>
    </row>
    <row r="35" spans="2:15" s="1108" customFormat="1" ht="22.5" customHeight="1">
      <c r="B35" s="1858"/>
      <c r="C35" s="1859"/>
      <c r="D35" s="2212"/>
      <c r="E35" s="2212"/>
      <c r="F35" s="1844"/>
      <c r="G35" s="1844"/>
      <c r="H35" s="1844"/>
      <c r="I35" s="1844"/>
      <c r="J35" s="1844"/>
      <c r="K35" s="1844"/>
      <c r="L35" s="1844"/>
      <c r="M35" s="1844"/>
      <c r="N35" s="1844"/>
      <c r="O35" s="1866"/>
    </row>
    <row r="36" spans="2:15" s="1108" customFormat="1" ht="22.5" customHeight="1">
      <c r="B36" s="1858"/>
      <c r="C36" s="1859"/>
      <c r="D36" s="1860"/>
      <c r="E36" s="1860"/>
      <c r="F36" s="1844"/>
      <c r="G36" s="1844"/>
      <c r="H36" s="1844"/>
      <c r="I36" s="1844"/>
      <c r="J36" s="1844"/>
      <c r="K36" s="1844"/>
      <c r="L36" s="1844"/>
      <c r="M36" s="1844"/>
      <c r="N36" s="1844"/>
      <c r="O36" s="1866"/>
    </row>
    <row r="37" spans="2:15" s="1108" customFormat="1" ht="22.5" customHeight="1">
      <c r="B37" s="1858"/>
      <c r="C37" s="1859"/>
      <c r="D37" s="1860"/>
      <c r="E37" s="1860"/>
      <c r="F37" s="1844"/>
      <c r="G37" s="1844"/>
      <c r="H37" s="1844"/>
      <c r="I37" s="1844"/>
      <c r="J37" s="1844"/>
      <c r="K37" s="1844"/>
      <c r="L37" s="1844"/>
      <c r="M37" s="1844"/>
      <c r="N37" s="1844"/>
      <c r="O37" s="1866"/>
    </row>
    <row r="38" spans="2:15" s="1108" customFormat="1" ht="22.5" customHeight="1">
      <c r="B38" s="1858"/>
      <c r="C38" s="1859"/>
      <c r="D38" s="1860"/>
      <c r="E38" s="1860"/>
      <c r="F38" s="1844"/>
      <c r="G38" s="1844"/>
      <c r="H38" s="1844"/>
      <c r="I38" s="1844"/>
      <c r="J38" s="1844"/>
      <c r="K38" s="1844"/>
      <c r="L38" s="1844"/>
      <c r="M38" s="1844"/>
      <c r="N38" s="1844"/>
      <c r="O38" s="1866"/>
    </row>
    <row r="39" spans="2:15" s="1099" customFormat="1" ht="22.5" customHeight="1">
      <c r="B39" s="1858"/>
      <c r="C39" s="1859"/>
      <c r="D39" s="1860"/>
      <c r="E39" s="1860"/>
      <c r="F39" s="1844"/>
      <c r="G39" s="1844"/>
      <c r="H39" s="1844"/>
      <c r="I39" s="1844"/>
      <c r="J39" s="1844"/>
      <c r="K39" s="1844"/>
      <c r="L39" s="1844"/>
      <c r="M39" s="1844"/>
      <c r="N39" s="1844"/>
      <c r="O39" s="1866"/>
    </row>
    <row r="40" spans="2:15" s="1099" customFormat="1" ht="22.5" customHeight="1">
      <c r="B40" s="1830"/>
      <c r="C40" s="1831"/>
      <c r="D40" s="1831"/>
      <c r="E40" s="1832"/>
      <c r="F40" s="1831"/>
      <c r="G40" s="1831"/>
      <c r="H40" s="1831"/>
      <c r="I40" s="1833"/>
      <c r="J40" s="1831"/>
      <c r="K40" s="1833"/>
      <c r="L40" s="1834"/>
      <c r="M40" s="1835"/>
      <c r="N40" s="1834"/>
      <c r="O40" s="1836"/>
    </row>
    <row r="41" spans="2:15" s="1099" customFormat="1" ht="22.5" customHeight="1">
      <c r="B41" s="1830"/>
      <c r="C41" s="1831"/>
      <c r="D41" s="1831"/>
      <c r="E41" s="1832"/>
      <c r="F41" s="1831"/>
      <c r="G41" s="1831"/>
      <c r="H41" s="1831"/>
      <c r="I41" s="1833"/>
      <c r="J41" s="1831"/>
      <c r="K41" s="1833"/>
      <c r="L41" s="1834"/>
      <c r="M41" s="1835"/>
      <c r="N41" s="1834"/>
      <c r="O41" s="1836"/>
    </row>
    <row r="42" spans="2:15" s="1099" customFormat="1" ht="22.5" customHeight="1">
      <c r="B42" s="1830"/>
      <c r="C42" s="1831"/>
      <c r="D42" s="1831"/>
      <c r="E42" s="1832"/>
      <c r="F42" s="1831"/>
      <c r="G42" s="1831"/>
      <c r="H42" s="1831"/>
      <c r="I42" s="1833"/>
      <c r="J42" s="1831"/>
      <c r="K42" s="1833"/>
      <c r="L42" s="1834"/>
      <c r="M42" s="1835"/>
      <c r="N42" s="1834"/>
      <c r="O42" s="1836"/>
    </row>
    <row r="43" spans="2:15" s="1099" customFormat="1" ht="22.5" customHeight="1">
      <c r="B43" s="1830"/>
      <c r="C43" s="1831"/>
      <c r="D43" s="1831"/>
      <c r="E43" s="1832"/>
      <c r="F43" s="1831"/>
      <c r="G43" s="1831"/>
      <c r="H43" s="1831"/>
      <c r="I43" s="1833"/>
      <c r="J43" s="1831"/>
      <c r="K43" s="1833"/>
      <c r="L43" s="1834"/>
      <c r="M43" s="1835"/>
      <c r="N43" s="1834"/>
      <c r="O43" s="1836"/>
    </row>
    <row r="44" spans="2:15" s="1099" customFormat="1" ht="22.5" customHeight="1">
      <c r="B44" s="1830"/>
      <c r="C44" s="1831"/>
      <c r="D44" s="1831"/>
      <c r="E44" s="1832"/>
      <c r="F44" s="1831"/>
      <c r="G44" s="1831"/>
      <c r="H44" s="1831"/>
      <c r="I44" s="1833"/>
      <c r="J44" s="1831"/>
      <c r="K44" s="1833"/>
      <c r="L44" s="1834"/>
      <c r="M44" s="1835"/>
      <c r="N44" s="1834"/>
      <c r="O44" s="1836"/>
    </row>
    <row r="45" spans="2:15" s="1099" customFormat="1" ht="22.5" customHeight="1">
      <c r="B45" s="1830"/>
      <c r="C45" s="1831"/>
      <c r="D45" s="1831"/>
      <c r="E45" s="1832"/>
      <c r="F45" s="1831"/>
      <c r="G45" s="1831"/>
      <c r="H45" s="1831"/>
      <c r="I45" s="1833"/>
      <c r="J45" s="1831"/>
      <c r="K45" s="1833"/>
      <c r="L45" s="1834"/>
      <c r="M45" s="1835"/>
      <c r="N45" s="1834"/>
      <c r="O45" s="1836"/>
    </row>
    <row r="46" spans="2:15" s="1106" customFormat="1" ht="22.5" customHeight="1">
      <c r="B46" s="1830"/>
      <c r="C46" s="1831"/>
      <c r="D46" s="1831"/>
      <c r="E46" s="1832"/>
      <c r="F46" s="1831"/>
      <c r="G46" s="1831"/>
      <c r="H46" s="1831"/>
      <c r="I46" s="1833"/>
      <c r="J46" s="1831"/>
      <c r="K46" s="1833"/>
      <c r="L46" s="1834"/>
      <c r="M46" s="1835"/>
      <c r="N46" s="1834"/>
      <c r="O46" s="1836"/>
    </row>
    <row r="47" spans="2:15" s="1099" customFormat="1" ht="22.5" customHeight="1">
      <c r="B47" s="1861"/>
      <c r="C47" s="1862"/>
      <c r="D47" s="1856"/>
      <c r="E47" s="1843"/>
      <c r="F47" s="1844"/>
      <c r="G47" s="1844"/>
      <c r="H47" s="1844"/>
      <c r="I47" s="1844"/>
      <c r="J47" s="1844"/>
      <c r="K47" s="1844"/>
      <c r="L47" s="1881"/>
      <c r="M47" s="1864"/>
      <c r="N47" s="1844"/>
      <c r="O47" s="1866"/>
    </row>
    <row r="48" spans="2:15" s="1099" customFormat="1" ht="22.5" customHeight="1">
      <c r="B48" s="1830"/>
      <c r="C48" s="1831"/>
      <c r="D48" s="1831"/>
      <c r="E48" s="1832"/>
      <c r="F48" s="1831"/>
      <c r="G48" s="1831"/>
      <c r="H48" s="1831"/>
      <c r="I48" s="1833"/>
      <c r="J48" s="1831"/>
      <c r="K48" s="1833"/>
      <c r="L48" s="1834"/>
      <c r="M48" s="1835"/>
      <c r="N48" s="1834"/>
      <c r="O48" s="1836"/>
    </row>
    <row r="49" spans="2:15" s="1099" customFormat="1" ht="22.5" customHeight="1">
      <c r="B49" s="1830"/>
      <c r="C49" s="1831"/>
      <c r="D49" s="1831"/>
      <c r="E49" s="1832"/>
      <c r="F49" s="1831"/>
      <c r="G49" s="1831"/>
      <c r="H49" s="1831"/>
      <c r="I49" s="1833"/>
      <c r="J49" s="1831"/>
      <c r="K49" s="1833"/>
      <c r="L49" s="1834"/>
      <c r="M49" s="1835"/>
      <c r="N49" s="1834"/>
      <c r="O49" s="1836"/>
    </row>
    <row r="50" spans="2:15" s="1099" customFormat="1" ht="22.5" customHeight="1">
      <c r="B50" s="1830"/>
      <c r="C50" s="1831"/>
      <c r="D50" s="1831"/>
      <c r="E50" s="1832"/>
      <c r="F50" s="1831"/>
      <c r="G50" s="1831"/>
      <c r="H50" s="1831"/>
      <c r="I50" s="1833"/>
      <c r="J50" s="1831"/>
      <c r="K50" s="1833"/>
      <c r="L50" s="1834"/>
      <c r="M50" s="1835"/>
      <c r="N50" s="1834"/>
      <c r="O50" s="1836"/>
    </row>
    <row r="51" spans="2:15" s="1099" customFormat="1" ht="22.5" customHeight="1">
      <c r="B51" s="1830"/>
      <c r="C51" s="1831"/>
      <c r="D51" s="1831"/>
      <c r="E51" s="1832"/>
      <c r="F51" s="1831"/>
      <c r="G51" s="1831"/>
      <c r="H51" s="1831"/>
      <c r="I51" s="1833"/>
      <c r="J51" s="1831"/>
      <c r="K51" s="1833"/>
      <c r="L51" s="1834"/>
      <c r="M51" s="1835"/>
      <c r="N51" s="1834"/>
      <c r="O51" s="1836"/>
    </row>
    <row r="52" spans="2:15" s="1099" customFormat="1" ht="22.5" customHeight="1">
      <c r="B52" s="1830"/>
      <c r="C52" s="1831"/>
      <c r="D52" s="1831"/>
      <c r="E52" s="1832"/>
      <c r="F52" s="1831"/>
      <c r="G52" s="1831"/>
      <c r="H52" s="1831"/>
      <c r="I52" s="1833"/>
      <c r="J52" s="1831"/>
      <c r="K52" s="1833"/>
      <c r="L52" s="1834"/>
      <c r="M52" s="1835"/>
      <c r="N52" s="1834"/>
      <c r="O52" s="1836"/>
    </row>
    <row r="53" spans="2:15" s="1099" customFormat="1" ht="22.5" customHeight="1">
      <c r="B53" s="1830"/>
      <c r="C53" s="1831"/>
      <c r="D53" s="1831"/>
      <c r="E53" s="1832"/>
      <c r="F53" s="1831"/>
      <c r="G53" s="1831"/>
      <c r="H53" s="1831"/>
      <c r="I53" s="1833"/>
      <c r="J53" s="1831"/>
      <c r="K53" s="1833"/>
      <c r="L53" s="1834"/>
      <c r="M53" s="1835"/>
      <c r="N53" s="1834"/>
      <c r="O53" s="1836"/>
    </row>
    <row r="54" spans="2:15" s="1099" customFormat="1" ht="22.5" customHeight="1">
      <c r="B54" s="1830"/>
      <c r="C54" s="1831"/>
      <c r="D54" s="1831"/>
      <c r="E54" s="1832"/>
      <c r="F54" s="1831"/>
      <c r="G54" s="1843"/>
      <c r="H54" s="1844"/>
      <c r="I54" s="1844"/>
      <c r="J54" s="1844"/>
      <c r="K54" s="1844"/>
      <c r="L54" s="1844"/>
      <c r="M54" s="1835"/>
      <c r="N54" s="1834"/>
      <c r="O54" s="1836"/>
    </row>
    <row r="55" spans="2:15" s="1099" customFormat="1" ht="22.5" customHeight="1">
      <c r="B55" s="1830"/>
      <c r="C55" s="1831"/>
      <c r="D55" s="1831"/>
      <c r="E55" s="1832"/>
      <c r="F55" s="1831"/>
      <c r="G55" s="1831"/>
      <c r="H55" s="1831"/>
      <c r="I55" s="1833"/>
      <c r="J55" s="1831"/>
      <c r="K55" s="1833"/>
      <c r="L55" s="1834"/>
      <c r="M55" s="1835"/>
      <c r="N55" s="1834"/>
      <c r="O55" s="1836"/>
    </row>
    <row r="56" spans="2:15" s="1099" customFormat="1" ht="22.5" customHeight="1">
      <c r="B56" s="1830"/>
      <c r="C56" s="1831"/>
      <c r="D56" s="1831"/>
      <c r="E56" s="1832"/>
      <c r="F56" s="1831"/>
      <c r="G56" s="1831"/>
      <c r="H56" s="1831"/>
      <c r="I56" s="1833"/>
      <c r="J56" s="1831"/>
      <c r="K56" s="1833"/>
      <c r="L56" s="1834"/>
      <c r="M56" s="1835"/>
      <c r="N56" s="1834"/>
      <c r="O56" s="1836"/>
    </row>
    <row r="57" spans="2:15" s="1099" customFormat="1" ht="18" thickBot="1">
      <c r="B57" s="1874"/>
      <c r="C57" s="1875"/>
      <c r="D57" s="1875"/>
      <c r="E57" s="1876"/>
      <c r="F57" s="1875"/>
      <c r="G57" s="1875"/>
      <c r="H57" s="1875"/>
      <c r="I57" s="1877"/>
      <c r="J57" s="1875"/>
      <c r="K57" s="1877"/>
      <c r="L57" s="1878"/>
      <c r="M57" s="1879"/>
      <c r="N57" s="1878"/>
      <c r="O57" s="1880"/>
    </row>
    <row r="58" spans="2:15" ht="15.75" thickTop="1"/>
  </sheetData>
  <sheetProtection sheet="1" objects="1" scenarios="1"/>
  <mergeCells count="20">
    <mergeCell ref="B12:O12"/>
    <mergeCell ref="H16:I16"/>
    <mergeCell ref="F20:O20"/>
    <mergeCell ref="B7:D7"/>
    <mergeCell ref="E7:K7"/>
    <mergeCell ref="E8:K8"/>
    <mergeCell ref="B10:O10"/>
    <mergeCell ref="B11:O11"/>
    <mergeCell ref="E2:K2"/>
    <mergeCell ref="B3:D5"/>
    <mergeCell ref="E3:K3"/>
    <mergeCell ref="E5:K5"/>
    <mergeCell ref="B6:D6"/>
    <mergeCell ref="E6:K6"/>
    <mergeCell ref="D35:E35"/>
    <mergeCell ref="C15:D15"/>
    <mergeCell ref="F15:O15"/>
    <mergeCell ref="L16:M16"/>
    <mergeCell ref="H17:I17"/>
    <mergeCell ref="F19:O1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/>
  <dimension ref="A1:P107"/>
  <sheetViews>
    <sheetView showGridLines="0" zoomScale="70" zoomScaleNormal="70" zoomScalePageLayoutView="70" workbookViewId="0">
      <selection activeCell="V11" sqref="V11"/>
    </sheetView>
  </sheetViews>
  <sheetFormatPr baseColWidth="10" defaultColWidth="10.85546875" defaultRowHeight="15"/>
  <cols>
    <col min="1" max="1" width="10.85546875" style="178"/>
    <col min="2" max="2" width="11.28515625" style="1322" customWidth="1"/>
    <col min="3" max="3" width="13.7109375" style="1322" customWidth="1"/>
    <col min="4" max="4" width="34.28515625" style="1322" customWidth="1"/>
    <col min="5" max="5" width="18.7109375" style="1322" customWidth="1"/>
    <col min="6" max="9" width="10.85546875" style="1322"/>
    <col min="10" max="10" width="19.42578125" style="1322" customWidth="1"/>
    <col min="11" max="11" width="17.140625" style="1322" customWidth="1"/>
    <col min="12" max="12" width="25.7109375" style="1322" customWidth="1"/>
    <col min="13" max="13" width="24.42578125" style="1322" customWidth="1"/>
    <col min="14" max="14" width="13.7109375" style="1322" customWidth="1"/>
    <col min="15" max="15" width="2.7109375" style="1322" customWidth="1"/>
    <col min="16" max="16384" width="10.85546875" style="178"/>
  </cols>
  <sheetData>
    <row r="1" spans="1:16" s="1099" customFormat="1" ht="18" thickBot="1">
      <c r="B1" s="1669"/>
      <c r="C1" s="1669"/>
      <c r="D1" s="1669"/>
      <c r="E1" s="1670"/>
      <c r="F1" s="1669"/>
      <c r="G1" s="1669"/>
      <c r="H1" s="1669"/>
      <c r="I1" s="1671"/>
      <c r="J1" s="1669"/>
      <c r="K1" s="1671"/>
      <c r="L1" s="1672"/>
      <c r="M1" s="1673"/>
      <c r="N1" s="1672"/>
      <c r="O1" s="1669"/>
    </row>
    <row r="2" spans="1:16" s="1101" customFormat="1" ht="19.5" customHeight="1" thickTop="1">
      <c r="A2" s="1100"/>
      <c r="B2" s="1674"/>
      <c r="C2" s="1675"/>
      <c r="D2" s="1676"/>
      <c r="E2" s="2173"/>
      <c r="F2" s="2174"/>
      <c r="G2" s="2174"/>
      <c r="H2" s="2174"/>
      <c r="I2" s="2174"/>
      <c r="J2" s="2174"/>
      <c r="K2" s="2175"/>
      <c r="L2" s="1677"/>
      <c r="M2" s="1675"/>
      <c r="N2" s="1678"/>
      <c r="O2" s="1679"/>
    </row>
    <row r="3" spans="1:16" s="1101" customFormat="1" ht="22.5" customHeight="1">
      <c r="A3" s="1100"/>
      <c r="B3" s="2176" t="s">
        <v>18</v>
      </c>
      <c r="C3" s="2177"/>
      <c r="D3" s="2178"/>
      <c r="E3" s="2161" t="s">
        <v>15</v>
      </c>
      <c r="F3" s="2162"/>
      <c r="G3" s="2162"/>
      <c r="H3" s="2162"/>
      <c r="I3" s="2162"/>
      <c r="J3" s="2162"/>
      <c r="K3" s="2163"/>
      <c r="L3" s="1680"/>
      <c r="M3" s="1681"/>
      <c r="N3" s="1682"/>
      <c r="O3" s="1683"/>
    </row>
    <row r="4" spans="1:16" s="1101" customFormat="1" ht="22.5" customHeight="1">
      <c r="A4" s="1100"/>
      <c r="B4" s="2176"/>
      <c r="C4" s="2177"/>
      <c r="D4" s="2178"/>
      <c r="E4" s="1807"/>
      <c r="F4" s="1808"/>
      <c r="G4" s="1808"/>
      <c r="H4" s="1808"/>
      <c r="I4" s="1808"/>
      <c r="J4" s="1808"/>
      <c r="K4" s="1809"/>
      <c r="L4" s="1680"/>
      <c r="M4" s="1681"/>
      <c r="N4" s="1682"/>
      <c r="O4" s="1683"/>
    </row>
    <row r="5" spans="1:16" s="1101" customFormat="1" ht="20.100000000000001" customHeight="1">
      <c r="A5" s="1100"/>
      <c r="B5" s="2176"/>
      <c r="C5" s="2177"/>
      <c r="D5" s="2178"/>
      <c r="E5" s="2179"/>
      <c r="F5" s="2180"/>
      <c r="G5" s="2180"/>
      <c r="H5" s="2180"/>
      <c r="I5" s="2180"/>
      <c r="J5" s="2180"/>
      <c r="K5" s="2181"/>
      <c r="L5" s="1680"/>
      <c r="M5" s="1681"/>
      <c r="N5" s="1682"/>
      <c r="O5" s="1683"/>
    </row>
    <row r="6" spans="1:16" s="1101" customFormat="1" ht="27.75">
      <c r="A6" s="1100"/>
      <c r="B6" s="2158">
        <v>42800</v>
      </c>
      <c r="C6" s="2159"/>
      <c r="D6" s="2160"/>
      <c r="E6" s="2161" t="s">
        <v>17</v>
      </c>
      <c r="F6" s="2162"/>
      <c r="G6" s="2162"/>
      <c r="H6" s="2162"/>
      <c r="I6" s="2162"/>
      <c r="J6" s="2162"/>
      <c r="K6" s="2163"/>
      <c r="L6" s="1680"/>
      <c r="M6" s="1681"/>
      <c r="N6" s="1682"/>
      <c r="O6" s="1683"/>
    </row>
    <row r="7" spans="1:16" s="1101" customFormat="1" ht="27.75" customHeight="1">
      <c r="A7" s="1100"/>
      <c r="B7" s="2158"/>
      <c r="C7" s="2159"/>
      <c r="D7" s="2160"/>
      <c r="E7" s="2161" t="s">
        <v>16</v>
      </c>
      <c r="F7" s="2162"/>
      <c r="G7" s="2162"/>
      <c r="H7" s="2162"/>
      <c r="I7" s="2162"/>
      <c r="J7" s="2162"/>
      <c r="K7" s="2163"/>
      <c r="L7" s="1680"/>
      <c r="M7" s="1681"/>
      <c r="N7" s="1687"/>
      <c r="O7" s="1683"/>
    </row>
    <row r="8" spans="1:16" s="1103" customFormat="1" ht="20.100000000000001" customHeight="1" thickBot="1">
      <c r="A8" s="1102"/>
      <c r="B8" s="1688"/>
      <c r="C8" s="1689"/>
      <c r="D8" s="1690"/>
      <c r="E8" s="2164"/>
      <c r="F8" s="2165"/>
      <c r="G8" s="2165"/>
      <c r="H8" s="2165"/>
      <c r="I8" s="2165"/>
      <c r="J8" s="2165"/>
      <c r="K8" s="2166"/>
      <c r="L8" s="1691"/>
      <c r="M8" s="1689"/>
      <c r="N8" s="1692"/>
      <c r="O8" s="1693"/>
    </row>
    <row r="9" spans="1:16" s="1099" customFormat="1" ht="40.5" customHeight="1" thickTop="1">
      <c r="B9" s="1694"/>
      <c r="C9" s="1701"/>
      <c r="D9" s="1701"/>
      <c r="E9" s="1702"/>
      <c r="F9" s="1701"/>
      <c r="G9" s="1701"/>
      <c r="H9" s="1701"/>
      <c r="I9" s="1703"/>
      <c r="J9" s="1701"/>
      <c r="K9" s="1703"/>
      <c r="L9" s="1704"/>
      <c r="M9" s="1705"/>
      <c r="N9" s="1704"/>
      <c r="O9" s="1706"/>
    </row>
    <row r="10" spans="1:16" s="1103" customFormat="1" ht="40.5" customHeight="1">
      <c r="A10" s="1104"/>
      <c r="B10" s="2218" t="s">
        <v>415</v>
      </c>
      <c r="C10" s="2168"/>
      <c r="D10" s="2169"/>
      <c r="E10" s="2169"/>
      <c r="F10" s="2169"/>
      <c r="G10" s="2169"/>
      <c r="H10" s="2169"/>
      <c r="I10" s="2169"/>
      <c r="J10" s="2169"/>
      <c r="K10" s="2169"/>
      <c r="L10" s="2169"/>
      <c r="M10" s="2169"/>
      <c r="N10" s="2169"/>
      <c r="O10" s="2211"/>
    </row>
    <row r="11" spans="1:16" s="1099" customFormat="1" ht="100.5" customHeight="1">
      <c r="B11" s="2210" t="s">
        <v>436</v>
      </c>
      <c r="C11" s="2172"/>
      <c r="D11" s="2169"/>
      <c r="E11" s="2169"/>
      <c r="F11" s="2169"/>
      <c r="G11" s="2169"/>
      <c r="H11" s="2169"/>
      <c r="I11" s="2169"/>
      <c r="J11" s="2169"/>
      <c r="K11" s="2169"/>
      <c r="L11" s="2169"/>
      <c r="M11" s="2169"/>
      <c r="N11" s="2169"/>
      <c r="O11" s="2211"/>
    </row>
    <row r="12" spans="1:16" s="1099" customFormat="1" ht="25.5" customHeight="1">
      <c r="B12" s="1695"/>
      <c r="C12" s="1696"/>
      <c r="D12" s="1696"/>
      <c r="E12" s="1697"/>
      <c r="F12" s="1698"/>
      <c r="G12" s="1698"/>
      <c r="H12" s="1698"/>
      <c r="I12" s="1698"/>
      <c r="J12" s="1698"/>
      <c r="K12" s="1698"/>
      <c r="L12" s="1698"/>
      <c r="M12" s="1698"/>
      <c r="N12" s="1698"/>
      <c r="O12" s="1699"/>
    </row>
    <row r="13" spans="1:16" s="1099" customFormat="1" ht="18" customHeight="1">
      <c r="B13" s="1700"/>
      <c r="C13" s="1701"/>
      <c r="D13" s="1701"/>
      <c r="E13" s="1702"/>
      <c r="F13" s="1701"/>
      <c r="G13" s="1701"/>
      <c r="H13" s="1701"/>
      <c r="I13" s="1703"/>
      <c r="J13" s="1701"/>
      <c r="K13" s="1703"/>
      <c r="L13" s="1704"/>
      <c r="M13" s="1705"/>
      <c r="N13" s="1704"/>
      <c r="O13" s="1706"/>
    </row>
    <row r="14" spans="1:16" s="1105" customFormat="1" ht="39.950000000000003" customHeight="1">
      <c r="B14" s="1707"/>
      <c r="C14" s="1708" t="s">
        <v>417</v>
      </c>
      <c r="D14" s="1709"/>
      <c r="E14" s="1710"/>
      <c r="F14" s="2153"/>
      <c r="G14" s="2153"/>
      <c r="H14" s="2153"/>
      <c r="I14" s="2153"/>
      <c r="J14" s="2153"/>
      <c r="K14" s="2153"/>
      <c r="L14" s="2153"/>
      <c r="M14" s="2153"/>
      <c r="N14" s="2153"/>
      <c r="O14" s="2213"/>
    </row>
    <row r="15" spans="1:16" s="1105" customFormat="1" ht="39.950000000000003" customHeight="1">
      <c r="B15" s="1711"/>
      <c r="C15" s="1712"/>
      <c r="D15" s="1805" t="s">
        <v>332</v>
      </c>
      <c r="E15" s="1713"/>
      <c r="F15" s="1714"/>
      <c r="G15" s="1714"/>
      <c r="H15" s="2155" t="s">
        <v>11</v>
      </c>
      <c r="I15" s="2155"/>
      <c r="J15" s="1714"/>
      <c r="K15" s="1714"/>
      <c r="L15" s="2156" t="s">
        <v>419</v>
      </c>
      <c r="M15" s="2156"/>
      <c r="N15" s="1715"/>
      <c r="O15" s="1716"/>
    </row>
    <row r="16" spans="1:16" s="1105" customFormat="1" ht="39.950000000000003" customHeight="1">
      <c r="B16" s="1711"/>
      <c r="C16" s="1712"/>
      <c r="D16" s="1717">
        <v>35514</v>
      </c>
      <c r="E16" s="1718"/>
      <c r="F16" s="1718"/>
      <c r="G16" s="1718"/>
      <c r="H16" s="2157">
        <v>55299.58</v>
      </c>
      <c r="I16" s="2157"/>
      <c r="J16" s="1718"/>
      <c r="K16" s="1718"/>
      <c r="L16" s="1806">
        <v>-19785.580000000002</v>
      </c>
      <c r="M16" s="1719">
        <v>-0.55712057216872224</v>
      </c>
      <c r="N16" s="1710"/>
      <c r="O16" s="1720"/>
      <c r="P16" s="1107"/>
    </row>
    <row r="17" spans="2:15" s="1105" customFormat="1" ht="39.950000000000003" customHeight="1">
      <c r="B17" s="1711"/>
      <c r="C17" s="1712"/>
      <c r="D17" s="1709"/>
      <c r="E17" s="1710"/>
      <c r="F17" s="1715"/>
      <c r="G17" s="1715"/>
      <c r="H17" s="1715"/>
      <c r="I17" s="1710"/>
      <c r="J17" s="1710"/>
      <c r="K17" s="1710"/>
      <c r="L17" s="1721"/>
      <c r="M17" s="1746"/>
      <c r="N17" s="1715"/>
      <c r="O17" s="1716"/>
    </row>
    <row r="18" spans="2:15" s="1105" customFormat="1" ht="39.950000000000003" customHeight="1">
      <c r="B18" s="1711"/>
      <c r="C18" s="1712"/>
      <c r="D18" s="1709"/>
      <c r="E18" s="1710"/>
      <c r="F18" s="1715"/>
      <c r="G18" s="1715"/>
      <c r="H18" s="1715"/>
      <c r="I18" s="1715"/>
      <c r="J18" s="1715"/>
      <c r="K18" s="1715"/>
      <c r="L18" s="1715"/>
      <c r="M18" s="1715"/>
      <c r="N18" s="1715"/>
      <c r="O18" s="1716"/>
    </row>
    <row r="19" spans="2:15" s="1105" customFormat="1" ht="39.950000000000003" customHeight="1">
      <c r="B19" s="1707"/>
      <c r="C19" s="1885" t="s">
        <v>420</v>
      </c>
      <c r="D19" s="1885"/>
      <c r="E19" s="1843"/>
      <c r="F19" s="2182"/>
      <c r="G19" s="2182"/>
      <c r="H19" s="2182"/>
      <c r="I19" s="2182"/>
      <c r="J19" s="2182"/>
      <c r="K19" s="2182"/>
      <c r="L19" s="2182"/>
      <c r="M19" s="2182"/>
      <c r="N19" s="2182"/>
      <c r="O19" s="2183"/>
    </row>
    <row r="20" spans="2:15" s="1108" customFormat="1" ht="39.75" customHeight="1">
      <c r="B20" s="1722"/>
      <c r="C20" s="1859"/>
      <c r="D20" s="1889"/>
      <c r="E20" s="1889"/>
      <c r="F20" s="2182"/>
      <c r="G20" s="2182"/>
      <c r="H20" s="2182"/>
      <c r="I20" s="2182"/>
      <c r="J20" s="2182"/>
      <c r="K20" s="2182"/>
      <c r="L20" s="2182"/>
      <c r="M20" s="2182"/>
      <c r="N20" s="2182"/>
      <c r="O20" s="2183"/>
    </row>
    <row r="21" spans="2:15" s="1106" customFormat="1" ht="29.25" customHeight="1">
      <c r="B21" s="1725"/>
      <c r="C21" s="1862"/>
      <c r="D21" s="1891"/>
      <c r="E21" s="1843"/>
      <c r="F21" s="1883"/>
      <c r="G21" s="1883"/>
      <c r="H21" s="1883"/>
      <c r="I21" s="1883"/>
      <c r="J21" s="1883"/>
      <c r="K21" s="1883"/>
      <c r="L21" s="1863"/>
      <c r="M21" s="1864"/>
      <c r="N21" s="1865"/>
      <c r="O21" s="1866"/>
    </row>
    <row r="22" spans="2:15" s="1106" customFormat="1" ht="22.5" customHeight="1">
      <c r="B22" s="1725"/>
      <c r="C22" s="1884"/>
      <c r="D22" s="1884"/>
      <c r="E22" s="1843"/>
      <c r="F22" s="1883"/>
      <c r="G22" s="1843"/>
      <c r="H22" s="1883"/>
      <c r="I22" s="1883"/>
      <c r="J22" s="1883"/>
      <c r="K22" s="1883"/>
      <c r="L22" s="1883"/>
      <c r="M22" s="1867"/>
      <c r="N22" s="1883"/>
      <c r="O22" s="1866"/>
    </row>
    <row r="23" spans="2:15" s="1106" customFormat="1" ht="23.1" customHeight="1">
      <c r="B23" s="1727"/>
      <c r="C23" s="1884"/>
      <c r="D23" s="1884"/>
      <c r="E23" s="1843"/>
      <c r="F23" s="1884"/>
      <c r="G23" s="1843"/>
      <c r="H23" s="1883"/>
      <c r="I23" s="1883"/>
      <c r="J23" s="1883"/>
      <c r="K23" s="1883"/>
      <c r="L23" s="1869"/>
      <c r="M23" s="1870"/>
      <c r="N23" s="1871"/>
      <c r="O23" s="1872"/>
    </row>
    <row r="24" spans="2:15" s="1105" customFormat="1" ht="23.1" customHeight="1">
      <c r="B24" s="1711"/>
      <c r="C24" s="1873"/>
      <c r="D24" s="1884"/>
      <c r="E24" s="1843"/>
      <c r="F24" s="1850"/>
      <c r="G24" s="1850"/>
      <c r="H24" s="1850"/>
      <c r="I24" s="1850"/>
      <c r="J24" s="1850"/>
      <c r="K24" s="1850"/>
      <c r="L24" s="1869"/>
      <c r="M24" s="1850"/>
      <c r="N24" s="1850"/>
      <c r="O24" s="1851"/>
    </row>
    <row r="25" spans="2:15" s="1105" customFormat="1" ht="23.1" customHeight="1">
      <c r="B25" s="1711"/>
      <c r="C25" s="1873"/>
      <c r="D25" s="1884"/>
      <c r="E25" s="1843"/>
      <c r="F25" s="1850"/>
      <c r="G25" s="1850"/>
      <c r="H25" s="1850"/>
      <c r="I25" s="1850"/>
      <c r="J25" s="1850"/>
      <c r="K25" s="1850"/>
      <c r="L25" s="1869"/>
      <c r="M25" s="1850"/>
      <c r="N25" s="1850"/>
      <c r="O25" s="1851"/>
    </row>
    <row r="26" spans="2:15" s="1105" customFormat="1" ht="22.5" customHeight="1">
      <c r="B26" s="1711"/>
      <c r="C26" s="1873"/>
      <c r="D26" s="1884"/>
      <c r="E26" s="1843"/>
      <c r="F26" s="1850"/>
      <c r="G26" s="1850"/>
      <c r="H26" s="1850"/>
      <c r="I26" s="1850"/>
      <c r="J26" s="1850"/>
      <c r="K26" s="1850"/>
      <c r="L26" s="1850"/>
      <c r="M26" s="1850"/>
      <c r="N26" s="1850"/>
      <c r="O26" s="1851"/>
    </row>
    <row r="27" spans="2:15" s="1106" customFormat="1" ht="29.25" customHeight="1">
      <c r="B27" s="1725"/>
      <c r="C27" s="1862"/>
      <c r="D27" s="1884"/>
      <c r="E27" s="1843"/>
      <c r="F27" s="1883"/>
      <c r="G27" s="1883"/>
      <c r="H27" s="1883"/>
      <c r="I27" s="1883"/>
      <c r="J27" s="1883"/>
      <c r="K27" s="1883"/>
      <c r="L27" s="1863"/>
      <c r="M27" s="1864"/>
      <c r="N27" s="1883"/>
      <c r="O27" s="1866"/>
    </row>
    <row r="28" spans="2:15" s="1106" customFormat="1" ht="23.1" customHeight="1">
      <c r="B28" s="1711"/>
      <c r="C28" s="1884"/>
      <c r="D28" s="1884"/>
      <c r="E28" s="1843"/>
      <c r="F28" s="1883"/>
      <c r="G28" s="1843"/>
      <c r="H28" s="1883"/>
      <c r="I28" s="1883"/>
      <c r="J28" s="1883"/>
      <c r="K28" s="1883"/>
      <c r="L28" s="1869"/>
      <c r="M28" s="1883"/>
      <c r="N28" s="1883"/>
      <c r="O28" s="1866"/>
    </row>
    <row r="29" spans="2:15" s="1106" customFormat="1" ht="23.1" customHeight="1">
      <c r="B29" s="1711"/>
      <c r="C29" s="1884"/>
      <c r="D29" s="1884"/>
      <c r="E29" s="1843"/>
      <c r="F29" s="1883"/>
      <c r="G29" s="1843"/>
      <c r="H29" s="1883"/>
      <c r="I29" s="1883"/>
      <c r="J29" s="1883"/>
      <c r="K29" s="1883"/>
      <c r="L29" s="1869"/>
      <c r="M29" s="1883"/>
      <c r="N29" s="1883"/>
      <c r="O29" s="1866"/>
    </row>
    <row r="30" spans="2:15" s="1106" customFormat="1" ht="23.1" customHeight="1">
      <c r="B30" s="1711"/>
      <c r="C30" s="1873"/>
      <c r="D30" s="1884"/>
      <c r="E30" s="1843"/>
      <c r="F30" s="1883"/>
      <c r="G30" s="1843"/>
      <c r="H30" s="1883"/>
      <c r="I30" s="1883"/>
      <c r="J30" s="1883"/>
      <c r="K30" s="1883"/>
      <c r="L30" s="1869"/>
      <c r="M30" s="1883"/>
      <c r="N30" s="1883"/>
      <c r="O30" s="1866"/>
    </row>
    <row r="31" spans="2:15" s="1106" customFormat="1" ht="23.1" customHeight="1">
      <c r="B31" s="1727"/>
      <c r="C31" s="1873"/>
      <c r="D31" s="1884"/>
      <c r="E31" s="1884"/>
      <c r="F31" s="1884"/>
      <c r="G31" s="1884"/>
      <c r="H31" s="1884"/>
      <c r="I31" s="1884"/>
      <c r="J31" s="1884"/>
      <c r="K31" s="1884"/>
      <c r="L31" s="1869"/>
      <c r="M31" s="1870"/>
      <c r="N31" s="1871"/>
      <c r="O31" s="1872"/>
    </row>
    <row r="32" spans="2:15" s="1106" customFormat="1" ht="23.1" customHeight="1">
      <c r="B32" s="1711"/>
      <c r="C32" s="1873"/>
      <c r="D32" s="1884"/>
      <c r="E32" s="1843"/>
      <c r="F32" s="1883"/>
      <c r="G32" s="1843"/>
      <c r="H32" s="1883"/>
      <c r="I32" s="1883"/>
      <c r="J32" s="1883"/>
      <c r="K32" s="1883"/>
      <c r="L32" s="1869"/>
      <c r="M32" s="1883"/>
      <c r="N32" s="1883"/>
      <c r="O32" s="1866"/>
    </row>
    <row r="33" spans="2:15" s="1106" customFormat="1" ht="29.25" customHeight="1">
      <c r="B33" s="1725"/>
      <c r="C33" s="1862"/>
      <c r="D33" s="1891"/>
      <c r="E33" s="1843"/>
      <c r="F33" s="1883"/>
      <c r="G33" s="1883"/>
      <c r="H33" s="1883"/>
      <c r="I33" s="1883"/>
      <c r="J33" s="1883"/>
      <c r="K33" s="1883"/>
      <c r="L33" s="1863"/>
      <c r="M33" s="1864"/>
      <c r="N33" s="1883"/>
      <c r="O33" s="1866"/>
    </row>
    <row r="34" spans="2:15" s="1099" customFormat="1" ht="23.1" customHeight="1">
      <c r="B34" s="1700"/>
      <c r="C34" s="1884"/>
      <c r="D34" s="1831"/>
      <c r="E34" s="1832"/>
      <c r="F34" s="1831"/>
      <c r="G34" s="1831"/>
      <c r="H34" s="1831"/>
      <c r="I34" s="1833"/>
      <c r="J34" s="1831"/>
      <c r="K34" s="1833"/>
      <c r="L34" s="1869"/>
      <c r="M34" s="1835"/>
      <c r="N34" s="1834"/>
      <c r="O34" s="1836"/>
    </row>
    <row r="35" spans="2:15" s="1099" customFormat="1" ht="23.1" customHeight="1">
      <c r="B35" s="1700"/>
      <c r="C35" s="1884"/>
      <c r="D35" s="1831"/>
      <c r="E35" s="1832"/>
      <c r="F35" s="1831"/>
      <c r="G35" s="1843"/>
      <c r="H35" s="1883"/>
      <c r="I35" s="1883"/>
      <c r="J35" s="1883"/>
      <c r="K35" s="1883"/>
      <c r="L35" s="1869"/>
      <c r="M35" s="1835"/>
      <c r="N35" s="1834"/>
      <c r="O35" s="1836"/>
    </row>
    <row r="36" spans="2:15" s="1099" customFormat="1" ht="23.1" customHeight="1">
      <c r="B36" s="1700"/>
      <c r="C36" s="1884"/>
      <c r="D36" s="1831"/>
      <c r="E36" s="1832"/>
      <c r="F36" s="1831"/>
      <c r="G36" s="1843"/>
      <c r="H36" s="1883"/>
      <c r="I36" s="1883"/>
      <c r="J36" s="1883"/>
      <c r="K36" s="1883"/>
      <c r="L36" s="1869"/>
      <c r="M36" s="1835"/>
      <c r="N36" s="1834"/>
      <c r="O36" s="1836"/>
    </row>
    <row r="37" spans="2:15" s="1099" customFormat="1" ht="23.1" customHeight="1">
      <c r="B37" s="1700"/>
      <c r="C37" s="1873"/>
      <c r="D37" s="1831"/>
      <c r="E37" s="1832"/>
      <c r="F37" s="1831"/>
      <c r="G37" s="1831"/>
      <c r="H37" s="1831"/>
      <c r="I37" s="1833"/>
      <c r="J37" s="1831"/>
      <c r="K37" s="1833"/>
      <c r="L37" s="1869"/>
      <c r="M37" s="1835"/>
      <c r="N37" s="1834"/>
      <c r="O37" s="1836"/>
    </row>
    <row r="38" spans="2:15" s="1099" customFormat="1" ht="23.1" customHeight="1">
      <c r="B38" s="1700"/>
      <c r="C38" s="1831"/>
      <c r="D38" s="1831"/>
      <c r="E38" s="1832"/>
      <c r="F38" s="1831"/>
      <c r="G38" s="1831"/>
      <c r="H38" s="1831"/>
      <c r="I38" s="1833"/>
      <c r="J38" s="1831"/>
      <c r="K38" s="1833"/>
      <c r="L38" s="1883"/>
      <c r="M38" s="1835"/>
      <c r="N38" s="1834"/>
      <c r="O38" s="1836"/>
    </row>
    <row r="39" spans="2:15" s="1099" customFormat="1" ht="23.1" customHeight="1">
      <c r="B39" s="1700"/>
      <c r="C39" s="1831"/>
      <c r="D39" s="1831"/>
      <c r="E39" s="1832"/>
      <c r="F39" s="1831"/>
      <c r="G39" s="1831"/>
      <c r="H39" s="1831"/>
      <c r="I39" s="1833"/>
      <c r="J39" s="1831"/>
      <c r="K39" s="1833"/>
      <c r="L39" s="1834"/>
      <c r="M39" s="1835"/>
      <c r="N39" s="1834"/>
      <c r="O39" s="1836"/>
    </row>
    <row r="40" spans="2:15" s="1106" customFormat="1" ht="29.25" customHeight="1">
      <c r="B40" s="1725"/>
      <c r="C40" s="1862"/>
      <c r="D40" s="1884"/>
      <c r="E40" s="1843"/>
      <c r="F40" s="1883"/>
      <c r="G40" s="1883"/>
      <c r="H40" s="1883"/>
      <c r="I40" s="1883"/>
      <c r="J40" s="1883"/>
      <c r="K40" s="1883"/>
      <c r="L40" s="1863"/>
      <c r="M40" s="1864"/>
      <c r="N40" s="1883"/>
      <c r="O40" s="1866"/>
    </row>
    <row r="41" spans="2:15" s="1099" customFormat="1" ht="23.1" customHeight="1">
      <c r="B41" s="1700"/>
      <c r="C41" s="1884"/>
      <c r="D41" s="1831"/>
      <c r="E41" s="1832"/>
      <c r="F41" s="1831"/>
      <c r="G41" s="1843"/>
      <c r="H41" s="1883"/>
      <c r="I41" s="1883"/>
      <c r="J41" s="1883"/>
      <c r="K41" s="1883"/>
      <c r="L41" s="1869"/>
      <c r="M41" s="1835"/>
      <c r="N41" s="1834"/>
      <c r="O41" s="1836"/>
    </row>
    <row r="42" spans="2:15" s="1099" customFormat="1" ht="23.1" customHeight="1">
      <c r="B42" s="1700"/>
      <c r="C42" s="1884"/>
      <c r="D42" s="1831"/>
      <c r="E42" s="1832"/>
      <c r="F42" s="1831"/>
      <c r="G42" s="1831"/>
      <c r="H42" s="1831"/>
      <c r="I42" s="1833"/>
      <c r="J42" s="1831"/>
      <c r="K42" s="1833"/>
      <c r="L42" s="1869"/>
      <c r="M42" s="1835"/>
      <c r="N42" s="1834"/>
      <c r="O42" s="1836"/>
    </row>
    <row r="43" spans="2:15" s="1099" customFormat="1" ht="23.1" customHeight="1">
      <c r="B43" s="1700"/>
      <c r="C43" s="1884"/>
      <c r="D43" s="1831"/>
      <c r="E43" s="1832"/>
      <c r="F43" s="1831"/>
      <c r="G43" s="1831"/>
      <c r="H43" s="1831"/>
      <c r="I43" s="1833"/>
      <c r="J43" s="1831"/>
      <c r="K43" s="1833"/>
      <c r="L43" s="1883"/>
      <c r="M43" s="1835"/>
      <c r="N43" s="1834"/>
      <c r="O43" s="1836"/>
    </row>
    <row r="44" spans="2:15" s="1099" customFormat="1" ht="23.1" customHeight="1">
      <c r="B44" s="1700"/>
      <c r="C44" s="1884"/>
      <c r="D44" s="1831"/>
      <c r="E44" s="1832"/>
      <c r="F44" s="1831"/>
      <c r="G44" s="1831"/>
      <c r="H44" s="1831"/>
      <c r="I44" s="1833"/>
      <c r="J44" s="1831"/>
      <c r="K44" s="1833"/>
      <c r="L44" s="1883"/>
      <c r="M44" s="1835"/>
      <c r="N44" s="1834"/>
      <c r="O44" s="1836"/>
    </row>
    <row r="45" spans="2:15" s="1099" customFormat="1" ht="23.1" customHeight="1">
      <c r="B45" s="1700"/>
      <c r="C45" s="1884"/>
      <c r="D45" s="1831"/>
      <c r="E45" s="1832"/>
      <c r="F45" s="1831"/>
      <c r="G45" s="1831"/>
      <c r="H45" s="1831"/>
      <c r="I45" s="1833"/>
      <c r="J45" s="1831"/>
      <c r="K45" s="1833"/>
      <c r="L45" s="1883"/>
      <c r="M45" s="1835"/>
      <c r="N45" s="1834"/>
      <c r="O45" s="1836"/>
    </row>
    <row r="46" spans="2:15" s="1099" customFormat="1" ht="23.1" customHeight="1">
      <c r="B46" s="1700"/>
      <c r="C46" s="1884"/>
      <c r="D46" s="1831"/>
      <c r="E46" s="1832"/>
      <c r="F46" s="1831"/>
      <c r="G46" s="1831"/>
      <c r="H46" s="1831"/>
      <c r="I46" s="1833"/>
      <c r="J46" s="1831"/>
      <c r="K46" s="1833"/>
      <c r="L46" s="1883"/>
      <c r="M46" s="1835"/>
      <c r="N46" s="1834"/>
      <c r="O46" s="1836"/>
    </row>
    <row r="47" spans="2:15" s="1106" customFormat="1" ht="29.25" customHeight="1">
      <c r="B47" s="1725"/>
      <c r="C47" s="1862"/>
      <c r="D47" s="1884"/>
      <c r="E47" s="1843"/>
      <c r="F47" s="1883"/>
      <c r="G47" s="1883"/>
      <c r="H47" s="1883"/>
      <c r="I47" s="1883"/>
      <c r="J47" s="1883"/>
      <c r="K47" s="1883"/>
      <c r="L47" s="1863"/>
      <c r="M47" s="1864"/>
      <c r="N47" s="1883"/>
      <c r="O47" s="1866"/>
    </row>
    <row r="48" spans="2:15" s="1099" customFormat="1" ht="29.25" customHeight="1">
      <c r="B48" s="1700"/>
      <c r="C48" s="1884"/>
      <c r="D48" s="1891"/>
      <c r="E48" s="1884"/>
      <c r="F48" s="1831"/>
      <c r="G48" s="1831"/>
      <c r="H48" s="1831"/>
      <c r="I48" s="1833"/>
      <c r="J48" s="1831"/>
      <c r="K48" s="1833"/>
      <c r="L48" s="1869"/>
      <c r="M48" s="1864"/>
      <c r="N48" s="1834"/>
      <c r="O48" s="1836"/>
    </row>
    <row r="49" spans="2:15" s="1099" customFormat="1" ht="23.1" customHeight="1">
      <c r="B49" s="1700"/>
      <c r="C49" s="1884"/>
      <c r="D49" s="1831"/>
      <c r="E49" s="1831"/>
      <c r="F49" s="1831"/>
      <c r="G49" s="1831"/>
      <c r="H49" s="1831"/>
      <c r="I49" s="1831"/>
      <c r="J49" s="1831"/>
      <c r="K49" s="1833"/>
      <c r="L49" s="1883"/>
      <c r="M49" s="1835"/>
      <c r="N49" s="1834"/>
      <c r="O49" s="1836"/>
    </row>
    <row r="50" spans="2:15" s="1099" customFormat="1" ht="23.1" customHeight="1">
      <c r="B50" s="1700"/>
      <c r="C50" s="1884"/>
      <c r="D50" s="1831"/>
      <c r="E50" s="1831"/>
      <c r="F50" s="1831"/>
      <c r="G50" s="1831"/>
      <c r="H50" s="1831"/>
      <c r="I50" s="1831"/>
      <c r="J50" s="1831"/>
      <c r="K50" s="1831"/>
      <c r="L50" s="1883"/>
      <c r="M50" s="1835"/>
      <c r="N50" s="1834"/>
      <c r="O50" s="1836"/>
    </row>
    <row r="51" spans="2:15" s="1099" customFormat="1" ht="23.1" customHeight="1">
      <c r="B51" s="1700"/>
      <c r="C51" s="1884"/>
      <c r="D51" s="1831"/>
      <c r="E51" s="1831"/>
      <c r="F51" s="1831"/>
      <c r="G51" s="1831"/>
      <c r="H51" s="1831"/>
      <c r="I51" s="1831"/>
      <c r="J51" s="1831"/>
      <c r="K51" s="1831"/>
      <c r="L51" s="1883"/>
      <c r="M51" s="1835"/>
      <c r="N51" s="1834"/>
      <c r="O51" s="1836"/>
    </row>
    <row r="52" spans="2:15" s="1099" customFormat="1" ht="23.1" customHeight="1">
      <c r="B52" s="1700"/>
      <c r="C52" s="1884"/>
      <c r="D52" s="1831"/>
      <c r="E52" s="1831"/>
      <c r="F52" s="1831"/>
      <c r="G52" s="1831"/>
      <c r="H52" s="1831"/>
      <c r="I52" s="1831"/>
      <c r="J52" s="1831"/>
      <c r="K52" s="1831"/>
      <c r="L52" s="1883"/>
      <c r="M52" s="1835"/>
      <c r="N52" s="1834"/>
      <c r="O52" s="1836"/>
    </row>
    <row r="53" spans="2:15" s="1099" customFormat="1" ht="23.1" customHeight="1">
      <c r="B53" s="1700"/>
      <c r="C53" s="1884"/>
      <c r="D53" s="1831"/>
      <c r="E53" s="1831"/>
      <c r="F53" s="1831"/>
      <c r="G53" s="1831"/>
      <c r="H53" s="1831"/>
      <c r="I53" s="1831"/>
      <c r="J53" s="1831"/>
      <c r="K53" s="1833"/>
      <c r="L53" s="1883"/>
      <c r="M53" s="1835"/>
      <c r="N53" s="1834"/>
      <c r="O53" s="1836"/>
    </row>
    <row r="54" spans="2:15" s="1106" customFormat="1" ht="29.25" customHeight="1">
      <c r="B54" s="1725"/>
      <c r="C54" s="1734"/>
      <c r="D54" s="1709"/>
      <c r="E54" s="1710"/>
      <c r="F54" s="1804"/>
      <c r="G54" s="1804"/>
      <c r="H54" s="1804"/>
      <c r="I54" s="1804"/>
      <c r="J54" s="1804"/>
      <c r="K54" s="1804"/>
      <c r="L54" s="1747"/>
      <c r="M54" s="1736"/>
      <c r="N54" s="1804"/>
      <c r="O54" s="1810"/>
    </row>
    <row r="55" spans="2:15" s="1106" customFormat="1" ht="23.1" customHeight="1">
      <c r="B55" s="1700"/>
      <c r="C55" s="1709"/>
      <c r="D55" s="1709"/>
      <c r="E55" s="1710"/>
      <c r="F55" s="1709"/>
      <c r="G55" s="1710"/>
      <c r="H55" s="1804"/>
      <c r="I55" s="1804"/>
      <c r="J55" s="1804"/>
      <c r="K55" s="1804"/>
      <c r="L55" s="1728"/>
      <c r="M55" s="1726"/>
      <c r="N55" s="1804"/>
      <c r="O55" s="1810"/>
    </row>
    <row r="56" spans="2:15" s="1106" customFormat="1" ht="23.1" customHeight="1">
      <c r="B56" s="1700"/>
      <c r="C56" s="1709"/>
      <c r="D56" s="1709"/>
      <c r="E56" s="1710"/>
      <c r="F56" s="1709"/>
      <c r="G56" s="1710"/>
      <c r="H56" s="1804"/>
      <c r="I56" s="1804"/>
      <c r="J56" s="1804"/>
      <c r="K56" s="1804"/>
      <c r="L56" s="1728"/>
      <c r="M56" s="1726"/>
      <c r="N56" s="1804"/>
      <c r="O56" s="1810"/>
    </row>
    <row r="57" spans="2:15" s="1106" customFormat="1" ht="23.1" customHeight="1">
      <c r="B57" s="1700"/>
      <c r="C57" s="1709"/>
      <c r="D57" s="1709"/>
      <c r="E57" s="1710"/>
      <c r="F57" s="1804"/>
      <c r="G57" s="1710"/>
      <c r="H57" s="1804"/>
      <c r="I57" s="1804"/>
      <c r="J57" s="1804"/>
      <c r="K57" s="1804"/>
      <c r="L57" s="1728"/>
      <c r="M57" s="1726"/>
      <c r="N57" s="1804"/>
      <c r="O57" s="1810"/>
    </row>
    <row r="58" spans="2:15" s="1106" customFormat="1" ht="23.1" customHeight="1">
      <c r="B58" s="1700"/>
      <c r="C58" s="1709"/>
      <c r="D58" s="1709"/>
      <c r="E58" s="1710"/>
      <c r="F58" s="1804"/>
      <c r="G58" s="1804"/>
      <c r="H58" s="1804"/>
      <c r="I58" s="1804"/>
      <c r="J58" s="1804"/>
      <c r="K58" s="1804"/>
      <c r="L58" s="1804"/>
      <c r="M58" s="1726"/>
      <c r="N58" s="1804"/>
      <c r="O58" s="1810"/>
    </row>
    <row r="59" spans="2:15" s="1106" customFormat="1" ht="23.1" customHeight="1">
      <c r="B59" s="1700"/>
      <c r="C59" s="1709"/>
      <c r="D59" s="1709"/>
      <c r="E59" s="1710"/>
      <c r="F59" s="1804"/>
      <c r="G59" s="1804"/>
      <c r="H59" s="1804"/>
      <c r="I59" s="1804"/>
      <c r="J59" s="1804"/>
      <c r="K59" s="1804"/>
      <c r="L59" s="1804"/>
      <c r="M59" s="1726"/>
      <c r="N59" s="1804"/>
      <c r="O59" s="1810"/>
    </row>
    <row r="60" spans="2:15" s="1106" customFormat="1" ht="23.1" customHeight="1">
      <c r="B60" s="1700"/>
      <c r="C60" s="1709"/>
      <c r="D60" s="1709"/>
      <c r="E60" s="1710"/>
      <c r="F60" s="1804"/>
      <c r="G60" s="1804"/>
      <c r="H60" s="1804"/>
      <c r="I60" s="1804"/>
      <c r="J60" s="1804"/>
      <c r="K60" s="1804"/>
      <c r="L60" s="1804"/>
      <c r="M60" s="1726"/>
      <c r="N60" s="1804"/>
      <c r="O60" s="1810"/>
    </row>
    <row r="61" spans="2:15" s="1106" customFormat="1" ht="29.25" customHeight="1">
      <c r="B61" s="1725"/>
      <c r="C61" s="1734"/>
      <c r="D61" s="1709"/>
      <c r="E61" s="1710"/>
      <c r="F61" s="1804"/>
      <c r="G61" s="1804"/>
      <c r="H61" s="1804"/>
      <c r="I61" s="1804"/>
      <c r="J61" s="1804"/>
      <c r="K61" s="1804"/>
      <c r="L61" s="1747"/>
      <c r="M61" s="1736"/>
      <c r="N61" s="1804"/>
      <c r="O61" s="1810"/>
    </row>
    <row r="62" spans="2:15" s="1105" customFormat="1" ht="23.1" customHeight="1">
      <c r="B62" s="1711"/>
      <c r="C62" s="1709"/>
      <c r="D62" s="1709"/>
      <c r="E62" s="1710"/>
      <c r="F62" s="1710"/>
      <c r="G62" s="1710"/>
      <c r="H62" s="1804"/>
      <c r="I62" s="1804"/>
      <c r="J62" s="1804"/>
      <c r="K62" s="1804"/>
      <c r="L62" s="1804"/>
      <c r="M62" s="1710"/>
      <c r="N62" s="1710"/>
      <c r="O62" s="1720"/>
    </row>
    <row r="63" spans="2:15" s="1099" customFormat="1" ht="23.1" customHeight="1">
      <c r="B63" s="1700"/>
      <c r="C63" s="1709"/>
      <c r="D63" s="1701"/>
      <c r="E63" s="1702"/>
      <c r="F63" s="1701"/>
      <c r="G63" s="1701"/>
      <c r="H63" s="1701"/>
      <c r="I63" s="1703"/>
      <c r="J63" s="1701"/>
      <c r="K63" s="1804"/>
      <c r="L63" s="1804"/>
      <c r="M63" s="1705"/>
      <c r="N63" s="1704"/>
      <c r="O63" s="1706"/>
    </row>
    <row r="64" spans="2:15" s="1099" customFormat="1" ht="23.1" customHeight="1">
      <c r="B64" s="1700"/>
      <c r="C64" s="1709"/>
      <c r="D64" s="1701"/>
      <c r="E64" s="1702"/>
      <c r="F64" s="1701"/>
      <c r="G64" s="1701"/>
      <c r="H64" s="1701"/>
      <c r="I64" s="1703"/>
      <c r="J64" s="1701"/>
      <c r="K64" s="1804"/>
      <c r="L64" s="1704"/>
      <c r="M64" s="1705"/>
      <c r="N64" s="1704"/>
      <c r="O64" s="1706"/>
    </row>
    <row r="65" spans="2:15" s="1099" customFormat="1" ht="23.1" customHeight="1">
      <c r="B65" s="1700"/>
      <c r="C65" s="1733"/>
      <c r="D65" s="1701"/>
      <c r="E65" s="1702"/>
      <c r="F65" s="1701"/>
      <c r="G65" s="1701"/>
      <c r="H65" s="1701"/>
      <c r="I65" s="1703"/>
      <c r="J65" s="1701"/>
      <c r="K65" s="1703"/>
      <c r="L65" s="1704"/>
      <c r="M65" s="1705"/>
      <c r="N65" s="1704"/>
      <c r="O65" s="1706"/>
    </row>
    <row r="66" spans="2:15" s="1106" customFormat="1" ht="29.25" customHeight="1">
      <c r="B66" s="1725"/>
      <c r="C66" s="1734"/>
      <c r="D66" s="1709"/>
      <c r="E66" s="1710"/>
      <c r="F66" s="1804"/>
      <c r="G66" s="1804"/>
      <c r="H66" s="1804"/>
      <c r="I66" s="1804"/>
      <c r="J66" s="1804"/>
      <c r="K66" s="1804"/>
      <c r="L66" s="1747"/>
      <c r="M66" s="1736"/>
      <c r="N66" s="1804"/>
      <c r="O66" s="1810"/>
    </row>
    <row r="67" spans="2:15" s="1106" customFormat="1" ht="29.25" customHeight="1">
      <c r="B67" s="1725"/>
      <c r="C67" s="1734"/>
      <c r="D67" s="1709"/>
      <c r="E67" s="1710"/>
      <c r="F67" s="1804"/>
      <c r="G67" s="1804"/>
      <c r="H67" s="1804"/>
      <c r="I67" s="1804"/>
      <c r="J67" s="1804"/>
      <c r="K67" s="1804"/>
      <c r="L67" s="1735"/>
      <c r="M67" s="1736"/>
      <c r="N67" s="1804"/>
      <c r="O67" s="1810"/>
    </row>
    <row r="68" spans="2:15" s="1106" customFormat="1" ht="22.5" customHeight="1">
      <c r="B68" s="1725"/>
      <c r="C68" s="1737"/>
      <c r="D68" s="2217"/>
      <c r="E68" s="2217"/>
      <c r="F68" s="2217"/>
      <c r="G68" s="2217"/>
      <c r="H68" s="2217"/>
      <c r="I68" s="2217"/>
      <c r="J68" s="1804"/>
      <c r="K68" s="1804"/>
      <c r="L68" s="1728"/>
      <c r="M68" s="1736"/>
      <c r="N68" s="1804"/>
      <c r="O68" s="1810"/>
    </row>
    <row r="69" spans="2:15" s="1106" customFormat="1" ht="22.5" customHeight="1">
      <c r="B69" s="1725"/>
      <c r="C69" s="1737"/>
      <c r="D69" s="1709"/>
      <c r="E69" s="1718"/>
      <c r="F69" s="1738"/>
      <c r="G69" s="1804"/>
      <c r="H69" s="1804"/>
      <c r="I69" s="1804"/>
      <c r="J69" s="1804"/>
      <c r="K69" s="1804"/>
      <c r="L69" s="1728"/>
      <c r="M69" s="1736"/>
      <c r="N69" s="1804"/>
      <c r="O69" s="1810"/>
    </row>
    <row r="70" spans="2:15" s="1106" customFormat="1" ht="22.5" customHeight="1">
      <c r="B70" s="1725"/>
      <c r="C70" s="1737"/>
      <c r="D70" s="1709"/>
      <c r="E70" s="1718"/>
      <c r="F70" s="1738"/>
      <c r="G70" s="1804"/>
      <c r="H70" s="1804"/>
      <c r="I70" s="1804"/>
      <c r="J70" s="1804"/>
      <c r="K70" s="1804"/>
      <c r="L70" s="1728"/>
      <c r="M70" s="1736"/>
      <c r="N70" s="1804"/>
      <c r="O70" s="1810"/>
    </row>
    <row r="71" spans="2:15" s="1106" customFormat="1" ht="22.5" customHeight="1">
      <c r="B71" s="1725"/>
      <c r="C71" s="1737"/>
      <c r="D71" s="1709"/>
      <c r="E71" s="1710"/>
      <c r="F71" s="1804"/>
      <c r="G71" s="1804"/>
      <c r="H71" s="1804"/>
      <c r="I71" s="1804"/>
      <c r="J71" s="1804"/>
      <c r="K71" s="1804"/>
      <c r="L71" s="1728"/>
      <c r="M71" s="1736"/>
      <c r="N71" s="1804"/>
      <c r="O71" s="1810"/>
    </row>
    <row r="72" spans="2:15" s="1106" customFormat="1" ht="22.5" customHeight="1">
      <c r="B72" s="1725"/>
      <c r="C72" s="1737"/>
      <c r="D72" s="1709"/>
      <c r="E72" s="1710"/>
      <c r="F72" s="1804"/>
      <c r="G72" s="1804"/>
      <c r="H72" s="1804"/>
      <c r="I72" s="1804"/>
      <c r="J72" s="1804"/>
      <c r="K72" s="1804"/>
      <c r="L72" s="1728"/>
      <c r="M72" s="1736"/>
      <c r="N72" s="1804"/>
      <c r="O72" s="1810"/>
    </row>
    <row r="73" spans="2:15" s="1106" customFormat="1" ht="22.5" customHeight="1">
      <c r="B73" s="1725"/>
      <c r="C73" s="1737"/>
      <c r="D73" s="1709"/>
      <c r="E73" s="1710"/>
      <c r="F73" s="1804"/>
      <c r="G73" s="1804"/>
      <c r="H73" s="1804"/>
      <c r="I73" s="1804"/>
      <c r="J73" s="1804"/>
      <c r="K73" s="1804"/>
      <c r="L73" s="1728"/>
      <c r="M73" s="1736"/>
      <c r="N73" s="1804"/>
      <c r="O73" s="1810"/>
    </row>
    <row r="74" spans="2:15" s="1106" customFormat="1" ht="22.5" customHeight="1">
      <c r="B74" s="1725"/>
      <c r="C74" s="1737"/>
      <c r="D74" s="1709"/>
      <c r="E74" s="1718"/>
      <c r="F74" s="1804"/>
      <c r="G74" s="1804"/>
      <c r="H74" s="1804"/>
      <c r="I74" s="1804"/>
      <c r="J74" s="1804"/>
      <c r="K74" s="1804"/>
      <c r="L74" s="1728"/>
      <c r="M74" s="1736"/>
      <c r="N74" s="1804"/>
      <c r="O74" s="1810"/>
    </row>
    <row r="75" spans="2:15" s="1106" customFormat="1" ht="22.5" customHeight="1">
      <c r="B75" s="1725"/>
      <c r="C75" s="1737"/>
      <c r="D75" s="1709"/>
      <c r="E75" s="1718"/>
      <c r="F75" s="1804"/>
      <c r="G75" s="1804"/>
      <c r="H75" s="1804"/>
      <c r="I75" s="1804"/>
      <c r="J75" s="1804"/>
      <c r="K75" s="1804"/>
      <c r="L75" s="1728"/>
      <c r="M75" s="1736"/>
      <c r="N75" s="1804"/>
      <c r="O75" s="1810"/>
    </row>
    <row r="76" spans="2:15" s="1106" customFormat="1" ht="22.5" customHeight="1">
      <c r="B76" s="1725"/>
      <c r="C76" s="1737"/>
      <c r="D76" s="1737"/>
      <c r="E76" s="1710"/>
      <c r="F76" s="1804"/>
      <c r="G76" s="1804"/>
      <c r="H76" s="1804"/>
      <c r="I76" s="1804"/>
      <c r="J76" s="1804"/>
      <c r="K76" s="1804"/>
      <c r="L76" s="1728"/>
      <c r="M76" s="1736"/>
      <c r="N76" s="1804"/>
      <c r="O76" s="1810"/>
    </row>
    <row r="77" spans="2:15" s="1106" customFormat="1" ht="22.5" customHeight="1">
      <c r="B77" s="1725"/>
      <c r="C77" s="1737"/>
      <c r="D77" s="1737"/>
      <c r="E77" s="1710"/>
      <c r="F77" s="1804"/>
      <c r="G77" s="1804"/>
      <c r="H77" s="1804"/>
      <c r="I77" s="1804"/>
      <c r="J77" s="1804"/>
      <c r="K77" s="1804"/>
      <c r="L77" s="1728"/>
      <c r="M77" s="1736"/>
      <c r="N77" s="1804"/>
      <c r="O77" s="1810"/>
    </row>
    <row r="78" spans="2:15" s="1105" customFormat="1" ht="22.5" customHeight="1">
      <c r="B78" s="1711"/>
      <c r="C78" s="1712"/>
      <c r="D78" s="1709"/>
      <c r="E78" s="1710"/>
      <c r="F78" s="1804"/>
      <c r="G78" s="1804"/>
      <c r="H78" s="1804"/>
      <c r="I78" s="1804"/>
      <c r="J78" s="1804"/>
      <c r="K78" s="1804"/>
      <c r="L78" s="1804"/>
      <c r="M78" s="1804"/>
      <c r="N78" s="1804"/>
      <c r="O78" s="1810"/>
    </row>
    <row r="79" spans="2:15" s="1106" customFormat="1" ht="28.5" customHeight="1">
      <c r="B79" s="1725"/>
      <c r="C79" s="1734"/>
      <c r="D79" s="1709"/>
      <c r="E79" s="1710"/>
      <c r="F79" s="1804"/>
      <c r="G79" s="1804"/>
      <c r="H79" s="1804"/>
      <c r="I79" s="1804"/>
      <c r="J79" s="1804"/>
      <c r="K79" s="1804"/>
      <c r="L79" s="1747"/>
      <c r="M79" s="1736"/>
      <c r="N79" s="1804"/>
      <c r="O79" s="1810"/>
    </row>
    <row r="80" spans="2:15" s="1106" customFormat="1" ht="23.25" customHeight="1">
      <c r="B80" s="1727"/>
      <c r="C80" s="1732"/>
      <c r="D80" s="1709"/>
      <c r="E80" s="1710"/>
      <c r="F80" s="1709"/>
      <c r="G80" s="1710"/>
      <c r="H80" s="1804"/>
      <c r="I80" s="1804"/>
      <c r="J80" s="1804"/>
      <c r="K80" s="1804"/>
      <c r="L80" s="1728"/>
      <c r="M80" s="1729"/>
      <c r="N80" s="1730"/>
      <c r="O80" s="1731"/>
    </row>
    <row r="81" spans="2:15" s="1106" customFormat="1" ht="23.25" customHeight="1">
      <c r="B81" s="1727"/>
      <c r="C81" s="1732"/>
      <c r="D81" s="1709"/>
      <c r="E81" s="1710"/>
      <c r="F81" s="1709"/>
      <c r="G81" s="1710"/>
      <c r="H81" s="1804"/>
      <c r="I81" s="1804"/>
      <c r="J81" s="1804"/>
      <c r="K81" s="1804"/>
      <c r="L81" s="1728"/>
      <c r="M81" s="1729"/>
      <c r="N81" s="1730"/>
      <c r="O81" s="1731"/>
    </row>
    <row r="82" spans="2:15" s="1099" customFormat="1" ht="23.25" customHeight="1">
      <c r="B82" s="1700"/>
      <c r="C82" s="1732"/>
      <c r="D82" s="1709"/>
      <c r="E82" s="1710"/>
      <c r="F82" s="1709"/>
      <c r="G82" s="1710"/>
      <c r="H82" s="1804"/>
      <c r="I82" s="1804"/>
      <c r="J82" s="1804"/>
      <c r="K82" s="1804"/>
      <c r="L82" s="1728"/>
      <c r="M82" s="1705"/>
      <c r="N82" s="1704"/>
      <c r="O82" s="1706"/>
    </row>
    <row r="83" spans="2:15" s="1099" customFormat="1" ht="23.25" customHeight="1">
      <c r="B83" s="1700"/>
      <c r="C83" s="1701"/>
      <c r="D83" s="1701"/>
      <c r="E83" s="1702"/>
      <c r="F83" s="1701"/>
      <c r="G83" s="1701"/>
      <c r="H83" s="1701"/>
      <c r="I83" s="1703"/>
      <c r="J83" s="1701"/>
      <c r="K83" s="1703"/>
      <c r="L83" s="1704"/>
      <c r="M83" s="1705"/>
      <c r="N83" s="1704"/>
      <c r="O83" s="1706"/>
    </row>
    <row r="84" spans="2:15" s="1099" customFormat="1" ht="23.25" customHeight="1">
      <c r="B84" s="1700"/>
      <c r="C84" s="1701"/>
      <c r="D84" s="1701"/>
      <c r="E84" s="1702"/>
      <c r="F84" s="1701"/>
      <c r="G84" s="1710"/>
      <c r="H84" s="1804"/>
      <c r="I84" s="1804"/>
      <c r="J84" s="1804"/>
      <c r="K84" s="1804"/>
      <c r="L84" s="1748"/>
      <c r="M84" s="1705"/>
      <c r="N84" s="1704"/>
      <c r="O84" s="1706"/>
    </row>
    <row r="85" spans="2:15" s="1099" customFormat="1" ht="23.25" customHeight="1">
      <c r="B85" s="1700"/>
      <c r="C85" s="1701"/>
      <c r="D85" s="1701"/>
      <c r="E85" s="1702"/>
      <c r="F85" s="1701"/>
      <c r="G85" s="1710"/>
      <c r="H85" s="1804"/>
      <c r="I85" s="1804"/>
      <c r="J85" s="1804"/>
      <c r="K85" s="1804"/>
      <c r="L85" s="1804"/>
      <c r="M85" s="1705"/>
      <c r="N85" s="1704"/>
      <c r="O85" s="1706"/>
    </row>
    <row r="86" spans="2:15" s="1099" customFormat="1" ht="23.25" customHeight="1">
      <c r="B86" s="1700"/>
      <c r="C86" s="1701"/>
      <c r="D86" s="1701"/>
      <c r="E86" s="1702"/>
      <c r="F86" s="1701"/>
      <c r="G86" s="1701"/>
      <c r="H86" s="1701"/>
      <c r="I86" s="1703"/>
      <c r="J86" s="1701"/>
      <c r="K86" s="1703"/>
      <c r="L86" s="1704"/>
      <c r="M86" s="1705"/>
      <c r="N86" s="1704"/>
      <c r="O86" s="1706"/>
    </row>
    <row r="87" spans="2:15" s="1099" customFormat="1" ht="23.25" customHeight="1">
      <c r="B87" s="1700"/>
      <c r="C87" s="1734"/>
      <c r="D87" s="1709"/>
      <c r="E87" s="1710"/>
      <c r="F87" s="1804"/>
      <c r="G87" s="1804"/>
      <c r="H87" s="1804"/>
      <c r="I87" s="1804"/>
      <c r="J87" s="1804"/>
      <c r="K87" s="1804"/>
      <c r="L87" s="1747"/>
      <c r="M87" s="1736"/>
      <c r="N87" s="1704"/>
      <c r="O87" s="1706"/>
    </row>
    <row r="88" spans="2:15" s="1099" customFormat="1" ht="23.25" customHeight="1">
      <c r="B88" s="1700"/>
      <c r="C88" s="1732"/>
      <c r="D88" s="1709"/>
      <c r="E88" s="1710"/>
      <c r="F88" s="1709"/>
      <c r="G88" s="1710"/>
      <c r="H88" s="1804"/>
      <c r="I88" s="1804"/>
      <c r="J88" s="1804"/>
      <c r="K88" s="1804"/>
      <c r="L88" s="1728"/>
      <c r="M88" s="1729"/>
      <c r="N88" s="1704"/>
      <c r="O88" s="1706"/>
    </row>
    <row r="89" spans="2:15" s="1099" customFormat="1" ht="23.25" customHeight="1">
      <c r="B89" s="1700"/>
      <c r="C89" s="1732"/>
      <c r="D89" s="1709"/>
      <c r="E89" s="1710"/>
      <c r="F89" s="1709"/>
      <c r="G89" s="1710"/>
      <c r="H89" s="1804"/>
      <c r="I89" s="1804"/>
      <c r="J89" s="1804"/>
      <c r="K89" s="1804"/>
      <c r="L89" s="1728"/>
      <c r="M89" s="1729"/>
      <c r="N89" s="1704"/>
      <c r="O89" s="1706"/>
    </row>
    <row r="90" spans="2:15" s="1099" customFormat="1" ht="23.25" customHeight="1">
      <c r="B90" s="1700"/>
      <c r="C90" s="1732"/>
      <c r="D90" s="1709"/>
      <c r="E90" s="1710"/>
      <c r="F90" s="1709"/>
      <c r="G90" s="1710"/>
      <c r="H90" s="1804"/>
      <c r="I90" s="1804"/>
      <c r="J90" s="1804"/>
      <c r="K90" s="1804"/>
      <c r="L90" s="1728"/>
      <c r="M90" s="1705"/>
      <c r="N90" s="1704"/>
      <c r="O90" s="1706"/>
    </row>
    <row r="91" spans="2:15" s="1099" customFormat="1" ht="23.25" customHeight="1">
      <c r="B91" s="1700"/>
      <c r="C91" s="1701"/>
      <c r="D91" s="1701"/>
      <c r="E91" s="1702"/>
      <c r="F91" s="1701"/>
      <c r="G91" s="1701"/>
      <c r="H91" s="1701"/>
      <c r="I91" s="1703"/>
      <c r="J91" s="1701"/>
      <c r="K91" s="1703"/>
      <c r="L91" s="1704"/>
      <c r="M91" s="1705"/>
      <c r="N91" s="1704"/>
      <c r="O91" s="1706"/>
    </row>
    <row r="92" spans="2:15" s="1099" customFormat="1" ht="23.25" customHeight="1">
      <c r="B92" s="1700"/>
      <c r="C92" s="1701"/>
      <c r="D92" s="1701"/>
      <c r="E92" s="1702"/>
      <c r="F92" s="1701"/>
      <c r="G92" s="1701"/>
      <c r="H92" s="1701"/>
      <c r="I92" s="1703"/>
      <c r="J92" s="1701"/>
      <c r="K92" s="1703"/>
      <c r="L92" s="1704"/>
      <c r="M92" s="1705"/>
      <c r="N92" s="1704"/>
      <c r="O92" s="1706"/>
    </row>
    <row r="93" spans="2:15" s="1099" customFormat="1" ht="23.25" customHeight="1">
      <c r="B93" s="1700"/>
      <c r="C93" s="1701"/>
      <c r="D93" s="1701"/>
      <c r="E93" s="1702"/>
      <c r="F93" s="1701"/>
      <c r="G93" s="1701"/>
      <c r="H93" s="1701"/>
      <c r="I93" s="1703"/>
      <c r="J93" s="1701"/>
      <c r="K93" s="1703"/>
      <c r="L93" s="1704"/>
      <c r="M93" s="1705"/>
      <c r="N93" s="1704"/>
      <c r="O93" s="1706"/>
    </row>
    <row r="94" spans="2:15" s="1099" customFormat="1" ht="23.25" customHeight="1">
      <c r="B94" s="1700"/>
      <c r="C94" s="1701"/>
      <c r="D94" s="1701"/>
      <c r="E94" s="1702"/>
      <c r="F94" s="1701"/>
      <c r="G94" s="1701"/>
      <c r="H94" s="1701"/>
      <c r="I94" s="1703"/>
      <c r="J94" s="1701"/>
      <c r="K94" s="1703"/>
      <c r="L94" s="1704"/>
      <c r="M94" s="1705"/>
      <c r="N94" s="1704"/>
      <c r="O94" s="1706"/>
    </row>
    <row r="95" spans="2:15" s="1099" customFormat="1" ht="23.25" customHeight="1">
      <c r="B95" s="1700"/>
      <c r="C95" s="1701"/>
      <c r="D95" s="1701"/>
      <c r="E95" s="1702"/>
      <c r="F95" s="1701"/>
      <c r="G95" s="1701"/>
      <c r="H95" s="1701"/>
      <c r="I95" s="1703"/>
      <c r="J95" s="1701"/>
      <c r="K95" s="1703"/>
      <c r="L95" s="1704"/>
      <c r="M95" s="1705"/>
      <c r="N95" s="1704"/>
      <c r="O95" s="1706"/>
    </row>
    <row r="96" spans="2:15" s="1106" customFormat="1" ht="23.25" customHeight="1">
      <c r="B96" s="1725"/>
      <c r="C96" s="1734"/>
      <c r="D96" s="1709"/>
      <c r="E96" s="1710"/>
      <c r="F96" s="1804"/>
      <c r="G96" s="1804"/>
      <c r="H96" s="1804"/>
      <c r="I96" s="1804"/>
      <c r="J96" s="1804"/>
      <c r="K96" s="1804"/>
      <c r="L96" s="1735"/>
      <c r="M96" s="1736"/>
      <c r="N96" s="1804"/>
      <c r="O96" s="1810"/>
    </row>
    <row r="97" spans="2:15" s="1099" customFormat="1" ht="23.25" customHeight="1">
      <c r="B97" s="1700"/>
      <c r="C97" s="1701"/>
      <c r="D97" s="1701"/>
      <c r="E97" s="1702"/>
      <c r="F97" s="1701"/>
      <c r="G97" s="1701"/>
      <c r="H97" s="1701"/>
      <c r="I97" s="1703"/>
      <c r="J97" s="1701"/>
      <c r="K97" s="1703"/>
      <c r="L97" s="1704"/>
      <c r="M97" s="1705"/>
      <c r="N97" s="1704"/>
      <c r="O97" s="1706"/>
    </row>
    <row r="98" spans="2:15" s="1099" customFormat="1" ht="23.25" customHeight="1">
      <c r="B98" s="1700"/>
      <c r="C98" s="1701"/>
      <c r="D98" s="1701"/>
      <c r="E98" s="1702"/>
      <c r="F98" s="1701"/>
      <c r="G98" s="1701"/>
      <c r="H98" s="1701"/>
      <c r="I98" s="1703"/>
      <c r="J98" s="1701"/>
      <c r="K98" s="1703"/>
      <c r="L98" s="1704"/>
      <c r="M98" s="1705"/>
      <c r="N98" s="1704"/>
      <c r="O98" s="1706"/>
    </row>
    <row r="99" spans="2:15" s="1099" customFormat="1" ht="23.25" customHeight="1">
      <c r="B99" s="1700"/>
      <c r="C99" s="1701"/>
      <c r="D99" s="1701"/>
      <c r="E99" s="1702"/>
      <c r="F99" s="1701"/>
      <c r="G99" s="1701"/>
      <c r="H99" s="1701"/>
      <c r="I99" s="1703"/>
      <c r="J99" s="1701"/>
      <c r="K99" s="1703"/>
      <c r="L99" s="1704"/>
      <c r="M99" s="1705"/>
      <c r="N99" s="1704"/>
      <c r="O99" s="1706"/>
    </row>
    <row r="100" spans="2:15" s="1099" customFormat="1" ht="23.25" customHeight="1">
      <c r="B100" s="1700"/>
      <c r="C100" s="1701"/>
      <c r="D100" s="1701"/>
      <c r="E100" s="1702"/>
      <c r="F100" s="1701"/>
      <c r="G100" s="1701"/>
      <c r="H100" s="1701"/>
      <c r="I100" s="1703"/>
      <c r="J100" s="1701"/>
      <c r="K100" s="1703"/>
      <c r="L100" s="1704"/>
      <c r="M100" s="1705"/>
      <c r="N100" s="1704"/>
      <c r="O100" s="1706"/>
    </row>
    <row r="101" spans="2:15" s="1099" customFormat="1" ht="23.25" customHeight="1">
      <c r="B101" s="1700"/>
      <c r="C101" s="1701"/>
      <c r="D101" s="1701"/>
      <c r="E101" s="1702"/>
      <c r="F101" s="1701"/>
      <c r="G101" s="1701"/>
      <c r="H101" s="1701"/>
      <c r="I101" s="1703"/>
      <c r="J101" s="1701"/>
      <c r="K101" s="1703"/>
      <c r="L101" s="1704"/>
      <c r="M101" s="1705"/>
      <c r="N101" s="1704"/>
      <c r="O101" s="1706"/>
    </row>
    <row r="102" spans="2:15" s="1099" customFormat="1" ht="23.25" customHeight="1">
      <c r="B102" s="1700"/>
      <c r="C102" s="1701"/>
      <c r="D102" s="1701"/>
      <c r="E102" s="1702"/>
      <c r="F102" s="1701"/>
      <c r="G102" s="1701"/>
      <c r="H102" s="1701"/>
      <c r="I102" s="1703"/>
      <c r="J102" s="1701"/>
      <c r="K102" s="1703"/>
      <c r="L102" s="1704"/>
      <c r="M102" s="1705"/>
      <c r="N102" s="1704"/>
      <c r="O102" s="1706"/>
    </row>
    <row r="103" spans="2:15" s="1099" customFormat="1" ht="23.25" customHeight="1">
      <c r="B103" s="1700"/>
      <c r="C103" s="1701"/>
      <c r="D103" s="1701"/>
      <c r="E103" s="1702"/>
      <c r="F103" s="1701"/>
      <c r="G103" s="1710"/>
      <c r="H103" s="1804"/>
      <c r="I103" s="1804"/>
      <c r="J103" s="1804"/>
      <c r="K103" s="1804"/>
      <c r="L103" s="1804"/>
      <c r="M103" s="1705"/>
      <c r="N103" s="1704"/>
      <c r="O103" s="1706"/>
    </row>
    <row r="104" spans="2:15" s="1099" customFormat="1" ht="23.25" customHeight="1">
      <c r="B104" s="1700"/>
      <c r="C104" s="1701"/>
      <c r="D104" s="1701"/>
      <c r="E104" s="1702"/>
      <c r="F104" s="1701"/>
      <c r="G104" s="1701"/>
      <c r="H104" s="1701"/>
      <c r="I104" s="1703"/>
      <c r="J104" s="1701"/>
      <c r="K104" s="1703"/>
      <c r="L104" s="1704"/>
      <c r="M104" s="1705"/>
      <c r="N104" s="1704"/>
      <c r="O104" s="1706"/>
    </row>
    <row r="105" spans="2:15" s="1099" customFormat="1" ht="23.25" customHeight="1">
      <c r="B105" s="1700"/>
      <c r="C105" s="1701"/>
      <c r="D105" s="1701"/>
      <c r="E105" s="1702"/>
      <c r="F105" s="1701"/>
      <c r="G105" s="1701"/>
      <c r="H105" s="1701"/>
      <c r="I105" s="1703"/>
      <c r="J105" s="1701"/>
      <c r="K105" s="1703"/>
      <c r="L105" s="1704"/>
      <c r="M105" s="1705"/>
      <c r="N105" s="1704"/>
      <c r="O105" s="1706"/>
    </row>
    <row r="106" spans="2:15" s="1099" customFormat="1" ht="23.25" customHeight="1" thickBot="1">
      <c r="B106" s="1739"/>
      <c r="C106" s="1740"/>
      <c r="D106" s="1740"/>
      <c r="E106" s="1741"/>
      <c r="F106" s="1740"/>
      <c r="G106" s="1740"/>
      <c r="H106" s="1740"/>
      <c r="I106" s="1742"/>
      <c r="J106" s="1740"/>
      <c r="K106" s="1742"/>
      <c r="L106" s="1743"/>
      <c r="M106" s="1744"/>
      <c r="N106" s="1743"/>
      <c r="O106" s="1745"/>
    </row>
    <row r="107" spans="2:15" s="1099" customFormat="1" ht="18" thickTop="1">
      <c r="B107" s="1669"/>
      <c r="C107" s="1669"/>
      <c r="D107" s="1669"/>
      <c r="E107" s="1670"/>
      <c r="F107" s="1669"/>
      <c r="G107" s="1669"/>
      <c r="H107" s="1669"/>
      <c r="I107" s="1671"/>
      <c r="J107" s="1669"/>
      <c r="K107" s="1671"/>
      <c r="L107" s="1672"/>
      <c r="M107" s="1673"/>
      <c r="N107" s="1672"/>
      <c r="O107" s="1669"/>
    </row>
  </sheetData>
  <sheetProtection sheet="1" objects="1" scenarios="1"/>
  <mergeCells count="18">
    <mergeCell ref="D68:I68"/>
    <mergeCell ref="B7:D7"/>
    <mergeCell ref="E7:K7"/>
    <mergeCell ref="E8:K8"/>
    <mergeCell ref="B10:O10"/>
    <mergeCell ref="B11:O11"/>
    <mergeCell ref="F14:O14"/>
    <mergeCell ref="H15:I15"/>
    <mergeCell ref="L15:M15"/>
    <mergeCell ref="H16:I16"/>
    <mergeCell ref="F19:O19"/>
    <mergeCell ref="F20:O20"/>
    <mergeCell ref="E2:K2"/>
    <mergeCell ref="B3:D5"/>
    <mergeCell ref="E3:K3"/>
    <mergeCell ref="E5:K5"/>
    <mergeCell ref="B6:D6"/>
    <mergeCell ref="E6:K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 enableFormatConditionsCalculation="0"/>
  <dimension ref="A1:W20"/>
  <sheetViews>
    <sheetView showGridLines="0" workbookViewId="0">
      <pane xSplit="2" ySplit="4" topLeftCell="C12" activePane="bottomRight" state="frozen"/>
      <selection pane="topRight" activeCell="C1" sqref="C1"/>
      <selection pane="bottomLeft" activeCell="A5" sqref="A5"/>
      <selection pane="bottomRight" activeCell="P15" sqref="P15"/>
    </sheetView>
  </sheetViews>
  <sheetFormatPr baseColWidth="10" defaultRowHeight="15"/>
  <cols>
    <col min="1" max="1" width="5.42578125" customWidth="1"/>
    <col min="2" max="2" width="51.42578125" customWidth="1"/>
    <col min="3" max="3" width="1.7109375" customWidth="1"/>
    <col min="4" max="8" width="4.7109375" customWidth="1"/>
    <col min="9" max="9" width="1.7109375" customWidth="1"/>
    <col min="10" max="12" width="4.7109375" customWidth="1"/>
    <col min="13" max="13" width="1.7109375" customWidth="1"/>
    <col min="14" max="14" width="9.7109375" customWidth="1"/>
    <col min="15" max="15" width="6.7109375" customWidth="1"/>
    <col min="16" max="16" width="9.7109375" customWidth="1"/>
    <col min="17" max="17" width="1.7109375" customWidth="1"/>
    <col min="18" max="19" width="4.7109375" customWidth="1"/>
    <col min="20" max="20" width="1.7109375" customWidth="1"/>
    <col min="21" max="21" width="10.7109375" customWidth="1"/>
    <col min="22" max="22" width="1.7109375" customWidth="1"/>
    <col min="23" max="23" width="59.7109375" customWidth="1"/>
  </cols>
  <sheetData>
    <row r="1" spans="1:23" s="110" customFormat="1" ht="24.75" customHeight="1">
      <c r="A1" s="2225" t="s">
        <v>437</v>
      </c>
      <c r="B1" s="2225"/>
      <c r="C1" s="2225"/>
      <c r="D1" s="2225"/>
      <c r="E1" s="2225"/>
      <c r="F1" s="2225"/>
      <c r="G1" s="2225"/>
      <c r="H1" s="2225"/>
      <c r="I1" s="2225"/>
      <c r="J1" s="2225"/>
      <c r="K1" s="2225"/>
      <c r="L1" s="2225"/>
      <c r="M1" s="2225"/>
      <c r="N1" s="2225"/>
      <c r="O1" s="2225"/>
      <c r="P1" s="2225"/>
      <c r="Q1" s="2225"/>
      <c r="R1" s="2225"/>
      <c r="S1" s="2225"/>
      <c r="T1" s="2225"/>
      <c r="U1" s="2225"/>
      <c r="V1" s="2225"/>
      <c r="W1" s="2225"/>
    </row>
    <row r="2" spans="1:23" s="110" customFormat="1" ht="12" customHeight="1">
      <c r="B2" s="110" t="s">
        <v>438</v>
      </c>
      <c r="C2" s="111"/>
      <c r="I2" s="111"/>
      <c r="M2" s="111"/>
      <c r="N2" s="112"/>
      <c r="P2" s="112"/>
      <c r="T2" s="111"/>
      <c r="V2" s="113"/>
      <c r="W2" s="114"/>
    </row>
    <row r="3" spans="1:23" s="110" customFormat="1" ht="25.5" customHeight="1">
      <c r="A3" s="2226" t="s">
        <v>439</v>
      </c>
      <c r="B3" s="2226" t="s">
        <v>440</v>
      </c>
      <c r="C3" s="115"/>
      <c r="D3" s="2226" t="s">
        <v>441</v>
      </c>
      <c r="E3" s="2226"/>
      <c r="F3" s="2226"/>
      <c r="G3" s="2226"/>
      <c r="H3" s="2226"/>
      <c r="I3" s="116"/>
      <c r="J3" s="2226" t="s">
        <v>442</v>
      </c>
      <c r="K3" s="2226"/>
      <c r="L3" s="2226"/>
      <c r="M3" s="116"/>
      <c r="N3" s="2226" t="s">
        <v>443</v>
      </c>
      <c r="O3" s="2226"/>
      <c r="P3" s="2226"/>
      <c r="Q3" s="116"/>
      <c r="R3" s="2227" t="s">
        <v>444</v>
      </c>
      <c r="S3" s="2228"/>
      <c r="T3" s="116"/>
      <c r="U3" s="117" t="s">
        <v>445</v>
      </c>
      <c r="V3" s="116"/>
      <c r="W3" s="2226" t="s">
        <v>446</v>
      </c>
    </row>
    <row r="4" spans="1:23" s="110" customFormat="1" ht="51.75" customHeight="1">
      <c r="A4" s="2226"/>
      <c r="B4" s="2226"/>
      <c r="C4" s="115"/>
      <c r="D4" s="118" t="s">
        <v>447</v>
      </c>
      <c r="E4" s="118" t="s">
        <v>448</v>
      </c>
      <c r="F4" s="118" t="s">
        <v>449</v>
      </c>
      <c r="G4" s="118" t="s">
        <v>450</v>
      </c>
      <c r="H4" s="118" t="s">
        <v>451</v>
      </c>
      <c r="I4" s="119"/>
      <c r="J4" s="118" t="s">
        <v>452</v>
      </c>
      <c r="K4" s="118" t="s">
        <v>453</v>
      </c>
      <c r="L4" s="118" t="s">
        <v>454</v>
      </c>
      <c r="M4" s="119"/>
      <c r="N4" s="120" t="s">
        <v>168</v>
      </c>
      <c r="O4" s="118" t="s">
        <v>452</v>
      </c>
      <c r="P4" s="120" t="s">
        <v>455</v>
      </c>
      <c r="Q4" s="119"/>
      <c r="R4" s="118" t="s">
        <v>456</v>
      </c>
      <c r="S4" s="118" t="s">
        <v>457</v>
      </c>
      <c r="T4" s="119"/>
      <c r="U4" s="121" t="s">
        <v>455</v>
      </c>
      <c r="V4" s="119"/>
      <c r="W4" s="2226"/>
    </row>
    <row r="5" spans="1:23" s="110" customFormat="1" ht="60" customHeight="1">
      <c r="A5" s="122">
        <v>1</v>
      </c>
      <c r="B5" s="123" t="s">
        <v>458</v>
      </c>
      <c r="C5" s="115"/>
      <c r="D5" s="124"/>
      <c r="E5" s="125"/>
      <c r="F5" s="125"/>
      <c r="G5" s="124"/>
      <c r="H5" s="124"/>
      <c r="I5" s="115"/>
      <c r="J5" s="122"/>
      <c r="K5" s="126"/>
      <c r="L5" s="127">
        <f>+J5*K5</f>
        <v>0</v>
      </c>
      <c r="M5" s="115"/>
      <c r="N5" s="128">
        <v>250</v>
      </c>
      <c r="O5" s="129">
        <v>0</v>
      </c>
      <c r="P5" s="130">
        <f>+N5*O5</f>
        <v>0</v>
      </c>
      <c r="Q5" s="131"/>
      <c r="R5" s="132"/>
      <c r="S5" s="132"/>
      <c r="T5" s="115"/>
      <c r="U5" s="122"/>
      <c r="V5" s="115"/>
      <c r="W5" s="133"/>
    </row>
    <row r="6" spans="1:23" s="136" customFormat="1" ht="60" customHeight="1">
      <c r="A6" s="125">
        <v>2</v>
      </c>
      <c r="B6" s="123" t="s">
        <v>459</v>
      </c>
      <c r="C6" s="115"/>
      <c r="D6" s="125"/>
      <c r="E6" s="125"/>
      <c r="F6" s="124"/>
      <c r="G6" s="124"/>
      <c r="H6" s="125"/>
      <c r="I6" s="115"/>
      <c r="J6" s="122"/>
      <c r="K6" s="126"/>
      <c r="L6" s="127">
        <f>+J6*K6</f>
        <v>0</v>
      </c>
      <c r="M6" s="115"/>
      <c r="N6" s="128">
        <v>592</v>
      </c>
      <c r="O6" s="129">
        <v>0.4</v>
      </c>
      <c r="P6" s="134"/>
      <c r="Q6" s="135"/>
      <c r="R6" s="129"/>
      <c r="S6" s="129"/>
      <c r="T6" s="115"/>
      <c r="U6" s="125"/>
      <c r="V6" s="115"/>
      <c r="W6" s="123"/>
    </row>
    <row r="7" spans="1:23" s="136" customFormat="1" ht="60" customHeight="1">
      <c r="A7" s="125">
        <v>3</v>
      </c>
      <c r="B7" s="123" t="s">
        <v>460</v>
      </c>
      <c r="C7" s="115"/>
      <c r="D7" s="125"/>
      <c r="E7" s="125"/>
      <c r="F7" s="124"/>
      <c r="G7" s="124"/>
      <c r="H7" s="125"/>
      <c r="I7" s="115"/>
      <c r="J7" s="122"/>
      <c r="K7" s="126"/>
      <c r="L7" s="127"/>
      <c r="M7" s="115"/>
      <c r="N7" s="128">
        <v>120</v>
      </c>
      <c r="O7" s="129">
        <v>0.7</v>
      </c>
      <c r="P7" s="130">
        <f t="shared" ref="P7:P9" si="0">+N7*O7</f>
        <v>84</v>
      </c>
      <c r="Q7" s="135"/>
      <c r="R7" s="129"/>
      <c r="S7" s="129"/>
      <c r="T7" s="115"/>
      <c r="U7" s="125"/>
      <c r="V7" s="115"/>
      <c r="W7" s="137"/>
    </row>
    <row r="8" spans="1:23" s="136" customFormat="1" ht="60" customHeight="1">
      <c r="A8" s="125">
        <v>4</v>
      </c>
      <c r="B8" s="123" t="s">
        <v>461</v>
      </c>
      <c r="C8" s="115"/>
      <c r="D8" s="125"/>
      <c r="E8" s="125"/>
      <c r="F8" s="124"/>
      <c r="G8" s="124"/>
      <c r="H8" s="125"/>
      <c r="I8" s="115"/>
      <c r="J8" s="122"/>
      <c r="K8" s="126"/>
      <c r="L8" s="127"/>
      <c r="M8" s="115"/>
      <c r="N8" s="128">
        <v>500</v>
      </c>
      <c r="O8" s="129">
        <v>0.5</v>
      </c>
      <c r="P8" s="134"/>
      <c r="Q8" s="135"/>
      <c r="R8" s="129"/>
      <c r="S8" s="129"/>
      <c r="T8" s="115"/>
      <c r="U8" s="125"/>
      <c r="V8" s="115"/>
      <c r="W8" s="137"/>
    </row>
    <row r="9" spans="1:23" s="136" customFormat="1" ht="60" customHeight="1">
      <c r="A9" s="125">
        <v>5</v>
      </c>
      <c r="B9" s="123" t="s">
        <v>462</v>
      </c>
      <c r="C9" s="115"/>
      <c r="D9" s="125"/>
      <c r="E9" s="125"/>
      <c r="F9" s="124"/>
      <c r="G9" s="124"/>
      <c r="H9" s="125"/>
      <c r="I9" s="115"/>
      <c r="J9" s="122"/>
      <c r="K9" s="126"/>
      <c r="L9" s="127"/>
      <c r="M9" s="115"/>
      <c r="N9" s="128">
        <v>1200</v>
      </c>
      <c r="O9" s="129">
        <v>1</v>
      </c>
      <c r="P9" s="130">
        <f t="shared" si="0"/>
        <v>1200</v>
      </c>
      <c r="Q9" s="135"/>
      <c r="R9" s="129"/>
      <c r="S9" s="129"/>
      <c r="T9" s="115"/>
      <c r="U9" s="125"/>
      <c r="V9" s="115"/>
      <c r="W9" s="123" t="s">
        <v>463</v>
      </c>
    </row>
    <row r="10" spans="1:23" s="136" customFormat="1" ht="60" customHeight="1">
      <c r="A10" s="125">
        <v>6</v>
      </c>
      <c r="B10" s="123" t="s">
        <v>464</v>
      </c>
      <c r="C10" s="115"/>
      <c r="D10" s="125"/>
      <c r="E10" s="125"/>
      <c r="F10" s="124"/>
      <c r="G10" s="124"/>
      <c r="H10" s="125"/>
      <c r="I10" s="115"/>
      <c r="J10" s="122"/>
      <c r="K10" s="126"/>
      <c r="L10" s="127"/>
      <c r="M10" s="115"/>
      <c r="N10" s="128">
        <v>880</v>
      </c>
      <c r="O10" s="129">
        <v>0.4</v>
      </c>
      <c r="P10" s="134"/>
      <c r="Q10" s="135"/>
      <c r="R10" s="129"/>
      <c r="S10" s="129"/>
      <c r="T10" s="115"/>
      <c r="U10" s="125"/>
      <c r="V10" s="115"/>
      <c r="W10" s="123"/>
    </row>
    <row r="11" spans="1:23" s="136" customFormat="1" ht="60" customHeight="1">
      <c r="A11" s="125">
        <v>7</v>
      </c>
      <c r="B11" s="123" t="s">
        <v>465</v>
      </c>
      <c r="C11" s="115"/>
      <c r="D11" s="125"/>
      <c r="E11" s="125"/>
      <c r="F11" s="124"/>
      <c r="G11" s="124"/>
      <c r="H11" s="125"/>
      <c r="I11" s="115"/>
      <c r="J11" s="122"/>
      <c r="K11" s="126"/>
      <c r="L11" s="127"/>
      <c r="M11" s="115"/>
      <c r="N11" s="128" t="s">
        <v>466</v>
      </c>
      <c r="O11" s="129"/>
      <c r="P11" s="130"/>
      <c r="Q11" s="135"/>
      <c r="R11" s="129"/>
      <c r="S11" s="129"/>
      <c r="T11" s="115"/>
      <c r="U11" s="125"/>
      <c r="V11" s="115"/>
      <c r="W11" s="123" t="s">
        <v>467</v>
      </c>
    </row>
    <row r="12" spans="1:23" s="136" customFormat="1" ht="60" customHeight="1">
      <c r="A12" s="125">
        <v>8</v>
      </c>
      <c r="B12" s="123" t="s">
        <v>468</v>
      </c>
      <c r="C12" s="115"/>
      <c r="D12" s="125"/>
      <c r="E12" s="125"/>
      <c r="F12" s="124"/>
      <c r="G12" s="124"/>
      <c r="H12" s="125"/>
      <c r="I12" s="115"/>
      <c r="J12" s="122"/>
      <c r="K12" s="126"/>
      <c r="L12" s="127"/>
      <c r="M12" s="115"/>
      <c r="N12" s="128">
        <v>400</v>
      </c>
      <c r="O12" s="129">
        <v>1</v>
      </c>
      <c r="P12" s="130">
        <f t="shared" ref="P12:P14" si="1">+N12*O12</f>
        <v>400</v>
      </c>
      <c r="Q12" s="135"/>
      <c r="R12" s="129"/>
      <c r="S12" s="129"/>
      <c r="T12" s="115"/>
      <c r="U12" s="125"/>
      <c r="V12" s="115"/>
      <c r="W12" s="137"/>
    </row>
    <row r="13" spans="1:23" s="136" customFormat="1" ht="60" customHeight="1">
      <c r="A13" s="125">
        <v>9</v>
      </c>
      <c r="B13" s="123" t="s">
        <v>469</v>
      </c>
      <c r="C13" s="115"/>
      <c r="D13" s="125"/>
      <c r="E13" s="125"/>
      <c r="F13" s="124"/>
      <c r="G13" s="124"/>
      <c r="H13" s="125"/>
      <c r="I13" s="115"/>
      <c r="J13" s="122"/>
      <c r="K13" s="126"/>
      <c r="L13" s="127"/>
      <c r="M13" s="115"/>
      <c r="N13" s="128">
        <v>100</v>
      </c>
      <c r="O13" s="129">
        <v>0</v>
      </c>
      <c r="P13" s="130">
        <f t="shared" si="1"/>
        <v>0</v>
      </c>
      <c r="Q13" s="135"/>
      <c r="R13" s="129"/>
      <c r="S13" s="129"/>
      <c r="T13" s="115"/>
      <c r="U13" s="125"/>
      <c r="V13" s="115"/>
      <c r="W13" s="137"/>
    </row>
    <row r="14" spans="1:23" s="136" customFormat="1" ht="60" customHeight="1">
      <c r="A14" s="125">
        <v>10</v>
      </c>
      <c r="B14" s="123" t="s">
        <v>470</v>
      </c>
      <c r="C14" s="115"/>
      <c r="D14" s="125"/>
      <c r="E14" s="125"/>
      <c r="F14" s="124"/>
      <c r="G14" s="124"/>
      <c r="H14" s="125"/>
      <c r="I14" s="115"/>
      <c r="J14" s="122"/>
      <c r="K14" s="126"/>
      <c r="L14" s="127"/>
      <c r="M14" s="115"/>
      <c r="N14" s="128">
        <v>600</v>
      </c>
      <c r="O14" s="129">
        <v>0.5</v>
      </c>
      <c r="P14" s="130">
        <f t="shared" si="1"/>
        <v>300</v>
      </c>
      <c r="Q14" s="135"/>
      <c r="R14" s="129"/>
      <c r="S14" s="129"/>
      <c r="T14" s="115"/>
      <c r="U14" s="125"/>
      <c r="V14" s="115"/>
      <c r="W14" s="137"/>
    </row>
    <row r="15" spans="1:23" s="110" customFormat="1" ht="60" customHeight="1">
      <c r="A15" s="122"/>
      <c r="B15" s="138" t="s">
        <v>49</v>
      </c>
      <c r="C15" s="115"/>
      <c r="D15" s="122"/>
      <c r="E15" s="122"/>
      <c r="F15" s="122"/>
      <c r="G15" s="122"/>
      <c r="H15" s="122"/>
      <c r="I15" s="115"/>
      <c r="J15" s="122"/>
      <c r="K15" s="126"/>
      <c r="L15" s="139"/>
      <c r="M15" s="115"/>
      <c r="N15" s="140"/>
      <c r="O15" s="132"/>
      <c r="P15" s="140">
        <f>SUM(P5:P14)</f>
        <v>1984</v>
      </c>
      <c r="Q15" s="131"/>
      <c r="R15" s="132"/>
      <c r="S15" s="132"/>
      <c r="T15" s="115"/>
      <c r="U15" s="122"/>
      <c r="V15" s="115"/>
      <c r="W15" s="141"/>
    </row>
    <row r="16" spans="1:23" s="110" customFormat="1" ht="6.75" customHeight="1">
      <c r="C16" s="111"/>
      <c r="I16" s="111"/>
      <c r="M16" s="111"/>
      <c r="N16" s="112"/>
      <c r="P16" s="112"/>
      <c r="T16" s="111"/>
      <c r="V16" s="111"/>
      <c r="W16" s="114"/>
    </row>
    <row r="17" spans="1:23" s="110" customFormat="1" ht="12.75">
      <c r="A17" s="142" t="s">
        <v>471</v>
      </c>
      <c r="B17" s="143"/>
      <c r="C17" s="144"/>
      <c r="D17" s="143"/>
      <c r="E17" s="143"/>
      <c r="F17" s="143"/>
      <c r="G17" s="143"/>
      <c r="H17" s="145"/>
      <c r="I17" s="111"/>
      <c r="M17" s="111"/>
      <c r="N17" s="112"/>
      <c r="P17" s="112"/>
      <c r="T17" s="111"/>
      <c r="V17" s="111"/>
      <c r="W17" s="114"/>
    </row>
    <row r="18" spans="1:23" s="110" customFormat="1" ht="14.25" customHeight="1">
      <c r="A18" s="2219" t="s">
        <v>472</v>
      </c>
      <c r="B18" s="2220"/>
      <c r="C18" s="2220"/>
      <c r="D18" s="2220"/>
      <c r="E18" s="2220"/>
      <c r="F18" s="2220"/>
      <c r="G18" s="2220"/>
      <c r="H18" s="2221"/>
      <c r="I18" s="146"/>
      <c r="J18" s="146"/>
      <c r="K18" s="146"/>
      <c r="L18" s="146"/>
      <c r="M18" s="146"/>
      <c r="N18" s="147"/>
      <c r="O18" s="146"/>
      <c r="P18" s="147"/>
      <c r="Q18" s="146"/>
      <c r="R18" s="146"/>
      <c r="S18" s="146"/>
      <c r="T18" s="146"/>
      <c r="U18" s="146"/>
      <c r="V18" s="146"/>
      <c r="W18" s="146"/>
    </row>
    <row r="19" spans="1:23" s="110" customFormat="1" ht="12.75">
      <c r="A19" s="2219"/>
      <c r="B19" s="2220"/>
      <c r="C19" s="2220"/>
      <c r="D19" s="2220"/>
      <c r="E19" s="2220"/>
      <c r="F19" s="2220"/>
      <c r="G19" s="2220"/>
      <c r="H19" s="2221"/>
      <c r="I19" s="146"/>
      <c r="J19" s="146"/>
      <c r="K19" s="146"/>
      <c r="L19" s="146"/>
      <c r="M19" s="146"/>
      <c r="N19" s="147"/>
      <c r="O19" s="146"/>
      <c r="P19" s="147"/>
      <c r="Q19" s="146"/>
      <c r="R19" s="146"/>
      <c r="S19" s="146"/>
      <c r="T19" s="146"/>
      <c r="U19" s="146"/>
      <c r="V19" s="146"/>
      <c r="W19" s="146"/>
    </row>
    <row r="20" spans="1:23" s="110" customFormat="1" ht="12.75">
      <c r="A20" s="2222"/>
      <c r="B20" s="2223"/>
      <c r="C20" s="2223"/>
      <c r="D20" s="2223"/>
      <c r="E20" s="2223"/>
      <c r="F20" s="2223"/>
      <c r="G20" s="2223"/>
      <c r="H20" s="2224"/>
      <c r="I20" s="111"/>
      <c r="M20" s="111"/>
      <c r="N20" s="112"/>
      <c r="P20" s="112"/>
      <c r="T20" s="111"/>
      <c r="V20" s="111"/>
      <c r="W20" s="114"/>
    </row>
  </sheetData>
  <mergeCells count="9">
    <mergeCell ref="A18:H20"/>
    <mergeCell ref="A1:W1"/>
    <mergeCell ref="A3:A4"/>
    <mergeCell ref="B3:B4"/>
    <mergeCell ref="D3:H3"/>
    <mergeCell ref="J3:L3"/>
    <mergeCell ref="N3:P3"/>
    <mergeCell ref="R3:S3"/>
    <mergeCell ref="W3:W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 enableFormatConditionsCalculation="0"/>
  <dimension ref="A1:X16"/>
  <sheetViews>
    <sheetView showGridLines="0" workbookViewId="0">
      <pane xSplit="2" ySplit="4" topLeftCell="C14" activePane="bottomRight" state="frozen"/>
      <selection pane="topRight" activeCell="C1" sqref="C1"/>
      <selection pane="bottomLeft" activeCell="A5" sqref="A5"/>
      <selection pane="bottomRight" activeCell="P15" sqref="P15"/>
    </sheetView>
  </sheetViews>
  <sheetFormatPr baseColWidth="10" defaultRowHeight="15"/>
  <cols>
    <col min="1" max="1" width="5.42578125" customWidth="1"/>
    <col min="2" max="2" width="51.42578125" customWidth="1"/>
    <col min="3" max="3" width="1.7109375" customWidth="1"/>
    <col min="4" max="7" width="4.28515625" customWidth="1"/>
    <col min="8" max="8" width="1.7109375" customWidth="1"/>
    <col min="9" max="11" width="4.7109375" customWidth="1"/>
    <col min="12" max="12" width="1.7109375" customWidth="1"/>
    <col min="13" max="14" width="9.7109375" customWidth="1"/>
    <col min="15" max="15" width="1.7109375" customWidth="1"/>
    <col min="16" max="16" width="10.7109375" customWidth="1"/>
    <col min="17" max="17" width="1.7109375" customWidth="1"/>
    <col min="18" max="18" width="55.28515625" customWidth="1"/>
  </cols>
  <sheetData>
    <row r="1" spans="1:24" s="110" customFormat="1" ht="24.75" customHeight="1">
      <c r="A1" s="2229" t="s">
        <v>473</v>
      </c>
      <c r="B1" s="2229"/>
      <c r="C1" s="2229"/>
      <c r="D1" s="2229"/>
      <c r="E1" s="2229"/>
      <c r="F1" s="2229"/>
      <c r="G1" s="2229"/>
      <c r="H1" s="2229"/>
      <c r="I1" s="2229"/>
      <c r="J1" s="2229"/>
      <c r="K1" s="2229"/>
      <c r="L1" s="2229"/>
      <c r="M1" s="2229"/>
      <c r="N1" s="2229"/>
      <c r="O1" s="2229"/>
      <c r="P1" s="2229"/>
      <c r="Q1" s="2229"/>
      <c r="R1" s="2229"/>
      <c r="S1" s="148"/>
      <c r="T1" s="148"/>
      <c r="U1" s="148"/>
      <c r="V1" s="148"/>
      <c r="W1" s="148"/>
      <c r="X1" s="148"/>
    </row>
    <row r="2" spans="1:24" s="110" customFormat="1" ht="12" customHeight="1">
      <c r="B2" s="110" t="s">
        <v>438</v>
      </c>
      <c r="C2" s="111"/>
      <c r="H2" s="111"/>
      <c r="L2" s="111"/>
      <c r="O2" s="111"/>
      <c r="Q2" s="113"/>
      <c r="R2" s="114"/>
      <c r="S2" s="148"/>
      <c r="T2" s="148"/>
      <c r="U2" s="148"/>
      <c r="V2" s="148"/>
      <c r="W2" s="148"/>
      <c r="X2" s="148"/>
    </row>
    <row r="3" spans="1:24" s="110" customFormat="1" ht="25.5" customHeight="1">
      <c r="A3" s="2226" t="s">
        <v>439</v>
      </c>
      <c r="B3" s="2226" t="s">
        <v>474</v>
      </c>
      <c r="C3" s="115"/>
      <c r="D3" s="2226" t="s">
        <v>475</v>
      </c>
      <c r="E3" s="2226"/>
      <c r="F3" s="2226"/>
      <c r="G3" s="2226"/>
      <c r="H3" s="116"/>
      <c r="I3" s="2226" t="s">
        <v>476</v>
      </c>
      <c r="J3" s="2226"/>
      <c r="K3" s="2226"/>
      <c r="L3" s="116"/>
      <c r="M3" s="2230" t="s">
        <v>443</v>
      </c>
      <c r="N3" s="2230"/>
      <c r="O3" s="116"/>
      <c r="P3" s="149" t="s">
        <v>477</v>
      </c>
      <c r="Q3" s="116"/>
      <c r="R3" s="2226" t="s">
        <v>446</v>
      </c>
      <c r="S3" s="148"/>
      <c r="T3" s="148"/>
      <c r="U3" s="148"/>
      <c r="V3" s="148"/>
      <c r="W3" s="148"/>
      <c r="X3" s="148"/>
    </row>
    <row r="4" spans="1:24" s="110" customFormat="1" ht="51.75" customHeight="1">
      <c r="A4" s="2226"/>
      <c r="B4" s="2226"/>
      <c r="C4" s="115"/>
      <c r="D4" s="118" t="s">
        <v>447</v>
      </c>
      <c r="E4" s="118" t="s">
        <v>448</v>
      </c>
      <c r="F4" s="118" t="s">
        <v>478</v>
      </c>
      <c r="G4" s="118" t="s">
        <v>451</v>
      </c>
      <c r="H4" s="119"/>
      <c r="I4" s="118" t="s">
        <v>452</v>
      </c>
      <c r="J4" s="118" t="s">
        <v>479</v>
      </c>
      <c r="K4" s="118" t="s">
        <v>480</v>
      </c>
      <c r="L4" s="119"/>
      <c r="M4" s="118" t="s">
        <v>168</v>
      </c>
      <c r="N4" s="118" t="s">
        <v>452</v>
      </c>
      <c r="O4" s="119"/>
      <c r="P4" s="121" t="s">
        <v>455</v>
      </c>
      <c r="Q4" s="119"/>
      <c r="R4" s="2226"/>
      <c r="S4" s="148"/>
      <c r="T4" s="148"/>
      <c r="U4" s="148"/>
      <c r="V4" s="148"/>
      <c r="W4" s="148"/>
      <c r="X4" s="148"/>
    </row>
    <row r="5" spans="1:24" s="161" customFormat="1" ht="58.5" customHeight="1">
      <c r="A5" s="150">
        <v>1</v>
      </c>
      <c r="B5" s="151" t="s">
        <v>481</v>
      </c>
      <c r="C5" s="152"/>
      <c r="D5" s="153"/>
      <c r="E5" s="153"/>
      <c r="F5" s="150"/>
      <c r="G5" s="153"/>
      <c r="H5" s="152"/>
      <c r="I5" s="150"/>
      <c r="J5" s="154"/>
      <c r="K5" s="155"/>
      <c r="L5" s="152"/>
      <c r="M5" s="156">
        <v>1550</v>
      </c>
      <c r="N5" s="157">
        <v>0.6</v>
      </c>
      <c r="O5" s="158"/>
      <c r="P5" s="159">
        <f>+M5*N5</f>
        <v>930</v>
      </c>
      <c r="Q5" s="152"/>
      <c r="R5" s="151" t="s">
        <v>482</v>
      </c>
      <c r="S5" s="160"/>
      <c r="T5" s="160"/>
      <c r="U5" s="160"/>
      <c r="V5" s="160"/>
      <c r="W5" s="160"/>
      <c r="X5" s="160"/>
    </row>
    <row r="6" spans="1:24" s="161" customFormat="1" ht="58.5" customHeight="1">
      <c r="A6" s="150">
        <v>2</v>
      </c>
      <c r="B6" s="151" t="s">
        <v>483</v>
      </c>
      <c r="C6" s="152"/>
      <c r="D6" s="153"/>
      <c r="E6" s="150"/>
      <c r="F6" s="150"/>
      <c r="G6" s="153"/>
      <c r="H6" s="152"/>
      <c r="I6" s="150"/>
      <c r="J6" s="154"/>
      <c r="K6" s="155"/>
      <c r="L6" s="152"/>
      <c r="M6" s="156">
        <v>280</v>
      </c>
      <c r="N6" s="157">
        <v>1</v>
      </c>
      <c r="O6" s="152"/>
      <c r="P6" s="156">
        <f>+M6*N6</f>
        <v>280</v>
      </c>
      <c r="Q6" s="152"/>
      <c r="R6" s="151"/>
      <c r="S6" s="160"/>
      <c r="T6" s="160"/>
      <c r="U6" s="160"/>
      <c r="V6" s="160"/>
      <c r="W6" s="160"/>
      <c r="X6" s="160"/>
    </row>
    <row r="7" spans="1:24" s="161" customFormat="1" ht="58.5" customHeight="1">
      <c r="A7" s="150">
        <v>3</v>
      </c>
      <c r="B7" s="151" t="s">
        <v>484</v>
      </c>
      <c r="C7" s="152"/>
      <c r="D7" s="153"/>
      <c r="E7" s="150"/>
      <c r="F7" s="150"/>
      <c r="G7" s="153"/>
      <c r="H7" s="152"/>
      <c r="I7" s="150"/>
      <c r="J7" s="154"/>
      <c r="K7" s="155"/>
      <c r="L7" s="152"/>
      <c r="M7" s="156">
        <v>700</v>
      </c>
      <c r="N7" s="157">
        <v>0.35</v>
      </c>
      <c r="O7" s="152"/>
      <c r="P7" s="159"/>
      <c r="Q7" s="152"/>
      <c r="R7" s="151" t="s">
        <v>485</v>
      </c>
      <c r="S7" s="160"/>
      <c r="T7" s="160"/>
      <c r="U7" s="160"/>
      <c r="V7" s="160"/>
      <c r="W7" s="160"/>
      <c r="X7" s="160"/>
    </row>
    <row r="8" spans="1:24" s="167" customFormat="1" ht="58.5" customHeight="1">
      <c r="A8" s="162">
        <v>4</v>
      </c>
      <c r="B8" s="163" t="s">
        <v>486</v>
      </c>
      <c r="C8" s="152"/>
      <c r="D8" s="162"/>
      <c r="E8" s="162"/>
      <c r="F8" s="162"/>
      <c r="G8" s="162"/>
      <c r="H8" s="164"/>
      <c r="I8" s="150"/>
      <c r="J8" s="154"/>
      <c r="K8" s="155"/>
      <c r="L8" s="152"/>
      <c r="M8" s="156">
        <v>195</v>
      </c>
      <c r="N8" s="165">
        <v>0.9</v>
      </c>
      <c r="O8" s="152"/>
      <c r="P8" s="159">
        <f>+M8*N8</f>
        <v>175.5</v>
      </c>
      <c r="Q8" s="152"/>
      <c r="R8" s="151"/>
      <c r="S8" s="166"/>
      <c r="T8" s="166"/>
      <c r="U8" s="166"/>
      <c r="V8" s="166"/>
      <c r="W8" s="166"/>
      <c r="X8" s="166"/>
    </row>
    <row r="9" spans="1:24" s="167" customFormat="1" ht="58.5" customHeight="1">
      <c r="A9" s="150">
        <v>5</v>
      </c>
      <c r="B9" s="123"/>
      <c r="C9" s="152"/>
      <c r="D9" s="162"/>
      <c r="E9" s="162"/>
      <c r="F9" s="168"/>
      <c r="G9" s="162"/>
      <c r="H9" s="164"/>
      <c r="I9" s="150"/>
      <c r="J9" s="154"/>
      <c r="K9" s="155"/>
      <c r="L9" s="152"/>
      <c r="M9" s="156"/>
      <c r="N9" s="165"/>
      <c r="O9" s="152"/>
      <c r="P9" s="159"/>
      <c r="Q9" s="152"/>
      <c r="R9" s="169"/>
      <c r="S9" s="166"/>
      <c r="T9" s="166"/>
      <c r="U9" s="166"/>
      <c r="V9" s="166"/>
      <c r="W9" s="166"/>
      <c r="X9" s="166"/>
    </row>
    <row r="10" spans="1:24" s="167" customFormat="1" ht="58.5" customHeight="1">
      <c r="A10" s="150">
        <v>5</v>
      </c>
      <c r="B10" s="123"/>
      <c r="C10" s="152"/>
      <c r="D10" s="162"/>
      <c r="E10" s="162"/>
      <c r="F10" s="168"/>
      <c r="G10" s="162"/>
      <c r="H10" s="164"/>
      <c r="I10" s="150"/>
      <c r="J10" s="154"/>
      <c r="K10" s="155"/>
      <c r="L10" s="152"/>
      <c r="M10" s="156"/>
      <c r="N10" s="165"/>
      <c r="O10" s="152"/>
      <c r="P10" s="156"/>
      <c r="Q10" s="152"/>
      <c r="R10" s="169"/>
      <c r="S10" s="166"/>
      <c r="T10" s="166"/>
      <c r="U10" s="166"/>
      <c r="V10" s="166"/>
      <c r="W10" s="166"/>
      <c r="X10" s="166"/>
    </row>
    <row r="11" spans="1:24" s="167" customFormat="1" ht="58.5" customHeight="1">
      <c r="A11" s="150">
        <v>7</v>
      </c>
      <c r="B11" s="123" t="s">
        <v>487</v>
      </c>
      <c r="C11" s="152"/>
      <c r="D11" s="162"/>
      <c r="E11" s="162"/>
      <c r="F11" s="168"/>
      <c r="G11" s="162"/>
      <c r="H11" s="164"/>
      <c r="I11" s="150"/>
      <c r="J11" s="154"/>
      <c r="K11" s="155">
        <f t="shared" ref="K11:K14" si="0">+I11*J11</f>
        <v>0</v>
      </c>
      <c r="L11" s="152"/>
      <c r="M11" s="156">
        <v>518</v>
      </c>
      <c r="N11" s="165">
        <v>1</v>
      </c>
      <c r="O11" s="152"/>
      <c r="P11" s="156">
        <f t="shared" ref="P11:P14" si="1">+N11*M11</f>
        <v>518</v>
      </c>
      <c r="Q11" s="152"/>
      <c r="R11" s="169"/>
      <c r="S11" s="166"/>
      <c r="T11" s="166"/>
      <c r="U11" s="166"/>
      <c r="V11" s="166"/>
      <c r="W11" s="166"/>
      <c r="X11" s="166"/>
    </row>
    <row r="12" spans="1:24" s="167" customFormat="1" ht="58.5" customHeight="1">
      <c r="A12" s="150">
        <v>8</v>
      </c>
      <c r="B12" s="123" t="s">
        <v>488</v>
      </c>
      <c r="C12" s="152"/>
      <c r="D12" s="162"/>
      <c r="E12" s="162"/>
      <c r="F12" s="168"/>
      <c r="G12" s="162"/>
      <c r="H12" s="164"/>
      <c r="I12" s="150"/>
      <c r="J12" s="154"/>
      <c r="K12" s="155">
        <f t="shared" si="0"/>
        <v>0</v>
      </c>
      <c r="L12" s="152"/>
      <c r="M12" s="156">
        <v>3950</v>
      </c>
      <c r="N12" s="165">
        <v>0.85</v>
      </c>
      <c r="O12" s="152"/>
      <c r="P12" s="156">
        <f t="shared" si="1"/>
        <v>3357.5</v>
      </c>
      <c r="Q12" s="152"/>
      <c r="R12" s="170" t="s">
        <v>489</v>
      </c>
      <c r="S12" s="166"/>
      <c r="T12" s="166"/>
      <c r="U12" s="166"/>
      <c r="V12" s="166"/>
      <c r="W12" s="166"/>
      <c r="X12" s="166"/>
    </row>
    <row r="13" spans="1:24" s="167" customFormat="1" ht="58.5" customHeight="1">
      <c r="A13" s="150">
        <v>9</v>
      </c>
      <c r="B13" s="123" t="s">
        <v>490</v>
      </c>
      <c r="C13" s="152"/>
      <c r="D13" s="162"/>
      <c r="E13" s="162"/>
      <c r="F13" s="168"/>
      <c r="G13" s="162"/>
      <c r="H13" s="164"/>
      <c r="I13" s="150"/>
      <c r="J13" s="154"/>
      <c r="K13" s="155">
        <f t="shared" si="0"/>
        <v>0</v>
      </c>
      <c r="L13" s="152"/>
      <c r="M13" s="156"/>
      <c r="N13" s="165"/>
      <c r="O13" s="152"/>
      <c r="P13" s="156">
        <f t="shared" si="1"/>
        <v>0</v>
      </c>
      <c r="Q13" s="152"/>
      <c r="R13" s="170" t="s">
        <v>491</v>
      </c>
      <c r="S13" s="166"/>
      <c r="T13" s="166"/>
      <c r="U13" s="166"/>
      <c r="V13" s="166"/>
      <c r="W13" s="166"/>
      <c r="X13" s="166"/>
    </row>
    <row r="14" spans="1:24" s="167" customFormat="1" ht="58.5" customHeight="1">
      <c r="A14" s="150">
        <v>10</v>
      </c>
      <c r="B14" s="123" t="s">
        <v>492</v>
      </c>
      <c r="C14" s="152"/>
      <c r="D14" s="162"/>
      <c r="E14" s="162"/>
      <c r="F14" s="168"/>
      <c r="G14" s="162"/>
      <c r="H14" s="164"/>
      <c r="I14" s="150"/>
      <c r="J14" s="154"/>
      <c r="K14" s="155">
        <f t="shared" si="0"/>
        <v>0</v>
      </c>
      <c r="L14" s="152"/>
      <c r="M14" s="156">
        <v>300</v>
      </c>
      <c r="N14" s="165">
        <v>0.6</v>
      </c>
      <c r="O14" s="152"/>
      <c r="P14" s="156">
        <f t="shared" si="1"/>
        <v>180</v>
      </c>
      <c r="Q14" s="152"/>
      <c r="R14" s="170" t="s">
        <v>491</v>
      </c>
      <c r="S14" s="166"/>
      <c r="T14" s="166"/>
      <c r="U14" s="166"/>
      <c r="V14" s="166"/>
      <c r="W14" s="166"/>
      <c r="X14" s="166"/>
    </row>
    <row r="15" spans="1:24" s="161" customFormat="1" ht="63" customHeight="1">
      <c r="A15" s="171"/>
      <c r="B15" s="138" t="s">
        <v>49</v>
      </c>
      <c r="C15" s="152"/>
      <c r="D15" s="150"/>
      <c r="E15" s="150"/>
      <c r="F15" s="150"/>
      <c r="G15" s="150"/>
      <c r="H15" s="164"/>
      <c r="I15" s="150"/>
      <c r="J15" s="150"/>
      <c r="K15" s="150"/>
      <c r="L15" s="152"/>
      <c r="M15" s="172"/>
      <c r="N15" s="171"/>
      <c r="O15" s="152"/>
      <c r="P15" s="173">
        <f>SUM(P5:P14)</f>
        <v>5441</v>
      </c>
      <c r="Q15" s="152"/>
      <c r="R15" s="171"/>
      <c r="S15" s="160"/>
      <c r="T15" s="160"/>
      <c r="U15" s="160"/>
      <c r="V15" s="160"/>
      <c r="W15" s="160"/>
      <c r="X15" s="160"/>
    </row>
    <row r="16" spans="1:24" s="148" customFormat="1" ht="12.75">
      <c r="C16" s="174"/>
      <c r="H16" s="174"/>
      <c r="L16" s="174"/>
      <c r="O16" s="174"/>
      <c r="P16" s="175"/>
      <c r="Q16" s="174"/>
      <c r="R16" s="176"/>
    </row>
  </sheetData>
  <mergeCells count="7">
    <mergeCell ref="A1:R1"/>
    <mergeCell ref="A3:A4"/>
    <mergeCell ref="B3:B4"/>
    <mergeCell ref="D3:G3"/>
    <mergeCell ref="I3:K3"/>
    <mergeCell ref="M3:N3"/>
    <mergeCell ref="R3:R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 enableFormatConditionsCalculation="0"/>
  <dimension ref="A1:AA42"/>
  <sheetViews>
    <sheetView showGridLines="0" workbookViewId="0">
      <selection activeCell="Q11" sqref="Q11"/>
    </sheetView>
  </sheetViews>
  <sheetFormatPr baseColWidth="10" defaultColWidth="10.85546875" defaultRowHeight="15"/>
  <cols>
    <col min="1" max="1" width="6.140625" style="178" customWidth="1"/>
    <col min="2" max="2" width="4.28515625" style="178" customWidth="1"/>
    <col min="3" max="3" width="10.85546875" style="178"/>
    <col min="4" max="4" width="35.85546875" style="178" customWidth="1"/>
    <col min="5" max="5" width="18.7109375" style="178" customWidth="1"/>
    <col min="6" max="7" width="10.85546875" style="178"/>
    <col min="8" max="11" width="17" style="178" customWidth="1"/>
    <col min="12" max="12" width="22.7109375" style="178" customWidth="1"/>
    <col min="13" max="13" width="7.85546875" style="178" customWidth="1"/>
    <col min="14" max="14" width="4.7109375" style="178" customWidth="1"/>
    <col min="15" max="16384" width="10.85546875" style="178"/>
  </cols>
  <sheetData>
    <row r="1" spans="1:27" s="1109" customFormat="1" ht="17.25" thickBot="1">
      <c r="E1" s="1110"/>
      <c r="H1" s="1111"/>
      <c r="J1" s="1111"/>
      <c r="K1" s="1111"/>
      <c r="L1" s="1112"/>
      <c r="M1" s="1113"/>
      <c r="O1" s="1114"/>
      <c r="P1" s="1114"/>
      <c r="Q1" s="1114"/>
      <c r="R1" s="1114"/>
      <c r="S1" s="1114"/>
      <c r="T1" s="1114"/>
      <c r="U1" s="1114"/>
      <c r="V1" s="1114"/>
      <c r="W1" s="1114"/>
      <c r="X1" s="1114"/>
      <c r="Y1" s="1114"/>
      <c r="Z1" s="1114"/>
      <c r="AA1" s="1114"/>
    </row>
    <row r="2" spans="1:27" s="1123" customFormat="1" ht="19.5" customHeight="1" thickTop="1">
      <c r="A2" s="1115"/>
      <c r="B2" s="1116"/>
      <c r="C2" s="1117"/>
      <c r="D2" s="1118"/>
      <c r="E2" s="2231"/>
      <c r="F2" s="2232"/>
      <c r="G2" s="2232"/>
      <c r="H2" s="2232"/>
      <c r="I2" s="2232"/>
      <c r="J2" s="2233"/>
      <c r="K2" s="1119"/>
      <c r="L2" s="1120"/>
      <c r="M2" s="1117"/>
      <c r="N2" s="1121"/>
      <c r="O2" s="1122"/>
      <c r="P2" s="1122"/>
      <c r="Q2" s="1122"/>
      <c r="R2" s="1122"/>
      <c r="S2" s="1122"/>
      <c r="T2" s="1122"/>
      <c r="U2" s="1122"/>
      <c r="V2" s="1122"/>
      <c r="W2" s="1122"/>
      <c r="X2" s="1122"/>
      <c r="Y2" s="1122"/>
      <c r="Z2" s="1122"/>
      <c r="AA2" s="1122"/>
    </row>
    <row r="3" spans="1:27" s="1123" customFormat="1" ht="22.5" customHeight="1">
      <c r="A3" s="1115"/>
      <c r="B3" s="2234" t="str">
        <f>SYNTHESE!D4</f>
        <v>POINT 50%</v>
      </c>
      <c r="C3" s="2235"/>
      <c r="D3" s="2236"/>
      <c r="E3" s="2237" t="s">
        <v>15</v>
      </c>
      <c r="F3" s="2238"/>
      <c r="G3" s="2238"/>
      <c r="H3" s="2238"/>
      <c r="I3" s="2238"/>
      <c r="J3" s="2239"/>
      <c r="K3" s="1124"/>
      <c r="L3" s="1125"/>
      <c r="M3" s="1126"/>
      <c r="N3" s="1127"/>
      <c r="O3" s="1122"/>
      <c r="P3" s="1122"/>
      <c r="Q3" s="1122"/>
      <c r="R3" s="1122"/>
      <c r="S3" s="1122"/>
      <c r="T3" s="1122"/>
      <c r="U3" s="1122"/>
      <c r="V3" s="1122"/>
      <c r="W3" s="1122"/>
      <c r="X3" s="1122"/>
      <c r="Y3" s="1122"/>
      <c r="Z3" s="1122"/>
      <c r="AA3" s="1122"/>
    </row>
    <row r="4" spans="1:27" s="1123" customFormat="1" ht="22.5" customHeight="1">
      <c r="A4" s="1115"/>
      <c r="B4" s="2234"/>
      <c r="C4" s="2235"/>
      <c r="D4" s="2236"/>
      <c r="E4" s="1128"/>
      <c r="F4" s="1129"/>
      <c r="G4" s="1129"/>
      <c r="H4" s="1129"/>
      <c r="I4" s="1129"/>
      <c r="J4" s="1130"/>
      <c r="K4" s="1129"/>
      <c r="L4" s="1125"/>
      <c r="M4" s="1126"/>
      <c r="N4" s="1127"/>
      <c r="O4" s="1122"/>
      <c r="P4" s="1122"/>
      <c r="Q4" s="1122"/>
      <c r="R4" s="1122"/>
      <c r="S4" s="1122"/>
      <c r="T4" s="1122"/>
      <c r="U4" s="1122"/>
      <c r="V4" s="1122"/>
      <c r="W4" s="1122"/>
      <c r="X4" s="1122"/>
      <c r="Y4" s="1122"/>
      <c r="Z4" s="1122"/>
      <c r="AA4" s="1122"/>
    </row>
    <row r="5" spans="1:27" s="1123" customFormat="1" ht="20.100000000000001" customHeight="1">
      <c r="A5" s="1115"/>
      <c r="B5" s="2234"/>
      <c r="C5" s="2235"/>
      <c r="D5" s="2236"/>
      <c r="E5" s="2240"/>
      <c r="F5" s="2241"/>
      <c r="G5" s="2241"/>
      <c r="H5" s="2241"/>
      <c r="I5" s="2241"/>
      <c r="J5" s="2242"/>
      <c r="K5" s="1129"/>
      <c r="L5" s="1125"/>
      <c r="M5" s="1126"/>
      <c r="N5" s="1127"/>
      <c r="O5" s="1122"/>
      <c r="P5" s="1122"/>
      <c r="Q5" s="1122"/>
      <c r="R5" s="1122"/>
      <c r="S5" s="1122"/>
      <c r="T5" s="1122"/>
      <c r="U5" s="1122"/>
      <c r="V5" s="1122"/>
      <c r="W5" s="1122"/>
      <c r="X5" s="1122"/>
      <c r="Y5" s="1122"/>
      <c r="Z5" s="1122"/>
      <c r="AA5" s="1122"/>
    </row>
    <row r="6" spans="1:27" s="1123" customFormat="1" ht="27.75" customHeight="1">
      <c r="A6" s="1115"/>
      <c r="B6" s="2243">
        <v>42800</v>
      </c>
      <c r="C6" s="2244"/>
      <c r="D6" s="2245"/>
      <c r="E6" s="2237" t="str">
        <f>SYNTHESE!E6</f>
        <v xml:space="preserve">LES FAUBOURGS D'ANFA </v>
      </c>
      <c r="F6" s="2238"/>
      <c r="G6" s="2238"/>
      <c r="H6" s="2238"/>
      <c r="I6" s="2238"/>
      <c r="J6" s="2239"/>
      <c r="K6" s="1124"/>
      <c r="L6" s="1125"/>
      <c r="M6" s="1126"/>
      <c r="N6" s="1127"/>
      <c r="O6" s="1122"/>
      <c r="P6" s="1122"/>
      <c r="Q6" s="1122"/>
      <c r="R6" s="1122"/>
      <c r="S6" s="1122"/>
      <c r="T6" s="1122"/>
      <c r="U6" s="1122"/>
      <c r="V6" s="1122"/>
      <c r="W6" s="1122"/>
      <c r="X6" s="1122"/>
      <c r="Y6" s="1122"/>
      <c r="Z6" s="1122"/>
      <c r="AA6" s="1122"/>
    </row>
    <row r="7" spans="1:27" s="1123" customFormat="1" ht="19.5" customHeight="1">
      <c r="A7" s="1115"/>
      <c r="B7" s="2243"/>
      <c r="C7" s="2244"/>
      <c r="D7" s="2245"/>
      <c r="E7" s="2237" t="str">
        <f>SYNTHESE!E7</f>
        <v>CASABLANCA</v>
      </c>
      <c r="F7" s="2238"/>
      <c r="G7" s="2238"/>
      <c r="H7" s="2238"/>
      <c r="I7" s="2238"/>
      <c r="J7" s="2239"/>
      <c r="K7" s="1131"/>
      <c r="L7" s="1125"/>
      <c r="M7" s="1126"/>
      <c r="N7" s="1127"/>
      <c r="O7" s="1122"/>
      <c r="P7" s="1122"/>
      <c r="Q7" s="1122"/>
      <c r="R7" s="1122"/>
      <c r="S7" s="1122"/>
      <c r="T7" s="1122"/>
      <c r="U7" s="1122"/>
      <c r="V7" s="1122"/>
      <c r="W7" s="1122"/>
      <c r="X7" s="1122"/>
      <c r="Y7" s="1122"/>
      <c r="Z7" s="1122"/>
      <c r="AA7" s="1122"/>
    </row>
    <row r="8" spans="1:27" s="1141" customFormat="1" ht="20.100000000000001" customHeight="1" thickBot="1">
      <c r="A8" s="1132"/>
      <c r="B8" s="1133"/>
      <c r="C8" s="1134"/>
      <c r="D8" s="1135"/>
      <c r="E8" s="2247"/>
      <c r="F8" s="2248"/>
      <c r="G8" s="2248"/>
      <c r="H8" s="2248"/>
      <c r="I8" s="2248"/>
      <c r="J8" s="2249"/>
      <c r="K8" s="1136"/>
      <c r="L8" s="1137"/>
      <c r="M8" s="1138"/>
      <c r="N8" s="1139"/>
      <c r="O8" s="1140"/>
      <c r="P8" s="1140"/>
      <c r="Q8" s="1140"/>
      <c r="R8" s="1140"/>
      <c r="S8" s="1140"/>
      <c r="T8" s="1140"/>
      <c r="U8" s="1140"/>
      <c r="V8" s="1140"/>
      <c r="W8" s="1140"/>
      <c r="X8" s="1140"/>
      <c r="Y8" s="1140"/>
      <c r="Z8" s="1140"/>
      <c r="AA8" s="1140"/>
    </row>
    <row r="9" spans="1:27" s="1109" customFormat="1" ht="43.5" customHeight="1" thickTop="1">
      <c r="B9" s="1142"/>
      <c r="C9" s="1143"/>
      <c r="D9" s="1143"/>
      <c r="E9" s="1144"/>
      <c r="F9" s="1143"/>
      <c r="G9" s="1143"/>
      <c r="H9" s="1145"/>
      <c r="I9" s="1143"/>
      <c r="J9" s="1145"/>
      <c r="K9" s="1145"/>
      <c r="L9" s="1146"/>
      <c r="M9" s="1147"/>
      <c r="N9" s="1148"/>
      <c r="O9" s="1114"/>
      <c r="P9" s="1114"/>
      <c r="Q9" s="1114"/>
      <c r="R9" s="1114"/>
      <c r="S9" s="1114"/>
      <c r="T9" s="1114"/>
      <c r="U9" s="1114"/>
      <c r="V9" s="1114"/>
      <c r="W9" s="1114"/>
      <c r="X9" s="1114"/>
      <c r="Y9" s="1114"/>
      <c r="Z9" s="1114"/>
      <c r="AA9" s="1114"/>
    </row>
    <row r="10" spans="1:27" s="1141" customFormat="1" ht="40.5" customHeight="1">
      <c r="A10" s="1149"/>
      <c r="B10" s="2250"/>
      <c r="C10" s="2251"/>
      <c r="D10" s="2252"/>
      <c r="E10" s="2252"/>
      <c r="F10" s="2252"/>
      <c r="G10" s="2252"/>
      <c r="H10" s="2252"/>
      <c r="I10" s="2252"/>
      <c r="J10" s="2252"/>
      <c r="K10" s="2252"/>
      <c r="L10" s="2252"/>
      <c r="M10" s="2252"/>
      <c r="N10" s="2253"/>
      <c r="O10" s="1140"/>
      <c r="P10" s="1140"/>
      <c r="Q10" s="1140"/>
      <c r="R10" s="1140"/>
      <c r="S10" s="1140"/>
      <c r="T10" s="1140"/>
      <c r="U10" s="1140"/>
      <c r="V10" s="1140"/>
      <c r="W10" s="1140"/>
      <c r="X10" s="1140"/>
      <c r="Y10" s="1140"/>
      <c r="Z10" s="1140"/>
      <c r="AA10" s="1140"/>
    </row>
    <row r="11" spans="1:27" s="1109" customFormat="1" ht="99.75" customHeight="1">
      <c r="B11" s="2254" t="s">
        <v>493</v>
      </c>
      <c r="C11" s="2255"/>
      <c r="D11" s="2255"/>
      <c r="E11" s="2255"/>
      <c r="F11" s="2255"/>
      <c r="G11" s="2255"/>
      <c r="H11" s="2255"/>
      <c r="I11" s="2255"/>
      <c r="J11" s="2255"/>
      <c r="K11" s="2255"/>
      <c r="L11" s="2255"/>
      <c r="M11" s="2255"/>
      <c r="N11" s="2256"/>
      <c r="O11" s="1114"/>
      <c r="P11" s="1114"/>
      <c r="Q11" s="1114"/>
      <c r="R11" s="1114"/>
      <c r="S11" s="1114"/>
      <c r="T11" s="1114"/>
      <c r="U11" s="1114"/>
      <c r="V11" s="1114"/>
      <c r="W11" s="1114"/>
      <c r="X11" s="1114"/>
      <c r="Y11" s="1114"/>
      <c r="Z11" s="1114"/>
      <c r="AA11" s="1114"/>
    </row>
    <row r="12" spans="1:27" s="1109" customFormat="1" ht="33.75" customHeight="1">
      <c r="B12" s="1096"/>
      <c r="C12" s="177"/>
      <c r="D12" s="1097"/>
      <c r="E12" s="1097"/>
      <c r="F12" s="1097"/>
      <c r="G12" s="1097"/>
      <c r="H12" s="1097"/>
      <c r="I12" s="1097"/>
      <c r="J12" s="1097"/>
      <c r="K12" s="1097"/>
      <c r="L12" s="1097"/>
      <c r="M12" s="1097"/>
      <c r="N12" s="1098"/>
      <c r="O12" s="1114"/>
      <c r="P12" s="1114"/>
      <c r="Q12" s="1114"/>
      <c r="R12" s="1114"/>
      <c r="S12" s="1114"/>
      <c r="T12" s="1114"/>
      <c r="U12" s="1114"/>
      <c r="V12" s="1114"/>
      <c r="W12" s="1114"/>
      <c r="X12" s="1114"/>
      <c r="Y12" s="1114"/>
      <c r="Z12" s="1114"/>
      <c r="AA12" s="1114"/>
    </row>
    <row r="13" spans="1:27" s="1109" customFormat="1" ht="33.75" customHeight="1">
      <c r="B13" s="1096"/>
      <c r="C13" s="177"/>
      <c r="D13" s="1097"/>
      <c r="E13" s="1097"/>
      <c r="F13" s="1097"/>
      <c r="G13" s="1097"/>
      <c r="H13" s="1097"/>
      <c r="I13" s="1097"/>
      <c r="J13" s="1097"/>
      <c r="K13" s="1097"/>
      <c r="L13" s="1097"/>
      <c r="M13" s="1097"/>
      <c r="N13" s="1098"/>
      <c r="O13" s="1114"/>
      <c r="P13" s="1114"/>
      <c r="Q13" s="1114"/>
      <c r="R13" s="1114"/>
      <c r="S13" s="1114"/>
      <c r="T13" s="1114"/>
      <c r="U13" s="1114"/>
      <c r="V13" s="1114"/>
      <c r="W13" s="1114"/>
      <c r="X13" s="1114"/>
      <c r="Y13" s="1114"/>
      <c r="Z13" s="1114"/>
      <c r="AA13" s="1114"/>
    </row>
    <row r="14" spans="1:27" s="1109" customFormat="1" ht="46.5" customHeight="1">
      <c r="B14" s="1150"/>
      <c r="C14" s="1151"/>
      <c r="D14" s="1151"/>
      <c r="E14" s="1152"/>
      <c r="F14" s="1153"/>
      <c r="G14" s="1153"/>
      <c r="H14" s="1154" t="s">
        <v>9</v>
      </c>
      <c r="I14" s="1154" t="s">
        <v>10</v>
      </c>
      <c r="J14" s="1154" t="s">
        <v>11</v>
      </c>
      <c r="K14" s="1154" t="s">
        <v>494</v>
      </c>
      <c r="L14" s="1154" t="s">
        <v>495</v>
      </c>
      <c r="M14" s="1153"/>
      <c r="N14" s="1155"/>
      <c r="O14" s="1114"/>
      <c r="P14" s="1114"/>
      <c r="Q14" s="1114"/>
      <c r="R14" s="1114"/>
      <c r="S14" s="1114"/>
      <c r="T14" s="1114"/>
      <c r="U14" s="1114"/>
      <c r="V14" s="1114"/>
      <c r="W14" s="1114"/>
      <c r="X14" s="1114"/>
      <c r="Y14" s="1114"/>
      <c r="Z14" s="1114"/>
      <c r="AA14" s="1114"/>
    </row>
    <row r="15" spans="1:27" s="1109" customFormat="1" ht="46.5" customHeight="1">
      <c r="B15" s="1156"/>
      <c r="C15" s="1157"/>
      <c r="D15" s="1158"/>
      <c r="E15" s="1144"/>
      <c r="F15" s="1143"/>
      <c r="G15" s="1143"/>
      <c r="H15" s="1159"/>
      <c r="I15" s="1159"/>
      <c r="J15" s="1159"/>
      <c r="K15" s="1159"/>
      <c r="L15" s="1112"/>
      <c r="M15" s="1147"/>
      <c r="N15" s="1148"/>
      <c r="O15" s="1114"/>
      <c r="P15" s="1114"/>
      <c r="Q15" s="1114"/>
      <c r="R15" s="1114"/>
      <c r="S15" s="1114"/>
      <c r="T15" s="1114"/>
      <c r="U15" s="1114"/>
      <c r="V15" s="1114"/>
      <c r="W15" s="1114"/>
      <c r="X15" s="1114"/>
      <c r="Y15" s="1114"/>
      <c r="Z15" s="1114"/>
      <c r="AA15" s="1114"/>
    </row>
    <row r="16" spans="1:27" s="1160" customFormat="1" ht="46.5" customHeight="1">
      <c r="B16" s="1161"/>
      <c r="C16" s="1157" t="s">
        <v>496</v>
      </c>
      <c r="D16" s="1158" t="s">
        <v>497</v>
      </c>
      <c r="E16" s="1162"/>
      <c r="F16" s="1159"/>
      <c r="G16" s="1159"/>
      <c r="H16" s="1163">
        <v>250</v>
      </c>
      <c r="I16" s="1163">
        <v>300</v>
      </c>
      <c r="J16" s="1163">
        <v>150</v>
      </c>
      <c r="K16" s="1163">
        <v>0</v>
      </c>
      <c r="L16" s="1160" t="s">
        <v>498</v>
      </c>
      <c r="M16" s="1164"/>
      <c r="N16" s="1165"/>
      <c r="O16" s="1166"/>
      <c r="P16" s="1166"/>
      <c r="Q16" s="1166"/>
      <c r="R16" s="1166"/>
      <c r="S16" s="1166"/>
      <c r="T16" s="1166"/>
      <c r="U16" s="1166"/>
      <c r="V16" s="1166"/>
      <c r="W16" s="1166"/>
      <c r="X16" s="1166"/>
      <c r="Y16" s="1166"/>
      <c r="Z16" s="1166"/>
      <c r="AA16" s="1166"/>
    </row>
    <row r="17" spans="2:27" s="1160" customFormat="1" ht="31.5" customHeight="1">
      <c r="B17" s="1161"/>
      <c r="C17" s="1167"/>
      <c r="E17" s="1162"/>
      <c r="F17" s="1159"/>
      <c r="G17" s="1159"/>
      <c r="H17" s="1163"/>
      <c r="I17" s="1163"/>
      <c r="J17" s="1163"/>
      <c r="K17" s="1163"/>
      <c r="M17" s="1164"/>
      <c r="N17" s="1165"/>
      <c r="O17" s="1166"/>
      <c r="P17" s="1166"/>
      <c r="Q17" s="1166"/>
      <c r="R17" s="1166"/>
      <c r="S17" s="1166"/>
      <c r="T17" s="1166"/>
      <c r="U17" s="1166"/>
      <c r="V17" s="1166"/>
      <c r="W17" s="1166"/>
      <c r="X17" s="1166"/>
      <c r="Y17" s="1166"/>
      <c r="Z17" s="1166"/>
      <c r="AA17" s="1166"/>
    </row>
    <row r="18" spans="2:27" s="1160" customFormat="1" ht="46.5" customHeight="1">
      <c r="B18" s="1161"/>
      <c r="C18" s="1157" t="s">
        <v>496</v>
      </c>
      <c r="D18" s="1158" t="s">
        <v>499</v>
      </c>
      <c r="E18" s="1162"/>
      <c r="F18" s="1159"/>
      <c r="G18" s="1159"/>
      <c r="H18" s="1163">
        <v>650</v>
      </c>
      <c r="I18" s="1163">
        <v>650</v>
      </c>
      <c r="J18" s="1163">
        <v>0</v>
      </c>
      <c r="K18" s="1163">
        <v>0</v>
      </c>
      <c r="M18" s="1164"/>
      <c r="N18" s="1165"/>
      <c r="O18" s="1166"/>
      <c r="P18" s="1166"/>
      <c r="Q18" s="1166"/>
      <c r="R18" s="1166"/>
      <c r="S18" s="1166"/>
      <c r="T18" s="1166"/>
      <c r="U18" s="1166"/>
      <c r="V18" s="1166"/>
      <c r="W18" s="1166"/>
      <c r="X18" s="1166"/>
      <c r="Y18" s="1166"/>
      <c r="Z18" s="1166"/>
      <c r="AA18" s="1166"/>
    </row>
    <row r="19" spans="2:27" s="1160" customFormat="1" ht="31.5" customHeight="1">
      <c r="B19" s="1161"/>
      <c r="C19" s="1167"/>
      <c r="E19" s="1162"/>
      <c r="F19" s="1159"/>
      <c r="G19" s="1159"/>
      <c r="H19" s="1163"/>
      <c r="I19" s="1163"/>
      <c r="J19" s="1163"/>
      <c r="K19" s="1163"/>
      <c r="M19" s="1164"/>
      <c r="N19" s="1165"/>
      <c r="O19" s="1166"/>
      <c r="P19" s="1166"/>
      <c r="Q19" s="1166"/>
      <c r="R19" s="1166"/>
      <c r="S19" s="1166"/>
      <c r="T19" s="1166"/>
      <c r="U19" s="1166"/>
      <c r="V19" s="1166"/>
      <c r="W19" s="1166"/>
      <c r="X19" s="1166"/>
      <c r="Y19" s="1166"/>
      <c r="Z19" s="1166"/>
      <c r="AA19" s="1166"/>
    </row>
    <row r="20" spans="2:27" s="1160" customFormat="1" ht="46.5" customHeight="1">
      <c r="B20" s="1168"/>
      <c r="C20" s="1157" t="s">
        <v>496</v>
      </c>
      <c r="D20" s="1158" t="s">
        <v>500</v>
      </c>
      <c r="E20" s="1162"/>
      <c r="H20" s="1169">
        <v>300</v>
      </c>
      <c r="I20" s="1163">
        <v>300</v>
      </c>
      <c r="J20" s="1163">
        <v>0</v>
      </c>
      <c r="K20" s="1163">
        <v>0</v>
      </c>
      <c r="M20" s="1170"/>
      <c r="N20" s="1171"/>
      <c r="O20" s="1166"/>
      <c r="P20" s="1166"/>
      <c r="Q20" s="1166"/>
      <c r="R20" s="1166"/>
      <c r="S20" s="1166"/>
      <c r="T20" s="1166"/>
      <c r="U20" s="1166"/>
      <c r="V20" s="1166"/>
      <c r="W20" s="1166"/>
      <c r="X20" s="1166"/>
      <c r="Y20" s="1166"/>
      <c r="Z20" s="1166"/>
      <c r="AA20" s="1166"/>
    </row>
    <row r="21" spans="2:27" s="1160" customFormat="1" ht="31.5" customHeight="1">
      <c r="B21" s="1161"/>
      <c r="C21" s="1167"/>
      <c r="E21" s="1162"/>
      <c r="F21" s="1159"/>
      <c r="G21" s="1159"/>
      <c r="H21" s="1163"/>
      <c r="I21" s="1163"/>
      <c r="J21" s="1163"/>
      <c r="K21" s="1163"/>
      <c r="M21" s="1164"/>
      <c r="N21" s="1165"/>
      <c r="O21" s="1166"/>
      <c r="P21" s="1166"/>
      <c r="Q21" s="1166"/>
      <c r="R21" s="1166"/>
      <c r="S21" s="1166"/>
      <c r="T21" s="1166"/>
      <c r="U21" s="1166"/>
      <c r="V21" s="1166"/>
      <c r="W21" s="1166"/>
      <c r="X21" s="1166"/>
      <c r="Y21" s="1166"/>
      <c r="Z21" s="1166"/>
      <c r="AA21" s="1166"/>
    </row>
    <row r="22" spans="2:27" s="1160" customFormat="1" ht="46.5" customHeight="1">
      <c r="B22" s="1168"/>
      <c r="C22" s="1157" t="s">
        <v>496</v>
      </c>
      <c r="D22" s="1158" t="s">
        <v>501</v>
      </c>
      <c r="E22" s="1162"/>
      <c r="H22" s="1169">
        <v>500</v>
      </c>
      <c r="I22" s="1163">
        <v>700</v>
      </c>
      <c r="J22" s="1163">
        <v>0</v>
      </c>
      <c r="K22" s="1163">
        <v>0</v>
      </c>
      <c r="M22" s="1170"/>
      <c r="N22" s="1171"/>
      <c r="O22" s="1166"/>
      <c r="P22" s="1166"/>
      <c r="Q22" s="1166"/>
      <c r="R22" s="1166"/>
      <c r="S22" s="1166"/>
      <c r="T22" s="1166"/>
      <c r="U22" s="1166"/>
      <c r="V22" s="1166"/>
      <c r="W22" s="1166"/>
      <c r="X22" s="1166"/>
      <c r="Y22" s="1166"/>
      <c r="Z22" s="1166"/>
      <c r="AA22" s="1166"/>
    </row>
    <row r="23" spans="2:27" s="1160" customFormat="1" ht="31.5" customHeight="1">
      <c r="B23" s="1161"/>
      <c r="C23" s="1167"/>
      <c r="E23" s="1162"/>
      <c r="F23" s="1159"/>
      <c r="G23" s="1159"/>
      <c r="H23" s="1163"/>
      <c r="I23" s="1163"/>
      <c r="J23" s="1163"/>
      <c r="K23" s="1163"/>
      <c r="M23" s="1164"/>
      <c r="N23" s="1165"/>
      <c r="O23" s="1166"/>
      <c r="P23" s="1166"/>
      <c r="Q23" s="1166"/>
      <c r="R23" s="1166"/>
      <c r="S23" s="1166"/>
      <c r="T23" s="1166"/>
      <c r="U23" s="1166"/>
      <c r="V23" s="1166"/>
      <c r="W23" s="1166"/>
      <c r="X23" s="1166"/>
      <c r="Y23" s="1166"/>
      <c r="Z23" s="1166"/>
      <c r="AA23" s="1166"/>
    </row>
    <row r="24" spans="2:27" s="1160" customFormat="1" ht="46.5" customHeight="1">
      <c r="B24" s="1168"/>
      <c r="C24" s="1172" t="s">
        <v>496</v>
      </c>
      <c r="D24" s="2246" t="s">
        <v>502</v>
      </c>
      <c r="E24" s="2246"/>
      <c r="F24" s="2246"/>
      <c r="G24" s="2246"/>
      <c r="H24" s="1169">
        <v>300</v>
      </c>
      <c r="I24" s="1163">
        <v>500</v>
      </c>
      <c r="J24" s="1163">
        <v>0</v>
      </c>
      <c r="K24" s="1163">
        <v>0</v>
      </c>
      <c r="M24" s="1170"/>
      <c r="N24" s="1171"/>
      <c r="O24" s="1166"/>
      <c r="P24" s="1166"/>
      <c r="Q24" s="1166"/>
      <c r="R24" s="1166"/>
      <c r="S24" s="1166"/>
      <c r="T24" s="1166"/>
      <c r="U24" s="1166"/>
      <c r="V24" s="1166"/>
      <c r="W24" s="1166"/>
      <c r="X24" s="1166"/>
      <c r="Y24" s="1166"/>
      <c r="Z24" s="1166"/>
      <c r="AA24" s="1166"/>
    </row>
    <row r="25" spans="2:27" s="1160" customFormat="1" ht="31.5" customHeight="1">
      <c r="B25" s="1161"/>
      <c r="C25" s="1167"/>
      <c r="E25" s="1162"/>
      <c r="F25" s="1159"/>
      <c r="G25" s="1159"/>
      <c r="H25" s="1163"/>
      <c r="I25" s="1163"/>
      <c r="J25" s="1163"/>
      <c r="K25" s="1163"/>
      <c r="M25" s="1164"/>
      <c r="N25" s="1165"/>
      <c r="O25" s="1166"/>
      <c r="P25" s="1166"/>
      <c r="Q25" s="1166"/>
      <c r="R25" s="1166"/>
      <c r="S25" s="1166"/>
      <c r="T25" s="1166"/>
      <c r="U25" s="1166"/>
      <c r="V25" s="1166"/>
      <c r="W25" s="1166"/>
      <c r="X25" s="1166"/>
      <c r="Y25" s="1166"/>
      <c r="Z25" s="1166"/>
      <c r="AA25" s="1166"/>
    </row>
    <row r="26" spans="2:27" s="1109" customFormat="1" ht="46.5" customHeight="1">
      <c r="B26" s="1156"/>
      <c r="C26" s="1157" t="s">
        <v>496</v>
      </c>
      <c r="D26" s="1126" t="s">
        <v>503</v>
      </c>
      <c r="E26" s="1144"/>
      <c r="F26" s="1143"/>
      <c r="G26" s="1143"/>
      <c r="H26" s="1169">
        <v>500</v>
      </c>
      <c r="I26" s="1163">
        <v>500</v>
      </c>
      <c r="J26" s="1163">
        <v>0</v>
      </c>
      <c r="K26" s="1163">
        <v>0</v>
      </c>
      <c r="L26" s="1112"/>
      <c r="M26" s="1147"/>
      <c r="N26" s="1148"/>
      <c r="O26" s="1114"/>
      <c r="P26" s="1114"/>
      <c r="Q26" s="1114"/>
      <c r="R26" s="1114"/>
      <c r="S26" s="1114"/>
      <c r="T26" s="1114"/>
      <c r="U26" s="1114"/>
      <c r="V26" s="1114"/>
      <c r="W26" s="1114"/>
      <c r="X26" s="1114"/>
      <c r="Y26" s="1114"/>
      <c r="Z26" s="1114"/>
      <c r="AA26" s="1114"/>
    </row>
    <row r="27" spans="2:27" s="1160" customFormat="1" ht="31.5" customHeight="1">
      <c r="B27" s="1161"/>
      <c r="C27" s="1167"/>
      <c r="E27" s="1162"/>
      <c r="F27" s="1159"/>
      <c r="G27" s="1159"/>
      <c r="H27" s="1163"/>
      <c r="I27" s="1163"/>
      <c r="J27" s="1163"/>
      <c r="K27" s="1163"/>
      <c r="M27" s="1164"/>
      <c r="N27" s="1165"/>
      <c r="O27" s="1166"/>
      <c r="P27" s="1166"/>
      <c r="Q27" s="1166"/>
      <c r="R27" s="1166"/>
      <c r="S27" s="1166"/>
      <c r="T27" s="1166"/>
      <c r="U27" s="1166"/>
      <c r="V27" s="1166"/>
      <c r="W27" s="1166"/>
      <c r="X27" s="1166"/>
      <c r="Y27" s="1166"/>
      <c r="Z27" s="1166"/>
      <c r="AA27" s="1166"/>
    </row>
    <row r="28" spans="2:27" s="1109" customFormat="1" ht="46.5" customHeight="1">
      <c r="B28" s="1156"/>
      <c r="C28" s="1157" t="s">
        <v>496</v>
      </c>
      <c r="D28" s="1158" t="s">
        <v>504</v>
      </c>
      <c r="E28" s="1144"/>
      <c r="F28" s="1143"/>
      <c r="G28" s="1143"/>
      <c r="H28" s="1169">
        <v>250</v>
      </c>
      <c r="I28" s="1163">
        <v>800</v>
      </c>
      <c r="J28" s="1163">
        <v>0</v>
      </c>
      <c r="K28" s="1163">
        <v>0</v>
      </c>
      <c r="L28" s="1112"/>
      <c r="M28" s="1147"/>
      <c r="N28" s="1148"/>
      <c r="O28" s="1114"/>
      <c r="P28" s="1114"/>
      <c r="Q28" s="1114"/>
      <c r="R28" s="1114"/>
      <c r="S28" s="1114"/>
      <c r="T28" s="1114"/>
      <c r="U28" s="1114"/>
      <c r="V28" s="1114"/>
      <c r="W28" s="1114"/>
      <c r="X28" s="1114"/>
      <c r="Y28" s="1114"/>
      <c r="Z28" s="1114"/>
      <c r="AA28" s="1114"/>
    </row>
    <row r="29" spans="2:27" s="1160" customFormat="1" ht="31.5" customHeight="1">
      <c r="B29" s="1161"/>
      <c r="C29" s="1167"/>
      <c r="E29" s="1162"/>
      <c r="F29" s="1159"/>
      <c r="G29" s="1159"/>
      <c r="H29" s="1163"/>
      <c r="I29" s="1163"/>
      <c r="J29" s="1163"/>
      <c r="K29" s="1163"/>
      <c r="M29" s="1164"/>
      <c r="N29" s="1165"/>
      <c r="O29" s="1166"/>
      <c r="P29" s="1166"/>
      <c r="Q29" s="1166"/>
      <c r="R29" s="1166"/>
      <c r="S29" s="1166"/>
      <c r="T29" s="1166"/>
      <c r="U29" s="1166"/>
      <c r="V29" s="1166"/>
      <c r="W29" s="1166"/>
      <c r="X29" s="1166"/>
      <c r="Y29" s="1166"/>
      <c r="Z29" s="1166"/>
      <c r="AA29" s="1166"/>
    </row>
    <row r="30" spans="2:27" s="1109" customFormat="1" ht="46.5" customHeight="1">
      <c r="B30" s="1156"/>
      <c r="C30" s="1157" t="s">
        <v>496</v>
      </c>
      <c r="D30" s="1158" t="s">
        <v>505</v>
      </c>
      <c r="E30" s="1144"/>
      <c r="F30" s="1143"/>
      <c r="G30" s="1143"/>
      <c r="H30" s="1169">
        <v>150</v>
      </c>
      <c r="I30" s="1163">
        <v>0</v>
      </c>
      <c r="J30" s="1163">
        <v>0</v>
      </c>
      <c r="K30" s="1163">
        <v>0</v>
      </c>
      <c r="L30" s="1112"/>
      <c r="M30" s="1147"/>
      <c r="N30" s="1148"/>
      <c r="O30" s="1114"/>
      <c r="P30" s="1114"/>
      <c r="Q30" s="1114"/>
      <c r="R30" s="1114"/>
      <c r="S30" s="1114"/>
      <c r="T30" s="1114"/>
      <c r="U30" s="1114"/>
      <c r="V30" s="1114"/>
      <c r="W30" s="1114"/>
      <c r="X30" s="1114"/>
      <c r="Y30" s="1114"/>
      <c r="Z30" s="1114"/>
      <c r="AA30" s="1114"/>
    </row>
    <row r="31" spans="2:27" s="1160" customFormat="1" ht="31.5" customHeight="1">
      <c r="B31" s="1161"/>
      <c r="C31" s="1167"/>
      <c r="E31" s="1162"/>
      <c r="F31" s="1159"/>
      <c r="G31" s="1159"/>
      <c r="H31" s="1163"/>
      <c r="I31" s="1163"/>
      <c r="J31" s="1163"/>
      <c r="K31" s="1163"/>
      <c r="M31" s="1164"/>
      <c r="N31" s="1165"/>
      <c r="O31" s="1166"/>
      <c r="P31" s="1166"/>
      <c r="Q31" s="1166"/>
      <c r="R31" s="1166"/>
      <c r="S31" s="1166"/>
      <c r="T31" s="1166"/>
      <c r="U31" s="1166"/>
      <c r="V31" s="1166"/>
      <c r="W31" s="1166"/>
      <c r="X31" s="1166"/>
      <c r="Y31" s="1166"/>
      <c r="Z31" s="1166"/>
      <c r="AA31" s="1166"/>
    </row>
    <row r="32" spans="2:27" s="1109" customFormat="1" ht="46.5" customHeight="1">
      <c r="B32" s="1156"/>
      <c r="C32" s="1157" t="s">
        <v>496</v>
      </c>
      <c r="D32" s="1158" t="s">
        <v>506</v>
      </c>
      <c r="E32" s="1144"/>
      <c r="F32" s="1143"/>
      <c r="G32" s="1143"/>
      <c r="H32" s="1170">
        <v>0</v>
      </c>
      <c r="I32" s="1173">
        <v>2200</v>
      </c>
      <c r="J32" s="1173">
        <v>0</v>
      </c>
      <c r="K32" s="1173">
        <v>0</v>
      </c>
      <c r="L32" s="1112"/>
      <c r="M32" s="1147"/>
      <c r="N32" s="1148"/>
      <c r="O32" s="1114"/>
      <c r="P32" s="1114"/>
      <c r="Q32" s="1114"/>
      <c r="R32" s="1114"/>
      <c r="S32" s="1114"/>
      <c r="T32" s="1114"/>
      <c r="U32" s="1114"/>
      <c r="V32" s="1114"/>
      <c r="W32" s="1114"/>
      <c r="X32" s="1114"/>
      <c r="Y32" s="1114"/>
      <c r="Z32" s="1114"/>
      <c r="AA32" s="1114"/>
    </row>
    <row r="33" spans="2:27" s="1160" customFormat="1" ht="31.5" customHeight="1">
      <c r="B33" s="1161"/>
      <c r="C33" s="1167"/>
      <c r="E33" s="1162"/>
      <c r="F33" s="1159"/>
      <c r="G33" s="1159"/>
      <c r="H33" s="1163"/>
      <c r="I33" s="1163"/>
      <c r="J33" s="1163"/>
      <c r="K33" s="1163"/>
      <c r="M33" s="1164"/>
      <c r="N33" s="1165"/>
      <c r="O33" s="1166"/>
      <c r="P33" s="1166"/>
      <c r="Q33" s="1166"/>
      <c r="R33" s="1166"/>
      <c r="S33" s="1166"/>
      <c r="T33" s="1166"/>
      <c r="U33" s="1166"/>
      <c r="V33" s="1166"/>
      <c r="W33" s="1166"/>
      <c r="X33" s="1166"/>
      <c r="Y33" s="1166"/>
      <c r="Z33" s="1166"/>
      <c r="AA33" s="1166"/>
    </row>
    <row r="34" spans="2:27" s="1109" customFormat="1" ht="46.5" customHeight="1">
      <c r="B34" s="1156"/>
      <c r="C34" s="1157" t="s">
        <v>496</v>
      </c>
      <c r="D34" s="1158" t="s">
        <v>408</v>
      </c>
      <c r="E34" s="1144"/>
      <c r="F34" s="1143"/>
      <c r="G34" s="1143"/>
      <c r="H34" s="1170">
        <v>0</v>
      </c>
      <c r="I34" s="1173">
        <v>500</v>
      </c>
      <c r="J34" s="1173">
        <v>0</v>
      </c>
      <c r="K34" s="1173">
        <v>0</v>
      </c>
      <c r="L34" s="1112"/>
      <c r="M34" s="1147"/>
      <c r="N34" s="1148"/>
      <c r="O34" s="1114"/>
      <c r="P34" s="1114"/>
      <c r="Q34" s="1114"/>
      <c r="R34" s="1114"/>
      <c r="S34" s="1114"/>
      <c r="T34" s="1114"/>
      <c r="U34" s="1114"/>
      <c r="V34" s="1114"/>
      <c r="W34" s="1114"/>
      <c r="X34" s="1114"/>
      <c r="Y34" s="1114"/>
      <c r="Z34" s="1114"/>
      <c r="AA34" s="1114"/>
    </row>
    <row r="35" spans="2:27" s="1109" customFormat="1" ht="46.5" customHeight="1">
      <c r="B35" s="1156"/>
      <c r="C35" s="1157" t="s">
        <v>496</v>
      </c>
      <c r="D35" s="2246" t="s">
        <v>507</v>
      </c>
      <c r="E35" s="2246"/>
      <c r="F35" s="2246"/>
      <c r="G35" s="1143"/>
      <c r="H35" s="1170"/>
      <c r="I35" s="1173">
        <v>1500</v>
      </c>
      <c r="J35" s="1173"/>
      <c r="K35" s="1173"/>
      <c r="L35" s="1112"/>
      <c r="M35" s="1147"/>
      <c r="N35" s="1148"/>
      <c r="O35" s="1114"/>
      <c r="P35" s="1114"/>
      <c r="Q35" s="1114"/>
      <c r="R35" s="1114"/>
      <c r="S35" s="1114"/>
      <c r="T35" s="1114"/>
      <c r="U35" s="1114"/>
      <c r="V35" s="1114"/>
      <c r="W35" s="1114"/>
      <c r="X35" s="1114"/>
      <c r="Y35" s="1114"/>
      <c r="Z35" s="1114"/>
      <c r="AA35" s="1114"/>
    </row>
    <row r="36" spans="2:27" s="1109" customFormat="1" ht="46.5" customHeight="1">
      <c r="B36" s="1156"/>
      <c r="C36" s="1143"/>
      <c r="D36" s="1143"/>
      <c r="E36" s="1144"/>
      <c r="F36" s="1143"/>
      <c r="G36" s="1143"/>
      <c r="H36" s="1143"/>
      <c r="I36" s="1145"/>
      <c r="J36" s="1145"/>
      <c r="K36" s="1145"/>
      <c r="L36" s="1112"/>
      <c r="M36" s="1147"/>
      <c r="N36" s="1148"/>
      <c r="O36" s="1114"/>
      <c r="P36" s="1114"/>
      <c r="Q36" s="1114"/>
      <c r="R36" s="1114"/>
      <c r="S36" s="1114"/>
      <c r="T36" s="1114"/>
      <c r="U36" s="1114"/>
      <c r="V36" s="1114"/>
      <c r="W36" s="1114"/>
      <c r="X36" s="1114"/>
      <c r="Y36" s="1114"/>
      <c r="Z36" s="1114"/>
      <c r="AA36" s="1114"/>
    </row>
    <row r="37" spans="2:27" s="1109" customFormat="1" ht="46.5" customHeight="1">
      <c r="B37" s="1156"/>
      <c r="C37" s="1143"/>
      <c r="D37" s="1143"/>
      <c r="E37" s="1144"/>
      <c r="F37" s="1143"/>
      <c r="G37" s="1143"/>
      <c r="H37" s="1143"/>
      <c r="I37" s="1145"/>
      <c r="J37" s="1145"/>
      <c r="K37" s="1145"/>
      <c r="L37" s="1112"/>
      <c r="M37" s="1147"/>
      <c r="N37" s="1148"/>
      <c r="O37" s="1114"/>
      <c r="P37" s="1114"/>
      <c r="Q37" s="1114"/>
      <c r="R37" s="1114"/>
      <c r="S37" s="1114"/>
      <c r="T37" s="1114"/>
      <c r="U37" s="1114"/>
      <c r="V37" s="1114"/>
      <c r="W37" s="1114"/>
      <c r="X37" s="1114"/>
      <c r="Y37" s="1114"/>
      <c r="Z37" s="1114"/>
      <c r="AA37" s="1114"/>
    </row>
    <row r="38" spans="2:27" s="1160" customFormat="1" ht="46.5" customHeight="1">
      <c r="B38" s="1161"/>
      <c r="C38" s="1167"/>
      <c r="F38" s="1174" t="s">
        <v>508</v>
      </c>
      <c r="H38" s="1175">
        <f>SUM(H16:H35)</f>
        <v>2900</v>
      </c>
      <c r="I38" s="1175">
        <f>SUM(I16:I35)</f>
        <v>7950</v>
      </c>
      <c r="J38" s="1175">
        <f>SUM(J16:J35)</f>
        <v>150</v>
      </c>
      <c r="K38" s="1175">
        <v>0</v>
      </c>
      <c r="L38" s="1176" t="s">
        <v>509</v>
      </c>
      <c r="M38" s="1177"/>
      <c r="N38" s="1165"/>
      <c r="O38" s="1166"/>
      <c r="P38" s="1166"/>
      <c r="Q38" s="1166"/>
      <c r="R38" s="1166"/>
      <c r="S38" s="1166"/>
      <c r="T38" s="1166"/>
      <c r="U38" s="1166"/>
      <c r="V38" s="1166"/>
      <c r="W38" s="1166"/>
      <c r="X38" s="1166"/>
      <c r="Y38" s="1166"/>
      <c r="Z38" s="1166"/>
      <c r="AA38" s="1166"/>
    </row>
    <row r="39" spans="2:27" s="1109" customFormat="1" ht="46.5" customHeight="1">
      <c r="B39" s="1156"/>
      <c r="C39" s="1143"/>
      <c r="D39" s="1143"/>
      <c r="E39" s="1144"/>
      <c r="F39" s="1143"/>
      <c r="G39" s="1143"/>
      <c r="H39" s="1143"/>
      <c r="I39" s="1143"/>
      <c r="J39" s="1145"/>
      <c r="K39" s="1145"/>
      <c r="L39" s="1146"/>
      <c r="M39" s="1147"/>
      <c r="N39" s="1148"/>
      <c r="O39" s="1114"/>
      <c r="P39" s="1114"/>
      <c r="Q39" s="1114"/>
      <c r="R39" s="1114"/>
      <c r="S39" s="1114"/>
      <c r="T39" s="1114"/>
      <c r="U39" s="1114"/>
      <c r="V39" s="1114"/>
      <c r="W39" s="1114"/>
      <c r="X39" s="1114"/>
      <c r="Y39" s="1114"/>
      <c r="Z39" s="1114"/>
      <c r="AA39" s="1114"/>
    </row>
    <row r="40" spans="2:27" s="1109" customFormat="1" ht="46.5" customHeight="1">
      <c r="B40" s="1156"/>
      <c r="C40" s="1143"/>
      <c r="D40" s="1143"/>
      <c r="E40" s="1144"/>
      <c r="F40" s="1143"/>
      <c r="G40" s="1143"/>
      <c r="H40" s="1145"/>
      <c r="I40" s="1143"/>
      <c r="J40" s="1145"/>
      <c r="K40" s="1145"/>
      <c r="L40" s="1146"/>
      <c r="M40" s="1147"/>
      <c r="N40" s="1148"/>
      <c r="O40" s="1114"/>
      <c r="P40" s="1114"/>
      <c r="Q40" s="1114"/>
      <c r="R40" s="1114"/>
      <c r="S40" s="1114"/>
      <c r="T40" s="1114"/>
      <c r="U40" s="1114"/>
      <c r="V40" s="1114"/>
      <c r="W40" s="1114"/>
      <c r="X40" s="1114"/>
      <c r="Y40" s="1114"/>
      <c r="Z40" s="1114"/>
      <c r="AA40" s="1114"/>
    </row>
    <row r="41" spans="2:27" s="1109" customFormat="1" ht="46.5" customHeight="1" thickBot="1">
      <c r="B41" s="1178"/>
      <c r="C41" s="1179"/>
      <c r="D41" s="1179"/>
      <c r="E41" s="1180"/>
      <c r="F41" s="1179"/>
      <c r="G41" s="1179"/>
      <c r="H41" s="1181"/>
      <c r="I41" s="1179"/>
      <c r="J41" s="1181"/>
      <c r="K41" s="1181"/>
      <c r="L41" s="1182"/>
      <c r="M41" s="1183"/>
      <c r="N41" s="1184"/>
      <c r="O41" s="1114"/>
      <c r="P41" s="1114"/>
      <c r="Q41" s="1114"/>
      <c r="R41" s="1114"/>
      <c r="S41" s="1114"/>
      <c r="T41" s="1114"/>
      <c r="U41" s="1114"/>
      <c r="V41" s="1114"/>
      <c r="W41" s="1114"/>
      <c r="X41" s="1114"/>
      <c r="Y41" s="1114"/>
      <c r="Z41" s="1114"/>
      <c r="AA41" s="1114"/>
    </row>
    <row r="42" spans="2:27" ht="15.75" thickTop="1"/>
  </sheetData>
  <mergeCells count="13">
    <mergeCell ref="D35:F35"/>
    <mergeCell ref="B7:D7"/>
    <mergeCell ref="E7:J7"/>
    <mergeCell ref="E8:J8"/>
    <mergeCell ref="B10:N10"/>
    <mergeCell ref="D24:G24"/>
    <mergeCell ref="B11:N11"/>
    <mergeCell ref="E2:J2"/>
    <mergeCell ref="B3:D5"/>
    <mergeCell ref="E3:J3"/>
    <mergeCell ref="E5:J5"/>
    <mergeCell ref="B6:D6"/>
    <mergeCell ref="E6:J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SYNTHESE</vt:lpstr>
      <vt:lpstr>RECETTES</vt:lpstr>
      <vt:lpstr>DCH</vt:lpstr>
      <vt:lpstr>CHAPEAU</vt:lpstr>
      <vt:lpstr>TS</vt:lpstr>
      <vt:lpstr>ECARTS</vt:lpstr>
      <vt:lpstr>Synthese DS</vt:lpstr>
      <vt:lpstr>MO Qte</vt:lpstr>
      <vt:lpstr>BETON Qte</vt:lpstr>
      <vt:lpstr>ACIER Qte</vt:lpstr>
      <vt:lpstr>DETAILS</vt:lpstr>
      <vt:lpstr>RECAP IND</vt:lpstr>
      <vt:lpstr>Transfert</vt:lpstr>
      <vt:lpstr>Ecart PP</vt:lpstr>
      <vt:lpstr>Ecart Indirects</vt:lpstr>
      <vt:lpstr>Ecart STGO</vt:lpstr>
      <vt:lpstr>Ecart STCEA</vt:lpstr>
      <vt:lpstr>Ecart STCET</vt:lpstr>
      <vt:lpstr>Risques</vt:lpstr>
      <vt:lpstr>OPP</vt:lpstr>
      <vt:lpstr>PAM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Jorissen Daniel</cp:lastModifiedBy>
  <cp:lastPrinted>2017-06-01T10:51:04Z</cp:lastPrinted>
  <dcterms:created xsi:type="dcterms:W3CDTF">2017-04-17T22:50:40Z</dcterms:created>
  <dcterms:modified xsi:type="dcterms:W3CDTF">2017-10-13T06:04:04Z</dcterms:modified>
</cp:coreProperties>
</file>